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8800" windowHeight="1290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310 (2)_5...3d931dee_QNK8R2" sheetId="17" state="hidden" r:id="rId13"/>
    <sheet name="OSR_300 &amp; 317_1C00ID4" sheetId="19" state="hidden" r:id="rId14"/>
    <sheet name="OSR_300 (2)_...6aa5a22d_14M6XO4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...853a34aa_1UNC34K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)...32d16c57_IVJ1QO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4" r:id="rId51"/>
    <sheet name="306" sheetId="68" r:id="rId52"/>
    <sheet name="330" sheetId="24" r:id="rId53"/>
    <sheet name="307" sheetId="69" r:id="rId54"/>
    <sheet name="314" sheetId="74" r:id="rId55"/>
    <sheet name="308" sheetId="27" r:id="rId56"/>
    <sheet name="311" sheetId="71" r:id="rId57"/>
    <sheet name="324" sheetId="83" r:id="rId58"/>
    <sheet name="331" sheetId="30" r:id="rId59"/>
    <sheet name="315" sheetId="75" r:id="rId60"/>
    <sheet name="326" sheetId="85" r:id="rId61"/>
    <sheet name="332" sheetId="33" r:id="rId62"/>
    <sheet name="316" sheetId="76" r:id="rId63"/>
    <sheet name="320" sheetId="79" r:id="rId64"/>
    <sheet name="Div 6" sheetId="51" r:id="rId65"/>
    <sheet name="317" sheetId="77" r:id="rId66"/>
    <sheet name="318" sheetId="78" r:id="rId67"/>
    <sheet name="310" sheetId="21" r:id="rId68"/>
    <sheet name="309" sheetId="70" r:id="rId69"/>
    <sheet name="313" sheetId="73" r:id="rId70"/>
    <sheet name="321" sheetId="80" r:id="rId71"/>
    <sheet name="322" sheetId="81" r:id="rId72"/>
    <sheet name="325" sheetId="84" r:id="rId73"/>
    <sheet name="327" sheetId="86" r:id="rId74"/>
    <sheet name="Div 4" sheetId="36" r:id="rId75"/>
    <sheet name="310 &amp; 491" sheetId="39" r:id="rId76"/>
    <sheet name="491" sheetId="42" r:id="rId77"/>
    <sheet name="405" sheetId="88" r:id="rId78"/>
    <sheet name="406" sheetId="89" r:id="rId79"/>
    <sheet name="411" sheetId="92" r:id="rId80"/>
    <sheet name="412" sheetId="93" r:id="rId81"/>
    <sheet name="420" sheetId="99" r:id="rId82"/>
    <sheet name="413" sheetId="94" r:id="rId83"/>
    <sheet name="414" sheetId="95" r:id="rId84"/>
    <sheet name="415" sheetId="96" r:id="rId85"/>
    <sheet name="418" sheetId="98" r:id="rId86"/>
    <sheet name="423" sheetId="100" r:id="rId87"/>
    <sheet name="424" sheetId="101" r:id="rId88"/>
    <sheet name="425" sheetId="102" r:id="rId89"/>
    <sheet name="455" sheetId="109" r:id="rId90"/>
    <sheet name="492" sheetId="45" r:id="rId91"/>
    <sheet name="430" sheetId="103" r:id="rId92"/>
    <sheet name="433" sheetId="104" r:id="rId93"/>
    <sheet name="435" sheetId="105" r:id="rId94"/>
    <sheet name="444" sheetId="106" r:id="rId95"/>
    <sheet name="445" sheetId="107" r:id="rId96"/>
    <sheet name="450" sheetId="108" r:id="rId97"/>
    <sheet name="Div 5" sheetId="48" r:id="rId98"/>
    <sheet name="501" sheetId="110" r:id="rId99"/>
    <sheet name="Dept" sheetId="111" state="hidden" r:id="rId100"/>
    <sheet name="OSR_Dept_Y0WUKY" sheetId="112" state="hidden" r:id="rId101"/>
    <sheet name="OSR_Summary (...56e5d78f_5JEYZH" sheetId="113" state="hidden" r:id="rId102"/>
  </sheets>
  <definedNames>
    <definedName name="OSRRefD13x_0" localSheetId="48">'300'!$D$13:$D$102</definedName>
    <definedName name="OSRRefD13x_0" localSheetId="49">'300 &amp; 317'!$D$13:$D$120</definedName>
    <definedName name="OSRRefD13x_0" localSheetId="53">'307'!$D$13:$D$43</definedName>
    <definedName name="OSRRefD13x_0" localSheetId="55">'308'!$D$13:$D$39</definedName>
    <definedName name="OSRRefD13x_0" localSheetId="68">'309'!$D$13:$D$15</definedName>
    <definedName name="OSRRefD13x_0" localSheetId="67">'310'!$D$13:$D$22</definedName>
    <definedName name="OSRRefD13x_0" localSheetId="75">'310 &amp; 491'!$D$13:$D$29</definedName>
    <definedName name="OSRRefD13x_0" localSheetId="56">'311'!$D$13:$D$39</definedName>
    <definedName name="OSRRefD13x_0" localSheetId="69">'313'!$D$13:$D$18</definedName>
    <definedName name="OSRRefD13x_0" localSheetId="54">'314'!$D$13:$D$34</definedName>
    <definedName name="OSRRefD13x_0" localSheetId="59">'315'!$D$13:$D$33</definedName>
    <definedName name="OSRRefD13x_0" localSheetId="62">'316'!$D$13:$D$25</definedName>
    <definedName name="OSRRefD13x_0" localSheetId="65">'317'!$D$13:$D$38</definedName>
    <definedName name="OSRRefD13x_0" localSheetId="63">'320'!$D$13:$D$15</definedName>
    <definedName name="OSRRefD13x_0" localSheetId="70">'321'!$D$13:$D$15</definedName>
    <definedName name="OSRRefD13x_0" localSheetId="71">'322'!$D$13:$D$15</definedName>
    <definedName name="OSRRefD13x_0" localSheetId="57">'324'!$D$13:$D$15</definedName>
    <definedName name="OSRRefD13x_0" localSheetId="72">'325'!$D$13:$D$15</definedName>
    <definedName name="OSRRefD13x_0" localSheetId="60">'326'!$D$13:$D$32</definedName>
    <definedName name="OSRRefD13x_0" localSheetId="73">'327'!$D$13:$D$14</definedName>
    <definedName name="OSRRefD13x_0" localSheetId="52">'330'!$D$13:$D$48</definedName>
    <definedName name="OSRRefD13x_0" localSheetId="58">'331'!$D$13:$D$40</definedName>
    <definedName name="OSRRefD13x_0" localSheetId="61">'332'!$D$13:$D$28</definedName>
    <definedName name="OSRRefD13x_0" localSheetId="77">'405'!$D$13:$D$15</definedName>
    <definedName name="OSRRefD13x_0" localSheetId="78">'406'!$D$13:$D$16</definedName>
    <definedName name="OSRRefD13x_0" localSheetId="80">'412'!$D$13:$D$16</definedName>
    <definedName name="OSRRefD13x_0" localSheetId="82">'413'!$D$13:$D$16</definedName>
    <definedName name="OSRRefD13x_0" localSheetId="83">'414'!$D$13:$D$16</definedName>
    <definedName name="OSRRefD13x_0" localSheetId="84">'415'!$D$13:$D$15</definedName>
    <definedName name="OSRRefD13x_0" localSheetId="85">'418'!$D$13:$D$16</definedName>
    <definedName name="OSRRefD13x_0" localSheetId="81">'420'!$D$13:$D$14</definedName>
    <definedName name="OSRRefD13x_0" localSheetId="87">'424'!$D$13:$D$15</definedName>
    <definedName name="OSRRefD13x_0" localSheetId="88">'425'!$D$13:$D$16</definedName>
    <definedName name="OSRRefD13x_0" localSheetId="92">'433'!$D$13:$D$16</definedName>
    <definedName name="OSRRefD13x_0" localSheetId="93">'435'!$D$13:$D$16</definedName>
    <definedName name="OSRRefD13x_0" localSheetId="94">'444'!$D$13:$D$16</definedName>
    <definedName name="OSRRefD13x_0" localSheetId="96">'450'!$D$13:$D$16</definedName>
    <definedName name="OSRRefD13x_0" localSheetId="76">'491'!$D$13:$D$23</definedName>
    <definedName name="OSRRefD13x_0" localSheetId="90">'492'!$D$13:$D$18</definedName>
    <definedName name="OSRRefD13x_0" localSheetId="98">'501'!$D$13</definedName>
    <definedName name="OSRRefD13x_0" localSheetId="47">'Div 3'!$D$13:$D$106</definedName>
    <definedName name="OSRRefD13x_0" localSheetId="74">'Div 4'!$D$13:$D$24</definedName>
    <definedName name="OSRRefD13x_0" localSheetId="97">'Div 5'!$D$13</definedName>
    <definedName name="OSRRefD13x_0" localSheetId="64">'Div 6'!$D$13:$D$38</definedName>
    <definedName name="OSRRefD13x_0" localSheetId="2">Summary!$D$13:$D$131</definedName>
    <definedName name="OSRRefD16x_0" localSheetId="48">'300'!$D$105:$D$155</definedName>
    <definedName name="OSRRefD16x_0" localSheetId="49">'300 &amp; 317'!$D$123:$D$180</definedName>
    <definedName name="OSRRefD16x_0" localSheetId="53">'307'!$D$46:$D$65</definedName>
    <definedName name="OSRRefD16x_0" localSheetId="55">'308'!$D$42:$D$57</definedName>
    <definedName name="OSRRefD16x_0" localSheetId="68">'309'!$D$18:$D$20</definedName>
    <definedName name="OSRRefD16x_0" localSheetId="67">'310'!$D$25:$D$27</definedName>
    <definedName name="OSRRefD16x_0" localSheetId="75">'310 &amp; 491'!$D$32:$D$34</definedName>
    <definedName name="OSRRefD16x_0" localSheetId="56">'311'!$D$42:$D$57</definedName>
    <definedName name="OSRRefD16x_0" localSheetId="69">'313'!$D$21:$D$23</definedName>
    <definedName name="OSRRefD16x_0" localSheetId="54">'314'!$D$37:$D$52</definedName>
    <definedName name="OSRRefD16x_0" localSheetId="59">'315'!$D$36:$D$51</definedName>
    <definedName name="OSRRefD16x_0" localSheetId="65">'317'!$D$41:$D$54</definedName>
    <definedName name="OSRRefD16x_0" localSheetId="63">'320'!$D$18:$D$22</definedName>
    <definedName name="OSRRefD16x_0" localSheetId="70">'321'!$D$18:$D$20</definedName>
    <definedName name="OSRRefD16x_0" localSheetId="71">'322'!$D$18:$D$20</definedName>
    <definedName name="OSRRefD16x_0" localSheetId="57">'324'!$D$18:$D$20</definedName>
    <definedName name="OSRRefD16x_0" localSheetId="72">'325'!$D$18:$D$20</definedName>
    <definedName name="OSRRefD16x_0" localSheetId="60">'326'!$D$35:$D$49</definedName>
    <definedName name="OSRRefD16x_0" localSheetId="73">'327'!$D$17:$D$18</definedName>
    <definedName name="OSRRefD16x_0" localSheetId="52">'330'!$D$51:$D$74</definedName>
    <definedName name="OSRRefD16x_0" localSheetId="58">'331'!$D$43:$D$64</definedName>
    <definedName name="OSRRefD16x_0" localSheetId="61">'332'!$D$31:$D$35</definedName>
    <definedName name="OSRRefD16x_0" localSheetId="77">'405'!$D$18:$D$20</definedName>
    <definedName name="OSRRefD16x_0" localSheetId="78">'406'!$D$19:$D$21</definedName>
    <definedName name="OSRRefD16x_0" localSheetId="80">'412'!$D$19:$D$20</definedName>
    <definedName name="OSRRefD16x_0" localSheetId="82">'413'!$D$19:$D$21</definedName>
    <definedName name="OSRRefD16x_0" localSheetId="83">'414'!$D$19:$D$21</definedName>
    <definedName name="OSRRefD16x_0" localSheetId="84">'415'!$D$18:$D$20</definedName>
    <definedName name="OSRRefD16x_0" localSheetId="85">'418'!$D$19:$D$21</definedName>
    <definedName name="OSRRefD16x_0" localSheetId="86">'423'!$D$15</definedName>
    <definedName name="OSRRefD16x_0" localSheetId="87">'424'!$D$18:$D$20</definedName>
    <definedName name="OSRRefD16x_0" localSheetId="88">'425'!$D$19:$D$21</definedName>
    <definedName name="OSRRefD16x_0" localSheetId="92">'433'!$D$19:$D$21</definedName>
    <definedName name="OSRRefD16x_0" localSheetId="93">'435'!$D$19:$D$21</definedName>
    <definedName name="OSRRefD16x_0" localSheetId="94">'444'!$D$19:$D$21</definedName>
    <definedName name="OSRRefD16x_0" localSheetId="96">'450'!$D$19:$D$21</definedName>
    <definedName name="OSRRefD16x_0" localSheetId="76">'491'!$D$26:$D$28</definedName>
    <definedName name="OSRRefD16x_0" localSheetId="90">'492'!$D$21:$D$23</definedName>
    <definedName name="OSRRefD16x_0" localSheetId="47">'Div 3'!$D$109:$D$161</definedName>
    <definedName name="OSRRefD16x_0" localSheetId="74">'Div 4'!$D$27:$D$29</definedName>
    <definedName name="OSRRefD16x_0" localSheetId="64">'Div 6'!$D$41:$D$54</definedName>
    <definedName name="OSRRefD16x_0" localSheetId="2">Summary!$D$134:$D$193</definedName>
    <definedName name="OSRRefD22_0x_0" localSheetId="40">'200'!$D$20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'204'!$D$20:$D$29</definedName>
    <definedName name="OSRRefD22_0x_0" localSheetId="45">'205'!$D$20:$D$28</definedName>
    <definedName name="OSRRefD22_0x_0" localSheetId="46">'206'!$D$20:$D$28</definedName>
    <definedName name="OSRRefD22_0x_0" localSheetId="48">'300'!$D$161:$D$170</definedName>
    <definedName name="OSRRefD22_0x_0" localSheetId="49">'300 &amp; 317'!$D$186:$D$195</definedName>
    <definedName name="OSRRefD22_0x_0" localSheetId="50">'301'!$D$20:$D$28</definedName>
    <definedName name="OSRRefD22_0x_0" localSheetId="51">'306'!$D$20:$D$28</definedName>
    <definedName name="OSRRefD22_0x_0" localSheetId="53">'307'!$D$71:$D$79</definedName>
    <definedName name="OSRRefD22_0x_0" localSheetId="55">'308'!$D$63:$D$72</definedName>
    <definedName name="OSRRefD22_0x_0" localSheetId="68">'309'!$D$26:$D$34</definedName>
    <definedName name="OSRRefD22_0x_0" localSheetId="67">'310'!$D$33:$D$41</definedName>
    <definedName name="OSRRefD22_0x_0" localSheetId="75">'310 &amp; 491'!$D$40:$D$49</definedName>
    <definedName name="OSRRefD22_0x_0" localSheetId="56">'311'!$D$63:$D$72</definedName>
    <definedName name="OSRRefD22_0x_0" localSheetId="69">'313'!$D$29:$D$37</definedName>
    <definedName name="OSRRefD22_0x_0" localSheetId="54">'314'!$D$58:$D$65</definedName>
    <definedName name="OSRRefD22_0x_0" localSheetId="59">'315'!$D$57:$D$65</definedName>
    <definedName name="OSRRefD22_0x_0" localSheetId="62">'316'!$D$33:$D$41</definedName>
    <definedName name="OSRRefD22_0x_0" localSheetId="65">'317'!$D$60:$D$69</definedName>
    <definedName name="OSRRefD22_0x_0" localSheetId="63">'320'!$D$28:$D$35</definedName>
    <definedName name="OSRRefD22_0x_0" localSheetId="70">'321'!$D$26:$D$33</definedName>
    <definedName name="OSRRefD22_0x_0" localSheetId="71">'322'!$D$26:$D$34</definedName>
    <definedName name="OSRRefD22_0x_0" localSheetId="72">'325'!$D$26:$D$34</definedName>
    <definedName name="OSRRefD22_0x_0" localSheetId="60">'326'!$D$55:$D$63</definedName>
    <definedName name="OSRRefD22_0x_0" localSheetId="73">'327'!$D$24</definedName>
    <definedName name="OSRRefD22_0x_0" localSheetId="52">'330'!$D$80:$D$88</definedName>
    <definedName name="OSRRefD22_0x_0" localSheetId="58">'331'!$D$70:$D$78</definedName>
    <definedName name="OSRRefD22_0x_0" localSheetId="61">'332'!$D$41:$D$49</definedName>
    <definedName name="OSRRefD22_0x_0" localSheetId="77">'405'!$D$26:$D$34</definedName>
    <definedName name="OSRRefD22_0x_0" localSheetId="78">'406'!$D$27:$D$35</definedName>
    <definedName name="OSRRefD22_0x_0" localSheetId="79">'411'!$D$20:$D$29</definedName>
    <definedName name="OSRRefD22_0x_0" localSheetId="80">'412'!$D$26:$D$34</definedName>
    <definedName name="OSRRefD22_0x_0" localSheetId="82">'413'!$D$27:$D$35</definedName>
    <definedName name="OSRRefD22_0x_0" localSheetId="83">'414'!$D$27:$D$35</definedName>
    <definedName name="OSRRefD22_0x_0" localSheetId="84">'415'!$D$26:$D$34</definedName>
    <definedName name="OSRRefD22_0x_0" localSheetId="85">'418'!$D$27:$D$35</definedName>
    <definedName name="OSRRefD22_0x_0" localSheetId="81">'420'!$D$22:$D$28</definedName>
    <definedName name="OSRRefD22_0x_0" localSheetId="86">'423'!$D$21:$D$29</definedName>
    <definedName name="OSRRefD22_0x_0" localSheetId="87">'424'!$D$26:$D$33</definedName>
    <definedName name="OSRRefD22_0x_0" localSheetId="88">'425'!$D$27:$D$35</definedName>
    <definedName name="OSRRefD22_0x_0" localSheetId="91">'430'!$D$20:$D$28</definedName>
    <definedName name="OSRRefD22_0x_0" localSheetId="92">'433'!$D$27:$D$36</definedName>
    <definedName name="OSRRefD22_0x_0" localSheetId="93">'435'!$D$27:$D$34</definedName>
    <definedName name="OSRRefD22_0x_0" localSheetId="94">'444'!$D$27:$D$36</definedName>
    <definedName name="OSRRefD22_0x_0" localSheetId="96">'450'!$D$27:$D$36</definedName>
    <definedName name="OSRRefD22_0x_0" localSheetId="89">'455'!$D$20:$D$27</definedName>
    <definedName name="OSRRefD22_0x_0" localSheetId="76">'491'!$D$34:$D$43</definedName>
    <definedName name="OSRRefD22_0x_0" localSheetId="90">'492'!$D$29:$D$38</definedName>
    <definedName name="OSRRefD22_0x_0" localSheetId="98">'501'!$D$21:$D$29</definedName>
    <definedName name="OSRRefD22_0x_0" localSheetId="39">'Div 2'!$D$20:$D$30</definedName>
    <definedName name="OSRRefD22_0x_0" localSheetId="47">'Div 3'!$D$167:$D$176</definedName>
    <definedName name="OSRRefD22_0x_0" localSheetId="74">'Div 4'!$D$35:$D$44</definedName>
    <definedName name="OSRRefD22_0x_0" localSheetId="97">'Div 5'!$D$21:$D$29</definedName>
    <definedName name="OSRRefD22_0x_0" localSheetId="64">'Div 6'!$D$60:$D$69</definedName>
    <definedName name="OSRRefD22_0x_0" localSheetId="2">Summary!$D$199:$D$208</definedName>
    <definedName name="OSRRefD22_10x_0" localSheetId="41">'201'!$D$58:$D$60</definedName>
    <definedName name="OSRRefD22_10x_0" localSheetId="42">'202'!$D$59</definedName>
    <definedName name="OSRRefD22_10x_0" localSheetId="43">'203'!$D$59:$D$60</definedName>
    <definedName name="OSRRefD22_10x_0" localSheetId="44">'204'!$D$61:$D$62</definedName>
    <definedName name="OSRRefD22_10x_0" localSheetId="46">'206'!$D$58</definedName>
    <definedName name="OSRRefD22_10x_0" localSheetId="48">'300'!$D$205:$D$206</definedName>
    <definedName name="OSRRefD22_10x_0" localSheetId="49">'300 &amp; 317'!$D$230:$D$231</definedName>
    <definedName name="OSRRefD22_10x_0" localSheetId="50">'301'!$D$63</definedName>
    <definedName name="OSRRefD22_10x_0" localSheetId="51">'306'!$D$61</definedName>
    <definedName name="OSRRefD22_10x_0" localSheetId="53">'307'!$D$111:$D$112</definedName>
    <definedName name="OSRRefD22_10x_0" localSheetId="55">'308'!$D$104</definedName>
    <definedName name="OSRRefD22_10x_0" localSheetId="68">'309'!$D$67:$D$69</definedName>
    <definedName name="OSRRefD22_10x_0" localSheetId="67">'310'!$D$72</definedName>
    <definedName name="OSRRefD22_10x_0" localSheetId="75">'310 &amp; 491'!$D$81</definedName>
    <definedName name="OSRRefD22_10x_0" localSheetId="56">'311'!$D$104</definedName>
    <definedName name="OSRRefD22_10x_0" localSheetId="69">'313'!$D$66:$D$68</definedName>
    <definedName name="OSRRefD22_10x_0" localSheetId="59">'315'!$D$96:$D$98</definedName>
    <definedName name="OSRRefD22_10x_0" localSheetId="62">'316'!$D$70:$D$71</definedName>
    <definedName name="OSRRefD22_10x_0" localSheetId="65">'317'!$D$100</definedName>
    <definedName name="OSRRefD22_10x_0" localSheetId="70">'321'!$D$64:$D$65</definedName>
    <definedName name="OSRRefD22_10x_0" localSheetId="71">'322'!$D$66:$D$68</definedName>
    <definedName name="OSRRefD22_10x_0" localSheetId="72">'325'!$D$65</definedName>
    <definedName name="OSRRefD22_10x_0" localSheetId="60">'326'!$D$93</definedName>
    <definedName name="OSRRefD22_10x_0" localSheetId="52">'330'!$D$119:$D$120</definedName>
    <definedName name="OSRRefD22_10x_0" localSheetId="58">'331'!$D$110</definedName>
    <definedName name="OSRRefD22_10x_0" localSheetId="61">'332'!$D$79</definedName>
    <definedName name="OSRRefD22_10x_0" localSheetId="77">'405'!$D$65:$D$67</definedName>
    <definedName name="OSRRefD22_10x_0" localSheetId="78">'406'!$D$69:$D$74</definedName>
    <definedName name="OSRRefD22_10x_0" localSheetId="79">'411'!$D$61:$D$63</definedName>
    <definedName name="OSRRefD22_10x_0" localSheetId="80">'412'!$D$66:$D$68</definedName>
    <definedName name="OSRRefD22_10x_0" localSheetId="82">'413'!$D$71:$D$72</definedName>
    <definedName name="OSRRefD22_10x_0" localSheetId="83">'414'!$D$66</definedName>
    <definedName name="OSRRefD22_10x_0" localSheetId="84">'415'!$D$65</definedName>
    <definedName name="OSRRefD22_10x_0" localSheetId="85">'418'!$D$69:$D$71</definedName>
    <definedName name="OSRRefD22_10x_0" localSheetId="87">'424'!$D$64:$D$67</definedName>
    <definedName name="OSRRefD22_10x_0" localSheetId="88">'425'!$D$67:$D$68</definedName>
    <definedName name="OSRRefD22_10x_0" localSheetId="91">'430'!$D$59</definedName>
    <definedName name="OSRRefD22_10x_0" localSheetId="92">'433'!$D$65:$D$67</definedName>
    <definedName name="OSRRefD22_10x_0" localSheetId="94">'444'!$D$65</definedName>
    <definedName name="OSRRefD22_10x_0" localSheetId="96">'450'!$D$66</definedName>
    <definedName name="OSRRefD22_10x_0" localSheetId="76">'491'!$D$76</definedName>
    <definedName name="OSRRefD22_10x_0" localSheetId="90">'492'!$D$69</definedName>
    <definedName name="OSRRefD22_10x_0" localSheetId="98">'501'!$D$58:$D$59</definedName>
    <definedName name="OSRRefD22_10x_0" localSheetId="39">'Div 2'!$D$60</definedName>
    <definedName name="OSRRefD22_10x_0" localSheetId="47">'Div 3'!$D$211:$D$212</definedName>
    <definedName name="OSRRefD22_10x_0" localSheetId="74">'Div 4'!$D$78:$D$79</definedName>
    <definedName name="OSRRefD22_10x_0" localSheetId="97">'Div 5'!$D$58:$D$59</definedName>
    <definedName name="OSRRefD22_10x_0" localSheetId="64">'Div 6'!$D$100</definedName>
    <definedName name="OSRRefD22_10x_0" localSheetId="2">Summary!$D$244:$D$245</definedName>
    <definedName name="OSRRefD22_11x_0" localSheetId="41">'201'!$D$62:$D$64</definedName>
    <definedName name="OSRRefD22_11x_0" localSheetId="42">'202'!$D$61:$D$62</definedName>
    <definedName name="OSRRefD22_11x_0" localSheetId="43">'203'!$D$62</definedName>
    <definedName name="OSRRefD22_11x_0" localSheetId="44">'204'!$D$64</definedName>
    <definedName name="OSRRefD22_11x_0" localSheetId="48">'300'!$D$208</definedName>
    <definedName name="OSRRefD22_11x_0" localSheetId="49">'300 &amp; 317'!$D$233</definedName>
    <definedName name="OSRRefD22_11x_0" localSheetId="50">'301'!$D$65</definedName>
    <definedName name="OSRRefD22_11x_0" localSheetId="53">'307'!$D$114</definedName>
    <definedName name="OSRRefD22_11x_0" localSheetId="55">'308'!$D$106:$D$108</definedName>
    <definedName name="OSRRefD22_11x_0" localSheetId="68">'309'!$D$71</definedName>
    <definedName name="OSRRefD22_11x_0" localSheetId="67">'310'!$D$74</definedName>
    <definedName name="OSRRefD22_11x_0" localSheetId="75">'310 &amp; 491'!$D$83:$D$84</definedName>
    <definedName name="OSRRefD22_11x_0" localSheetId="56">'311'!$D$106:$D$108</definedName>
    <definedName name="OSRRefD22_11x_0" localSheetId="69">'313'!$D$70</definedName>
    <definedName name="OSRRefD22_11x_0" localSheetId="59">'315'!$D$100:$D$101</definedName>
    <definedName name="OSRRefD22_11x_0" localSheetId="62">'316'!$D$73:$D$76</definedName>
    <definedName name="OSRRefD22_11x_0" localSheetId="65">'317'!$D$102</definedName>
    <definedName name="OSRRefD22_11x_0" localSheetId="70">'321'!$D$67:$D$69</definedName>
    <definedName name="OSRRefD22_11x_0" localSheetId="71">'322'!$D$70:$D$74</definedName>
    <definedName name="OSRRefD22_11x_0" localSheetId="72">'325'!$D$67:$D$69</definedName>
    <definedName name="OSRRefD22_11x_0" localSheetId="60">'326'!$D$95</definedName>
    <definedName name="OSRRefD22_11x_0" localSheetId="52">'330'!$D$122</definedName>
    <definedName name="OSRRefD22_11x_0" localSheetId="58">'331'!$D$112</definedName>
    <definedName name="OSRRefD22_11x_0" localSheetId="61">'332'!$D$81:$D$82</definedName>
    <definedName name="OSRRefD22_11x_0" localSheetId="77">'405'!$D$69</definedName>
    <definedName name="OSRRefD22_11x_0" localSheetId="78">'406'!$D$76:$D$77</definedName>
    <definedName name="OSRRefD22_11x_0" localSheetId="79">'411'!$D$65:$D$69</definedName>
    <definedName name="OSRRefD22_11x_0" localSheetId="80">'412'!$D$70:$D$75</definedName>
    <definedName name="OSRRefD22_11x_0" localSheetId="82">'413'!$D$74</definedName>
    <definedName name="OSRRefD22_11x_0" localSheetId="83">'414'!$D$68</definedName>
    <definedName name="OSRRefD22_11x_0" localSheetId="84">'415'!$D$67:$D$69</definedName>
    <definedName name="OSRRefD22_11x_0" localSheetId="85">'418'!$D$73</definedName>
    <definedName name="OSRRefD22_11x_0" localSheetId="87">'424'!$D$69:$D$70</definedName>
    <definedName name="OSRRefD22_11x_0" localSheetId="88">'425'!$D$70:$D$71</definedName>
    <definedName name="OSRRefD22_11x_0" localSheetId="92">'433'!$D$69:$D$72</definedName>
    <definedName name="OSRRefD22_11x_0" localSheetId="94">'444'!$D$67:$D$69</definedName>
    <definedName name="OSRRefD22_11x_0" localSheetId="96">'450'!$D$68:$D$70</definedName>
    <definedName name="OSRRefD22_11x_0" localSheetId="76">'491'!$D$78</definedName>
    <definedName name="OSRRefD22_11x_0" localSheetId="90">'492'!$D$71</definedName>
    <definedName name="OSRRefD22_11x_0" localSheetId="98">'501'!$D$61:$D$63</definedName>
    <definedName name="OSRRefD22_11x_0" localSheetId="39">'Div 2'!$D$62</definedName>
    <definedName name="OSRRefD22_11x_0" localSheetId="47">'Div 3'!$D$214</definedName>
    <definedName name="OSRRefD22_11x_0" localSheetId="74">'Div 4'!$D$81</definedName>
    <definedName name="OSRRefD22_11x_0" localSheetId="97">'Div 5'!$D$61:$D$63</definedName>
    <definedName name="OSRRefD22_11x_0" localSheetId="64">'Div 6'!$D$102</definedName>
    <definedName name="OSRRefD22_11x_0" localSheetId="2">Summary!$D$247:$D$248</definedName>
    <definedName name="OSRRefD22_12x_0" localSheetId="41">'201'!$D$66</definedName>
    <definedName name="OSRRefD22_12x_0" localSheetId="42">'202'!$D$64</definedName>
    <definedName name="OSRRefD22_12x_0" localSheetId="43">'203'!$D$64:$D$66</definedName>
    <definedName name="OSRRefD22_12x_0" localSheetId="44">'204'!$D$66:$D$67</definedName>
    <definedName name="OSRRefD22_12x_0" localSheetId="48">'300'!$D$210</definedName>
    <definedName name="OSRRefD22_12x_0" localSheetId="49">'300 &amp; 317'!$D$235</definedName>
    <definedName name="OSRRefD22_12x_0" localSheetId="50">'301'!$D$67</definedName>
    <definedName name="OSRRefD22_12x_0" localSheetId="53">'307'!$D$116</definedName>
    <definedName name="OSRRefD22_12x_0" localSheetId="55">'308'!$D$110:$D$111</definedName>
    <definedName name="OSRRefD22_12x_0" localSheetId="68">'309'!$D$73</definedName>
    <definedName name="OSRRefD22_12x_0" localSheetId="67">'310'!$D$76</definedName>
    <definedName name="OSRRefD22_12x_0" localSheetId="75">'310 &amp; 491'!$D$86</definedName>
    <definedName name="OSRRefD22_12x_0" localSheetId="56">'311'!$D$110:$D$111</definedName>
    <definedName name="OSRRefD22_12x_0" localSheetId="69">'313'!$D$72:$D$76</definedName>
    <definedName name="OSRRefD22_12x_0" localSheetId="59">'315'!$D$103:$D$107</definedName>
    <definedName name="OSRRefD22_12x_0" localSheetId="62">'316'!$D$78:$D$79</definedName>
    <definedName name="OSRRefD22_12x_0" localSheetId="70">'321'!$D$71:$D$73</definedName>
    <definedName name="OSRRefD22_12x_0" localSheetId="71">'322'!$D$76</definedName>
    <definedName name="OSRRefD22_12x_0" localSheetId="72">'325'!$D$71:$D$74</definedName>
    <definedName name="OSRRefD22_12x_0" localSheetId="60">'326'!$D$97</definedName>
    <definedName name="OSRRefD22_12x_0" localSheetId="52">'330'!$D$124:$D$125</definedName>
    <definedName name="OSRRefD22_12x_0" localSheetId="58">'331'!$D$114</definedName>
    <definedName name="OSRRefD22_12x_0" localSheetId="61">'332'!$D$84:$D$88</definedName>
    <definedName name="OSRRefD22_12x_0" localSheetId="77">'405'!$D$71:$D$73</definedName>
    <definedName name="OSRRefD22_12x_0" localSheetId="78">'406'!$D$79</definedName>
    <definedName name="OSRRefD22_12x_0" localSheetId="79">'411'!$D$71:$D$77</definedName>
    <definedName name="OSRRefD22_12x_0" localSheetId="80">'412'!$D$77</definedName>
    <definedName name="OSRRefD22_12x_0" localSheetId="83">'414'!$D$70</definedName>
    <definedName name="OSRRefD22_12x_0" localSheetId="84">'415'!$D$71:$D$75</definedName>
    <definedName name="OSRRefD22_12x_0" localSheetId="85">'418'!$D$75:$D$81</definedName>
    <definedName name="OSRRefD22_12x_0" localSheetId="88">'425'!$D$73:$D$79</definedName>
    <definedName name="OSRRefD22_12x_0" localSheetId="92">'433'!$D$74:$D$81</definedName>
    <definedName name="OSRRefD22_12x_0" localSheetId="94">'444'!$D$71:$D$74</definedName>
    <definedName name="OSRRefD22_12x_0" localSheetId="96">'450'!$D$72:$D$74</definedName>
    <definedName name="OSRRefD22_12x_0" localSheetId="76">'491'!$D$80</definedName>
    <definedName name="OSRRefD22_12x_0" localSheetId="90">'492'!$D$73:$D$76</definedName>
    <definedName name="OSRRefD22_12x_0" localSheetId="98">'501'!$D$65</definedName>
    <definedName name="OSRRefD22_12x_0" localSheetId="39">'Div 2'!$D$64:$D$66</definedName>
    <definedName name="OSRRefD22_12x_0" localSheetId="47">'Div 3'!$D$216</definedName>
    <definedName name="OSRRefD22_12x_0" localSheetId="74">'Div 4'!$D$83</definedName>
    <definedName name="OSRRefD22_12x_0" localSheetId="97">'Div 5'!$D$65</definedName>
    <definedName name="OSRRefD22_12x_0" localSheetId="2">Summary!$D$250</definedName>
    <definedName name="OSRRefD22_13x_0" localSheetId="41">'201'!$D$68:$D$70</definedName>
    <definedName name="OSRRefD22_13x_0" localSheetId="42">'202'!$D$66</definedName>
    <definedName name="OSRRefD22_13x_0" localSheetId="43">'203'!$D$68</definedName>
    <definedName name="OSRRefD22_13x_0" localSheetId="48">'300'!$D$212</definedName>
    <definedName name="OSRRefD22_13x_0" localSheetId="49">'300 &amp; 317'!$D$237</definedName>
    <definedName name="OSRRefD22_13x_0" localSheetId="50">'301'!$D$69</definedName>
    <definedName name="OSRRefD22_13x_0" localSheetId="55">'308'!$D$113</definedName>
    <definedName name="OSRRefD22_13x_0" localSheetId="67">'310'!$D$78</definedName>
    <definedName name="OSRRefD22_13x_0" localSheetId="75">'310 &amp; 491'!$D$88</definedName>
    <definedName name="OSRRefD22_13x_0" localSheetId="56">'311'!$D$113</definedName>
    <definedName name="OSRRefD22_13x_0" localSheetId="69">'313'!$D$78</definedName>
    <definedName name="OSRRefD22_13x_0" localSheetId="59">'315'!$D$109</definedName>
    <definedName name="OSRRefD22_13x_0" localSheetId="62">'316'!$D$81</definedName>
    <definedName name="OSRRefD22_13x_0" localSheetId="70">'321'!$D$75</definedName>
    <definedName name="OSRRefD22_13x_0" localSheetId="71">'322'!$D$78</definedName>
    <definedName name="OSRRefD22_13x_0" localSheetId="72">'325'!$D$76</definedName>
    <definedName name="OSRRefD22_13x_0" localSheetId="60">'326'!$D$99:$D$100</definedName>
    <definedName name="OSRRefD22_13x_0" localSheetId="52">'330'!$D$127</definedName>
    <definedName name="OSRRefD22_13x_0" localSheetId="58">'331'!$D$116</definedName>
    <definedName name="OSRRefD22_13x_0" localSheetId="61">'332'!$D$90:$D$91</definedName>
    <definedName name="OSRRefD22_13x_0" localSheetId="77">'405'!$D$75</definedName>
    <definedName name="OSRRefD22_13x_0" localSheetId="78">'406'!$D$81</definedName>
    <definedName name="OSRRefD22_13x_0" localSheetId="79">'411'!$D$79</definedName>
    <definedName name="OSRRefD22_13x_0" localSheetId="80">'412'!$D$79</definedName>
    <definedName name="OSRRefD22_13x_0" localSheetId="83">'414'!$D$72:$D$78</definedName>
    <definedName name="OSRRefD22_13x_0" localSheetId="84">'415'!$D$77</definedName>
    <definedName name="OSRRefD22_13x_0" localSheetId="85">'418'!$D$83</definedName>
    <definedName name="OSRRefD22_13x_0" localSheetId="88">'425'!$D$81:$D$82</definedName>
    <definedName name="OSRRefD22_13x_0" localSheetId="92">'433'!$D$83</definedName>
    <definedName name="OSRRefD22_13x_0" localSheetId="94">'444'!$D$76:$D$83</definedName>
    <definedName name="OSRRefD22_13x_0" localSheetId="96">'450'!$D$76:$D$81</definedName>
    <definedName name="OSRRefD22_13x_0" localSheetId="76">'491'!$D$82</definedName>
    <definedName name="OSRRefD22_13x_0" localSheetId="90">'492'!$D$78:$D$81</definedName>
    <definedName name="OSRRefD22_13x_0" localSheetId="39">'Div 2'!$D$68:$D$71</definedName>
    <definedName name="OSRRefD22_13x_0" localSheetId="47">'Div 3'!$D$218</definedName>
    <definedName name="OSRRefD22_13x_0" localSheetId="74">'Div 4'!$D$85</definedName>
    <definedName name="OSRRefD22_13x_0" localSheetId="2">Summary!$D$252</definedName>
    <definedName name="OSRRefD22_14x_0" localSheetId="41">'201'!$D$72</definedName>
    <definedName name="OSRRefD22_14x_0" localSheetId="42">'202'!$D$68:$D$69</definedName>
    <definedName name="OSRRefD22_14x_0" localSheetId="43">'203'!$D$70</definedName>
    <definedName name="OSRRefD22_14x_0" localSheetId="48">'300'!$D$214</definedName>
    <definedName name="OSRRefD22_14x_0" localSheetId="49">'300 &amp; 317'!$D$239</definedName>
    <definedName name="OSRRefD22_14x_0" localSheetId="50">'301'!$D$71</definedName>
    <definedName name="OSRRefD22_14x_0" localSheetId="55">'308'!$D$115:$D$116</definedName>
    <definedName name="OSRRefD22_14x_0" localSheetId="67">'310'!$D$80</definedName>
    <definedName name="OSRRefD22_14x_0" localSheetId="75">'310 &amp; 491'!$D$90</definedName>
    <definedName name="OSRRefD22_14x_0" localSheetId="56">'311'!$D$115:$D$116</definedName>
    <definedName name="OSRRefD22_14x_0" localSheetId="69">'313'!$D$80</definedName>
    <definedName name="OSRRefD22_14x_0" localSheetId="59">'315'!$D$111</definedName>
    <definedName name="OSRRefD22_14x_0" localSheetId="70">'321'!$D$77</definedName>
    <definedName name="OSRRefD22_14x_0" localSheetId="72">'325'!$D$78:$D$84</definedName>
    <definedName name="OSRRefD22_14x_0" localSheetId="60">'326'!$D$102:$D$104</definedName>
    <definedName name="OSRRefD22_14x_0" localSheetId="52">'330'!$D$129</definedName>
    <definedName name="OSRRefD22_14x_0" localSheetId="58">'331'!$D$118:$D$119</definedName>
    <definedName name="OSRRefD22_14x_0" localSheetId="61">'332'!$D$93</definedName>
    <definedName name="OSRRefD22_14x_0" localSheetId="77">'405'!$D$77:$D$85</definedName>
    <definedName name="OSRRefD22_14x_0" localSheetId="79">'411'!$D$81</definedName>
    <definedName name="OSRRefD22_14x_0" localSheetId="83">'414'!$D$80</definedName>
    <definedName name="OSRRefD22_14x_0" localSheetId="84">'415'!$D$79:$D$86</definedName>
    <definedName name="OSRRefD22_14x_0" localSheetId="85">'418'!$D$85</definedName>
    <definedName name="OSRRefD22_14x_0" localSheetId="88">'425'!$D$84</definedName>
    <definedName name="OSRRefD22_14x_0" localSheetId="92">'433'!$D$85</definedName>
    <definedName name="OSRRefD22_14x_0" localSheetId="94">'444'!$D$85</definedName>
    <definedName name="OSRRefD22_14x_0" localSheetId="96">'450'!$D$83</definedName>
    <definedName name="OSRRefD22_14x_0" localSheetId="76">'491'!$D$84:$D$87</definedName>
    <definedName name="OSRRefD22_14x_0" localSheetId="90">'492'!$D$83:$D$91</definedName>
    <definedName name="OSRRefD22_14x_0" localSheetId="39">'Div 2'!$D$73:$D$76</definedName>
    <definedName name="OSRRefD22_14x_0" localSheetId="47">'Div 3'!$D$220</definedName>
    <definedName name="OSRRefD22_14x_0" localSheetId="74">'Div 4'!$D$87</definedName>
    <definedName name="OSRRefD22_14x_0" localSheetId="2">Summary!$D$254</definedName>
    <definedName name="OSRRefD22_15x_0" localSheetId="41">'201'!$D$74</definedName>
    <definedName name="OSRRefD22_15x_0" localSheetId="42">'202'!$D$71</definedName>
    <definedName name="OSRRefD22_15x_0" localSheetId="43">'203'!$D$72</definedName>
    <definedName name="OSRRefD22_15x_0" localSheetId="48">'300'!$D$216</definedName>
    <definedName name="OSRRefD22_15x_0" localSheetId="49">'300 &amp; 317'!$D$241</definedName>
    <definedName name="OSRRefD22_15x_0" localSheetId="50">'301'!$D$73:$D$75</definedName>
    <definedName name="OSRRefD22_15x_0" localSheetId="67">'310'!$D$82:$D$84</definedName>
    <definedName name="OSRRefD22_15x_0" localSheetId="75">'310 &amp; 491'!$D$92</definedName>
    <definedName name="OSRRefD22_15x_0" localSheetId="59">'315'!$D$113:$D$114</definedName>
    <definedName name="OSRRefD22_15x_0" localSheetId="72">'325'!$D$86</definedName>
    <definedName name="OSRRefD22_15x_0" localSheetId="60">'326'!$D$106:$D$107</definedName>
    <definedName name="OSRRefD22_15x_0" localSheetId="58">'331'!$D$121:$D$123</definedName>
    <definedName name="OSRRefD22_15x_0" localSheetId="77">'405'!$D$87</definedName>
    <definedName name="OSRRefD22_15x_0" localSheetId="79">'411'!$D$83:$D$85</definedName>
    <definedName name="OSRRefD22_15x_0" localSheetId="83">'414'!$D$82</definedName>
    <definedName name="OSRRefD22_15x_0" localSheetId="84">'415'!$D$88</definedName>
    <definedName name="OSRRefD22_15x_0" localSheetId="85">'418'!$D$87</definedName>
    <definedName name="OSRRefD22_15x_0" localSheetId="88">'425'!$D$86</definedName>
    <definedName name="OSRRefD22_15x_0" localSheetId="92">'433'!$D$87:$D$88</definedName>
    <definedName name="OSRRefD22_15x_0" localSheetId="94">'444'!$D$87</definedName>
    <definedName name="OSRRefD22_15x_0" localSheetId="96">'450'!$D$85</definedName>
    <definedName name="OSRRefD22_15x_0" localSheetId="76">'491'!$D$89:$D$91</definedName>
    <definedName name="OSRRefD22_15x_0" localSheetId="90">'492'!$D$93</definedName>
    <definedName name="OSRRefD22_15x_0" localSheetId="39">'Div 2'!$D$78:$D$79</definedName>
    <definedName name="OSRRefD22_15x_0" localSheetId="47">'Div 3'!$D$222</definedName>
    <definedName name="OSRRefD22_15x_0" localSheetId="74">'Div 4'!$D$89</definedName>
    <definedName name="OSRRefD22_15x_0" localSheetId="2">Summary!$D$256</definedName>
    <definedName name="OSRRefD22_16x_0" localSheetId="41">'201'!$D$76:$D$77</definedName>
    <definedName name="OSRRefD22_16x_0" localSheetId="42">'202'!$D$73</definedName>
    <definedName name="OSRRefD22_16x_0" localSheetId="48">'300'!$D$218:$D$220</definedName>
    <definedName name="OSRRefD22_16x_0" localSheetId="49">'300 &amp; 317'!$D$243:$D$245</definedName>
    <definedName name="OSRRefD22_16x_0" localSheetId="50">'301'!$D$77:$D$79</definedName>
    <definedName name="OSRRefD22_16x_0" localSheetId="67">'310'!$D$86:$D$87</definedName>
    <definedName name="OSRRefD22_16x_0" localSheetId="75">'310 &amp; 491'!$D$94</definedName>
    <definedName name="OSRRefD22_16x_0" localSheetId="72">'325'!$D$88</definedName>
    <definedName name="OSRRefD22_16x_0" localSheetId="60">'326'!$D$109:$D$113</definedName>
    <definedName name="OSRRefD22_16x_0" localSheetId="58">'331'!$D$125:$D$127</definedName>
    <definedName name="OSRRefD22_16x_0" localSheetId="77">'405'!$D$89</definedName>
    <definedName name="OSRRefD22_16x_0" localSheetId="79">'411'!$D$87</definedName>
    <definedName name="OSRRefD22_16x_0" localSheetId="84">'415'!$D$90</definedName>
    <definedName name="OSRRefD22_16x_0" localSheetId="94">'444'!$D$89</definedName>
    <definedName name="OSRRefD22_16x_0" localSheetId="96">'450'!$D$87:$D$88</definedName>
    <definedName name="OSRRefD22_16x_0" localSheetId="76">'491'!$D$93:$D$97</definedName>
    <definedName name="OSRRefD22_16x_0" localSheetId="90">'492'!$D$95</definedName>
    <definedName name="OSRRefD22_16x_0" localSheetId="39">'Div 2'!$D$81:$D$82</definedName>
    <definedName name="OSRRefD22_16x_0" localSheetId="47">'Div 3'!$D$224</definedName>
    <definedName name="OSRRefD22_16x_0" localSheetId="74">'Div 4'!$D$91:$D$94</definedName>
    <definedName name="OSRRefD22_16x_0" localSheetId="2">Summary!$D$258</definedName>
    <definedName name="OSRRefD22_17x_0" localSheetId="48">'300'!$D$222:$D$225</definedName>
    <definedName name="OSRRefD22_17x_0" localSheetId="49">'300 &amp; 317'!$D$247:$D$250</definedName>
    <definedName name="OSRRefD22_17x_0" localSheetId="50">'301'!$D$81:$D$82</definedName>
    <definedName name="OSRRefD22_17x_0" localSheetId="67">'310'!$D$89:$D$93</definedName>
    <definedName name="OSRRefD22_17x_0" localSheetId="75">'310 &amp; 491'!$D$96:$D$99</definedName>
    <definedName name="OSRRefD22_17x_0" localSheetId="72">'325'!$D$90</definedName>
    <definedName name="OSRRefD22_17x_0" localSheetId="60">'326'!$D$115:$D$116</definedName>
    <definedName name="OSRRefD22_17x_0" localSheetId="58">'331'!$D$129:$D$130</definedName>
    <definedName name="OSRRefD22_17x_0" localSheetId="77">'405'!$D$91</definedName>
    <definedName name="OSRRefD22_17x_0" localSheetId="84">'415'!$D$92:$D$93</definedName>
    <definedName name="OSRRefD22_17x_0" localSheetId="76">'491'!$D$99</definedName>
    <definedName name="OSRRefD22_17x_0" localSheetId="90">'492'!$D$97:$D$98</definedName>
    <definedName name="OSRRefD22_17x_0" localSheetId="39">'Div 2'!$D$84:$D$87</definedName>
    <definedName name="OSRRefD22_17x_0" localSheetId="47">'Div 3'!$D$226</definedName>
    <definedName name="OSRRefD22_17x_0" localSheetId="74">'Div 4'!$D$96:$D$98</definedName>
    <definedName name="OSRRefD22_17x_0" localSheetId="2">Summary!$D$260</definedName>
    <definedName name="OSRRefD22_18x_0" localSheetId="48">'300'!$D$227:$D$230</definedName>
    <definedName name="OSRRefD22_18x_0" localSheetId="49">'300 &amp; 317'!$D$252:$D$255</definedName>
    <definedName name="OSRRefD22_18x_0" localSheetId="50">'301'!$D$84:$D$89</definedName>
    <definedName name="OSRRefD22_18x_0" localSheetId="67">'310'!$D$95</definedName>
    <definedName name="OSRRefD22_18x_0" localSheetId="75">'310 &amp; 491'!$D$101:$D$103</definedName>
    <definedName name="OSRRefD22_18x_0" localSheetId="72">'325'!$D$92</definedName>
    <definedName name="OSRRefD22_18x_0" localSheetId="60">'326'!$D$118</definedName>
    <definedName name="OSRRefD22_18x_0" localSheetId="58">'331'!$D$132:$D$137</definedName>
    <definedName name="OSRRefD22_18x_0" localSheetId="84">'415'!$D$95</definedName>
    <definedName name="OSRRefD22_18x_0" localSheetId="76">'491'!$D$101:$D$110</definedName>
    <definedName name="OSRRefD22_18x_0" localSheetId="39">'Div 2'!$D$89:$D$90</definedName>
    <definedName name="OSRRefD22_18x_0" localSheetId="47">'Div 3'!$D$228:$D$230</definedName>
    <definedName name="OSRRefD22_18x_0" localSheetId="74">'Div 4'!$D$100:$D$104</definedName>
    <definedName name="OSRRefD22_18x_0" localSheetId="2">Summary!$D$262:$D$265</definedName>
    <definedName name="OSRRefD22_19x_0" localSheetId="48">'300'!$D$232:$D$233</definedName>
    <definedName name="OSRRefD22_19x_0" localSheetId="49">'300 &amp; 317'!$D$257:$D$258</definedName>
    <definedName name="OSRRefD22_19x_0" localSheetId="50">'301'!$D$91</definedName>
    <definedName name="OSRRefD22_19x_0" localSheetId="67">'310'!$D$97:$D$104</definedName>
    <definedName name="OSRRefD22_19x_0" localSheetId="75">'310 &amp; 491'!$D$105:$D$110</definedName>
    <definedName name="OSRRefD22_19x_0" localSheetId="60">'326'!$D$120</definedName>
    <definedName name="OSRRefD22_19x_0" localSheetId="58">'331'!$D$139:$D$140</definedName>
    <definedName name="OSRRefD22_19x_0" localSheetId="76">'491'!$D$112:$D$113</definedName>
    <definedName name="OSRRefD22_19x_0" localSheetId="39">'Div 2'!$D$92</definedName>
    <definedName name="OSRRefD22_19x_0" localSheetId="47">'Div 3'!$D$232:$D$235</definedName>
    <definedName name="OSRRefD22_19x_0" localSheetId="74">'Div 4'!$D$106</definedName>
    <definedName name="OSRRefD22_19x_0" localSheetId="2">Summary!$D$267:$D$270</definedName>
    <definedName name="OSRRefD22_1x_0" localSheetId="40">'200'!$D$22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'204'!$D$31:$D$40</definedName>
    <definedName name="OSRRefD22_1x_0" localSheetId="45">'205'!$D$30:$D$39</definedName>
    <definedName name="OSRRefD22_1x_0" localSheetId="46">'206'!$D$30:$D$39</definedName>
    <definedName name="OSRRefD22_1x_0" localSheetId="48">'300'!$D$172:$D$181</definedName>
    <definedName name="OSRRefD22_1x_0" localSheetId="49">'300 &amp; 317'!$D$197:$D$206</definedName>
    <definedName name="OSRRefD22_1x_0" localSheetId="50">'301'!$D$30:$D$39</definedName>
    <definedName name="OSRRefD22_1x_0" localSheetId="51">'306'!$D$30:$D$39</definedName>
    <definedName name="OSRRefD22_1x_0" localSheetId="53">'307'!$D$81:$D$90</definedName>
    <definedName name="OSRRefD22_1x_0" localSheetId="55">'308'!$D$74:$D$83</definedName>
    <definedName name="OSRRefD22_1x_0" localSheetId="68">'309'!$D$36:$D$45</definedName>
    <definedName name="OSRRefD22_1x_0" localSheetId="67">'310'!$D$43:$D$52</definedName>
    <definedName name="OSRRefD22_1x_0" localSheetId="75">'310 &amp; 491'!$D$51:$D$60</definedName>
    <definedName name="OSRRefD22_1x_0" localSheetId="56">'311'!$D$74:$D$83</definedName>
    <definedName name="OSRRefD22_1x_0" localSheetId="69">'313'!$D$39:$D$48</definedName>
    <definedName name="OSRRefD22_1x_0" localSheetId="54">'314'!$D$67:$D$76</definedName>
    <definedName name="OSRRefD22_1x_0" localSheetId="59">'315'!$D$67:$D$76</definedName>
    <definedName name="OSRRefD22_1x_0" localSheetId="62">'316'!$D$43:$D$52</definedName>
    <definedName name="OSRRefD22_1x_0" localSheetId="65">'317'!$D$71:$D$80</definedName>
    <definedName name="OSRRefD22_1x_0" localSheetId="63">'320'!$D$37:$D$46</definedName>
    <definedName name="OSRRefD22_1x_0" localSheetId="70">'321'!$D$35:$D$44</definedName>
    <definedName name="OSRRefD22_1x_0" localSheetId="71">'322'!$D$36:$D$45</definedName>
    <definedName name="OSRRefD22_1x_0" localSheetId="72">'325'!$D$36:$D$45</definedName>
    <definedName name="OSRRefD22_1x_0" localSheetId="60">'326'!$D$65:$D$74</definedName>
    <definedName name="OSRRefD22_1x_0" localSheetId="73">'327'!$D$26</definedName>
    <definedName name="OSRRefD22_1x_0" localSheetId="52">'330'!$D$90:$D$99</definedName>
    <definedName name="OSRRefD22_1x_0" localSheetId="58">'331'!$D$80:$D$89</definedName>
    <definedName name="OSRRefD22_1x_0" localSheetId="61">'332'!$D$51:$D$60</definedName>
    <definedName name="OSRRefD22_1x_0" localSheetId="77">'405'!$D$36:$D$45</definedName>
    <definedName name="OSRRefD22_1x_0" localSheetId="78">'406'!$D$37:$D$46</definedName>
    <definedName name="OSRRefD22_1x_0" localSheetId="79">'411'!$D$31:$D$40</definedName>
    <definedName name="OSRRefD22_1x_0" localSheetId="80">'412'!$D$36:$D$45</definedName>
    <definedName name="OSRRefD22_1x_0" localSheetId="82">'413'!$D$37:$D$46</definedName>
    <definedName name="OSRRefD22_1x_0" localSheetId="83">'414'!$D$37:$D$46</definedName>
    <definedName name="OSRRefD22_1x_0" localSheetId="84">'415'!$D$36:$D$45</definedName>
    <definedName name="OSRRefD22_1x_0" localSheetId="85">'418'!$D$37:$D$46</definedName>
    <definedName name="OSRRefD22_1x_0" localSheetId="81">'420'!$D$30:$D$33</definedName>
    <definedName name="OSRRefD22_1x_0" localSheetId="86">'423'!$D$31:$D$40</definedName>
    <definedName name="OSRRefD22_1x_0" localSheetId="87">'424'!$D$35:$D$44</definedName>
    <definedName name="OSRRefD22_1x_0" localSheetId="88">'425'!$D$37:$D$46</definedName>
    <definedName name="OSRRefD22_1x_0" localSheetId="91">'430'!$D$30:$D$39</definedName>
    <definedName name="OSRRefD22_1x_0" localSheetId="92">'433'!$D$38:$D$47</definedName>
    <definedName name="OSRRefD22_1x_0" localSheetId="93">'435'!$D$36:$D$45</definedName>
    <definedName name="OSRRefD22_1x_0" localSheetId="94">'444'!$D$38:$D$47</definedName>
    <definedName name="OSRRefD22_1x_0" localSheetId="96">'450'!$D$38:$D$47</definedName>
    <definedName name="OSRRefD22_1x_0" localSheetId="89">'455'!$D$29:$D$38</definedName>
    <definedName name="OSRRefD22_1x_0" localSheetId="76">'491'!$D$45:$D$54</definedName>
    <definedName name="OSRRefD22_1x_0" localSheetId="90">'492'!$D$40:$D$49</definedName>
    <definedName name="OSRRefD22_1x_0" localSheetId="98">'501'!$D$31:$D$40</definedName>
    <definedName name="OSRRefD22_1x_0" localSheetId="39">'Div 2'!$D$32:$D$41</definedName>
    <definedName name="OSRRefD22_1x_0" localSheetId="47">'Div 3'!$D$178:$D$187</definedName>
    <definedName name="OSRRefD22_1x_0" localSheetId="74">'Div 4'!$D$46:$D$55</definedName>
    <definedName name="OSRRefD22_1x_0" localSheetId="97">'Div 5'!$D$31:$D$40</definedName>
    <definedName name="OSRRefD22_1x_0" localSheetId="64">'Div 6'!$D$71:$D$80</definedName>
    <definedName name="OSRRefD22_1x_0" localSheetId="2">Summary!$D$210:$D$219</definedName>
    <definedName name="OSRRefD22_20x_0" localSheetId="48">'300'!$D$235:$D$241</definedName>
    <definedName name="OSRRefD22_20x_0" localSheetId="49">'300 &amp; 317'!$D$260:$D$266</definedName>
    <definedName name="OSRRefD22_20x_0" localSheetId="50">'301'!$D$93</definedName>
    <definedName name="OSRRefD22_20x_0" localSheetId="67">'310'!$D$106</definedName>
    <definedName name="OSRRefD22_20x_0" localSheetId="75">'310 &amp; 491'!$D$112</definedName>
    <definedName name="OSRRefD22_20x_0" localSheetId="60">'326'!$D$122</definedName>
    <definedName name="OSRRefD22_20x_0" localSheetId="58">'331'!$D$142</definedName>
    <definedName name="OSRRefD22_20x_0" localSheetId="76">'491'!$D$115</definedName>
    <definedName name="OSRRefD22_20x_0" localSheetId="39">'Div 2'!$D$94:$D$95</definedName>
    <definedName name="OSRRefD22_20x_0" localSheetId="47">'Div 3'!$D$237:$D$242</definedName>
    <definedName name="OSRRefD22_20x_0" localSheetId="74">'Div 4'!$D$108:$D$117</definedName>
    <definedName name="OSRRefD22_20x_0" localSheetId="2">Summary!$D$272:$D$277</definedName>
    <definedName name="OSRRefD22_21x_0" localSheetId="48">'300'!$D$243:$D$244</definedName>
    <definedName name="OSRRefD22_21x_0" localSheetId="49">'300 &amp; 317'!$D$268:$D$269</definedName>
    <definedName name="OSRRefD22_21x_0" localSheetId="50">'301'!$D$95:$D$97</definedName>
    <definedName name="OSRRefD22_21x_0" localSheetId="67">'310'!$D$108</definedName>
    <definedName name="OSRRefD22_21x_0" localSheetId="75">'310 &amp; 491'!$D$114:$D$123</definedName>
    <definedName name="OSRRefD22_21x_0" localSheetId="58">'331'!$D$144:$D$145</definedName>
    <definedName name="OSRRefD22_21x_0" localSheetId="76">'491'!$D$117:$D$119</definedName>
    <definedName name="OSRRefD22_21x_0" localSheetId="47">'Div 3'!$D$244:$D$245</definedName>
    <definedName name="OSRRefD22_21x_0" localSheetId="74">'Div 4'!$D$119:$D$120</definedName>
    <definedName name="OSRRefD22_21x_0" localSheetId="2">Summary!$D$279:$D$280</definedName>
    <definedName name="OSRRefD22_22x_0" localSheetId="48">'300'!$D$246</definedName>
    <definedName name="OSRRefD22_22x_0" localSheetId="49">'300 &amp; 317'!$D$271</definedName>
    <definedName name="OSRRefD22_22x_0" localSheetId="50">'301'!$D$99</definedName>
    <definedName name="OSRRefD22_22x_0" localSheetId="67">'310'!$D$110</definedName>
    <definedName name="OSRRefD22_22x_0" localSheetId="75">'310 &amp; 491'!$D$125:$D$126</definedName>
    <definedName name="OSRRefD22_22x_0" localSheetId="58">'331'!$D$147</definedName>
    <definedName name="OSRRefD22_22x_0" localSheetId="76">'491'!$D$121</definedName>
    <definedName name="OSRRefD22_22x_0" localSheetId="47">'Div 3'!$D$247:$D$254</definedName>
    <definedName name="OSRRefD22_22x_0" localSheetId="74">'Div 4'!$D$122</definedName>
    <definedName name="OSRRefD22_22x_0" localSheetId="2">Summary!$D$282:$D$291</definedName>
    <definedName name="OSRRefD22_23x_0" localSheetId="48">'300'!$D$248:$D$250</definedName>
    <definedName name="OSRRefD22_23x_0" localSheetId="49">'300 &amp; 317'!$D$273:$D$275</definedName>
    <definedName name="OSRRefD22_23x_0" localSheetId="67">'310'!$D$112</definedName>
    <definedName name="OSRRefD22_23x_0" localSheetId="75">'310 &amp; 491'!$D$128</definedName>
    <definedName name="OSRRefD22_23x_0" localSheetId="47">'Div 3'!$D$256:$D$257</definedName>
    <definedName name="OSRRefD22_23x_0" localSheetId="74">'Div 4'!$D$124:$D$126</definedName>
    <definedName name="OSRRefD22_23x_0" localSheetId="2">Summary!$D$293:$D$294</definedName>
    <definedName name="OSRRefD22_24x_0" localSheetId="48">'300'!$D$252</definedName>
    <definedName name="OSRRefD22_24x_0" localSheetId="49">'300 &amp; 317'!$D$277</definedName>
    <definedName name="OSRRefD22_24x_0" localSheetId="75">'310 &amp; 491'!$D$130:$D$132</definedName>
    <definedName name="OSRRefD22_24x_0" localSheetId="47">'Div 3'!$D$259</definedName>
    <definedName name="OSRRefD22_24x_0" localSheetId="74">'Div 4'!$D$128</definedName>
    <definedName name="OSRRefD22_24x_0" localSheetId="2">Summary!$D$296</definedName>
    <definedName name="OSRRefD22_25x_0" localSheetId="75">'310 &amp; 491'!$D$134</definedName>
    <definedName name="OSRRefD22_25x_0" localSheetId="47">'Div 3'!$D$261:$D$263</definedName>
    <definedName name="OSRRefD22_25x_0" localSheetId="2">Summary!$D$298:$D$300</definedName>
    <definedName name="OSRRefD22_26x_0" localSheetId="47">'Div 3'!$D$265</definedName>
    <definedName name="OSRRefD22_26x_0" localSheetId="2">Summary!$D$302</definedName>
    <definedName name="OSRRefD22_2x_0" localSheetId="40">'200'!$D$24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'204'!$D$42</definedName>
    <definedName name="OSRRefD22_2x_0" localSheetId="45">'205'!$D$41</definedName>
    <definedName name="OSRRefD22_2x_0" localSheetId="46">'206'!$D$41</definedName>
    <definedName name="OSRRefD22_2x_0" localSheetId="48">'300'!$D$183</definedName>
    <definedName name="OSRRefD22_2x_0" localSheetId="49">'300 &amp; 317'!$D$208</definedName>
    <definedName name="OSRRefD22_2x_0" localSheetId="50">'301'!$D$41</definedName>
    <definedName name="OSRRefD22_2x_0" localSheetId="51">'306'!$D$41</definedName>
    <definedName name="OSRRefD22_2x_0" localSheetId="53">'307'!$D$92</definedName>
    <definedName name="OSRRefD22_2x_0" localSheetId="55">'308'!$D$85</definedName>
    <definedName name="OSRRefD22_2x_0" localSheetId="68">'309'!$D$47</definedName>
    <definedName name="OSRRefD22_2x_0" localSheetId="67">'310'!$D$54</definedName>
    <definedName name="OSRRefD22_2x_0" localSheetId="75">'310 &amp; 491'!$D$62</definedName>
    <definedName name="OSRRefD22_2x_0" localSheetId="56">'311'!$D$85</definedName>
    <definedName name="OSRRefD22_2x_0" localSheetId="69">'313'!$D$50</definedName>
    <definedName name="OSRRefD22_2x_0" localSheetId="54">'314'!$D$78</definedName>
    <definedName name="OSRRefD22_2x_0" localSheetId="59">'315'!$D$78</definedName>
    <definedName name="OSRRefD22_2x_0" localSheetId="62">'316'!$D$54</definedName>
    <definedName name="OSRRefD22_2x_0" localSheetId="65">'317'!$D$82</definedName>
    <definedName name="OSRRefD22_2x_0" localSheetId="63">'320'!$D$48</definedName>
    <definedName name="OSRRefD22_2x_0" localSheetId="70">'321'!$D$46</definedName>
    <definedName name="OSRRefD22_2x_0" localSheetId="71">'322'!$D$47</definedName>
    <definedName name="OSRRefD22_2x_0" localSheetId="72">'325'!$D$47</definedName>
    <definedName name="OSRRefD22_2x_0" localSheetId="60">'326'!$D$76</definedName>
    <definedName name="OSRRefD22_2x_0" localSheetId="73">'327'!$D$28</definedName>
    <definedName name="OSRRefD22_2x_0" localSheetId="52">'330'!$D$101</definedName>
    <definedName name="OSRRefD22_2x_0" localSheetId="58">'331'!$D$91</definedName>
    <definedName name="OSRRefD22_2x_0" localSheetId="61">'332'!$D$62</definedName>
    <definedName name="OSRRefD22_2x_0" localSheetId="77">'405'!$D$47</definedName>
    <definedName name="OSRRefD22_2x_0" localSheetId="78">'406'!$D$48</definedName>
    <definedName name="OSRRefD22_2x_0" localSheetId="79">'411'!$D$42</definedName>
    <definedName name="OSRRefD22_2x_0" localSheetId="80">'412'!$D$47</definedName>
    <definedName name="OSRRefD22_2x_0" localSheetId="82">'413'!$D$48</definedName>
    <definedName name="OSRRefD22_2x_0" localSheetId="83">'414'!$D$48</definedName>
    <definedName name="OSRRefD22_2x_0" localSheetId="84">'415'!$D$47</definedName>
    <definedName name="OSRRefD22_2x_0" localSheetId="85">'418'!$D$48</definedName>
    <definedName name="OSRRefD22_2x_0" localSheetId="81">'420'!$D$35</definedName>
    <definedName name="OSRRefD22_2x_0" localSheetId="86">'423'!$D$42</definedName>
    <definedName name="OSRRefD22_2x_0" localSheetId="87">'424'!$D$46</definedName>
    <definedName name="OSRRefD22_2x_0" localSheetId="88">'425'!$D$48</definedName>
    <definedName name="OSRRefD22_2x_0" localSheetId="91">'430'!$D$41</definedName>
    <definedName name="OSRRefD22_2x_0" localSheetId="92">'433'!$D$49</definedName>
    <definedName name="OSRRefD22_2x_0" localSheetId="93">'435'!$D$47</definedName>
    <definedName name="OSRRefD22_2x_0" localSheetId="94">'444'!$D$49</definedName>
    <definedName name="OSRRefD22_2x_0" localSheetId="96">'450'!$D$49</definedName>
    <definedName name="OSRRefD22_2x_0" localSheetId="76">'491'!$D$56</definedName>
    <definedName name="OSRRefD22_2x_0" localSheetId="90">'492'!$D$51</definedName>
    <definedName name="OSRRefD22_2x_0" localSheetId="98">'501'!$D$42</definedName>
    <definedName name="OSRRefD22_2x_0" localSheetId="39">'Div 2'!$D$43</definedName>
    <definedName name="OSRRefD22_2x_0" localSheetId="47">'Div 3'!$D$189</definedName>
    <definedName name="OSRRefD22_2x_0" localSheetId="74">'Div 4'!$D$57</definedName>
    <definedName name="OSRRefD22_2x_0" localSheetId="97">'Div 5'!$D$42</definedName>
    <definedName name="OSRRefD22_2x_0" localSheetId="64">'Div 6'!$D$82</definedName>
    <definedName name="OSRRefD22_2x_0" localSheetId="2">Summary!$D$221</definedName>
    <definedName name="OSRRefD22_3x_0" localSheetId="40">'200'!$D$26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'204'!$D$44</definedName>
    <definedName name="OSRRefD22_3x_0" localSheetId="45">'205'!$D$43</definedName>
    <definedName name="OSRRefD22_3x_0" localSheetId="46">'206'!$D$43</definedName>
    <definedName name="OSRRefD22_3x_0" localSheetId="48">'300'!$D$185:$D$186</definedName>
    <definedName name="OSRRefD22_3x_0" localSheetId="49">'300 &amp; 317'!$D$210:$D$211</definedName>
    <definedName name="OSRRefD22_3x_0" localSheetId="50">'301'!$D$43:$D$44</definedName>
    <definedName name="OSRRefD22_3x_0" localSheetId="51">'306'!$D$43</definedName>
    <definedName name="OSRRefD22_3x_0" localSheetId="53">'307'!$D$94</definedName>
    <definedName name="OSRRefD22_3x_0" localSheetId="55">'308'!$D$87:$D$88</definedName>
    <definedName name="OSRRefD22_3x_0" localSheetId="68">'309'!$D$49</definedName>
    <definedName name="OSRRefD22_3x_0" localSheetId="67">'310'!$D$56</definedName>
    <definedName name="OSRRefD22_3x_0" localSheetId="75">'310 &amp; 491'!$D$64</definedName>
    <definedName name="OSRRefD22_3x_0" localSheetId="56">'311'!$D$87:$D$88</definedName>
    <definedName name="OSRRefD22_3x_0" localSheetId="69">'313'!$D$52</definedName>
    <definedName name="OSRRefD22_3x_0" localSheetId="54">'314'!$D$80:$D$81</definedName>
    <definedName name="OSRRefD22_3x_0" localSheetId="59">'315'!$D$80:$D$81</definedName>
    <definedName name="OSRRefD22_3x_0" localSheetId="62">'316'!$D$56</definedName>
    <definedName name="OSRRefD22_3x_0" localSheetId="65">'317'!$D$84</definedName>
    <definedName name="OSRRefD22_3x_0" localSheetId="63">'320'!$D$50</definedName>
    <definedName name="OSRRefD22_3x_0" localSheetId="70">'321'!$D$48</definedName>
    <definedName name="OSRRefD22_3x_0" localSheetId="71">'322'!$D$49</definedName>
    <definedName name="OSRRefD22_3x_0" localSheetId="72">'325'!$D$49</definedName>
    <definedName name="OSRRefD22_3x_0" localSheetId="60">'326'!$D$78:$D$79</definedName>
    <definedName name="OSRRefD22_3x_0" localSheetId="52">'330'!$D$103</definedName>
    <definedName name="OSRRefD22_3x_0" localSheetId="58">'331'!$D$93:$D$94</definedName>
    <definedName name="OSRRefD22_3x_0" localSheetId="61">'332'!$D$64</definedName>
    <definedName name="OSRRefD22_3x_0" localSheetId="77">'405'!$D$49</definedName>
    <definedName name="OSRRefD22_3x_0" localSheetId="78">'406'!$D$50</definedName>
    <definedName name="OSRRefD22_3x_0" localSheetId="79">'411'!$D$44:$D$47</definedName>
    <definedName name="OSRRefD22_3x_0" localSheetId="80">'412'!$D$49</definedName>
    <definedName name="OSRRefD22_3x_0" localSheetId="82">'413'!$D$50</definedName>
    <definedName name="OSRRefD22_3x_0" localSheetId="83">'414'!$D$50</definedName>
    <definedName name="OSRRefD22_3x_0" localSheetId="84">'415'!$D$49</definedName>
    <definedName name="OSRRefD22_3x_0" localSheetId="85">'418'!$D$50</definedName>
    <definedName name="OSRRefD22_3x_0" localSheetId="81">'420'!$D$37</definedName>
    <definedName name="OSRRefD22_3x_0" localSheetId="86">'423'!$D$44</definedName>
    <definedName name="OSRRefD22_3x_0" localSheetId="87">'424'!$D$48</definedName>
    <definedName name="OSRRefD22_3x_0" localSheetId="88">'425'!$D$50</definedName>
    <definedName name="OSRRefD22_3x_0" localSheetId="91">'430'!$D$43</definedName>
    <definedName name="OSRRefD22_3x_0" localSheetId="92">'433'!$D$51</definedName>
    <definedName name="OSRRefD22_3x_0" localSheetId="93">'435'!$D$49</definedName>
    <definedName name="OSRRefD22_3x_0" localSheetId="94">'444'!$D$51</definedName>
    <definedName name="OSRRefD22_3x_0" localSheetId="96">'450'!$D$51:$D$52</definedName>
    <definedName name="OSRRefD22_3x_0" localSheetId="76">'491'!$D$58</definedName>
    <definedName name="OSRRefD22_3x_0" localSheetId="90">'492'!$D$53:$D$54</definedName>
    <definedName name="OSRRefD22_3x_0" localSheetId="98">'501'!$D$44</definedName>
    <definedName name="OSRRefD22_3x_0" localSheetId="39">'Div 2'!$D$45</definedName>
    <definedName name="OSRRefD22_3x_0" localSheetId="47">'Div 3'!$D$191:$D$192</definedName>
    <definedName name="OSRRefD22_3x_0" localSheetId="74">'Div 4'!$D$59:$D$60</definedName>
    <definedName name="OSRRefD22_3x_0" localSheetId="97">'Div 5'!$D$44</definedName>
    <definedName name="OSRRefD22_3x_0" localSheetId="64">'Div 6'!$D$84</definedName>
    <definedName name="OSRRefD22_3x_0" localSheetId="2">Summary!$D$223:$D$224</definedName>
    <definedName name="OSRRefD22_4x_0" localSheetId="40">'200'!$D$28:$D$29</definedName>
    <definedName name="OSRRefD22_4x_0" localSheetId="41">'201'!$D$45:$D$46</definedName>
    <definedName name="OSRRefD22_4x_0" localSheetId="42">'202'!$D$45</definedName>
    <definedName name="OSRRefD22_4x_0" localSheetId="43">'203'!$D$46</definedName>
    <definedName name="OSRRefD22_4x_0" localSheetId="44">'204'!$D$46</definedName>
    <definedName name="OSRRefD22_4x_0" localSheetId="45">'205'!$D$45</definedName>
    <definedName name="OSRRefD22_4x_0" localSheetId="46">'206'!$D$45</definedName>
    <definedName name="OSRRefD22_4x_0" localSheetId="48">'300'!$D$188</definedName>
    <definedName name="OSRRefD22_4x_0" localSheetId="49">'300 &amp; 317'!$D$213</definedName>
    <definedName name="OSRRefD22_4x_0" localSheetId="50">'301'!$D$46</definedName>
    <definedName name="OSRRefD22_4x_0" localSheetId="51">'306'!$D$45</definedName>
    <definedName name="OSRRefD22_4x_0" localSheetId="53">'307'!$D$96:$D$97</definedName>
    <definedName name="OSRRefD22_4x_0" localSheetId="55">'308'!$D$90</definedName>
    <definedName name="OSRRefD22_4x_0" localSheetId="68">'309'!$D$51</definedName>
    <definedName name="OSRRefD22_4x_0" localSheetId="67">'310'!$D$58</definedName>
    <definedName name="OSRRefD22_4x_0" localSheetId="75">'310 &amp; 491'!$D$66</definedName>
    <definedName name="OSRRefD22_4x_0" localSheetId="56">'311'!$D$90</definedName>
    <definedName name="OSRRefD22_4x_0" localSheetId="69">'313'!$D$54</definedName>
    <definedName name="OSRRefD22_4x_0" localSheetId="54">'314'!$D$83</definedName>
    <definedName name="OSRRefD22_4x_0" localSheetId="59">'315'!$D$83</definedName>
    <definedName name="OSRRefD22_4x_0" localSheetId="62">'316'!$D$58</definedName>
    <definedName name="OSRRefD22_4x_0" localSheetId="65">'317'!$D$86</definedName>
    <definedName name="OSRRefD22_4x_0" localSheetId="63">'320'!$D$52:$D$53</definedName>
    <definedName name="OSRRefD22_4x_0" localSheetId="70">'321'!$D$50</definedName>
    <definedName name="OSRRefD22_4x_0" localSheetId="71">'322'!$D$51</definedName>
    <definedName name="OSRRefD22_4x_0" localSheetId="72">'325'!$D$51</definedName>
    <definedName name="OSRRefD22_4x_0" localSheetId="60">'326'!$D$81</definedName>
    <definedName name="OSRRefD22_4x_0" localSheetId="52">'330'!$D$105:$D$106</definedName>
    <definedName name="OSRRefD22_4x_0" localSheetId="58">'331'!$D$96</definedName>
    <definedName name="OSRRefD22_4x_0" localSheetId="61">'332'!$D$66</definedName>
    <definedName name="OSRRefD22_4x_0" localSheetId="77">'405'!$D$51</definedName>
    <definedName name="OSRRefD22_4x_0" localSheetId="78">'406'!$D$52</definedName>
    <definedName name="OSRRefD22_4x_0" localSheetId="79">'411'!$D$49</definedName>
    <definedName name="OSRRefD22_4x_0" localSheetId="80">'412'!$D$51</definedName>
    <definedName name="OSRRefD22_4x_0" localSheetId="82">'413'!$D$52</definedName>
    <definedName name="OSRRefD22_4x_0" localSheetId="83">'414'!$D$52</definedName>
    <definedName name="OSRRefD22_4x_0" localSheetId="84">'415'!$D$51</definedName>
    <definedName name="OSRRefD22_4x_0" localSheetId="85">'418'!$D$52</definedName>
    <definedName name="OSRRefD22_4x_0" localSheetId="81">'420'!$D$39</definedName>
    <definedName name="OSRRefD22_4x_0" localSheetId="86">'423'!$D$46</definedName>
    <definedName name="OSRRefD22_4x_0" localSheetId="87">'424'!$D$50</definedName>
    <definedName name="OSRRefD22_4x_0" localSheetId="88">'425'!$D$52</definedName>
    <definedName name="OSRRefD22_4x_0" localSheetId="91">'430'!$D$45</definedName>
    <definedName name="OSRRefD22_4x_0" localSheetId="92">'433'!$D$53</definedName>
    <definedName name="OSRRefD22_4x_0" localSheetId="93">'435'!$D$51</definedName>
    <definedName name="OSRRefD22_4x_0" localSheetId="94">'444'!$D$53</definedName>
    <definedName name="OSRRefD22_4x_0" localSheetId="96">'450'!$D$54</definedName>
    <definedName name="OSRRefD22_4x_0" localSheetId="76">'491'!$D$60</definedName>
    <definedName name="OSRRefD22_4x_0" localSheetId="90">'492'!$D$56</definedName>
    <definedName name="OSRRefD22_4x_0" localSheetId="98">'501'!$D$46</definedName>
    <definedName name="OSRRefD22_4x_0" localSheetId="39">'Div 2'!$D$47</definedName>
    <definedName name="OSRRefD22_4x_0" localSheetId="47">'Div 3'!$D$194</definedName>
    <definedName name="OSRRefD22_4x_0" localSheetId="74">'Div 4'!$D$62</definedName>
    <definedName name="OSRRefD22_4x_0" localSheetId="97">'Div 5'!$D$46</definedName>
    <definedName name="OSRRefD22_4x_0" localSheetId="64">'Div 6'!$D$86</definedName>
    <definedName name="OSRRefD22_4x_0" localSheetId="2">Summary!$D$226</definedName>
    <definedName name="OSRRefD22_5x_0" localSheetId="41">'201'!$D$48</definedName>
    <definedName name="OSRRefD22_5x_0" localSheetId="42">'202'!$D$47</definedName>
    <definedName name="OSRRefD22_5x_0" localSheetId="43">'203'!$D$48</definedName>
    <definedName name="OSRRefD22_5x_0" localSheetId="44">'204'!$D$48</definedName>
    <definedName name="OSRRefD22_5x_0" localSheetId="45">'205'!$D$47:$D$48</definedName>
    <definedName name="OSRRefD22_5x_0" localSheetId="46">'206'!$D$47</definedName>
    <definedName name="OSRRefD22_5x_0" localSheetId="48">'300'!$D$190:$D$193</definedName>
    <definedName name="OSRRefD22_5x_0" localSheetId="49">'300 &amp; 317'!$D$215:$D$218</definedName>
    <definedName name="OSRRefD22_5x_0" localSheetId="50">'301'!$D$48:$D$51</definedName>
    <definedName name="OSRRefD22_5x_0" localSheetId="51">'306'!$D$47</definedName>
    <definedName name="OSRRefD22_5x_0" localSheetId="53">'307'!$D$99</definedName>
    <definedName name="OSRRefD22_5x_0" localSheetId="55">'308'!$D$92</definedName>
    <definedName name="OSRRefD22_5x_0" localSheetId="68">'309'!$D$53:$D$54</definedName>
    <definedName name="OSRRefD22_5x_0" localSheetId="67">'310'!$D$60:$D$62</definedName>
    <definedName name="OSRRefD22_5x_0" localSheetId="75">'310 &amp; 491'!$D$68:$D$71</definedName>
    <definedName name="OSRRefD22_5x_0" localSheetId="56">'311'!$D$92</definedName>
    <definedName name="OSRRefD22_5x_0" localSheetId="69">'313'!$D$56</definedName>
    <definedName name="OSRRefD22_5x_0" localSheetId="54">'314'!$D$85</definedName>
    <definedName name="OSRRefD22_5x_0" localSheetId="59">'315'!$D$85:$D$86</definedName>
    <definedName name="OSRRefD22_5x_0" localSheetId="62">'316'!$D$60</definedName>
    <definedName name="OSRRefD22_5x_0" localSheetId="65">'317'!$D$88</definedName>
    <definedName name="OSRRefD22_5x_0" localSheetId="63">'320'!$D$55</definedName>
    <definedName name="OSRRefD22_5x_0" localSheetId="70">'321'!$D$52</definedName>
    <definedName name="OSRRefD22_5x_0" localSheetId="71">'322'!$D$53:$D$54</definedName>
    <definedName name="OSRRefD22_5x_0" localSheetId="72">'325'!$D$53:$D$55</definedName>
    <definedName name="OSRRefD22_5x_0" localSheetId="60">'326'!$D$83</definedName>
    <definedName name="OSRRefD22_5x_0" localSheetId="52">'330'!$D$108</definedName>
    <definedName name="OSRRefD22_5x_0" localSheetId="58">'331'!$D$98:$D$99</definedName>
    <definedName name="OSRRefD22_5x_0" localSheetId="61">'332'!$D$68</definedName>
    <definedName name="OSRRefD22_5x_0" localSheetId="77">'405'!$D$53:$D$55</definedName>
    <definedName name="OSRRefD22_5x_0" localSheetId="78">'406'!$D$54:$D$55</definedName>
    <definedName name="OSRRefD22_5x_0" localSheetId="79">'411'!$D$51</definedName>
    <definedName name="OSRRefD22_5x_0" localSheetId="80">'412'!$D$53:$D$55</definedName>
    <definedName name="OSRRefD22_5x_0" localSheetId="82">'413'!$D$54</definedName>
    <definedName name="OSRRefD22_5x_0" localSheetId="83">'414'!$D$54:$D$55</definedName>
    <definedName name="OSRRefD22_5x_0" localSheetId="84">'415'!$D$53:$D$55</definedName>
    <definedName name="OSRRefD22_5x_0" localSheetId="85">'418'!$D$54:$D$56</definedName>
    <definedName name="OSRRefD22_5x_0" localSheetId="86">'423'!$D$48</definedName>
    <definedName name="OSRRefD22_5x_0" localSheetId="87">'424'!$D$52</definedName>
    <definedName name="OSRRefD22_5x_0" localSheetId="88">'425'!$D$54:$D$55</definedName>
    <definedName name="OSRRefD22_5x_0" localSheetId="91">'430'!$D$47</definedName>
    <definedName name="OSRRefD22_5x_0" localSheetId="92">'433'!$D$55</definedName>
    <definedName name="OSRRefD22_5x_0" localSheetId="93">'435'!$D$53</definedName>
    <definedName name="OSRRefD22_5x_0" localSheetId="94">'444'!$D$55</definedName>
    <definedName name="OSRRefD22_5x_0" localSheetId="96">'450'!$D$56</definedName>
    <definedName name="OSRRefD22_5x_0" localSheetId="76">'491'!$D$62:$D$65</definedName>
    <definedName name="OSRRefD22_5x_0" localSheetId="90">'492'!$D$58:$D$59</definedName>
    <definedName name="OSRRefD22_5x_0" localSheetId="98">'501'!$D$48</definedName>
    <definedName name="OSRRefD22_5x_0" localSheetId="39">'Div 2'!$D$49</definedName>
    <definedName name="OSRRefD22_5x_0" localSheetId="47">'Div 3'!$D$196:$D$199</definedName>
    <definedName name="OSRRefD22_5x_0" localSheetId="74">'Div 4'!$D$64:$D$67</definedName>
    <definedName name="OSRRefD22_5x_0" localSheetId="97">'Div 5'!$D$48</definedName>
    <definedName name="OSRRefD22_5x_0" localSheetId="64">'Div 6'!$D$88</definedName>
    <definedName name="OSRRefD22_5x_0" localSheetId="2">Summary!$D$228:$D$231</definedName>
    <definedName name="OSRRefD22_6x_0" localSheetId="41">'201'!$D$50</definedName>
    <definedName name="OSRRefD22_6x_0" localSheetId="42">'202'!$D$49</definedName>
    <definedName name="OSRRefD22_6x_0" localSheetId="43">'203'!$D$50</definedName>
    <definedName name="OSRRefD22_6x_0" localSheetId="44">'204'!$D$50</definedName>
    <definedName name="OSRRefD22_6x_0" localSheetId="45">'205'!$D$50</definedName>
    <definedName name="OSRRefD22_6x_0" localSheetId="46">'206'!$D$49</definedName>
    <definedName name="OSRRefD22_6x_0" localSheetId="48">'300'!$D$195:$D$196</definedName>
    <definedName name="OSRRefD22_6x_0" localSheetId="49">'300 &amp; 317'!$D$220:$D$221</definedName>
    <definedName name="OSRRefD22_6x_0" localSheetId="50">'301'!$D$53:$D$54</definedName>
    <definedName name="OSRRefD22_6x_0" localSheetId="51">'306'!$D$49</definedName>
    <definedName name="OSRRefD22_6x_0" localSheetId="53">'307'!$D$101</definedName>
    <definedName name="OSRRefD22_6x_0" localSheetId="55">'308'!$D$94:$D$95</definedName>
    <definedName name="OSRRefD22_6x_0" localSheetId="68">'309'!$D$56</definedName>
    <definedName name="OSRRefD22_6x_0" localSheetId="67">'310'!$D$64</definedName>
    <definedName name="OSRRefD22_6x_0" localSheetId="75">'310 &amp; 491'!$D$73</definedName>
    <definedName name="OSRRefD22_6x_0" localSheetId="56">'311'!$D$94:$D$95</definedName>
    <definedName name="OSRRefD22_6x_0" localSheetId="69">'313'!$D$58</definedName>
    <definedName name="OSRRefD22_6x_0" localSheetId="54">'314'!$D$87</definedName>
    <definedName name="OSRRefD22_6x_0" localSheetId="59">'315'!$D$88</definedName>
    <definedName name="OSRRefD22_6x_0" localSheetId="62">'316'!$D$62</definedName>
    <definedName name="OSRRefD22_6x_0" localSheetId="65">'317'!$D$90</definedName>
    <definedName name="OSRRefD22_6x_0" localSheetId="63">'320'!$D$57</definedName>
    <definedName name="OSRRefD22_6x_0" localSheetId="70">'321'!$D$54</definedName>
    <definedName name="OSRRefD22_6x_0" localSheetId="71">'322'!$D$56</definedName>
    <definedName name="OSRRefD22_6x_0" localSheetId="72">'325'!$D$57</definedName>
    <definedName name="OSRRefD22_6x_0" localSheetId="60">'326'!$D$85</definedName>
    <definedName name="OSRRefD22_6x_0" localSheetId="52">'330'!$D$110</definedName>
    <definedName name="OSRRefD22_6x_0" localSheetId="58">'331'!$D$101</definedName>
    <definedName name="OSRRefD22_6x_0" localSheetId="61">'332'!$D$70</definedName>
    <definedName name="OSRRefD22_6x_0" localSheetId="77">'405'!$D$57</definedName>
    <definedName name="OSRRefD22_6x_0" localSheetId="78">'406'!$D$57</definedName>
    <definedName name="OSRRefD22_6x_0" localSheetId="79">'411'!$D$53</definedName>
    <definedName name="OSRRefD22_6x_0" localSheetId="80">'412'!$D$57</definedName>
    <definedName name="OSRRefD22_6x_0" localSheetId="82">'413'!$D$56</definedName>
    <definedName name="OSRRefD22_6x_0" localSheetId="83">'414'!$D$57</definedName>
    <definedName name="OSRRefD22_6x_0" localSheetId="84">'415'!$D$57</definedName>
    <definedName name="OSRRefD22_6x_0" localSheetId="85">'418'!$D$58</definedName>
    <definedName name="OSRRefD22_6x_0" localSheetId="87">'424'!$D$54</definedName>
    <definedName name="OSRRefD22_6x_0" localSheetId="88">'425'!$D$57</definedName>
    <definedName name="OSRRefD22_6x_0" localSheetId="91">'430'!$D$49</definedName>
    <definedName name="OSRRefD22_6x_0" localSheetId="92">'433'!$D$57</definedName>
    <definedName name="OSRRefD22_6x_0" localSheetId="93">'435'!$D$55:$D$57</definedName>
    <definedName name="OSRRefD22_6x_0" localSheetId="94">'444'!$D$57</definedName>
    <definedName name="OSRRefD22_6x_0" localSheetId="96">'450'!$D$58</definedName>
    <definedName name="OSRRefD22_6x_0" localSheetId="76">'491'!$D$67</definedName>
    <definedName name="OSRRefD22_6x_0" localSheetId="90">'492'!$D$61</definedName>
    <definedName name="OSRRefD22_6x_0" localSheetId="98">'501'!$D$50</definedName>
    <definedName name="OSRRefD22_6x_0" localSheetId="39">'Div 2'!$D$51:$D$52</definedName>
    <definedName name="OSRRefD22_6x_0" localSheetId="47">'Div 3'!$D$201:$D$202</definedName>
    <definedName name="OSRRefD22_6x_0" localSheetId="74">'Div 4'!$D$69:$D$70</definedName>
    <definedName name="OSRRefD22_6x_0" localSheetId="97">'Div 5'!$D$50</definedName>
    <definedName name="OSRRefD22_6x_0" localSheetId="64">'Div 6'!$D$90</definedName>
    <definedName name="OSRRefD22_6x_0" localSheetId="2">Summary!$D$233:$D$234</definedName>
    <definedName name="OSRRefD22_7x_0" localSheetId="41">'201'!$D$52</definedName>
    <definedName name="OSRRefD22_7x_0" localSheetId="42">'202'!$D$51</definedName>
    <definedName name="OSRRefD22_7x_0" localSheetId="43">'203'!$D$52</definedName>
    <definedName name="OSRRefD22_7x_0" localSheetId="44">'204'!$D$52:$D$55</definedName>
    <definedName name="OSRRefD22_7x_0" localSheetId="45">'205'!$D$52:$D$53</definedName>
    <definedName name="OSRRefD22_7x_0" localSheetId="46">'206'!$D$51:$D$52</definedName>
    <definedName name="OSRRefD22_7x_0" localSheetId="48">'300'!$D$198:$D$199</definedName>
    <definedName name="OSRRefD22_7x_0" localSheetId="49">'300 &amp; 317'!$D$223:$D$224</definedName>
    <definedName name="OSRRefD22_7x_0" localSheetId="50">'301'!$D$56:$D$57</definedName>
    <definedName name="OSRRefD22_7x_0" localSheetId="51">'306'!$D$51:$D$52</definedName>
    <definedName name="OSRRefD22_7x_0" localSheetId="53">'307'!$D$103</definedName>
    <definedName name="OSRRefD22_7x_0" localSheetId="55">'308'!$D$97</definedName>
    <definedName name="OSRRefD22_7x_0" localSheetId="68">'309'!$D$58</definedName>
    <definedName name="OSRRefD22_7x_0" localSheetId="67">'310'!$D$66</definedName>
    <definedName name="OSRRefD22_7x_0" localSheetId="75">'310 &amp; 491'!$D$75</definedName>
    <definedName name="OSRRefD22_7x_0" localSheetId="56">'311'!$D$97</definedName>
    <definedName name="OSRRefD22_7x_0" localSheetId="69">'313'!$D$60</definedName>
    <definedName name="OSRRefD22_7x_0" localSheetId="54">'314'!$D$89</definedName>
    <definedName name="OSRRefD22_7x_0" localSheetId="59">'315'!$D$90</definedName>
    <definedName name="OSRRefD22_7x_0" localSheetId="62">'316'!$D$64</definedName>
    <definedName name="OSRRefD22_7x_0" localSheetId="65">'317'!$D$92</definedName>
    <definedName name="OSRRefD22_7x_0" localSheetId="63">'320'!$D$59:$D$60</definedName>
    <definedName name="OSRRefD22_7x_0" localSheetId="70">'321'!$D$56</definedName>
    <definedName name="OSRRefD22_7x_0" localSheetId="71">'322'!$D$58</definedName>
    <definedName name="OSRRefD22_7x_0" localSheetId="72">'325'!$D$59</definedName>
    <definedName name="OSRRefD22_7x_0" localSheetId="60">'326'!$D$87</definedName>
    <definedName name="OSRRefD22_7x_0" localSheetId="52">'330'!$D$112</definedName>
    <definedName name="OSRRefD22_7x_0" localSheetId="58">'331'!$D$103</definedName>
    <definedName name="OSRRefD22_7x_0" localSheetId="61">'332'!$D$72:$D$73</definedName>
    <definedName name="OSRRefD22_7x_0" localSheetId="77">'405'!$D$59</definedName>
    <definedName name="OSRRefD22_7x_0" localSheetId="78">'406'!$D$59</definedName>
    <definedName name="OSRRefD22_7x_0" localSheetId="79">'411'!$D$55</definedName>
    <definedName name="OSRRefD22_7x_0" localSheetId="80">'412'!$D$59</definedName>
    <definedName name="OSRRefD22_7x_0" localSheetId="82">'413'!$D$58:$D$60</definedName>
    <definedName name="OSRRefD22_7x_0" localSheetId="83">'414'!$D$59</definedName>
    <definedName name="OSRRefD22_7x_0" localSheetId="84">'415'!$D$59</definedName>
    <definedName name="OSRRefD22_7x_0" localSheetId="85">'418'!$D$60</definedName>
    <definedName name="OSRRefD22_7x_0" localSheetId="87">'424'!$D$56:$D$57</definedName>
    <definedName name="OSRRefD22_7x_0" localSheetId="88">'425'!$D$59</definedName>
    <definedName name="OSRRefD22_7x_0" localSheetId="91">'430'!$D$51:$D$53</definedName>
    <definedName name="OSRRefD22_7x_0" localSheetId="92">'433'!$D$59</definedName>
    <definedName name="OSRRefD22_7x_0" localSheetId="93">'435'!$D$59</definedName>
    <definedName name="OSRRefD22_7x_0" localSheetId="94">'444'!$D$59</definedName>
    <definedName name="OSRRefD22_7x_0" localSheetId="96">'450'!$D$60</definedName>
    <definedName name="OSRRefD22_7x_0" localSheetId="76">'491'!$D$69</definedName>
    <definedName name="OSRRefD22_7x_0" localSheetId="90">'492'!$D$63</definedName>
    <definedName name="OSRRefD22_7x_0" localSheetId="98">'501'!$D$52</definedName>
    <definedName name="OSRRefD22_7x_0" localSheetId="39">'Div 2'!$D$54</definedName>
    <definedName name="OSRRefD22_7x_0" localSheetId="47">'Div 3'!$D$204:$D$205</definedName>
    <definedName name="OSRRefD22_7x_0" localSheetId="74">'Div 4'!$D$72</definedName>
    <definedName name="OSRRefD22_7x_0" localSheetId="97">'Div 5'!$D$52</definedName>
    <definedName name="OSRRefD22_7x_0" localSheetId="64">'Div 6'!$D$92</definedName>
    <definedName name="OSRRefD22_7x_0" localSheetId="2">Summary!$D$236:$D$238</definedName>
    <definedName name="OSRRefD22_8x_0" localSheetId="41">'201'!$D$54</definedName>
    <definedName name="OSRRefD22_8x_0" localSheetId="42">'202'!$D$53</definedName>
    <definedName name="OSRRefD22_8x_0" localSheetId="43">'203'!$D$54</definedName>
    <definedName name="OSRRefD22_8x_0" localSheetId="44">'204'!$D$57</definedName>
    <definedName name="OSRRefD22_8x_0" localSheetId="45">'205'!$D$55</definedName>
    <definedName name="OSRRefD22_8x_0" localSheetId="46">'206'!$D$54</definedName>
    <definedName name="OSRRefD22_8x_0" localSheetId="48">'300'!$D$201</definedName>
    <definedName name="OSRRefD22_8x_0" localSheetId="49">'300 &amp; 317'!$D$226</definedName>
    <definedName name="OSRRefD22_8x_0" localSheetId="50">'301'!$D$59</definedName>
    <definedName name="OSRRefD22_8x_0" localSheetId="51">'306'!$D$54:$D$57</definedName>
    <definedName name="OSRRefD22_8x_0" localSheetId="53">'307'!$D$105:$D$106</definedName>
    <definedName name="OSRRefD22_8x_0" localSheetId="55">'308'!$D$99</definedName>
    <definedName name="OSRRefD22_8x_0" localSheetId="68">'309'!$D$60:$D$61</definedName>
    <definedName name="OSRRefD22_8x_0" localSheetId="67">'310'!$D$68</definedName>
    <definedName name="OSRRefD22_8x_0" localSheetId="75">'310 &amp; 491'!$D$77</definedName>
    <definedName name="OSRRefD22_8x_0" localSheetId="56">'311'!$D$99</definedName>
    <definedName name="OSRRefD22_8x_0" localSheetId="69">'313'!$D$62</definedName>
    <definedName name="OSRRefD22_8x_0" localSheetId="54">'314'!$D$91</definedName>
    <definedName name="OSRRefD22_8x_0" localSheetId="59">'315'!$D$92</definedName>
    <definedName name="OSRRefD22_8x_0" localSheetId="62">'316'!$D$66</definedName>
    <definedName name="OSRRefD22_8x_0" localSheetId="65">'317'!$D$94:$D$95</definedName>
    <definedName name="OSRRefD22_8x_0" localSheetId="63">'320'!$D$62</definedName>
    <definedName name="OSRRefD22_8x_0" localSheetId="70">'321'!$D$58</definedName>
    <definedName name="OSRRefD22_8x_0" localSheetId="71">'322'!$D$60</definedName>
    <definedName name="OSRRefD22_8x_0" localSheetId="72">'325'!$D$61</definedName>
    <definedName name="OSRRefD22_8x_0" localSheetId="60">'326'!$D$89</definedName>
    <definedName name="OSRRefD22_8x_0" localSheetId="52">'330'!$D$114</definedName>
    <definedName name="OSRRefD22_8x_0" localSheetId="58">'331'!$D$105:$D$106</definedName>
    <definedName name="OSRRefD22_8x_0" localSheetId="61">'332'!$D$75</definedName>
    <definedName name="OSRRefD22_8x_0" localSheetId="77">'405'!$D$61</definedName>
    <definedName name="OSRRefD22_8x_0" localSheetId="78">'406'!$D$61:$D$63</definedName>
    <definedName name="OSRRefD22_8x_0" localSheetId="79">'411'!$D$57</definedName>
    <definedName name="OSRRefD22_8x_0" localSheetId="80">'412'!$D$61:$D$62</definedName>
    <definedName name="OSRRefD22_8x_0" localSheetId="82">'413'!$D$62</definedName>
    <definedName name="OSRRefD22_8x_0" localSheetId="83">'414'!$D$61</definedName>
    <definedName name="OSRRefD22_8x_0" localSheetId="84">'415'!$D$61</definedName>
    <definedName name="OSRRefD22_8x_0" localSheetId="85">'418'!$D$62:$D$63</definedName>
    <definedName name="OSRRefD22_8x_0" localSheetId="87">'424'!$D$59:$D$60</definedName>
    <definedName name="OSRRefD22_8x_0" localSheetId="88">'425'!$D$61</definedName>
    <definedName name="OSRRefD22_8x_0" localSheetId="91">'430'!$D$55</definedName>
    <definedName name="OSRRefD22_8x_0" localSheetId="92">'433'!$D$61</definedName>
    <definedName name="OSRRefD22_8x_0" localSheetId="94">'444'!$D$61</definedName>
    <definedName name="OSRRefD22_8x_0" localSheetId="96">'450'!$D$62</definedName>
    <definedName name="OSRRefD22_8x_0" localSheetId="76">'491'!$D$71</definedName>
    <definedName name="OSRRefD22_8x_0" localSheetId="90">'492'!$D$65</definedName>
    <definedName name="OSRRefD22_8x_0" localSheetId="98">'501'!$D$54</definedName>
    <definedName name="OSRRefD22_8x_0" localSheetId="39">'Div 2'!$D$56</definedName>
    <definedName name="OSRRefD22_8x_0" localSheetId="47">'Div 3'!$D$207</definedName>
    <definedName name="OSRRefD22_8x_0" localSheetId="74">'Div 4'!$D$74</definedName>
    <definedName name="OSRRefD22_8x_0" localSheetId="97">'Div 5'!$D$54</definedName>
    <definedName name="OSRRefD22_8x_0" localSheetId="64">'Div 6'!$D$94:$D$95</definedName>
    <definedName name="OSRRefD22_8x_0" localSheetId="2">Summary!$D$240</definedName>
    <definedName name="OSRRefD22_9x_0" localSheetId="41">'201'!$D$56</definedName>
    <definedName name="OSRRefD22_9x_0" localSheetId="42">'202'!$D$55:$D$57</definedName>
    <definedName name="OSRRefD22_9x_0" localSheetId="43">'203'!$D$56:$D$57</definedName>
    <definedName name="OSRRefD22_9x_0" localSheetId="44">'204'!$D$59</definedName>
    <definedName name="OSRRefD22_9x_0" localSheetId="45">'205'!$D$57</definedName>
    <definedName name="OSRRefD22_9x_0" localSheetId="46">'206'!$D$56</definedName>
    <definedName name="OSRRefD22_9x_0" localSheetId="48">'300'!$D$203</definedName>
    <definedName name="OSRRefD22_9x_0" localSheetId="49">'300 &amp; 317'!$D$228</definedName>
    <definedName name="OSRRefD22_9x_0" localSheetId="50">'301'!$D$61</definedName>
    <definedName name="OSRRefD22_9x_0" localSheetId="51">'306'!$D$59</definedName>
    <definedName name="OSRRefD22_9x_0" localSheetId="53">'307'!$D$108:$D$109</definedName>
    <definedName name="OSRRefD22_9x_0" localSheetId="55">'308'!$D$101:$D$102</definedName>
    <definedName name="OSRRefD22_9x_0" localSheetId="68">'309'!$D$63:$D$65</definedName>
    <definedName name="OSRRefD22_9x_0" localSheetId="67">'310'!$D$70</definedName>
    <definedName name="OSRRefD22_9x_0" localSheetId="75">'310 &amp; 491'!$D$79</definedName>
    <definedName name="OSRRefD22_9x_0" localSheetId="56">'311'!$D$101:$D$102</definedName>
    <definedName name="OSRRefD22_9x_0" localSheetId="69">'313'!$D$64</definedName>
    <definedName name="OSRRefD22_9x_0" localSheetId="59">'315'!$D$94</definedName>
    <definedName name="OSRRefD22_9x_0" localSheetId="62">'316'!$D$68</definedName>
    <definedName name="OSRRefD22_9x_0" localSheetId="65">'317'!$D$97:$D$98</definedName>
    <definedName name="OSRRefD22_9x_0" localSheetId="70">'321'!$D$60:$D$62</definedName>
    <definedName name="OSRRefD22_9x_0" localSheetId="71">'322'!$D$62:$D$64</definedName>
    <definedName name="OSRRefD22_9x_0" localSheetId="72">'325'!$D$63</definedName>
    <definedName name="OSRRefD22_9x_0" localSheetId="60">'326'!$D$91</definedName>
    <definedName name="OSRRefD22_9x_0" localSheetId="52">'330'!$D$116:$D$117</definedName>
    <definedName name="OSRRefD22_9x_0" localSheetId="58">'331'!$D$108</definedName>
    <definedName name="OSRRefD22_9x_0" localSheetId="61">'332'!$D$77</definedName>
    <definedName name="OSRRefD22_9x_0" localSheetId="77">'405'!$D$63</definedName>
    <definedName name="OSRRefD22_9x_0" localSheetId="78">'406'!$D$65:$D$67</definedName>
    <definedName name="OSRRefD22_9x_0" localSheetId="79">'411'!$D$59</definedName>
    <definedName name="OSRRefD22_9x_0" localSheetId="80">'412'!$D$64</definedName>
    <definedName name="OSRRefD22_9x_0" localSheetId="82">'413'!$D$64:$D$69</definedName>
    <definedName name="OSRRefD22_9x_0" localSheetId="83">'414'!$D$63:$D$64</definedName>
    <definedName name="OSRRefD22_9x_0" localSheetId="84">'415'!$D$63</definedName>
    <definedName name="OSRRefD22_9x_0" localSheetId="85">'418'!$D$65:$D$67</definedName>
    <definedName name="OSRRefD22_9x_0" localSheetId="87">'424'!$D$62</definedName>
    <definedName name="OSRRefD22_9x_0" localSheetId="88">'425'!$D$63:$D$65</definedName>
    <definedName name="OSRRefD22_9x_0" localSheetId="91">'430'!$D$57</definedName>
    <definedName name="OSRRefD22_9x_0" localSheetId="92">'433'!$D$63</definedName>
    <definedName name="OSRRefD22_9x_0" localSheetId="94">'444'!$D$63</definedName>
    <definedName name="OSRRefD22_9x_0" localSheetId="96">'450'!$D$64</definedName>
    <definedName name="OSRRefD22_9x_0" localSheetId="76">'491'!$D$73:$D$74</definedName>
    <definedName name="OSRRefD22_9x_0" localSheetId="90">'492'!$D$67</definedName>
    <definedName name="OSRRefD22_9x_0" localSheetId="98">'501'!$D$56</definedName>
    <definedName name="OSRRefD22_9x_0" localSheetId="39">'Div 2'!$D$58</definedName>
    <definedName name="OSRRefD22_9x_0" localSheetId="47">'Div 3'!$D$209</definedName>
    <definedName name="OSRRefD22_9x_0" localSheetId="74">'Div 4'!$D$76</definedName>
    <definedName name="OSRRefD22_9x_0" localSheetId="97">'Div 5'!$D$56</definedName>
    <definedName name="OSRRefD22_9x_0" localSheetId="64">'Div 6'!$D$97:$D$98</definedName>
    <definedName name="OSRRefD22_9x_0" localSheetId="2">Summary!$D$242</definedName>
    <definedName name="OSRRefD22x_0" localSheetId="40">'200'!$D$20,'200'!$D$22,'200'!$D$24,'200'!$D$26,'200'!$D$28:$D$29</definedName>
    <definedName name="OSRRefD22x_0" localSheetId="41">'201'!$D$20:$D$28,'201'!$D$30:$D$39,'201'!$D$41,'201'!$D$43,'201'!$D$45:$D$46,'201'!$D$48,'201'!$D$50,'201'!$D$52,'201'!$D$54,'201'!$D$56,'201'!$D$58:$D$60,'201'!$D$62:$D$64,'201'!$D$66,'201'!$D$68:$D$70,'201'!$D$72,'201'!$D$74,'201'!$D$76:$D$77</definedName>
    <definedName name="OSRRefD22x_0" localSheetId="42">'202'!$D$20:$D$28,'202'!$D$30:$D$39,'202'!$D$41,'202'!$D$43,'202'!$D$45,'202'!$D$47,'202'!$D$49,'202'!$D$51,'202'!$D$53,'202'!$D$55:$D$57,'202'!$D$59,'202'!$D$61:$D$62,'202'!$D$64,'202'!$D$66,'202'!$D$68:$D$69,'202'!$D$71,'202'!$D$73</definedName>
    <definedName name="OSRRefD22x_0" localSheetId="43">'203'!$D$20:$D$29,'203'!$D$31:$D$40,'203'!$D$42,'203'!$D$44,'203'!$D$46,'203'!$D$48,'203'!$D$50,'203'!$D$52,'203'!$D$54,'203'!$D$56:$D$57,'203'!$D$59:$D$60,'203'!$D$62,'203'!$D$64:$D$66,'203'!$D$68,'203'!$D$70,'203'!$D$72</definedName>
    <definedName name="OSRRefD22x_0" localSheetId="44">'204'!$D$20:$D$29,'204'!$D$31:$D$40,'204'!$D$42,'204'!$D$44,'204'!$D$46,'204'!$D$48,'204'!$D$50,'204'!$D$52:$D$55,'204'!$D$57,'204'!$D$59,'204'!$D$61:$D$62,'204'!$D$64,'204'!$D$66:$D$67</definedName>
    <definedName name="OSRRefD22x_0" localSheetId="45">'205'!$D$20:$D$28,'205'!$D$30:$D$39,'205'!$D$41,'205'!$D$43,'205'!$D$45,'205'!$D$47:$D$48,'205'!$D$50,'205'!$D$52:$D$53,'205'!$D$55,'205'!$D$57</definedName>
    <definedName name="OSRRefD22x_0" localSheetId="46">'206'!$D$20:$D$28,'206'!$D$30:$D$39,'206'!$D$41,'206'!$D$43,'206'!$D$45,'206'!$D$47,'206'!$D$49,'206'!$D$51:$D$52,'206'!$D$54,'206'!$D$56,'206'!$D$58</definedName>
    <definedName name="OSRRefD22x_0" localSheetId="48">'300'!$D$161:$D$170,'300'!$D$172:$D$181,'300'!$D$183,'300'!$D$185:$D$186,'300'!$D$188,'300'!$D$190:$D$193,'300'!$D$195:$D$196,'300'!$D$198:$D$199,'300'!$D$201,'300'!$D$203,'300'!$D$205:$D$206,'300'!$D$208,'300'!$D$210,'300'!$D$212,'300'!$D$214,'300'!$D$216,'300'!$D$218:$D$220,'300'!$D$222:$D$225,'300'!$D$227:$D$230,'300'!$D$232:$D$233,'300'!$D$235:$D$241,'300'!$D$243:$D$244,'300'!$D$246,'300'!$D$248:$D$250,'300'!$D$252</definedName>
    <definedName name="OSRRefD22x_0" localSheetId="49">'300 &amp; 317'!$D$186:$D$195,'300 &amp; 317'!$D$197:$D$206,'300 &amp; 317'!$D$208,'300 &amp; 317'!$D$210:$D$211,'300 &amp; 317'!$D$213,'300 &amp; 317'!$D$215:$D$218,'300 &amp; 317'!$D$220:$D$221,'300 &amp; 317'!$D$223:$D$224,'300 &amp; 317'!$D$226,'300 &amp; 317'!$D$228,'300 &amp; 317'!$D$230:$D$231,'300 &amp; 317'!$D$233,'300 &amp; 317'!$D$235,'300 &amp; 317'!$D$237,'300 &amp; 317'!$D$239,'300 &amp; 317'!$D$241,'300 &amp; 317'!$D$243:$D$245,'300 &amp; 317'!$D$247:$D$250,'300 &amp; 317'!$D$252:$D$255,'300 &amp; 317'!$D$257:$D$258,'300 &amp; 317'!$D$260:$D$266,'300 &amp; 317'!$D$268:$D$269,'300 &amp; 317'!$D$271,'300 &amp; 317'!$D$273:$D$275,'300 &amp; 317'!$D$277</definedName>
    <definedName name="OSRRefD22x_0" localSheetId="50">'301'!$D$20:$D$28,'301'!$D$30:$D$39,'301'!$D$41,'301'!$D$43:$D$44,'301'!$D$46,'301'!$D$48:$D$51,'301'!$D$53:$D$54,'301'!$D$56:$D$57,'301'!$D$59,'301'!$D$61,'301'!$D$63,'301'!$D$65,'301'!$D$67,'301'!$D$69,'301'!$D$71,'301'!$D$73:$D$75,'301'!$D$77:$D$79,'301'!$D$81:$D$82,'301'!$D$84:$D$89,'301'!$D$91,'301'!$D$93,'301'!$D$95:$D$97,'301'!$D$99</definedName>
    <definedName name="OSRRefD22x_0" localSheetId="51">'306'!$D$20:$D$28,'306'!$D$30:$D$39,'306'!$D$41,'306'!$D$43,'306'!$D$45,'306'!$D$47,'306'!$D$49,'306'!$D$51:$D$52,'306'!$D$54:$D$57,'306'!$D$59,'306'!$D$61</definedName>
    <definedName name="OSRRefD22x_0" localSheetId="53">'307'!$D$71:$D$79,'307'!$D$81:$D$90,'307'!$D$92,'307'!$D$94,'307'!$D$96:$D$97,'307'!$D$99,'307'!$D$101,'307'!$D$103,'307'!$D$105:$D$106,'307'!$D$108:$D$109,'307'!$D$111:$D$112,'307'!$D$114,'307'!$D$116</definedName>
    <definedName name="OSRRefD22x_0" localSheetId="55">'308'!$D$63:$D$72,'308'!$D$74:$D$83,'308'!$D$85,'308'!$D$87:$D$88,'308'!$D$90,'308'!$D$92,'308'!$D$94:$D$95,'308'!$D$97,'308'!$D$99,'308'!$D$101:$D$102,'308'!$D$104,'308'!$D$106:$D$108,'308'!$D$110:$D$111,'308'!$D$113,'308'!$D$115:$D$116</definedName>
    <definedName name="OSRRefD22x_0" localSheetId="68">'309'!$D$26:$D$34,'309'!$D$36:$D$45,'309'!$D$47,'309'!$D$49,'309'!$D$51,'309'!$D$53:$D$54,'309'!$D$56,'309'!$D$58,'309'!$D$60:$D$61,'309'!$D$63:$D$65,'309'!$D$67:$D$69,'309'!$D$71,'309'!$D$73</definedName>
    <definedName name="OSRRefD22x_0" localSheetId="67">'310'!$D$33:$D$41,'310'!$D$43:$D$52,'310'!$D$54,'310'!$D$56,'310'!$D$58,'310'!$D$60:$D$62,'310'!$D$64,'310'!$D$66,'310'!$D$68,'310'!$D$70,'310'!$D$72,'310'!$D$74,'310'!$D$76,'310'!$D$78,'310'!$D$80,'310'!$D$82:$D$84,'310'!$D$86:$D$87,'310'!$D$89:$D$93,'310'!$D$95,'310'!$D$97:$D$104,'310'!$D$106,'310'!$D$108,'310'!$D$110,'310'!$D$112</definedName>
    <definedName name="OSRRefD22x_0" localSheetId="75">'310 &amp; 491'!$D$40:$D$49,'310 &amp; 491'!$D$51:$D$60,'310 &amp; 491'!$D$62,'310 &amp; 491'!$D$64,'310 &amp; 491'!$D$66,'310 &amp; 491'!$D$68:$D$71,'310 &amp; 491'!$D$73,'310 &amp; 491'!$D$75,'310 &amp; 491'!$D$77,'310 &amp; 491'!$D$79,'310 &amp; 491'!$D$81,'310 &amp; 491'!$D$83:$D$84,'310 &amp; 491'!$D$86,'310 &amp; 491'!$D$88,'310 &amp; 491'!$D$90,'310 &amp; 491'!$D$92,'310 &amp; 491'!$D$94,'310 &amp; 491'!$D$96:$D$99,'310 &amp; 491'!$D$101:$D$103,'310 &amp; 491'!$D$105:$D$110,'310 &amp; 491'!$D$112,'310 &amp; 491'!$D$114:$D$123,'310 &amp; 491'!$D$125:$D$126,'310 &amp; 491'!$D$128,'310 &amp; 491'!$D$130:$D$132,'310 &amp; 491'!$D$134</definedName>
    <definedName name="OSRRefD22x_0" localSheetId="56">'311'!$D$63:$D$72,'311'!$D$74:$D$83,'311'!$D$85,'311'!$D$87:$D$88,'311'!$D$90,'311'!$D$92,'311'!$D$94:$D$95,'311'!$D$97,'311'!$D$99,'311'!$D$101:$D$102,'311'!$D$104,'311'!$D$106:$D$108,'311'!$D$110:$D$111,'311'!$D$113,'311'!$D$115:$D$116</definedName>
    <definedName name="OSRRefD22x_0" localSheetId="69">'313'!$D$29:$D$37,'313'!$D$39:$D$48,'313'!$D$50,'313'!$D$52,'313'!$D$54,'313'!$D$56,'313'!$D$58,'313'!$D$60,'313'!$D$62,'313'!$D$64,'313'!$D$66:$D$68,'313'!$D$70,'313'!$D$72:$D$76,'313'!$D$78,'313'!$D$80</definedName>
    <definedName name="OSRRefD22x_0" localSheetId="54">'314'!$D$58:$D$65,'314'!$D$67:$D$76,'314'!$D$78,'314'!$D$80:$D$81,'314'!$D$83,'314'!$D$85,'314'!$D$87,'314'!$D$89,'314'!$D$91</definedName>
    <definedName name="OSRRefD22x_0" localSheetId="59">'315'!$D$57:$D$65,'315'!$D$67:$D$76,'315'!$D$78,'315'!$D$80:$D$81,'315'!$D$83,'315'!$D$85:$D$86,'315'!$D$88,'315'!$D$90,'315'!$D$92,'315'!$D$94,'315'!$D$96:$D$98,'315'!$D$100:$D$101,'315'!$D$103:$D$107,'315'!$D$109,'315'!$D$111,'315'!$D$113:$D$114</definedName>
    <definedName name="OSRRefD22x_0" localSheetId="62">'316'!$D$33:$D$41,'316'!$D$43:$D$52,'316'!$D$54,'316'!$D$56,'316'!$D$58,'316'!$D$60,'316'!$D$62,'316'!$D$64,'316'!$D$66,'316'!$D$68,'316'!$D$70:$D$71,'316'!$D$73:$D$76,'316'!$D$78:$D$79,'316'!$D$81</definedName>
    <definedName name="OSRRefD22x_0" localSheetId="65">'317'!$D$60:$D$69,'317'!$D$71:$D$80,'317'!$D$82,'317'!$D$84,'317'!$D$86,'317'!$D$88,'317'!$D$90,'317'!$D$92,'317'!$D$94:$D$95,'317'!$D$97:$D$98,'317'!$D$100,'317'!$D$102</definedName>
    <definedName name="OSRRefD22x_0" localSheetId="63">'320'!$D$28:$D$35,'320'!$D$37:$D$46,'320'!$D$48,'320'!$D$50,'320'!$D$52:$D$53,'320'!$D$55,'320'!$D$57,'320'!$D$59:$D$60,'320'!$D$62</definedName>
    <definedName name="OSRRefD22x_0" localSheetId="70">'321'!$D$26:$D$33,'321'!$D$35:$D$44,'321'!$D$46,'321'!$D$48,'321'!$D$50,'321'!$D$52,'321'!$D$54,'321'!$D$56,'321'!$D$58,'321'!$D$60:$D$62,'321'!$D$64:$D$65,'321'!$D$67:$D$69,'321'!$D$71:$D$73,'321'!$D$75,'321'!$D$77</definedName>
    <definedName name="OSRRefD22x_0" localSheetId="71">'322'!$D$26:$D$34,'322'!$D$36:$D$45,'322'!$D$47,'322'!$D$49,'322'!$D$51,'322'!$D$53:$D$54,'322'!$D$56,'322'!$D$58,'322'!$D$60,'322'!$D$62:$D$64,'322'!$D$66:$D$68,'322'!$D$70:$D$74,'322'!$D$76,'322'!$D$78</definedName>
    <definedName name="OSRRefD22x_0" localSheetId="72">'325'!$D$26:$D$34,'325'!$D$36:$D$45,'325'!$D$47,'325'!$D$49,'325'!$D$51,'325'!$D$53:$D$55,'325'!$D$57,'325'!$D$59,'325'!$D$61,'325'!$D$63,'325'!$D$65,'325'!$D$67:$D$69,'325'!$D$71:$D$74,'325'!$D$76,'325'!$D$78:$D$84,'325'!$D$86,'325'!$D$88,'325'!$D$90,'325'!$D$92</definedName>
    <definedName name="OSRRefD22x_0" localSheetId="60">'326'!$D$55:$D$63,'326'!$D$65:$D$74,'326'!$D$76,'326'!$D$78:$D$79,'326'!$D$81,'326'!$D$83,'326'!$D$85,'326'!$D$87,'326'!$D$89,'326'!$D$91,'326'!$D$93,'326'!$D$95,'326'!$D$97,'326'!$D$99:$D$100,'326'!$D$102:$D$104,'326'!$D$106:$D$107,'326'!$D$109:$D$113,'326'!$D$115:$D$116,'326'!$D$118,'326'!$D$120,'326'!$D$122</definedName>
    <definedName name="OSRRefD22x_0" localSheetId="73">'327'!$D$24,'327'!$D$26,'327'!$D$28</definedName>
    <definedName name="OSRRefD22x_0" localSheetId="52">'330'!$D$80:$D$88,'330'!$D$90:$D$99,'330'!$D$101,'330'!$D$103,'330'!$D$105:$D$106,'330'!$D$108,'330'!$D$110,'330'!$D$112,'330'!$D$114,'330'!$D$116:$D$117,'330'!$D$119:$D$120,'330'!$D$122,'330'!$D$124:$D$125,'330'!$D$127,'330'!$D$129</definedName>
    <definedName name="OSRRefD22x_0" localSheetId="58">'331'!$D$70:$D$78,'331'!$D$80:$D$89,'331'!$D$91,'331'!$D$93:$D$94,'331'!$D$96,'331'!$D$98:$D$99,'331'!$D$101,'331'!$D$103,'331'!$D$105:$D$106,'331'!$D$108,'331'!$D$110,'331'!$D$112,'331'!$D$114,'331'!$D$116,'331'!$D$118:$D$119,'331'!$D$121:$D$123,'331'!$D$125:$D$127,'331'!$D$129:$D$130,'331'!$D$132:$D$137,'331'!$D$139:$D$140,'331'!$D$142,'331'!$D$144:$D$145,'331'!$D$147</definedName>
    <definedName name="OSRRefD22x_0" localSheetId="61">'332'!$D$41:$D$49,'332'!$D$51:$D$60,'332'!$D$62,'332'!$D$64,'332'!$D$66,'332'!$D$68,'332'!$D$70,'332'!$D$72:$D$73,'332'!$D$75,'332'!$D$77,'332'!$D$79,'332'!$D$81:$D$82,'332'!$D$84:$D$88,'332'!$D$90:$D$91,'332'!$D$93</definedName>
    <definedName name="OSRRefD22x_0" localSheetId="77">'405'!$D$26:$D$34,'405'!$D$36:$D$45,'405'!$D$47,'405'!$D$49,'405'!$D$51,'405'!$D$53:$D$55,'405'!$D$57,'405'!$D$59,'405'!$D$61,'405'!$D$63,'405'!$D$65:$D$67,'405'!$D$69,'405'!$D$71:$D$73,'405'!$D$75,'405'!$D$77:$D$85,'405'!$D$87,'405'!$D$89,'405'!$D$91</definedName>
    <definedName name="OSRRefD22x_0" localSheetId="78">'406'!$D$27:$D$35,'406'!$D$37:$D$46,'406'!$D$48,'406'!$D$50,'406'!$D$52,'406'!$D$54:$D$55,'406'!$D$57,'406'!$D$59,'406'!$D$61:$D$63,'406'!$D$65:$D$67,'406'!$D$69:$D$74,'406'!$D$76:$D$77,'406'!$D$79,'406'!$D$81</definedName>
    <definedName name="OSRRefD22x_0" localSheetId="79">'411'!$D$20:$D$29,'411'!$D$31:$D$40,'411'!$D$42,'411'!$D$44:$D$47,'411'!$D$49,'411'!$D$51,'411'!$D$53,'411'!$D$55,'411'!$D$57,'411'!$D$59,'411'!$D$61:$D$63,'411'!$D$65:$D$69,'411'!$D$71:$D$77,'411'!$D$79,'411'!$D$81,'411'!$D$83:$D$85,'411'!$D$87</definedName>
    <definedName name="OSRRefD22x_0" localSheetId="80">'412'!$D$26:$D$34,'412'!$D$36:$D$45,'412'!$D$47,'412'!$D$49,'412'!$D$51,'412'!$D$53:$D$55,'412'!$D$57,'412'!$D$59,'412'!$D$61:$D$62,'412'!$D$64,'412'!$D$66:$D$68,'412'!$D$70:$D$75,'412'!$D$77,'412'!$D$79</definedName>
    <definedName name="OSRRefD22x_0" localSheetId="82">'413'!$D$27:$D$35,'413'!$D$37:$D$46,'413'!$D$48,'413'!$D$50,'413'!$D$52,'413'!$D$54,'413'!$D$56,'413'!$D$58:$D$60,'413'!$D$62,'413'!$D$64:$D$69,'413'!$D$71:$D$72,'413'!$D$74</definedName>
    <definedName name="OSRRefD22x_0" localSheetId="83">'414'!$D$27:$D$35,'414'!$D$37:$D$46,'414'!$D$48,'414'!$D$50,'414'!$D$52,'414'!$D$54:$D$55,'414'!$D$57,'414'!$D$59,'414'!$D$61,'414'!$D$63:$D$64,'414'!$D$66,'414'!$D$68,'414'!$D$70,'414'!$D$72:$D$78,'414'!$D$80,'414'!$D$82</definedName>
    <definedName name="OSRRefD22x_0" localSheetId="84">'415'!$D$26:$D$34,'415'!$D$36:$D$45,'415'!$D$47,'415'!$D$49,'415'!$D$51,'415'!$D$53:$D$55,'415'!$D$57,'415'!$D$59,'415'!$D$61,'415'!$D$63,'415'!$D$65,'415'!$D$67:$D$69,'415'!$D$71:$D$75,'415'!$D$77,'415'!$D$79:$D$86,'415'!$D$88,'415'!$D$90,'415'!$D$92:$D$93,'415'!$D$95</definedName>
    <definedName name="OSRRefD22x_0" localSheetId="85">'418'!$D$27:$D$35,'418'!$D$37:$D$46,'418'!$D$48,'418'!$D$50,'418'!$D$52,'418'!$D$54:$D$56,'418'!$D$58,'418'!$D$60,'418'!$D$62:$D$63,'418'!$D$65:$D$67,'418'!$D$69:$D$71,'418'!$D$73,'418'!$D$75:$D$81,'418'!$D$83,'418'!$D$85,'418'!$D$87</definedName>
    <definedName name="OSRRefD22x_0" localSheetId="81">'420'!$D$22:$D$28,'420'!$D$30:$D$33,'420'!$D$35,'420'!$D$37,'420'!$D$39</definedName>
    <definedName name="OSRRefD22x_0" localSheetId="86">'423'!$D$21:$D$29,'423'!$D$31:$D$40,'423'!$D$42,'423'!$D$44,'423'!$D$46,'423'!$D$48</definedName>
    <definedName name="OSRRefD22x_0" localSheetId="87">'424'!$D$26:$D$33,'424'!$D$35:$D$44,'424'!$D$46,'424'!$D$48,'424'!$D$50,'424'!$D$52,'424'!$D$54,'424'!$D$56:$D$57,'424'!$D$59:$D$60,'424'!$D$62,'424'!$D$64:$D$67,'424'!$D$69:$D$70</definedName>
    <definedName name="OSRRefD22x_0" localSheetId="88">'425'!$D$27:$D$35,'425'!$D$37:$D$46,'425'!$D$48,'425'!$D$50,'425'!$D$52,'425'!$D$54:$D$55,'425'!$D$57,'425'!$D$59,'425'!$D$61,'425'!$D$63:$D$65,'425'!$D$67:$D$68,'425'!$D$70:$D$71,'425'!$D$73:$D$79,'425'!$D$81:$D$82,'425'!$D$84,'425'!$D$86</definedName>
    <definedName name="OSRRefD22x_0" localSheetId="91">'430'!$D$20:$D$28,'430'!$D$30:$D$39,'430'!$D$41,'430'!$D$43,'430'!$D$45,'430'!$D$47,'430'!$D$49,'430'!$D$51:$D$53,'430'!$D$55,'430'!$D$57,'430'!$D$59</definedName>
    <definedName name="OSRRefD22x_0" localSheetId="92">'433'!$D$27:$D$36,'433'!$D$38:$D$47,'433'!$D$49,'433'!$D$51,'433'!$D$53,'433'!$D$55,'433'!$D$57,'433'!$D$59,'433'!$D$61,'433'!$D$63,'433'!$D$65:$D$67,'433'!$D$69:$D$72,'433'!$D$74:$D$81,'433'!$D$83,'433'!$D$85,'433'!$D$87:$D$88</definedName>
    <definedName name="OSRRefD22x_0" localSheetId="93">'435'!$D$27:$D$34,'435'!$D$36:$D$45,'435'!$D$47,'435'!$D$49,'435'!$D$51,'435'!$D$53,'435'!$D$55:$D$57,'435'!$D$59</definedName>
    <definedName name="OSRRefD22x_0" localSheetId="94">'444'!$D$27:$D$36,'444'!$D$38:$D$47,'444'!$D$49,'444'!$D$51,'444'!$D$53,'444'!$D$55,'444'!$D$57,'444'!$D$59,'444'!$D$61,'444'!$D$63,'444'!$D$65,'444'!$D$67:$D$69,'444'!$D$71:$D$74,'444'!$D$76:$D$83,'444'!$D$85,'444'!$D$87,'444'!$D$89</definedName>
    <definedName name="OSRRefD22x_0" localSheetId="96">'450'!$D$27:$D$36,'450'!$D$38:$D$47,'450'!$D$49,'450'!$D$51:$D$52,'450'!$D$54,'450'!$D$56,'450'!$D$58,'450'!$D$60,'450'!$D$62,'450'!$D$64,'450'!$D$66,'450'!$D$68:$D$70,'450'!$D$72:$D$74,'450'!$D$76:$D$81,'450'!$D$83,'450'!$D$85,'450'!$D$87:$D$88</definedName>
    <definedName name="OSRRefD22x_0" localSheetId="89">'455'!$D$20:$D$27,'455'!$D$29:$D$38</definedName>
    <definedName name="OSRRefD22x_0" localSheetId="76">'491'!$D$34:$D$43,'491'!$D$45:$D$54,'491'!$D$56,'491'!$D$58,'491'!$D$60,'491'!$D$62:$D$65,'491'!$D$67,'491'!$D$69,'491'!$D$71,'491'!$D$73:$D$74,'491'!$D$76,'491'!$D$78,'491'!$D$80,'491'!$D$82,'491'!$D$84:$D$87,'491'!$D$89:$D$91,'491'!$D$93:$D$97,'491'!$D$99,'491'!$D$101:$D$110,'491'!$D$112:$D$113,'491'!$D$115,'491'!$D$117:$D$119,'491'!$D$121</definedName>
    <definedName name="OSRRefD22x_0" localSheetId="90">'492'!$D$29:$D$38,'492'!$D$40:$D$49,'492'!$D$51,'492'!$D$53:$D$54,'492'!$D$56,'492'!$D$58:$D$59,'492'!$D$61,'492'!$D$63,'492'!$D$65,'492'!$D$67,'492'!$D$69,'492'!$D$71,'492'!$D$73:$D$76,'492'!$D$78:$D$81,'492'!$D$83:$D$91,'492'!$D$93,'492'!$D$95,'492'!$D$97:$D$98</definedName>
    <definedName name="OSRRefD22x_0" localSheetId="98">'501'!$D$21:$D$29,'501'!$D$31:$D$40,'501'!$D$42,'501'!$D$44,'501'!$D$46,'501'!$D$48,'501'!$D$50,'501'!$D$52,'501'!$D$54,'501'!$D$56,'501'!$D$58:$D$59,'501'!$D$61:$D$63,'501'!$D$65</definedName>
    <definedName name="OSRRefD22x_0" localSheetId="39">'Div 2'!$D$20:$D$30,'Div 2'!$D$32:$D$41,'Div 2'!$D$43,'Div 2'!$D$45,'Div 2'!$D$47,'Div 2'!$D$49,'Div 2'!$D$51:$D$52,'Div 2'!$D$54,'Div 2'!$D$56,'Div 2'!$D$58,'Div 2'!$D$60,'Div 2'!$D$62,'Div 2'!$D$64:$D$66,'Div 2'!$D$68:$D$71,'Div 2'!$D$73:$D$76,'Div 2'!$D$78:$D$79,'Div 2'!$D$81:$D$82,'Div 2'!$D$84:$D$87,'Div 2'!$D$89:$D$90,'Div 2'!$D$92,'Div 2'!$D$94:$D$95</definedName>
    <definedName name="OSRRefD22x_0" localSheetId="47">'Div 3'!$D$167:$D$176,'Div 3'!$D$178:$D$187,'Div 3'!$D$189,'Div 3'!$D$191:$D$192,'Div 3'!$D$194,'Div 3'!$D$196:$D$199,'Div 3'!$D$201:$D$202,'Div 3'!$D$204:$D$205,'Div 3'!$D$207,'Div 3'!$D$209,'Div 3'!$D$211:$D$212,'Div 3'!$D$214,'Div 3'!$D$216,'Div 3'!$D$218,'Div 3'!$D$220,'Div 3'!$D$222,'Div 3'!$D$224,'Div 3'!$D$226,'Div 3'!$D$228:$D$230,'Div 3'!$D$232:$D$235,'Div 3'!$D$237:$D$242,'Div 3'!$D$244:$D$245,'Div 3'!$D$247:$D$254,'Div 3'!$D$256:$D$257,'Div 3'!$D$259,'Div 3'!$D$261:$D$263,'Div 3'!$D$265</definedName>
    <definedName name="OSRRefD22x_0" localSheetId="74">'Div 4'!$D$35:$D$44,'Div 4'!$D$46:$D$55,'Div 4'!$D$57,'Div 4'!$D$59:$D$60,'Div 4'!$D$62,'Div 4'!$D$64:$D$67,'Div 4'!$D$69:$D$70,'Div 4'!$D$72,'Div 4'!$D$74,'Div 4'!$D$76,'Div 4'!$D$78:$D$79,'Div 4'!$D$81,'Div 4'!$D$83,'Div 4'!$D$85,'Div 4'!$D$87,'Div 4'!$D$89,'Div 4'!$D$91:$D$94,'Div 4'!$D$96:$D$98,'Div 4'!$D$100:$D$104,'Div 4'!$D$106,'Div 4'!$D$108:$D$117,'Div 4'!$D$119:$D$120,'Div 4'!$D$122,'Div 4'!$D$124:$D$126,'Div 4'!$D$128</definedName>
    <definedName name="OSRRefD22x_0" localSheetId="97">'Div 5'!$D$21:$D$29,'Div 5'!$D$31:$D$40,'Div 5'!$D$42,'Div 5'!$D$44,'Div 5'!$D$46,'Div 5'!$D$48,'Div 5'!$D$50,'Div 5'!$D$52,'Div 5'!$D$54,'Div 5'!$D$56,'Div 5'!$D$58:$D$59,'Div 5'!$D$61:$D$63,'Div 5'!$D$65</definedName>
    <definedName name="OSRRefD22x_0" localSheetId="64">'Div 6'!$D$60:$D$69,'Div 6'!$D$71:$D$80,'Div 6'!$D$82,'Div 6'!$D$84,'Div 6'!$D$86,'Div 6'!$D$88,'Div 6'!$D$90,'Div 6'!$D$92,'Div 6'!$D$94:$D$95,'Div 6'!$D$97:$D$98,'Div 6'!$D$100,'Div 6'!$D$102</definedName>
    <definedName name="OSRRefD22x_0" localSheetId="2">Summary!$D$199:$D$208,Summary!$D$210:$D$219,Summary!$D$221,Summary!$D$223:$D$224,Summary!$D$226,Summary!$D$228:$D$231,Summary!$D$233:$D$234,Summary!$D$236:$D$238,Summary!$D$240,Summary!$D$242,Summary!$D$244:$D$245,Summary!$D$247:$D$248,Summary!$D$250,Summary!$D$252,Summary!$D$254,Summary!$D$256,Summary!$D$258,Summary!$D$260,Summary!$D$262:$D$265,Summary!$D$267:$D$270,Summary!$D$272:$D$277,Summary!$D$279:$D$280,Summary!$D$282:$D$291,Summary!$D$293:$D$294,Summary!$D$296,Summary!$D$298:$D$300,Summary!$D$302</definedName>
    <definedName name="OSRRefD25x_0" localSheetId="48">'300'!$D$255:$D$263</definedName>
    <definedName name="OSRRefD25x_0" localSheetId="49">'300 &amp; 317'!$D$280:$D$290</definedName>
    <definedName name="OSRRefD25x_0" localSheetId="50">'301'!$D$102:$D$105</definedName>
    <definedName name="OSRRefD25x_0" localSheetId="55">'308'!$D$119:$D$122</definedName>
    <definedName name="OSRRefD25x_0" localSheetId="75">'310 &amp; 491'!$D$137:$D$140</definedName>
    <definedName name="OSRRefD25x_0" localSheetId="56">'311'!$D$119:$D$122</definedName>
    <definedName name="OSRRefD25x_0" localSheetId="59">'315'!$D$117:$D$119</definedName>
    <definedName name="OSRRefD25x_0" localSheetId="62">'316'!$D$84:$D$85</definedName>
    <definedName name="OSRRefD25x_0" localSheetId="65">'317'!$D$105:$D$107</definedName>
    <definedName name="OSRRefD25x_0" localSheetId="63">'320'!$D$65:$D$69</definedName>
    <definedName name="OSRRefD25x_0" localSheetId="58">'331'!$D$150:$D$152</definedName>
    <definedName name="OSRRefD25x_0" localSheetId="61">'332'!$D$96:$D$102</definedName>
    <definedName name="OSRRefD25x_0" localSheetId="79">'411'!$D$90:$D$91</definedName>
    <definedName name="OSRRefD25x_0" localSheetId="82">'413'!$D$77</definedName>
    <definedName name="OSRRefD25x_0" localSheetId="86">'423'!$D$51</definedName>
    <definedName name="OSRRefD25x_0" localSheetId="87">'424'!$D$73</definedName>
    <definedName name="OSRRefD25x_0" localSheetId="88">'425'!$D$89</definedName>
    <definedName name="OSRRefD25x_0" localSheetId="89">'455'!$D$41:$D$44</definedName>
    <definedName name="OSRRefD25x_0" localSheetId="76">'491'!$D$124:$D$127</definedName>
    <definedName name="OSRRefD25x_0" localSheetId="98">'501'!$D$68</definedName>
    <definedName name="OSRRefD25x_0" localSheetId="47">'Div 3'!$D$268:$D$276</definedName>
    <definedName name="OSRRefD25x_0" localSheetId="74">'Div 4'!$D$131:$D$134</definedName>
    <definedName name="OSRRefD25x_0" localSheetId="97">'Div 5'!$D$68</definedName>
    <definedName name="OSRRefD25x_0" localSheetId="64">'Div 6'!$D$105:$D$107</definedName>
    <definedName name="OSRRefD25x_0" localSheetId="2">Summary!$D$305:$D$316</definedName>
    <definedName name="OSRRefH13x_0" localSheetId="48">'300'!$H$13:$H$102</definedName>
    <definedName name="OSRRefH13x_0" localSheetId="49">'300 &amp; 317'!$H$13:$H$120</definedName>
    <definedName name="OSRRefH13x_0" localSheetId="53">'307'!$H$13:$H$43</definedName>
    <definedName name="OSRRefH13x_0" localSheetId="55">'308'!$H$13:$H$39</definedName>
    <definedName name="OSRRefH13x_0" localSheetId="68">'309'!$H$13:$H$15</definedName>
    <definedName name="OSRRefH13x_0" localSheetId="67">'310'!$H$13:$H$22</definedName>
    <definedName name="OSRRefH13x_0" localSheetId="75">'310 &amp; 491'!$H$13:$H$29</definedName>
    <definedName name="OSRRefH13x_0" localSheetId="56">'311'!$H$13:$H$39</definedName>
    <definedName name="OSRRefH13x_0" localSheetId="69">'313'!$H$13:$H$18</definedName>
    <definedName name="OSRRefH13x_0" localSheetId="54">'314'!$H$13:$H$34</definedName>
    <definedName name="OSRRefH13x_0" localSheetId="59">'315'!$H$13:$H$33</definedName>
    <definedName name="OSRRefH13x_0" localSheetId="62">'316'!$H$13:$H$25</definedName>
    <definedName name="OSRRefH13x_0" localSheetId="65">'317'!$H$13:$H$38</definedName>
    <definedName name="OSRRefH13x_0" localSheetId="63">'320'!$H$13:$H$15</definedName>
    <definedName name="OSRRefH13x_0" localSheetId="70">'321'!$H$13:$H$15</definedName>
    <definedName name="OSRRefH13x_0" localSheetId="71">'322'!$H$13:$H$15</definedName>
    <definedName name="OSRRefH13x_0" localSheetId="57">'324'!$H$13:$H$15</definedName>
    <definedName name="OSRRefH13x_0" localSheetId="72">'325'!$H$13:$H$15</definedName>
    <definedName name="OSRRefH13x_0" localSheetId="60">'326'!$H$13:$H$32</definedName>
    <definedName name="OSRRefH13x_0" localSheetId="73">'327'!$H$13:$H$14</definedName>
    <definedName name="OSRRefH13x_0" localSheetId="52">'330'!$H$13:$H$48</definedName>
    <definedName name="OSRRefH13x_0" localSheetId="58">'331'!$H$13:$H$40</definedName>
    <definedName name="OSRRefH13x_0" localSheetId="61">'332'!$H$13:$H$28</definedName>
    <definedName name="OSRRefH13x_0" localSheetId="77">'405'!$H$13:$H$15</definedName>
    <definedName name="OSRRefH13x_0" localSheetId="78">'406'!$H$13:$H$16</definedName>
    <definedName name="OSRRefH13x_0" localSheetId="80">'412'!$H$13:$H$16</definedName>
    <definedName name="OSRRefH13x_0" localSheetId="82">'413'!$H$13:$H$16</definedName>
    <definedName name="OSRRefH13x_0" localSheetId="83">'414'!$H$13:$H$16</definedName>
    <definedName name="OSRRefH13x_0" localSheetId="84">'415'!$H$13:$H$15</definedName>
    <definedName name="OSRRefH13x_0" localSheetId="85">'418'!$H$13:$H$16</definedName>
    <definedName name="OSRRefH13x_0" localSheetId="81">'420'!$H$13:$H$14</definedName>
    <definedName name="OSRRefH13x_0" localSheetId="87">'424'!$H$13:$H$15</definedName>
    <definedName name="OSRRefH13x_0" localSheetId="88">'425'!$H$13:$H$16</definedName>
    <definedName name="OSRRefH13x_0" localSheetId="92">'433'!$H$13:$H$16</definedName>
    <definedName name="OSRRefH13x_0" localSheetId="93">'435'!$H$13:$H$16</definedName>
    <definedName name="OSRRefH13x_0" localSheetId="94">'444'!$H$13:$H$16</definedName>
    <definedName name="OSRRefH13x_0" localSheetId="96">'450'!$H$13:$H$16</definedName>
    <definedName name="OSRRefH13x_0" localSheetId="76">'491'!$H$13:$H$23</definedName>
    <definedName name="OSRRefH13x_0" localSheetId="90">'492'!$H$13:$H$18</definedName>
    <definedName name="OSRRefH13x_0" localSheetId="98">'501'!$H$13</definedName>
    <definedName name="OSRRefH13x_0" localSheetId="47">'Div 3'!$H$13:$H$106</definedName>
    <definedName name="OSRRefH13x_0" localSheetId="74">'Div 4'!$H$13:$H$24</definedName>
    <definedName name="OSRRefH13x_0" localSheetId="97">'Div 5'!$H$13</definedName>
    <definedName name="OSRRefH13x_0" localSheetId="64">'Div 6'!$H$13:$H$38</definedName>
    <definedName name="OSRRefH13x_0" localSheetId="2">Summary!$H$13:$H$131</definedName>
    <definedName name="OSRRefH16x_0" localSheetId="48">'300'!$H$105:$H$155</definedName>
    <definedName name="OSRRefH16x_0" localSheetId="49">'300 &amp; 317'!$H$123:$H$180</definedName>
    <definedName name="OSRRefH16x_0" localSheetId="53">'307'!$H$46:$H$65</definedName>
    <definedName name="OSRRefH16x_0" localSheetId="55">'308'!$H$42:$H$57</definedName>
    <definedName name="OSRRefH16x_0" localSheetId="68">'309'!$H$18:$H$20</definedName>
    <definedName name="OSRRefH16x_0" localSheetId="67">'310'!$H$25:$H$27</definedName>
    <definedName name="OSRRefH16x_0" localSheetId="75">'310 &amp; 491'!$H$32:$H$34</definedName>
    <definedName name="OSRRefH16x_0" localSheetId="56">'311'!$H$42:$H$57</definedName>
    <definedName name="OSRRefH16x_0" localSheetId="69">'313'!$H$21:$H$23</definedName>
    <definedName name="OSRRefH16x_0" localSheetId="54">'314'!$H$37:$H$52</definedName>
    <definedName name="OSRRefH16x_0" localSheetId="59">'315'!$H$36:$H$51</definedName>
    <definedName name="OSRRefH16x_0" localSheetId="65">'317'!$H$41:$H$54</definedName>
    <definedName name="OSRRefH16x_0" localSheetId="63">'320'!$H$18:$H$22</definedName>
    <definedName name="OSRRefH16x_0" localSheetId="70">'321'!$H$18:$H$20</definedName>
    <definedName name="OSRRefH16x_0" localSheetId="71">'322'!$H$18:$H$20</definedName>
    <definedName name="OSRRefH16x_0" localSheetId="57">'324'!$H$18:$H$20</definedName>
    <definedName name="OSRRefH16x_0" localSheetId="72">'325'!$H$18:$H$20</definedName>
    <definedName name="OSRRefH16x_0" localSheetId="60">'326'!$H$35:$H$49</definedName>
    <definedName name="OSRRefH16x_0" localSheetId="73">'327'!$H$17:$H$18</definedName>
    <definedName name="OSRRefH16x_0" localSheetId="52">'330'!$H$51:$H$74</definedName>
    <definedName name="OSRRefH16x_0" localSheetId="58">'331'!$H$43:$H$64</definedName>
    <definedName name="OSRRefH16x_0" localSheetId="61">'332'!$H$31:$H$35</definedName>
    <definedName name="OSRRefH16x_0" localSheetId="77">'405'!$H$18:$H$20</definedName>
    <definedName name="OSRRefH16x_0" localSheetId="78">'406'!$H$19:$H$21</definedName>
    <definedName name="OSRRefH16x_0" localSheetId="80">'412'!$H$19:$H$20</definedName>
    <definedName name="OSRRefH16x_0" localSheetId="82">'413'!$H$19:$H$21</definedName>
    <definedName name="OSRRefH16x_0" localSheetId="83">'414'!$H$19:$H$21</definedName>
    <definedName name="OSRRefH16x_0" localSheetId="84">'415'!$H$18:$H$20</definedName>
    <definedName name="OSRRefH16x_0" localSheetId="85">'418'!$H$19:$H$21</definedName>
    <definedName name="OSRRefH16x_0" localSheetId="86">'423'!$H$15</definedName>
    <definedName name="OSRRefH16x_0" localSheetId="87">'424'!$H$18:$H$20</definedName>
    <definedName name="OSRRefH16x_0" localSheetId="88">'425'!$H$19:$H$21</definedName>
    <definedName name="OSRRefH16x_0" localSheetId="92">'433'!$H$19:$H$21</definedName>
    <definedName name="OSRRefH16x_0" localSheetId="93">'435'!$H$19:$H$21</definedName>
    <definedName name="OSRRefH16x_0" localSheetId="94">'444'!$H$19:$H$21</definedName>
    <definedName name="OSRRefH16x_0" localSheetId="96">'450'!$H$19:$H$21</definedName>
    <definedName name="OSRRefH16x_0" localSheetId="76">'491'!$H$26:$H$28</definedName>
    <definedName name="OSRRefH16x_0" localSheetId="90">'492'!$H$21:$H$23</definedName>
    <definedName name="OSRRefH16x_0" localSheetId="47">'Div 3'!$H$109:$H$161</definedName>
    <definedName name="OSRRefH16x_0" localSheetId="74">'Div 4'!$H$27:$H$29</definedName>
    <definedName name="OSRRefH16x_0" localSheetId="64">'Div 6'!$H$41:$H$54</definedName>
    <definedName name="OSRRefH16x_0" localSheetId="2">Summary!$H$134:$H$193</definedName>
    <definedName name="OSRRefH22_0x_0" localSheetId="40">'200'!$H$20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'204'!$H$20:$H$29</definedName>
    <definedName name="OSRRefH22_0x_0" localSheetId="45">'205'!$H$20:$H$28</definedName>
    <definedName name="OSRRefH22_0x_0" localSheetId="46">'206'!$H$20:$H$28</definedName>
    <definedName name="OSRRefH22_0x_0" localSheetId="48">'300'!$H$161:$H$170</definedName>
    <definedName name="OSRRefH22_0x_0" localSheetId="49">'300 &amp; 317'!$H$186:$H$195</definedName>
    <definedName name="OSRRefH22_0x_0" localSheetId="50">'301'!$H$20:$H$28</definedName>
    <definedName name="OSRRefH22_0x_0" localSheetId="51">'306'!$H$20:$H$28</definedName>
    <definedName name="OSRRefH22_0x_0" localSheetId="53">'307'!$H$71:$H$79</definedName>
    <definedName name="OSRRefH22_0x_0" localSheetId="55">'308'!$H$63:$H$72</definedName>
    <definedName name="OSRRefH22_0x_0" localSheetId="68">'309'!$H$26:$H$34</definedName>
    <definedName name="OSRRefH22_0x_0" localSheetId="67">'310'!$H$33:$H$41</definedName>
    <definedName name="OSRRefH22_0x_0" localSheetId="75">'310 &amp; 491'!$H$40:$H$49</definedName>
    <definedName name="OSRRefH22_0x_0" localSheetId="56">'311'!$H$63:$H$72</definedName>
    <definedName name="OSRRefH22_0x_0" localSheetId="69">'313'!$H$29:$H$37</definedName>
    <definedName name="OSRRefH22_0x_0" localSheetId="54">'314'!$H$58:$H$65</definedName>
    <definedName name="OSRRefH22_0x_0" localSheetId="59">'315'!$H$57:$H$65</definedName>
    <definedName name="OSRRefH22_0x_0" localSheetId="62">'316'!$H$33:$H$41</definedName>
    <definedName name="OSRRefH22_0x_0" localSheetId="65">'317'!$H$60:$H$69</definedName>
    <definedName name="OSRRefH22_0x_0" localSheetId="63">'320'!$H$28:$H$35</definedName>
    <definedName name="OSRRefH22_0x_0" localSheetId="70">'321'!$H$26:$H$33</definedName>
    <definedName name="OSRRefH22_0x_0" localSheetId="71">'322'!$H$26:$H$34</definedName>
    <definedName name="OSRRefH22_0x_0" localSheetId="72">'325'!$H$26:$H$34</definedName>
    <definedName name="OSRRefH22_0x_0" localSheetId="60">'326'!$H$55:$H$63</definedName>
    <definedName name="OSRRefH22_0x_0" localSheetId="73">'327'!$H$24</definedName>
    <definedName name="OSRRefH22_0x_0" localSheetId="52">'330'!$H$80:$H$88</definedName>
    <definedName name="OSRRefH22_0x_0" localSheetId="58">'331'!$H$70:$H$78</definedName>
    <definedName name="OSRRefH22_0x_0" localSheetId="61">'332'!$H$41:$H$49</definedName>
    <definedName name="OSRRefH22_0x_0" localSheetId="77">'405'!$H$26:$H$34</definedName>
    <definedName name="OSRRefH22_0x_0" localSheetId="78">'406'!$H$27:$H$35</definedName>
    <definedName name="OSRRefH22_0x_0" localSheetId="79">'411'!$H$20:$H$29</definedName>
    <definedName name="OSRRefH22_0x_0" localSheetId="80">'412'!$H$26:$H$34</definedName>
    <definedName name="OSRRefH22_0x_0" localSheetId="82">'413'!$H$27:$H$35</definedName>
    <definedName name="OSRRefH22_0x_0" localSheetId="83">'414'!$H$27:$H$35</definedName>
    <definedName name="OSRRefH22_0x_0" localSheetId="84">'415'!$H$26:$H$34</definedName>
    <definedName name="OSRRefH22_0x_0" localSheetId="85">'418'!$H$27:$H$35</definedName>
    <definedName name="OSRRefH22_0x_0" localSheetId="81">'420'!$H$22:$H$28</definedName>
    <definedName name="OSRRefH22_0x_0" localSheetId="86">'423'!$H$21:$H$29</definedName>
    <definedName name="OSRRefH22_0x_0" localSheetId="87">'424'!$H$26:$H$33</definedName>
    <definedName name="OSRRefH22_0x_0" localSheetId="88">'425'!$H$27:$H$35</definedName>
    <definedName name="OSRRefH22_0x_0" localSheetId="91">'430'!$H$20:$H$28</definedName>
    <definedName name="OSRRefH22_0x_0" localSheetId="92">'433'!$H$27:$H$36</definedName>
    <definedName name="OSRRefH22_0x_0" localSheetId="93">'435'!$H$27:$H$34</definedName>
    <definedName name="OSRRefH22_0x_0" localSheetId="94">'444'!$H$27:$H$36</definedName>
    <definedName name="OSRRefH22_0x_0" localSheetId="96">'450'!$H$27:$H$36</definedName>
    <definedName name="OSRRefH22_0x_0" localSheetId="89">'455'!$H$20:$H$27</definedName>
    <definedName name="OSRRefH22_0x_0" localSheetId="76">'491'!$H$34:$H$43</definedName>
    <definedName name="OSRRefH22_0x_0" localSheetId="90">'492'!$H$29:$H$38</definedName>
    <definedName name="OSRRefH22_0x_0" localSheetId="98">'501'!$H$21:$H$29</definedName>
    <definedName name="OSRRefH22_0x_0" localSheetId="39">'Div 2'!$H$20:$H$30</definedName>
    <definedName name="OSRRefH22_0x_0" localSheetId="47">'Div 3'!$H$167:$H$176</definedName>
    <definedName name="OSRRefH22_0x_0" localSheetId="74">'Div 4'!$H$35:$H$44</definedName>
    <definedName name="OSRRefH22_0x_0" localSheetId="97">'Div 5'!$H$21:$H$29</definedName>
    <definedName name="OSRRefH22_0x_0" localSheetId="64">'Div 6'!$H$60:$H$69</definedName>
    <definedName name="OSRRefH22_0x_0" localSheetId="2">Summary!$H$199:$H$208</definedName>
    <definedName name="OSRRefH22_10x_0" localSheetId="41">'201'!$H$58:$H$60</definedName>
    <definedName name="OSRRefH22_10x_0" localSheetId="42">'202'!$H$59</definedName>
    <definedName name="OSRRefH22_10x_0" localSheetId="43">'203'!$H$59:$H$60</definedName>
    <definedName name="OSRRefH22_10x_0" localSheetId="44">'204'!$H$61:$H$62</definedName>
    <definedName name="OSRRefH22_10x_0" localSheetId="46">'206'!$H$58</definedName>
    <definedName name="OSRRefH22_10x_0" localSheetId="48">'300'!$H$205:$H$206</definedName>
    <definedName name="OSRRefH22_10x_0" localSheetId="49">'300 &amp; 317'!$H$230:$H$231</definedName>
    <definedName name="OSRRefH22_10x_0" localSheetId="50">'301'!$H$63</definedName>
    <definedName name="OSRRefH22_10x_0" localSheetId="51">'306'!$H$61</definedName>
    <definedName name="OSRRefH22_10x_0" localSheetId="53">'307'!$H$111:$H$112</definedName>
    <definedName name="OSRRefH22_10x_0" localSheetId="55">'308'!$H$104</definedName>
    <definedName name="OSRRefH22_10x_0" localSheetId="68">'309'!$H$67:$H$69</definedName>
    <definedName name="OSRRefH22_10x_0" localSheetId="67">'310'!$H$72</definedName>
    <definedName name="OSRRefH22_10x_0" localSheetId="75">'310 &amp; 491'!$H$81</definedName>
    <definedName name="OSRRefH22_10x_0" localSheetId="56">'311'!$H$104</definedName>
    <definedName name="OSRRefH22_10x_0" localSheetId="69">'313'!$H$66:$H$68</definedName>
    <definedName name="OSRRefH22_10x_0" localSheetId="59">'315'!$H$96:$H$98</definedName>
    <definedName name="OSRRefH22_10x_0" localSheetId="62">'316'!$H$70:$H$71</definedName>
    <definedName name="OSRRefH22_10x_0" localSheetId="65">'317'!$H$100</definedName>
    <definedName name="OSRRefH22_10x_0" localSheetId="70">'321'!$H$64:$H$65</definedName>
    <definedName name="OSRRefH22_10x_0" localSheetId="71">'322'!$H$66:$H$68</definedName>
    <definedName name="OSRRefH22_10x_0" localSheetId="72">'325'!$H$65</definedName>
    <definedName name="OSRRefH22_10x_0" localSheetId="60">'326'!$H$93</definedName>
    <definedName name="OSRRefH22_10x_0" localSheetId="52">'330'!$H$119:$H$120</definedName>
    <definedName name="OSRRefH22_10x_0" localSheetId="58">'331'!$H$110</definedName>
    <definedName name="OSRRefH22_10x_0" localSheetId="61">'332'!$H$79</definedName>
    <definedName name="OSRRefH22_10x_0" localSheetId="77">'405'!$H$65:$H$67</definedName>
    <definedName name="OSRRefH22_10x_0" localSheetId="78">'406'!$H$69:$H$74</definedName>
    <definedName name="OSRRefH22_10x_0" localSheetId="79">'411'!$H$61:$H$63</definedName>
    <definedName name="OSRRefH22_10x_0" localSheetId="80">'412'!$H$66:$H$68</definedName>
    <definedName name="OSRRefH22_10x_0" localSheetId="82">'413'!$H$71:$H$72</definedName>
    <definedName name="OSRRefH22_10x_0" localSheetId="83">'414'!$H$66</definedName>
    <definedName name="OSRRefH22_10x_0" localSheetId="84">'415'!$H$65</definedName>
    <definedName name="OSRRefH22_10x_0" localSheetId="85">'418'!$H$69:$H$71</definedName>
    <definedName name="OSRRefH22_10x_0" localSheetId="87">'424'!$H$64:$H$67</definedName>
    <definedName name="OSRRefH22_10x_0" localSheetId="88">'425'!$H$67:$H$68</definedName>
    <definedName name="OSRRefH22_10x_0" localSheetId="91">'430'!$H$59</definedName>
    <definedName name="OSRRefH22_10x_0" localSheetId="92">'433'!$H$65:$H$67</definedName>
    <definedName name="OSRRefH22_10x_0" localSheetId="94">'444'!$H$65</definedName>
    <definedName name="OSRRefH22_10x_0" localSheetId="96">'450'!$H$66</definedName>
    <definedName name="OSRRefH22_10x_0" localSheetId="76">'491'!$H$76</definedName>
    <definedName name="OSRRefH22_10x_0" localSheetId="90">'492'!$H$69</definedName>
    <definedName name="OSRRefH22_10x_0" localSheetId="98">'501'!$H$58:$H$59</definedName>
    <definedName name="OSRRefH22_10x_0" localSheetId="39">'Div 2'!$H$60</definedName>
    <definedName name="OSRRefH22_10x_0" localSheetId="47">'Div 3'!$H$211:$H$212</definedName>
    <definedName name="OSRRefH22_10x_0" localSheetId="74">'Div 4'!$H$78:$H$79</definedName>
    <definedName name="OSRRefH22_10x_0" localSheetId="97">'Div 5'!$H$58:$H$59</definedName>
    <definedName name="OSRRefH22_10x_0" localSheetId="64">'Div 6'!$H$100</definedName>
    <definedName name="OSRRefH22_10x_0" localSheetId="2">Summary!$H$244:$H$245</definedName>
    <definedName name="OSRRefH22_11x_0" localSheetId="41">'201'!$H$62:$H$64</definedName>
    <definedName name="OSRRefH22_11x_0" localSheetId="42">'202'!$H$61:$H$62</definedName>
    <definedName name="OSRRefH22_11x_0" localSheetId="43">'203'!$H$62</definedName>
    <definedName name="OSRRefH22_11x_0" localSheetId="44">'204'!$H$64</definedName>
    <definedName name="OSRRefH22_11x_0" localSheetId="48">'300'!$H$208</definedName>
    <definedName name="OSRRefH22_11x_0" localSheetId="49">'300 &amp; 317'!$H$233</definedName>
    <definedName name="OSRRefH22_11x_0" localSheetId="50">'301'!$H$65</definedName>
    <definedName name="OSRRefH22_11x_0" localSheetId="53">'307'!$H$114</definedName>
    <definedName name="OSRRefH22_11x_0" localSheetId="55">'308'!$H$106:$H$108</definedName>
    <definedName name="OSRRefH22_11x_0" localSheetId="68">'309'!$H$71</definedName>
    <definedName name="OSRRefH22_11x_0" localSheetId="67">'310'!$H$74</definedName>
    <definedName name="OSRRefH22_11x_0" localSheetId="75">'310 &amp; 491'!$H$83:$H$84</definedName>
    <definedName name="OSRRefH22_11x_0" localSheetId="56">'311'!$H$106:$H$108</definedName>
    <definedName name="OSRRefH22_11x_0" localSheetId="69">'313'!$H$70</definedName>
    <definedName name="OSRRefH22_11x_0" localSheetId="59">'315'!$H$100:$H$101</definedName>
    <definedName name="OSRRefH22_11x_0" localSheetId="62">'316'!$H$73:$H$76</definedName>
    <definedName name="OSRRefH22_11x_0" localSheetId="65">'317'!$H$102</definedName>
    <definedName name="OSRRefH22_11x_0" localSheetId="70">'321'!$H$67:$H$69</definedName>
    <definedName name="OSRRefH22_11x_0" localSheetId="71">'322'!$H$70:$H$74</definedName>
    <definedName name="OSRRefH22_11x_0" localSheetId="72">'325'!$H$67:$H$69</definedName>
    <definedName name="OSRRefH22_11x_0" localSheetId="60">'326'!$H$95</definedName>
    <definedName name="OSRRefH22_11x_0" localSheetId="52">'330'!$H$122</definedName>
    <definedName name="OSRRefH22_11x_0" localSheetId="58">'331'!$H$112</definedName>
    <definedName name="OSRRefH22_11x_0" localSheetId="61">'332'!$H$81:$H$82</definedName>
    <definedName name="OSRRefH22_11x_0" localSheetId="77">'405'!$H$69</definedName>
    <definedName name="OSRRefH22_11x_0" localSheetId="78">'406'!$H$76:$H$77</definedName>
    <definedName name="OSRRefH22_11x_0" localSheetId="79">'411'!$H$65:$H$69</definedName>
    <definedName name="OSRRefH22_11x_0" localSheetId="80">'412'!$H$70:$H$75</definedName>
    <definedName name="OSRRefH22_11x_0" localSheetId="82">'413'!$H$74</definedName>
    <definedName name="OSRRefH22_11x_0" localSheetId="83">'414'!$H$68</definedName>
    <definedName name="OSRRefH22_11x_0" localSheetId="84">'415'!$H$67:$H$69</definedName>
    <definedName name="OSRRefH22_11x_0" localSheetId="85">'418'!$H$73</definedName>
    <definedName name="OSRRefH22_11x_0" localSheetId="87">'424'!$H$69:$H$70</definedName>
    <definedName name="OSRRefH22_11x_0" localSheetId="88">'425'!$H$70:$H$71</definedName>
    <definedName name="OSRRefH22_11x_0" localSheetId="92">'433'!$H$69:$H$72</definedName>
    <definedName name="OSRRefH22_11x_0" localSheetId="94">'444'!$H$67:$H$69</definedName>
    <definedName name="OSRRefH22_11x_0" localSheetId="96">'450'!$H$68:$H$70</definedName>
    <definedName name="OSRRefH22_11x_0" localSheetId="76">'491'!$H$78</definedName>
    <definedName name="OSRRefH22_11x_0" localSheetId="90">'492'!$H$71</definedName>
    <definedName name="OSRRefH22_11x_0" localSheetId="98">'501'!$H$61:$H$63</definedName>
    <definedName name="OSRRefH22_11x_0" localSheetId="39">'Div 2'!$H$62</definedName>
    <definedName name="OSRRefH22_11x_0" localSheetId="47">'Div 3'!$H$214</definedName>
    <definedName name="OSRRefH22_11x_0" localSheetId="74">'Div 4'!$H$81</definedName>
    <definedName name="OSRRefH22_11x_0" localSheetId="97">'Div 5'!$H$61:$H$63</definedName>
    <definedName name="OSRRefH22_11x_0" localSheetId="64">'Div 6'!$H$102</definedName>
    <definedName name="OSRRefH22_11x_0" localSheetId="2">Summary!$H$247:$H$248</definedName>
    <definedName name="OSRRefH22_12x_0" localSheetId="41">'201'!$H$66</definedName>
    <definedName name="OSRRefH22_12x_0" localSheetId="42">'202'!$H$64</definedName>
    <definedName name="OSRRefH22_12x_0" localSheetId="43">'203'!$H$64:$H$66</definedName>
    <definedName name="OSRRefH22_12x_0" localSheetId="44">'204'!$H$66:$H$67</definedName>
    <definedName name="OSRRefH22_12x_0" localSheetId="48">'300'!$H$210</definedName>
    <definedName name="OSRRefH22_12x_0" localSheetId="49">'300 &amp; 317'!$H$235</definedName>
    <definedName name="OSRRefH22_12x_0" localSheetId="50">'301'!$H$67</definedName>
    <definedName name="OSRRefH22_12x_0" localSheetId="53">'307'!$H$116</definedName>
    <definedName name="OSRRefH22_12x_0" localSheetId="55">'308'!$H$110:$H$111</definedName>
    <definedName name="OSRRefH22_12x_0" localSheetId="68">'309'!$H$73</definedName>
    <definedName name="OSRRefH22_12x_0" localSheetId="67">'310'!$H$76</definedName>
    <definedName name="OSRRefH22_12x_0" localSheetId="75">'310 &amp; 491'!$H$86</definedName>
    <definedName name="OSRRefH22_12x_0" localSheetId="56">'311'!$H$110:$H$111</definedName>
    <definedName name="OSRRefH22_12x_0" localSheetId="69">'313'!$H$72:$H$76</definedName>
    <definedName name="OSRRefH22_12x_0" localSheetId="59">'315'!$H$103:$H$107</definedName>
    <definedName name="OSRRefH22_12x_0" localSheetId="62">'316'!$H$78:$H$79</definedName>
    <definedName name="OSRRefH22_12x_0" localSheetId="70">'321'!$H$71:$H$73</definedName>
    <definedName name="OSRRefH22_12x_0" localSheetId="71">'322'!$H$76</definedName>
    <definedName name="OSRRefH22_12x_0" localSheetId="72">'325'!$H$71:$H$74</definedName>
    <definedName name="OSRRefH22_12x_0" localSheetId="60">'326'!$H$97</definedName>
    <definedName name="OSRRefH22_12x_0" localSheetId="52">'330'!$H$124:$H$125</definedName>
    <definedName name="OSRRefH22_12x_0" localSheetId="58">'331'!$H$114</definedName>
    <definedName name="OSRRefH22_12x_0" localSheetId="61">'332'!$H$84:$H$88</definedName>
    <definedName name="OSRRefH22_12x_0" localSheetId="77">'405'!$H$71:$H$73</definedName>
    <definedName name="OSRRefH22_12x_0" localSheetId="78">'406'!$H$79</definedName>
    <definedName name="OSRRefH22_12x_0" localSheetId="79">'411'!$H$71:$H$77</definedName>
    <definedName name="OSRRefH22_12x_0" localSheetId="80">'412'!$H$77</definedName>
    <definedName name="OSRRefH22_12x_0" localSheetId="83">'414'!$H$70</definedName>
    <definedName name="OSRRefH22_12x_0" localSheetId="84">'415'!$H$71:$H$75</definedName>
    <definedName name="OSRRefH22_12x_0" localSheetId="85">'418'!$H$75:$H$81</definedName>
    <definedName name="OSRRefH22_12x_0" localSheetId="88">'425'!$H$73:$H$79</definedName>
    <definedName name="OSRRefH22_12x_0" localSheetId="92">'433'!$H$74:$H$81</definedName>
    <definedName name="OSRRefH22_12x_0" localSheetId="94">'444'!$H$71:$H$74</definedName>
    <definedName name="OSRRefH22_12x_0" localSheetId="96">'450'!$H$72:$H$74</definedName>
    <definedName name="OSRRefH22_12x_0" localSheetId="76">'491'!$H$80</definedName>
    <definedName name="OSRRefH22_12x_0" localSheetId="90">'492'!$H$73:$H$76</definedName>
    <definedName name="OSRRefH22_12x_0" localSheetId="98">'501'!$H$65</definedName>
    <definedName name="OSRRefH22_12x_0" localSheetId="39">'Div 2'!$H$64:$H$66</definedName>
    <definedName name="OSRRefH22_12x_0" localSheetId="47">'Div 3'!$H$216</definedName>
    <definedName name="OSRRefH22_12x_0" localSheetId="74">'Div 4'!$H$83</definedName>
    <definedName name="OSRRefH22_12x_0" localSheetId="97">'Div 5'!$H$65</definedName>
    <definedName name="OSRRefH22_12x_0" localSheetId="2">Summary!$H$250</definedName>
    <definedName name="OSRRefH22_13x_0" localSheetId="41">'201'!$H$68:$H$70</definedName>
    <definedName name="OSRRefH22_13x_0" localSheetId="42">'202'!$H$66</definedName>
    <definedName name="OSRRefH22_13x_0" localSheetId="43">'203'!$H$68</definedName>
    <definedName name="OSRRefH22_13x_0" localSheetId="48">'300'!$H$212</definedName>
    <definedName name="OSRRefH22_13x_0" localSheetId="49">'300 &amp; 317'!$H$237</definedName>
    <definedName name="OSRRefH22_13x_0" localSheetId="50">'301'!$H$69</definedName>
    <definedName name="OSRRefH22_13x_0" localSheetId="55">'308'!$H$113</definedName>
    <definedName name="OSRRefH22_13x_0" localSheetId="67">'310'!$H$78</definedName>
    <definedName name="OSRRefH22_13x_0" localSheetId="75">'310 &amp; 491'!$H$88</definedName>
    <definedName name="OSRRefH22_13x_0" localSheetId="56">'311'!$H$113</definedName>
    <definedName name="OSRRefH22_13x_0" localSheetId="69">'313'!$H$78</definedName>
    <definedName name="OSRRefH22_13x_0" localSheetId="59">'315'!$H$109</definedName>
    <definedName name="OSRRefH22_13x_0" localSheetId="62">'316'!$H$81</definedName>
    <definedName name="OSRRefH22_13x_0" localSheetId="70">'321'!$H$75</definedName>
    <definedName name="OSRRefH22_13x_0" localSheetId="71">'322'!$H$78</definedName>
    <definedName name="OSRRefH22_13x_0" localSheetId="72">'325'!$H$76</definedName>
    <definedName name="OSRRefH22_13x_0" localSheetId="60">'326'!$H$99:$H$100</definedName>
    <definedName name="OSRRefH22_13x_0" localSheetId="52">'330'!$H$127</definedName>
    <definedName name="OSRRefH22_13x_0" localSheetId="58">'331'!$H$116</definedName>
    <definedName name="OSRRefH22_13x_0" localSheetId="61">'332'!$H$90:$H$91</definedName>
    <definedName name="OSRRefH22_13x_0" localSheetId="77">'405'!$H$75</definedName>
    <definedName name="OSRRefH22_13x_0" localSheetId="78">'406'!$H$81</definedName>
    <definedName name="OSRRefH22_13x_0" localSheetId="79">'411'!$H$79</definedName>
    <definedName name="OSRRefH22_13x_0" localSheetId="80">'412'!$H$79</definedName>
    <definedName name="OSRRefH22_13x_0" localSheetId="83">'414'!$H$72:$H$78</definedName>
    <definedName name="OSRRefH22_13x_0" localSheetId="84">'415'!$H$77</definedName>
    <definedName name="OSRRefH22_13x_0" localSheetId="85">'418'!$H$83</definedName>
    <definedName name="OSRRefH22_13x_0" localSheetId="88">'425'!$H$81:$H$82</definedName>
    <definedName name="OSRRefH22_13x_0" localSheetId="92">'433'!$H$83</definedName>
    <definedName name="OSRRefH22_13x_0" localSheetId="94">'444'!$H$76:$H$83</definedName>
    <definedName name="OSRRefH22_13x_0" localSheetId="96">'450'!$H$76:$H$81</definedName>
    <definedName name="OSRRefH22_13x_0" localSheetId="76">'491'!$H$82</definedName>
    <definedName name="OSRRefH22_13x_0" localSheetId="90">'492'!$H$78:$H$81</definedName>
    <definedName name="OSRRefH22_13x_0" localSheetId="39">'Div 2'!$H$68:$H$71</definedName>
    <definedName name="OSRRefH22_13x_0" localSheetId="47">'Div 3'!$H$218</definedName>
    <definedName name="OSRRefH22_13x_0" localSheetId="74">'Div 4'!$H$85</definedName>
    <definedName name="OSRRefH22_13x_0" localSheetId="2">Summary!$H$252</definedName>
    <definedName name="OSRRefH22_14x_0" localSheetId="41">'201'!$H$72</definedName>
    <definedName name="OSRRefH22_14x_0" localSheetId="42">'202'!$H$68:$H$69</definedName>
    <definedName name="OSRRefH22_14x_0" localSheetId="43">'203'!$H$70</definedName>
    <definedName name="OSRRefH22_14x_0" localSheetId="48">'300'!$H$214</definedName>
    <definedName name="OSRRefH22_14x_0" localSheetId="49">'300 &amp; 317'!$H$239</definedName>
    <definedName name="OSRRefH22_14x_0" localSheetId="50">'301'!$H$71</definedName>
    <definedName name="OSRRefH22_14x_0" localSheetId="55">'308'!$H$115:$H$116</definedName>
    <definedName name="OSRRefH22_14x_0" localSheetId="67">'310'!$H$80</definedName>
    <definedName name="OSRRefH22_14x_0" localSheetId="75">'310 &amp; 491'!$H$90</definedName>
    <definedName name="OSRRefH22_14x_0" localSheetId="56">'311'!$H$115:$H$116</definedName>
    <definedName name="OSRRefH22_14x_0" localSheetId="69">'313'!$H$80</definedName>
    <definedName name="OSRRefH22_14x_0" localSheetId="59">'315'!$H$111</definedName>
    <definedName name="OSRRefH22_14x_0" localSheetId="70">'321'!$H$77</definedName>
    <definedName name="OSRRefH22_14x_0" localSheetId="72">'325'!$H$78:$H$84</definedName>
    <definedName name="OSRRefH22_14x_0" localSheetId="60">'326'!$H$102:$H$104</definedName>
    <definedName name="OSRRefH22_14x_0" localSheetId="52">'330'!$H$129</definedName>
    <definedName name="OSRRefH22_14x_0" localSheetId="58">'331'!$H$118:$H$119</definedName>
    <definedName name="OSRRefH22_14x_0" localSheetId="61">'332'!$H$93</definedName>
    <definedName name="OSRRefH22_14x_0" localSheetId="77">'405'!$H$77:$H$85</definedName>
    <definedName name="OSRRefH22_14x_0" localSheetId="79">'411'!$H$81</definedName>
    <definedName name="OSRRefH22_14x_0" localSheetId="83">'414'!$H$80</definedName>
    <definedName name="OSRRefH22_14x_0" localSheetId="84">'415'!$H$79:$H$86</definedName>
    <definedName name="OSRRefH22_14x_0" localSheetId="85">'418'!$H$85</definedName>
    <definedName name="OSRRefH22_14x_0" localSheetId="88">'425'!$H$84</definedName>
    <definedName name="OSRRefH22_14x_0" localSheetId="92">'433'!$H$85</definedName>
    <definedName name="OSRRefH22_14x_0" localSheetId="94">'444'!$H$85</definedName>
    <definedName name="OSRRefH22_14x_0" localSheetId="96">'450'!$H$83</definedName>
    <definedName name="OSRRefH22_14x_0" localSheetId="76">'491'!$H$84:$H$87</definedName>
    <definedName name="OSRRefH22_14x_0" localSheetId="90">'492'!$H$83:$H$91</definedName>
    <definedName name="OSRRefH22_14x_0" localSheetId="39">'Div 2'!$H$73:$H$76</definedName>
    <definedName name="OSRRefH22_14x_0" localSheetId="47">'Div 3'!$H$220</definedName>
    <definedName name="OSRRefH22_14x_0" localSheetId="74">'Div 4'!$H$87</definedName>
    <definedName name="OSRRefH22_14x_0" localSheetId="2">Summary!$H$254</definedName>
    <definedName name="OSRRefH22_15x_0" localSheetId="41">'201'!$H$74</definedName>
    <definedName name="OSRRefH22_15x_0" localSheetId="42">'202'!$H$71</definedName>
    <definedName name="OSRRefH22_15x_0" localSheetId="43">'203'!$H$72</definedName>
    <definedName name="OSRRefH22_15x_0" localSheetId="48">'300'!$H$216</definedName>
    <definedName name="OSRRefH22_15x_0" localSheetId="49">'300 &amp; 317'!$H$241</definedName>
    <definedName name="OSRRefH22_15x_0" localSheetId="50">'301'!$H$73:$H$75</definedName>
    <definedName name="OSRRefH22_15x_0" localSheetId="67">'310'!$H$82:$H$84</definedName>
    <definedName name="OSRRefH22_15x_0" localSheetId="75">'310 &amp; 491'!$H$92</definedName>
    <definedName name="OSRRefH22_15x_0" localSheetId="59">'315'!$H$113:$H$114</definedName>
    <definedName name="OSRRefH22_15x_0" localSheetId="72">'325'!$H$86</definedName>
    <definedName name="OSRRefH22_15x_0" localSheetId="60">'326'!$H$106:$H$107</definedName>
    <definedName name="OSRRefH22_15x_0" localSheetId="58">'331'!$H$121:$H$123</definedName>
    <definedName name="OSRRefH22_15x_0" localSheetId="77">'405'!$H$87</definedName>
    <definedName name="OSRRefH22_15x_0" localSheetId="79">'411'!$H$83:$H$85</definedName>
    <definedName name="OSRRefH22_15x_0" localSheetId="83">'414'!$H$82</definedName>
    <definedName name="OSRRefH22_15x_0" localSheetId="84">'415'!$H$88</definedName>
    <definedName name="OSRRefH22_15x_0" localSheetId="85">'418'!$H$87</definedName>
    <definedName name="OSRRefH22_15x_0" localSheetId="88">'425'!$H$86</definedName>
    <definedName name="OSRRefH22_15x_0" localSheetId="92">'433'!$H$87:$H$88</definedName>
    <definedName name="OSRRefH22_15x_0" localSheetId="94">'444'!$H$87</definedName>
    <definedName name="OSRRefH22_15x_0" localSheetId="96">'450'!$H$85</definedName>
    <definedName name="OSRRefH22_15x_0" localSheetId="76">'491'!$H$89:$H$91</definedName>
    <definedName name="OSRRefH22_15x_0" localSheetId="90">'492'!$H$93</definedName>
    <definedName name="OSRRefH22_15x_0" localSheetId="39">'Div 2'!$H$78:$H$79</definedName>
    <definedName name="OSRRefH22_15x_0" localSheetId="47">'Div 3'!$H$222</definedName>
    <definedName name="OSRRefH22_15x_0" localSheetId="74">'Div 4'!$H$89</definedName>
    <definedName name="OSRRefH22_15x_0" localSheetId="2">Summary!$H$256</definedName>
    <definedName name="OSRRefH22_16x_0" localSheetId="41">'201'!$H$76:$H$77</definedName>
    <definedName name="OSRRefH22_16x_0" localSheetId="42">'202'!$H$73</definedName>
    <definedName name="OSRRefH22_16x_0" localSheetId="48">'300'!$H$218:$H$220</definedName>
    <definedName name="OSRRefH22_16x_0" localSheetId="49">'300 &amp; 317'!$H$243:$H$245</definedName>
    <definedName name="OSRRefH22_16x_0" localSheetId="50">'301'!$H$77:$H$79</definedName>
    <definedName name="OSRRefH22_16x_0" localSheetId="67">'310'!$H$86:$H$87</definedName>
    <definedName name="OSRRefH22_16x_0" localSheetId="75">'310 &amp; 491'!$H$94</definedName>
    <definedName name="OSRRefH22_16x_0" localSheetId="72">'325'!$H$88</definedName>
    <definedName name="OSRRefH22_16x_0" localSheetId="60">'326'!$H$109:$H$113</definedName>
    <definedName name="OSRRefH22_16x_0" localSheetId="58">'331'!$H$125:$H$127</definedName>
    <definedName name="OSRRefH22_16x_0" localSheetId="77">'405'!$H$89</definedName>
    <definedName name="OSRRefH22_16x_0" localSheetId="79">'411'!$H$87</definedName>
    <definedName name="OSRRefH22_16x_0" localSheetId="84">'415'!$H$90</definedName>
    <definedName name="OSRRefH22_16x_0" localSheetId="94">'444'!$H$89</definedName>
    <definedName name="OSRRefH22_16x_0" localSheetId="96">'450'!$H$87:$H$88</definedName>
    <definedName name="OSRRefH22_16x_0" localSheetId="76">'491'!$H$93:$H$97</definedName>
    <definedName name="OSRRefH22_16x_0" localSheetId="90">'492'!$H$95</definedName>
    <definedName name="OSRRefH22_16x_0" localSheetId="39">'Div 2'!$H$81:$H$82</definedName>
    <definedName name="OSRRefH22_16x_0" localSheetId="47">'Div 3'!$H$224</definedName>
    <definedName name="OSRRefH22_16x_0" localSheetId="74">'Div 4'!$H$91:$H$94</definedName>
    <definedName name="OSRRefH22_16x_0" localSheetId="2">Summary!$H$258</definedName>
    <definedName name="OSRRefH22_17x_0" localSheetId="48">'300'!$H$222:$H$225</definedName>
    <definedName name="OSRRefH22_17x_0" localSheetId="49">'300 &amp; 317'!$H$247:$H$250</definedName>
    <definedName name="OSRRefH22_17x_0" localSheetId="50">'301'!$H$81:$H$82</definedName>
    <definedName name="OSRRefH22_17x_0" localSheetId="67">'310'!$H$89:$H$93</definedName>
    <definedName name="OSRRefH22_17x_0" localSheetId="75">'310 &amp; 491'!$H$96:$H$99</definedName>
    <definedName name="OSRRefH22_17x_0" localSheetId="72">'325'!$H$90</definedName>
    <definedName name="OSRRefH22_17x_0" localSheetId="60">'326'!$H$115:$H$116</definedName>
    <definedName name="OSRRefH22_17x_0" localSheetId="58">'331'!$H$129:$H$130</definedName>
    <definedName name="OSRRefH22_17x_0" localSheetId="77">'405'!$H$91</definedName>
    <definedName name="OSRRefH22_17x_0" localSheetId="84">'415'!$H$92:$H$93</definedName>
    <definedName name="OSRRefH22_17x_0" localSheetId="76">'491'!$H$99</definedName>
    <definedName name="OSRRefH22_17x_0" localSheetId="90">'492'!$H$97:$H$98</definedName>
    <definedName name="OSRRefH22_17x_0" localSheetId="39">'Div 2'!$H$84:$H$87</definedName>
    <definedName name="OSRRefH22_17x_0" localSheetId="47">'Div 3'!$H$226</definedName>
    <definedName name="OSRRefH22_17x_0" localSheetId="74">'Div 4'!$H$96:$H$98</definedName>
    <definedName name="OSRRefH22_17x_0" localSheetId="2">Summary!$H$260</definedName>
    <definedName name="OSRRefH22_18x_0" localSheetId="48">'300'!$H$227:$H$230</definedName>
    <definedName name="OSRRefH22_18x_0" localSheetId="49">'300 &amp; 317'!$H$252:$H$255</definedName>
    <definedName name="OSRRefH22_18x_0" localSheetId="50">'301'!$H$84:$H$89</definedName>
    <definedName name="OSRRefH22_18x_0" localSheetId="67">'310'!$H$95</definedName>
    <definedName name="OSRRefH22_18x_0" localSheetId="75">'310 &amp; 491'!$H$101:$H$103</definedName>
    <definedName name="OSRRefH22_18x_0" localSheetId="72">'325'!$H$92</definedName>
    <definedName name="OSRRefH22_18x_0" localSheetId="60">'326'!$H$118</definedName>
    <definedName name="OSRRefH22_18x_0" localSheetId="58">'331'!$H$132:$H$137</definedName>
    <definedName name="OSRRefH22_18x_0" localSheetId="84">'415'!$H$95</definedName>
    <definedName name="OSRRefH22_18x_0" localSheetId="76">'491'!$H$101:$H$110</definedName>
    <definedName name="OSRRefH22_18x_0" localSheetId="39">'Div 2'!$H$89:$H$90</definedName>
    <definedName name="OSRRefH22_18x_0" localSheetId="47">'Div 3'!$H$228:$H$230</definedName>
    <definedName name="OSRRefH22_18x_0" localSheetId="74">'Div 4'!$H$100:$H$104</definedName>
    <definedName name="OSRRefH22_18x_0" localSheetId="2">Summary!$H$262:$H$265</definedName>
    <definedName name="OSRRefH22_19x_0" localSheetId="48">'300'!$H$232:$H$233</definedName>
    <definedName name="OSRRefH22_19x_0" localSheetId="49">'300 &amp; 317'!$H$257:$H$258</definedName>
    <definedName name="OSRRefH22_19x_0" localSheetId="50">'301'!$H$91</definedName>
    <definedName name="OSRRefH22_19x_0" localSheetId="67">'310'!$H$97:$H$104</definedName>
    <definedName name="OSRRefH22_19x_0" localSheetId="75">'310 &amp; 491'!$H$105:$H$110</definedName>
    <definedName name="OSRRefH22_19x_0" localSheetId="60">'326'!$H$120</definedName>
    <definedName name="OSRRefH22_19x_0" localSheetId="58">'331'!$H$139:$H$140</definedName>
    <definedName name="OSRRefH22_19x_0" localSheetId="76">'491'!$H$112:$H$113</definedName>
    <definedName name="OSRRefH22_19x_0" localSheetId="39">'Div 2'!$H$92</definedName>
    <definedName name="OSRRefH22_19x_0" localSheetId="47">'Div 3'!$H$232:$H$235</definedName>
    <definedName name="OSRRefH22_19x_0" localSheetId="74">'Div 4'!$H$106</definedName>
    <definedName name="OSRRefH22_19x_0" localSheetId="2">Summary!$H$267:$H$270</definedName>
    <definedName name="OSRRefH22_1x_0" localSheetId="40">'200'!$H$22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'204'!$H$31:$H$40</definedName>
    <definedName name="OSRRefH22_1x_0" localSheetId="45">'205'!$H$30:$H$39</definedName>
    <definedName name="OSRRefH22_1x_0" localSheetId="46">'206'!$H$30:$H$39</definedName>
    <definedName name="OSRRefH22_1x_0" localSheetId="48">'300'!$H$172:$H$181</definedName>
    <definedName name="OSRRefH22_1x_0" localSheetId="49">'300 &amp; 317'!$H$197:$H$206</definedName>
    <definedName name="OSRRefH22_1x_0" localSheetId="50">'301'!$H$30:$H$39</definedName>
    <definedName name="OSRRefH22_1x_0" localSheetId="51">'306'!$H$30:$H$39</definedName>
    <definedName name="OSRRefH22_1x_0" localSheetId="53">'307'!$H$81:$H$90</definedName>
    <definedName name="OSRRefH22_1x_0" localSheetId="55">'308'!$H$74:$H$83</definedName>
    <definedName name="OSRRefH22_1x_0" localSheetId="68">'309'!$H$36:$H$45</definedName>
    <definedName name="OSRRefH22_1x_0" localSheetId="67">'310'!$H$43:$H$52</definedName>
    <definedName name="OSRRefH22_1x_0" localSheetId="75">'310 &amp; 491'!$H$51:$H$60</definedName>
    <definedName name="OSRRefH22_1x_0" localSheetId="56">'311'!$H$74:$H$83</definedName>
    <definedName name="OSRRefH22_1x_0" localSheetId="69">'313'!$H$39:$H$48</definedName>
    <definedName name="OSRRefH22_1x_0" localSheetId="54">'314'!$H$67:$H$76</definedName>
    <definedName name="OSRRefH22_1x_0" localSheetId="59">'315'!$H$67:$H$76</definedName>
    <definedName name="OSRRefH22_1x_0" localSheetId="62">'316'!$H$43:$H$52</definedName>
    <definedName name="OSRRefH22_1x_0" localSheetId="65">'317'!$H$71:$H$80</definedName>
    <definedName name="OSRRefH22_1x_0" localSheetId="63">'320'!$H$37:$H$46</definedName>
    <definedName name="OSRRefH22_1x_0" localSheetId="70">'321'!$H$35:$H$44</definedName>
    <definedName name="OSRRefH22_1x_0" localSheetId="71">'322'!$H$36:$H$45</definedName>
    <definedName name="OSRRefH22_1x_0" localSheetId="72">'325'!$H$36:$H$45</definedName>
    <definedName name="OSRRefH22_1x_0" localSheetId="60">'326'!$H$65:$H$74</definedName>
    <definedName name="OSRRefH22_1x_0" localSheetId="73">'327'!$H$26</definedName>
    <definedName name="OSRRefH22_1x_0" localSheetId="52">'330'!$H$90:$H$99</definedName>
    <definedName name="OSRRefH22_1x_0" localSheetId="58">'331'!$H$80:$H$89</definedName>
    <definedName name="OSRRefH22_1x_0" localSheetId="61">'332'!$H$51:$H$60</definedName>
    <definedName name="OSRRefH22_1x_0" localSheetId="77">'405'!$H$36:$H$45</definedName>
    <definedName name="OSRRefH22_1x_0" localSheetId="78">'406'!$H$37:$H$46</definedName>
    <definedName name="OSRRefH22_1x_0" localSheetId="79">'411'!$H$31:$H$40</definedName>
    <definedName name="OSRRefH22_1x_0" localSheetId="80">'412'!$H$36:$H$45</definedName>
    <definedName name="OSRRefH22_1x_0" localSheetId="82">'413'!$H$37:$H$46</definedName>
    <definedName name="OSRRefH22_1x_0" localSheetId="83">'414'!$H$37:$H$46</definedName>
    <definedName name="OSRRefH22_1x_0" localSheetId="84">'415'!$H$36:$H$45</definedName>
    <definedName name="OSRRefH22_1x_0" localSheetId="85">'418'!$H$37:$H$46</definedName>
    <definedName name="OSRRefH22_1x_0" localSheetId="81">'420'!$H$30:$H$33</definedName>
    <definedName name="OSRRefH22_1x_0" localSheetId="86">'423'!$H$31:$H$40</definedName>
    <definedName name="OSRRefH22_1x_0" localSheetId="87">'424'!$H$35:$H$44</definedName>
    <definedName name="OSRRefH22_1x_0" localSheetId="88">'425'!$H$37:$H$46</definedName>
    <definedName name="OSRRefH22_1x_0" localSheetId="91">'430'!$H$30:$H$39</definedName>
    <definedName name="OSRRefH22_1x_0" localSheetId="92">'433'!$H$38:$H$47</definedName>
    <definedName name="OSRRefH22_1x_0" localSheetId="93">'435'!$H$36:$H$45</definedName>
    <definedName name="OSRRefH22_1x_0" localSheetId="94">'444'!$H$38:$H$47</definedName>
    <definedName name="OSRRefH22_1x_0" localSheetId="96">'450'!$H$38:$H$47</definedName>
    <definedName name="OSRRefH22_1x_0" localSheetId="89">'455'!$H$29:$H$38</definedName>
    <definedName name="OSRRefH22_1x_0" localSheetId="76">'491'!$H$45:$H$54</definedName>
    <definedName name="OSRRefH22_1x_0" localSheetId="90">'492'!$H$40:$H$49</definedName>
    <definedName name="OSRRefH22_1x_0" localSheetId="98">'501'!$H$31:$H$40</definedName>
    <definedName name="OSRRefH22_1x_0" localSheetId="39">'Div 2'!$H$32:$H$41</definedName>
    <definedName name="OSRRefH22_1x_0" localSheetId="47">'Div 3'!$H$178:$H$187</definedName>
    <definedName name="OSRRefH22_1x_0" localSheetId="74">'Div 4'!$H$46:$H$55</definedName>
    <definedName name="OSRRefH22_1x_0" localSheetId="97">'Div 5'!$H$31:$H$40</definedName>
    <definedName name="OSRRefH22_1x_0" localSheetId="64">'Div 6'!$H$71:$H$80</definedName>
    <definedName name="OSRRefH22_1x_0" localSheetId="2">Summary!$H$210:$H$219</definedName>
    <definedName name="OSRRefH22_20x_0" localSheetId="48">'300'!$H$235:$H$241</definedName>
    <definedName name="OSRRefH22_20x_0" localSheetId="49">'300 &amp; 317'!$H$260:$H$266</definedName>
    <definedName name="OSRRefH22_20x_0" localSheetId="50">'301'!$H$93</definedName>
    <definedName name="OSRRefH22_20x_0" localSheetId="67">'310'!$H$106</definedName>
    <definedName name="OSRRefH22_20x_0" localSheetId="75">'310 &amp; 491'!$H$112</definedName>
    <definedName name="OSRRefH22_20x_0" localSheetId="60">'326'!$H$122</definedName>
    <definedName name="OSRRefH22_20x_0" localSheetId="58">'331'!$H$142</definedName>
    <definedName name="OSRRefH22_20x_0" localSheetId="76">'491'!$H$115</definedName>
    <definedName name="OSRRefH22_20x_0" localSheetId="39">'Div 2'!$H$94:$H$95</definedName>
    <definedName name="OSRRefH22_20x_0" localSheetId="47">'Div 3'!$H$237:$H$242</definedName>
    <definedName name="OSRRefH22_20x_0" localSheetId="74">'Div 4'!$H$108:$H$117</definedName>
    <definedName name="OSRRefH22_20x_0" localSheetId="2">Summary!$H$272:$H$277</definedName>
    <definedName name="OSRRefH22_21x_0" localSheetId="48">'300'!$H$243:$H$244</definedName>
    <definedName name="OSRRefH22_21x_0" localSheetId="49">'300 &amp; 317'!$H$268:$H$269</definedName>
    <definedName name="OSRRefH22_21x_0" localSheetId="50">'301'!$H$95:$H$97</definedName>
    <definedName name="OSRRefH22_21x_0" localSheetId="67">'310'!$H$108</definedName>
    <definedName name="OSRRefH22_21x_0" localSheetId="75">'310 &amp; 491'!$H$114:$H$123</definedName>
    <definedName name="OSRRefH22_21x_0" localSheetId="58">'331'!$H$144:$H$145</definedName>
    <definedName name="OSRRefH22_21x_0" localSheetId="76">'491'!$H$117:$H$119</definedName>
    <definedName name="OSRRefH22_21x_0" localSheetId="47">'Div 3'!$H$244:$H$245</definedName>
    <definedName name="OSRRefH22_21x_0" localSheetId="74">'Div 4'!$H$119:$H$120</definedName>
    <definedName name="OSRRefH22_21x_0" localSheetId="2">Summary!$H$279:$H$280</definedName>
    <definedName name="OSRRefH22_22x_0" localSheetId="48">'300'!$H$246</definedName>
    <definedName name="OSRRefH22_22x_0" localSheetId="49">'300 &amp; 317'!$H$271</definedName>
    <definedName name="OSRRefH22_22x_0" localSheetId="50">'301'!$H$99</definedName>
    <definedName name="OSRRefH22_22x_0" localSheetId="67">'310'!$H$110</definedName>
    <definedName name="OSRRefH22_22x_0" localSheetId="75">'310 &amp; 491'!$H$125:$H$126</definedName>
    <definedName name="OSRRefH22_22x_0" localSheetId="58">'331'!$H$147</definedName>
    <definedName name="OSRRefH22_22x_0" localSheetId="76">'491'!$H$121</definedName>
    <definedName name="OSRRefH22_22x_0" localSheetId="47">'Div 3'!$H$247:$H$254</definedName>
    <definedName name="OSRRefH22_22x_0" localSheetId="74">'Div 4'!$H$122</definedName>
    <definedName name="OSRRefH22_22x_0" localSheetId="2">Summary!$H$282:$H$291</definedName>
    <definedName name="OSRRefH22_23x_0" localSheetId="48">'300'!$H$248:$H$250</definedName>
    <definedName name="OSRRefH22_23x_0" localSheetId="49">'300 &amp; 317'!$H$273:$H$275</definedName>
    <definedName name="OSRRefH22_23x_0" localSheetId="67">'310'!$H$112</definedName>
    <definedName name="OSRRefH22_23x_0" localSheetId="75">'310 &amp; 491'!$H$128</definedName>
    <definedName name="OSRRefH22_23x_0" localSheetId="47">'Div 3'!$H$256:$H$257</definedName>
    <definedName name="OSRRefH22_23x_0" localSheetId="74">'Div 4'!$H$124:$H$126</definedName>
    <definedName name="OSRRefH22_23x_0" localSheetId="2">Summary!$H$293:$H$294</definedName>
    <definedName name="OSRRefH22_24x_0" localSheetId="48">'300'!$H$252</definedName>
    <definedName name="OSRRefH22_24x_0" localSheetId="49">'300 &amp; 317'!$H$277</definedName>
    <definedName name="OSRRefH22_24x_0" localSheetId="75">'310 &amp; 491'!$H$130:$H$132</definedName>
    <definedName name="OSRRefH22_24x_0" localSheetId="47">'Div 3'!$H$259</definedName>
    <definedName name="OSRRefH22_24x_0" localSheetId="74">'Div 4'!$H$128</definedName>
    <definedName name="OSRRefH22_24x_0" localSheetId="2">Summary!$H$296</definedName>
    <definedName name="OSRRefH22_25x_0" localSheetId="75">'310 &amp; 491'!$H$134</definedName>
    <definedName name="OSRRefH22_25x_0" localSheetId="47">'Div 3'!$H$261:$H$263</definedName>
    <definedName name="OSRRefH22_25x_0" localSheetId="2">Summary!$H$298:$H$300</definedName>
    <definedName name="OSRRefH22_26x_0" localSheetId="47">'Div 3'!$H$265</definedName>
    <definedName name="OSRRefH22_26x_0" localSheetId="2">Summary!$H$302</definedName>
    <definedName name="OSRRefH22_2x_0" localSheetId="40">'200'!$H$24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'204'!$H$42</definedName>
    <definedName name="OSRRefH22_2x_0" localSheetId="45">'205'!$H$41</definedName>
    <definedName name="OSRRefH22_2x_0" localSheetId="46">'206'!$H$41</definedName>
    <definedName name="OSRRefH22_2x_0" localSheetId="48">'300'!$H$183</definedName>
    <definedName name="OSRRefH22_2x_0" localSheetId="49">'300 &amp; 317'!$H$208</definedName>
    <definedName name="OSRRefH22_2x_0" localSheetId="50">'301'!$H$41</definedName>
    <definedName name="OSRRefH22_2x_0" localSheetId="51">'306'!$H$41</definedName>
    <definedName name="OSRRefH22_2x_0" localSheetId="53">'307'!$H$92</definedName>
    <definedName name="OSRRefH22_2x_0" localSheetId="55">'308'!$H$85</definedName>
    <definedName name="OSRRefH22_2x_0" localSheetId="68">'309'!$H$47</definedName>
    <definedName name="OSRRefH22_2x_0" localSheetId="67">'310'!$H$54</definedName>
    <definedName name="OSRRefH22_2x_0" localSheetId="75">'310 &amp; 491'!$H$62</definedName>
    <definedName name="OSRRefH22_2x_0" localSheetId="56">'311'!$H$85</definedName>
    <definedName name="OSRRefH22_2x_0" localSheetId="69">'313'!$H$50</definedName>
    <definedName name="OSRRefH22_2x_0" localSheetId="54">'314'!$H$78</definedName>
    <definedName name="OSRRefH22_2x_0" localSheetId="59">'315'!$H$78</definedName>
    <definedName name="OSRRefH22_2x_0" localSheetId="62">'316'!$H$54</definedName>
    <definedName name="OSRRefH22_2x_0" localSheetId="65">'317'!$H$82</definedName>
    <definedName name="OSRRefH22_2x_0" localSheetId="63">'320'!$H$48</definedName>
    <definedName name="OSRRefH22_2x_0" localSheetId="70">'321'!$H$46</definedName>
    <definedName name="OSRRefH22_2x_0" localSheetId="71">'322'!$H$47</definedName>
    <definedName name="OSRRefH22_2x_0" localSheetId="72">'325'!$H$47</definedName>
    <definedName name="OSRRefH22_2x_0" localSheetId="60">'326'!$H$76</definedName>
    <definedName name="OSRRefH22_2x_0" localSheetId="73">'327'!$H$28</definedName>
    <definedName name="OSRRefH22_2x_0" localSheetId="52">'330'!$H$101</definedName>
    <definedName name="OSRRefH22_2x_0" localSheetId="58">'331'!$H$91</definedName>
    <definedName name="OSRRefH22_2x_0" localSheetId="61">'332'!$H$62</definedName>
    <definedName name="OSRRefH22_2x_0" localSheetId="77">'405'!$H$47</definedName>
    <definedName name="OSRRefH22_2x_0" localSheetId="78">'406'!$H$48</definedName>
    <definedName name="OSRRefH22_2x_0" localSheetId="79">'411'!$H$42</definedName>
    <definedName name="OSRRefH22_2x_0" localSheetId="80">'412'!$H$47</definedName>
    <definedName name="OSRRefH22_2x_0" localSheetId="82">'413'!$H$48</definedName>
    <definedName name="OSRRefH22_2x_0" localSheetId="83">'414'!$H$48</definedName>
    <definedName name="OSRRefH22_2x_0" localSheetId="84">'415'!$H$47</definedName>
    <definedName name="OSRRefH22_2x_0" localSheetId="85">'418'!$H$48</definedName>
    <definedName name="OSRRefH22_2x_0" localSheetId="81">'420'!$H$35</definedName>
    <definedName name="OSRRefH22_2x_0" localSheetId="86">'423'!$H$42</definedName>
    <definedName name="OSRRefH22_2x_0" localSheetId="87">'424'!$H$46</definedName>
    <definedName name="OSRRefH22_2x_0" localSheetId="88">'425'!$H$48</definedName>
    <definedName name="OSRRefH22_2x_0" localSheetId="91">'430'!$H$41</definedName>
    <definedName name="OSRRefH22_2x_0" localSheetId="92">'433'!$H$49</definedName>
    <definedName name="OSRRefH22_2x_0" localSheetId="93">'435'!$H$47</definedName>
    <definedName name="OSRRefH22_2x_0" localSheetId="94">'444'!$H$49</definedName>
    <definedName name="OSRRefH22_2x_0" localSheetId="96">'450'!$H$49</definedName>
    <definedName name="OSRRefH22_2x_0" localSheetId="76">'491'!$H$56</definedName>
    <definedName name="OSRRefH22_2x_0" localSheetId="90">'492'!$H$51</definedName>
    <definedName name="OSRRefH22_2x_0" localSheetId="98">'501'!$H$42</definedName>
    <definedName name="OSRRefH22_2x_0" localSheetId="39">'Div 2'!$H$43</definedName>
    <definedName name="OSRRefH22_2x_0" localSheetId="47">'Div 3'!$H$189</definedName>
    <definedName name="OSRRefH22_2x_0" localSheetId="74">'Div 4'!$H$57</definedName>
    <definedName name="OSRRefH22_2x_0" localSheetId="97">'Div 5'!$H$42</definedName>
    <definedName name="OSRRefH22_2x_0" localSheetId="64">'Div 6'!$H$82</definedName>
    <definedName name="OSRRefH22_2x_0" localSheetId="2">Summary!$H$221</definedName>
    <definedName name="OSRRefH22_3x_0" localSheetId="40">'200'!$H$26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'204'!$H$44</definedName>
    <definedName name="OSRRefH22_3x_0" localSheetId="45">'205'!$H$43</definedName>
    <definedName name="OSRRefH22_3x_0" localSheetId="46">'206'!$H$43</definedName>
    <definedName name="OSRRefH22_3x_0" localSheetId="48">'300'!$H$185:$H$186</definedName>
    <definedName name="OSRRefH22_3x_0" localSheetId="49">'300 &amp; 317'!$H$210:$H$211</definedName>
    <definedName name="OSRRefH22_3x_0" localSheetId="50">'301'!$H$43:$H$44</definedName>
    <definedName name="OSRRefH22_3x_0" localSheetId="51">'306'!$H$43</definedName>
    <definedName name="OSRRefH22_3x_0" localSheetId="53">'307'!$H$94</definedName>
    <definedName name="OSRRefH22_3x_0" localSheetId="55">'308'!$H$87:$H$88</definedName>
    <definedName name="OSRRefH22_3x_0" localSheetId="68">'309'!$H$49</definedName>
    <definedName name="OSRRefH22_3x_0" localSheetId="67">'310'!$H$56</definedName>
    <definedName name="OSRRefH22_3x_0" localSheetId="75">'310 &amp; 491'!$H$64</definedName>
    <definedName name="OSRRefH22_3x_0" localSheetId="56">'311'!$H$87:$H$88</definedName>
    <definedName name="OSRRefH22_3x_0" localSheetId="69">'313'!$H$52</definedName>
    <definedName name="OSRRefH22_3x_0" localSheetId="54">'314'!$H$80:$H$81</definedName>
    <definedName name="OSRRefH22_3x_0" localSheetId="59">'315'!$H$80:$H$81</definedName>
    <definedName name="OSRRefH22_3x_0" localSheetId="62">'316'!$H$56</definedName>
    <definedName name="OSRRefH22_3x_0" localSheetId="65">'317'!$H$84</definedName>
    <definedName name="OSRRefH22_3x_0" localSheetId="63">'320'!$H$50</definedName>
    <definedName name="OSRRefH22_3x_0" localSheetId="70">'321'!$H$48</definedName>
    <definedName name="OSRRefH22_3x_0" localSheetId="71">'322'!$H$49</definedName>
    <definedName name="OSRRefH22_3x_0" localSheetId="72">'325'!$H$49</definedName>
    <definedName name="OSRRefH22_3x_0" localSheetId="60">'326'!$H$78:$H$79</definedName>
    <definedName name="OSRRefH22_3x_0" localSheetId="52">'330'!$H$103</definedName>
    <definedName name="OSRRefH22_3x_0" localSheetId="58">'331'!$H$93:$H$94</definedName>
    <definedName name="OSRRefH22_3x_0" localSheetId="61">'332'!$H$64</definedName>
    <definedName name="OSRRefH22_3x_0" localSheetId="77">'405'!$H$49</definedName>
    <definedName name="OSRRefH22_3x_0" localSheetId="78">'406'!$H$50</definedName>
    <definedName name="OSRRefH22_3x_0" localSheetId="79">'411'!$H$44:$H$47</definedName>
    <definedName name="OSRRefH22_3x_0" localSheetId="80">'412'!$H$49</definedName>
    <definedName name="OSRRefH22_3x_0" localSheetId="82">'413'!$H$50</definedName>
    <definedName name="OSRRefH22_3x_0" localSheetId="83">'414'!$H$50</definedName>
    <definedName name="OSRRefH22_3x_0" localSheetId="84">'415'!$H$49</definedName>
    <definedName name="OSRRefH22_3x_0" localSheetId="85">'418'!$H$50</definedName>
    <definedName name="OSRRefH22_3x_0" localSheetId="81">'420'!$H$37</definedName>
    <definedName name="OSRRefH22_3x_0" localSheetId="86">'423'!$H$44</definedName>
    <definedName name="OSRRefH22_3x_0" localSheetId="87">'424'!$H$48</definedName>
    <definedName name="OSRRefH22_3x_0" localSheetId="88">'425'!$H$50</definedName>
    <definedName name="OSRRefH22_3x_0" localSheetId="91">'430'!$H$43</definedName>
    <definedName name="OSRRefH22_3x_0" localSheetId="92">'433'!$H$51</definedName>
    <definedName name="OSRRefH22_3x_0" localSheetId="93">'435'!$H$49</definedName>
    <definedName name="OSRRefH22_3x_0" localSheetId="94">'444'!$H$51</definedName>
    <definedName name="OSRRefH22_3x_0" localSheetId="96">'450'!$H$51:$H$52</definedName>
    <definedName name="OSRRefH22_3x_0" localSheetId="76">'491'!$H$58</definedName>
    <definedName name="OSRRefH22_3x_0" localSheetId="90">'492'!$H$53:$H$54</definedName>
    <definedName name="OSRRefH22_3x_0" localSheetId="98">'501'!$H$44</definedName>
    <definedName name="OSRRefH22_3x_0" localSheetId="39">'Div 2'!$H$45</definedName>
    <definedName name="OSRRefH22_3x_0" localSheetId="47">'Div 3'!$H$191:$H$192</definedName>
    <definedName name="OSRRefH22_3x_0" localSheetId="74">'Div 4'!$H$59:$H$60</definedName>
    <definedName name="OSRRefH22_3x_0" localSheetId="97">'Div 5'!$H$44</definedName>
    <definedName name="OSRRefH22_3x_0" localSheetId="64">'Div 6'!$H$84</definedName>
    <definedName name="OSRRefH22_3x_0" localSheetId="2">Summary!$H$223:$H$224</definedName>
    <definedName name="OSRRefH22_4x_0" localSheetId="40">'200'!$H$28:$H$29</definedName>
    <definedName name="OSRRefH22_4x_0" localSheetId="41">'201'!$H$45:$H$46</definedName>
    <definedName name="OSRRefH22_4x_0" localSheetId="42">'202'!$H$45</definedName>
    <definedName name="OSRRefH22_4x_0" localSheetId="43">'203'!$H$46</definedName>
    <definedName name="OSRRefH22_4x_0" localSheetId="44">'204'!$H$46</definedName>
    <definedName name="OSRRefH22_4x_0" localSheetId="45">'205'!$H$45</definedName>
    <definedName name="OSRRefH22_4x_0" localSheetId="46">'206'!$H$45</definedName>
    <definedName name="OSRRefH22_4x_0" localSheetId="48">'300'!$H$188</definedName>
    <definedName name="OSRRefH22_4x_0" localSheetId="49">'300 &amp; 317'!$H$213</definedName>
    <definedName name="OSRRefH22_4x_0" localSheetId="50">'301'!$H$46</definedName>
    <definedName name="OSRRefH22_4x_0" localSheetId="51">'306'!$H$45</definedName>
    <definedName name="OSRRefH22_4x_0" localSheetId="53">'307'!$H$96:$H$97</definedName>
    <definedName name="OSRRefH22_4x_0" localSheetId="55">'308'!$H$90</definedName>
    <definedName name="OSRRefH22_4x_0" localSheetId="68">'309'!$H$51</definedName>
    <definedName name="OSRRefH22_4x_0" localSheetId="67">'310'!$H$58</definedName>
    <definedName name="OSRRefH22_4x_0" localSheetId="75">'310 &amp; 491'!$H$66</definedName>
    <definedName name="OSRRefH22_4x_0" localSheetId="56">'311'!$H$90</definedName>
    <definedName name="OSRRefH22_4x_0" localSheetId="69">'313'!$H$54</definedName>
    <definedName name="OSRRefH22_4x_0" localSheetId="54">'314'!$H$83</definedName>
    <definedName name="OSRRefH22_4x_0" localSheetId="59">'315'!$H$83</definedName>
    <definedName name="OSRRefH22_4x_0" localSheetId="62">'316'!$H$58</definedName>
    <definedName name="OSRRefH22_4x_0" localSheetId="65">'317'!$H$86</definedName>
    <definedName name="OSRRefH22_4x_0" localSheetId="63">'320'!$H$52:$H$53</definedName>
    <definedName name="OSRRefH22_4x_0" localSheetId="70">'321'!$H$50</definedName>
    <definedName name="OSRRefH22_4x_0" localSheetId="71">'322'!$H$51</definedName>
    <definedName name="OSRRefH22_4x_0" localSheetId="72">'325'!$H$51</definedName>
    <definedName name="OSRRefH22_4x_0" localSheetId="60">'326'!$H$81</definedName>
    <definedName name="OSRRefH22_4x_0" localSheetId="52">'330'!$H$105:$H$106</definedName>
    <definedName name="OSRRefH22_4x_0" localSheetId="58">'331'!$H$96</definedName>
    <definedName name="OSRRefH22_4x_0" localSheetId="61">'332'!$H$66</definedName>
    <definedName name="OSRRefH22_4x_0" localSheetId="77">'405'!$H$51</definedName>
    <definedName name="OSRRefH22_4x_0" localSheetId="78">'406'!$H$52</definedName>
    <definedName name="OSRRefH22_4x_0" localSheetId="79">'411'!$H$49</definedName>
    <definedName name="OSRRefH22_4x_0" localSheetId="80">'412'!$H$51</definedName>
    <definedName name="OSRRefH22_4x_0" localSheetId="82">'413'!$H$52</definedName>
    <definedName name="OSRRefH22_4x_0" localSheetId="83">'414'!$H$52</definedName>
    <definedName name="OSRRefH22_4x_0" localSheetId="84">'415'!$H$51</definedName>
    <definedName name="OSRRefH22_4x_0" localSheetId="85">'418'!$H$52</definedName>
    <definedName name="OSRRefH22_4x_0" localSheetId="81">'420'!$H$39</definedName>
    <definedName name="OSRRefH22_4x_0" localSheetId="86">'423'!$H$46</definedName>
    <definedName name="OSRRefH22_4x_0" localSheetId="87">'424'!$H$50</definedName>
    <definedName name="OSRRefH22_4x_0" localSheetId="88">'425'!$H$52</definedName>
    <definedName name="OSRRefH22_4x_0" localSheetId="91">'430'!$H$45</definedName>
    <definedName name="OSRRefH22_4x_0" localSheetId="92">'433'!$H$53</definedName>
    <definedName name="OSRRefH22_4x_0" localSheetId="93">'435'!$H$51</definedName>
    <definedName name="OSRRefH22_4x_0" localSheetId="94">'444'!$H$53</definedName>
    <definedName name="OSRRefH22_4x_0" localSheetId="96">'450'!$H$54</definedName>
    <definedName name="OSRRefH22_4x_0" localSheetId="76">'491'!$H$60</definedName>
    <definedName name="OSRRefH22_4x_0" localSheetId="90">'492'!$H$56</definedName>
    <definedName name="OSRRefH22_4x_0" localSheetId="98">'501'!$H$46</definedName>
    <definedName name="OSRRefH22_4x_0" localSheetId="39">'Div 2'!$H$47</definedName>
    <definedName name="OSRRefH22_4x_0" localSheetId="47">'Div 3'!$H$194</definedName>
    <definedName name="OSRRefH22_4x_0" localSheetId="74">'Div 4'!$H$62</definedName>
    <definedName name="OSRRefH22_4x_0" localSheetId="97">'Div 5'!$H$46</definedName>
    <definedName name="OSRRefH22_4x_0" localSheetId="64">'Div 6'!$H$86</definedName>
    <definedName name="OSRRefH22_4x_0" localSheetId="2">Summary!$H$226</definedName>
    <definedName name="OSRRefH22_5x_0" localSheetId="41">'201'!$H$48</definedName>
    <definedName name="OSRRefH22_5x_0" localSheetId="42">'202'!$H$47</definedName>
    <definedName name="OSRRefH22_5x_0" localSheetId="43">'203'!$H$48</definedName>
    <definedName name="OSRRefH22_5x_0" localSheetId="44">'204'!$H$48</definedName>
    <definedName name="OSRRefH22_5x_0" localSheetId="45">'205'!$H$47:$H$48</definedName>
    <definedName name="OSRRefH22_5x_0" localSheetId="46">'206'!$H$47</definedName>
    <definedName name="OSRRefH22_5x_0" localSheetId="48">'300'!$H$190:$H$193</definedName>
    <definedName name="OSRRefH22_5x_0" localSheetId="49">'300 &amp; 317'!$H$215:$H$218</definedName>
    <definedName name="OSRRefH22_5x_0" localSheetId="50">'301'!$H$48:$H$51</definedName>
    <definedName name="OSRRefH22_5x_0" localSheetId="51">'306'!$H$47</definedName>
    <definedName name="OSRRefH22_5x_0" localSheetId="53">'307'!$H$99</definedName>
    <definedName name="OSRRefH22_5x_0" localSheetId="55">'308'!$H$92</definedName>
    <definedName name="OSRRefH22_5x_0" localSheetId="68">'309'!$H$53:$H$54</definedName>
    <definedName name="OSRRefH22_5x_0" localSheetId="67">'310'!$H$60:$H$62</definedName>
    <definedName name="OSRRefH22_5x_0" localSheetId="75">'310 &amp; 491'!$H$68:$H$71</definedName>
    <definedName name="OSRRefH22_5x_0" localSheetId="56">'311'!$H$92</definedName>
    <definedName name="OSRRefH22_5x_0" localSheetId="69">'313'!$H$56</definedName>
    <definedName name="OSRRefH22_5x_0" localSheetId="54">'314'!$H$85</definedName>
    <definedName name="OSRRefH22_5x_0" localSheetId="59">'315'!$H$85:$H$86</definedName>
    <definedName name="OSRRefH22_5x_0" localSheetId="62">'316'!$H$60</definedName>
    <definedName name="OSRRefH22_5x_0" localSheetId="65">'317'!$H$88</definedName>
    <definedName name="OSRRefH22_5x_0" localSheetId="63">'320'!$H$55</definedName>
    <definedName name="OSRRefH22_5x_0" localSheetId="70">'321'!$H$52</definedName>
    <definedName name="OSRRefH22_5x_0" localSheetId="71">'322'!$H$53:$H$54</definedName>
    <definedName name="OSRRefH22_5x_0" localSheetId="72">'325'!$H$53:$H$55</definedName>
    <definedName name="OSRRefH22_5x_0" localSheetId="60">'326'!$H$83</definedName>
    <definedName name="OSRRefH22_5x_0" localSheetId="52">'330'!$H$108</definedName>
    <definedName name="OSRRefH22_5x_0" localSheetId="58">'331'!$H$98:$H$99</definedName>
    <definedName name="OSRRefH22_5x_0" localSheetId="61">'332'!$H$68</definedName>
    <definedName name="OSRRefH22_5x_0" localSheetId="77">'405'!$H$53:$H$55</definedName>
    <definedName name="OSRRefH22_5x_0" localSheetId="78">'406'!$H$54:$H$55</definedName>
    <definedName name="OSRRefH22_5x_0" localSheetId="79">'411'!$H$51</definedName>
    <definedName name="OSRRefH22_5x_0" localSheetId="80">'412'!$H$53:$H$55</definedName>
    <definedName name="OSRRefH22_5x_0" localSheetId="82">'413'!$H$54</definedName>
    <definedName name="OSRRefH22_5x_0" localSheetId="83">'414'!$H$54:$H$55</definedName>
    <definedName name="OSRRefH22_5x_0" localSheetId="84">'415'!$H$53:$H$55</definedName>
    <definedName name="OSRRefH22_5x_0" localSheetId="85">'418'!$H$54:$H$56</definedName>
    <definedName name="OSRRefH22_5x_0" localSheetId="86">'423'!$H$48</definedName>
    <definedName name="OSRRefH22_5x_0" localSheetId="87">'424'!$H$52</definedName>
    <definedName name="OSRRefH22_5x_0" localSheetId="88">'425'!$H$54:$H$55</definedName>
    <definedName name="OSRRefH22_5x_0" localSheetId="91">'430'!$H$47</definedName>
    <definedName name="OSRRefH22_5x_0" localSheetId="92">'433'!$H$55</definedName>
    <definedName name="OSRRefH22_5x_0" localSheetId="93">'435'!$H$53</definedName>
    <definedName name="OSRRefH22_5x_0" localSheetId="94">'444'!$H$55</definedName>
    <definedName name="OSRRefH22_5x_0" localSheetId="96">'450'!$H$56</definedName>
    <definedName name="OSRRefH22_5x_0" localSheetId="76">'491'!$H$62:$H$65</definedName>
    <definedName name="OSRRefH22_5x_0" localSheetId="90">'492'!$H$58:$H$59</definedName>
    <definedName name="OSRRefH22_5x_0" localSheetId="98">'501'!$H$48</definedName>
    <definedName name="OSRRefH22_5x_0" localSheetId="39">'Div 2'!$H$49</definedName>
    <definedName name="OSRRefH22_5x_0" localSheetId="47">'Div 3'!$H$196:$H$199</definedName>
    <definedName name="OSRRefH22_5x_0" localSheetId="74">'Div 4'!$H$64:$H$67</definedName>
    <definedName name="OSRRefH22_5x_0" localSheetId="97">'Div 5'!$H$48</definedName>
    <definedName name="OSRRefH22_5x_0" localSheetId="64">'Div 6'!$H$88</definedName>
    <definedName name="OSRRefH22_5x_0" localSheetId="2">Summary!$H$228:$H$231</definedName>
    <definedName name="OSRRefH22_6x_0" localSheetId="41">'201'!$H$50</definedName>
    <definedName name="OSRRefH22_6x_0" localSheetId="42">'202'!$H$49</definedName>
    <definedName name="OSRRefH22_6x_0" localSheetId="43">'203'!$H$50</definedName>
    <definedName name="OSRRefH22_6x_0" localSheetId="44">'204'!$H$50</definedName>
    <definedName name="OSRRefH22_6x_0" localSheetId="45">'205'!$H$50</definedName>
    <definedName name="OSRRefH22_6x_0" localSheetId="46">'206'!$H$49</definedName>
    <definedName name="OSRRefH22_6x_0" localSheetId="48">'300'!$H$195:$H$196</definedName>
    <definedName name="OSRRefH22_6x_0" localSheetId="49">'300 &amp; 317'!$H$220:$H$221</definedName>
    <definedName name="OSRRefH22_6x_0" localSheetId="50">'301'!$H$53:$H$54</definedName>
    <definedName name="OSRRefH22_6x_0" localSheetId="51">'306'!$H$49</definedName>
    <definedName name="OSRRefH22_6x_0" localSheetId="53">'307'!$H$101</definedName>
    <definedName name="OSRRefH22_6x_0" localSheetId="55">'308'!$H$94:$H$95</definedName>
    <definedName name="OSRRefH22_6x_0" localSheetId="68">'309'!$H$56</definedName>
    <definedName name="OSRRefH22_6x_0" localSheetId="67">'310'!$H$64</definedName>
    <definedName name="OSRRefH22_6x_0" localSheetId="75">'310 &amp; 491'!$H$73</definedName>
    <definedName name="OSRRefH22_6x_0" localSheetId="56">'311'!$H$94:$H$95</definedName>
    <definedName name="OSRRefH22_6x_0" localSheetId="69">'313'!$H$58</definedName>
    <definedName name="OSRRefH22_6x_0" localSheetId="54">'314'!$H$87</definedName>
    <definedName name="OSRRefH22_6x_0" localSheetId="59">'315'!$H$88</definedName>
    <definedName name="OSRRefH22_6x_0" localSheetId="62">'316'!$H$62</definedName>
    <definedName name="OSRRefH22_6x_0" localSheetId="65">'317'!$H$90</definedName>
    <definedName name="OSRRefH22_6x_0" localSheetId="63">'320'!$H$57</definedName>
    <definedName name="OSRRefH22_6x_0" localSheetId="70">'321'!$H$54</definedName>
    <definedName name="OSRRefH22_6x_0" localSheetId="71">'322'!$H$56</definedName>
    <definedName name="OSRRefH22_6x_0" localSheetId="72">'325'!$H$57</definedName>
    <definedName name="OSRRefH22_6x_0" localSheetId="60">'326'!$H$85</definedName>
    <definedName name="OSRRefH22_6x_0" localSheetId="52">'330'!$H$110</definedName>
    <definedName name="OSRRefH22_6x_0" localSheetId="58">'331'!$H$101</definedName>
    <definedName name="OSRRefH22_6x_0" localSheetId="61">'332'!$H$70</definedName>
    <definedName name="OSRRefH22_6x_0" localSheetId="77">'405'!$H$57</definedName>
    <definedName name="OSRRefH22_6x_0" localSheetId="78">'406'!$H$57</definedName>
    <definedName name="OSRRefH22_6x_0" localSheetId="79">'411'!$H$53</definedName>
    <definedName name="OSRRefH22_6x_0" localSheetId="80">'412'!$H$57</definedName>
    <definedName name="OSRRefH22_6x_0" localSheetId="82">'413'!$H$56</definedName>
    <definedName name="OSRRefH22_6x_0" localSheetId="83">'414'!$H$57</definedName>
    <definedName name="OSRRefH22_6x_0" localSheetId="84">'415'!$H$57</definedName>
    <definedName name="OSRRefH22_6x_0" localSheetId="85">'418'!$H$58</definedName>
    <definedName name="OSRRefH22_6x_0" localSheetId="87">'424'!$H$54</definedName>
    <definedName name="OSRRefH22_6x_0" localSheetId="88">'425'!$H$57</definedName>
    <definedName name="OSRRefH22_6x_0" localSheetId="91">'430'!$H$49</definedName>
    <definedName name="OSRRefH22_6x_0" localSheetId="92">'433'!$H$57</definedName>
    <definedName name="OSRRefH22_6x_0" localSheetId="93">'435'!$H$55:$H$57</definedName>
    <definedName name="OSRRefH22_6x_0" localSheetId="94">'444'!$H$57</definedName>
    <definedName name="OSRRefH22_6x_0" localSheetId="96">'450'!$H$58</definedName>
    <definedName name="OSRRefH22_6x_0" localSheetId="76">'491'!$H$67</definedName>
    <definedName name="OSRRefH22_6x_0" localSheetId="90">'492'!$H$61</definedName>
    <definedName name="OSRRefH22_6x_0" localSheetId="98">'501'!$H$50</definedName>
    <definedName name="OSRRefH22_6x_0" localSheetId="39">'Div 2'!$H$51:$H$52</definedName>
    <definedName name="OSRRefH22_6x_0" localSheetId="47">'Div 3'!$H$201:$H$202</definedName>
    <definedName name="OSRRefH22_6x_0" localSheetId="74">'Div 4'!$H$69:$H$70</definedName>
    <definedName name="OSRRefH22_6x_0" localSheetId="97">'Div 5'!$H$50</definedName>
    <definedName name="OSRRefH22_6x_0" localSheetId="64">'Div 6'!$H$90</definedName>
    <definedName name="OSRRefH22_6x_0" localSheetId="2">Summary!$H$233:$H$234</definedName>
    <definedName name="OSRRefH22_7x_0" localSheetId="41">'201'!$H$52</definedName>
    <definedName name="OSRRefH22_7x_0" localSheetId="42">'202'!$H$51</definedName>
    <definedName name="OSRRefH22_7x_0" localSheetId="43">'203'!$H$52</definedName>
    <definedName name="OSRRefH22_7x_0" localSheetId="44">'204'!$H$52:$H$55</definedName>
    <definedName name="OSRRefH22_7x_0" localSheetId="45">'205'!$H$52:$H$53</definedName>
    <definedName name="OSRRefH22_7x_0" localSheetId="46">'206'!$H$51:$H$52</definedName>
    <definedName name="OSRRefH22_7x_0" localSheetId="48">'300'!$H$198:$H$199</definedName>
    <definedName name="OSRRefH22_7x_0" localSheetId="49">'300 &amp; 317'!$H$223:$H$224</definedName>
    <definedName name="OSRRefH22_7x_0" localSheetId="50">'301'!$H$56:$H$57</definedName>
    <definedName name="OSRRefH22_7x_0" localSheetId="51">'306'!$H$51:$H$52</definedName>
    <definedName name="OSRRefH22_7x_0" localSheetId="53">'307'!$H$103</definedName>
    <definedName name="OSRRefH22_7x_0" localSheetId="55">'308'!$H$97</definedName>
    <definedName name="OSRRefH22_7x_0" localSheetId="68">'309'!$H$58</definedName>
    <definedName name="OSRRefH22_7x_0" localSheetId="67">'310'!$H$66</definedName>
    <definedName name="OSRRefH22_7x_0" localSheetId="75">'310 &amp; 491'!$H$75</definedName>
    <definedName name="OSRRefH22_7x_0" localSheetId="56">'311'!$H$97</definedName>
    <definedName name="OSRRefH22_7x_0" localSheetId="69">'313'!$H$60</definedName>
    <definedName name="OSRRefH22_7x_0" localSheetId="54">'314'!$H$89</definedName>
    <definedName name="OSRRefH22_7x_0" localSheetId="59">'315'!$H$90</definedName>
    <definedName name="OSRRefH22_7x_0" localSheetId="62">'316'!$H$64</definedName>
    <definedName name="OSRRefH22_7x_0" localSheetId="65">'317'!$H$92</definedName>
    <definedName name="OSRRefH22_7x_0" localSheetId="63">'320'!$H$59:$H$60</definedName>
    <definedName name="OSRRefH22_7x_0" localSheetId="70">'321'!$H$56</definedName>
    <definedName name="OSRRefH22_7x_0" localSheetId="71">'322'!$H$58</definedName>
    <definedName name="OSRRefH22_7x_0" localSheetId="72">'325'!$H$59</definedName>
    <definedName name="OSRRefH22_7x_0" localSheetId="60">'326'!$H$87</definedName>
    <definedName name="OSRRefH22_7x_0" localSheetId="52">'330'!$H$112</definedName>
    <definedName name="OSRRefH22_7x_0" localSheetId="58">'331'!$H$103</definedName>
    <definedName name="OSRRefH22_7x_0" localSheetId="61">'332'!$H$72:$H$73</definedName>
    <definedName name="OSRRefH22_7x_0" localSheetId="77">'405'!$H$59</definedName>
    <definedName name="OSRRefH22_7x_0" localSheetId="78">'406'!$H$59</definedName>
    <definedName name="OSRRefH22_7x_0" localSheetId="79">'411'!$H$55</definedName>
    <definedName name="OSRRefH22_7x_0" localSheetId="80">'412'!$H$59</definedName>
    <definedName name="OSRRefH22_7x_0" localSheetId="82">'413'!$H$58:$H$60</definedName>
    <definedName name="OSRRefH22_7x_0" localSheetId="83">'414'!$H$59</definedName>
    <definedName name="OSRRefH22_7x_0" localSheetId="84">'415'!$H$59</definedName>
    <definedName name="OSRRefH22_7x_0" localSheetId="85">'418'!$H$60</definedName>
    <definedName name="OSRRefH22_7x_0" localSheetId="87">'424'!$H$56:$H$57</definedName>
    <definedName name="OSRRefH22_7x_0" localSheetId="88">'425'!$H$59</definedName>
    <definedName name="OSRRefH22_7x_0" localSheetId="91">'430'!$H$51:$H$53</definedName>
    <definedName name="OSRRefH22_7x_0" localSheetId="92">'433'!$H$59</definedName>
    <definedName name="OSRRefH22_7x_0" localSheetId="93">'435'!$H$59</definedName>
    <definedName name="OSRRefH22_7x_0" localSheetId="94">'444'!$H$59</definedName>
    <definedName name="OSRRefH22_7x_0" localSheetId="96">'450'!$H$60</definedName>
    <definedName name="OSRRefH22_7x_0" localSheetId="76">'491'!$H$69</definedName>
    <definedName name="OSRRefH22_7x_0" localSheetId="90">'492'!$H$63</definedName>
    <definedName name="OSRRefH22_7x_0" localSheetId="98">'501'!$H$52</definedName>
    <definedName name="OSRRefH22_7x_0" localSheetId="39">'Div 2'!$H$54</definedName>
    <definedName name="OSRRefH22_7x_0" localSheetId="47">'Div 3'!$H$204:$H$205</definedName>
    <definedName name="OSRRefH22_7x_0" localSheetId="74">'Div 4'!$H$72</definedName>
    <definedName name="OSRRefH22_7x_0" localSheetId="97">'Div 5'!$H$52</definedName>
    <definedName name="OSRRefH22_7x_0" localSheetId="64">'Div 6'!$H$92</definedName>
    <definedName name="OSRRefH22_7x_0" localSheetId="2">Summary!$H$236:$H$238</definedName>
    <definedName name="OSRRefH22_8x_0" localSheetId="41">'201'!$H$54</definedName>
    <definedName name="OSRRefH22_8x_0" localSheetId="42">'202'!$H$53</definedName>
    <definedName name="OSRRefH22_8x_0" localSheetId="43">'203'!$H$54</definedName>
    <definedName name="OSRRefH22_8x_0" localSheetId="44">'204'!$H$57</definedName>
    <definedName name="OSRRefH22_8x_0" localSheetId="45">'205'!$H$55</definedName>
    <definedName name="OSRRefH22_8x_0" localSheetId="46">'206'!$H$54</definedName>
    <definedName name="OSRRefH22_8x_0" localSheetId="48">'300'!$H$201</definedName>
    <definedName name="OSRRefH22_8x_0" localSheetId="49">'300 &amp; 317'!$H$226</definedName>
    <definedName name="OSRRefH22_8x_0" localSheetId="50">'301'!$H$59</definedName>
    <definedName name="OSRRefH22_8x_0" localSheetId="51">'306'!$H$54:$H$57</definedName>
    <definedName name="OSRRefH22_8x_0" localSheetId="53">'307'!$H$105:$H$106</definedName>
    <definedName name="OSRRefH22_8x_0" localSheetId="55">'308'!$H$99</definedName>
    <definedName name="OSRRefH22_8x_0" localSheetId="68">'309'!$H$60:$H$61</definedName>
    <definedName name="OSRRefH22_8x_0" localSheetId="67">'310'!$H$68</definedName>
    <definedName name="OSRRefH22_8x_0" localSheetId="75">'310 &amp; 491'!$H$77</definedName>
    <definedName name="OSRRefH22_8x_0" localSheetId="56">'311'!$H$99</definedName>
    <definedName name="OSRRefH22_8x_0" localSheetId="69">'313'!$H$62</definedName>
    <definedName name="OSRRefH22_8x_0" localSheetId="54">'314'!$H$91</definedName>
    <definedName name="OSRRefH22_8x_0" localSheetId="59">'315'!$H$92</definedName>
    <definedName name="OSRRefH22_8x_0" localSheetId="62">'316'!$H$66</definedName>
    <definedName name="OSRRefH22_8x_0" localSheetId="65">'317'!$H$94:$H$95</definedName>
    <definedName name="OSRRefH22_8x_0" localSheetId="63">'320'!$H$62</definedName>
    <definedName name="OSRRefH22_8x_0" localSheetId="70">'321'!$H$58</definedName>
    <definedName name="OSRRefH22_8x_0" localSheetId="71">'322'!$H$60</definedName>
    <definedName name="OSRRefH22_8x_0" localSheetId="72">'325'!$H$61</definedName>
    <definedName name="OSRRefH22_8x_0" localSheetId="60">'326'!$H$89</definedName>
    <definedName name="OSRRefH22_8x_0" localSheetId="52">'330'!$H$114</definedName>
    <definedName name="OSRRefH22_8x_0" localSheetId="58">'331'!$H$105:$H$106</definedName>
    <definedName name="OSRRefH22_8x_0" localSheetId="61">'332'!$H$75</definedName>
    <definedName name="OSRRefH22_8x_0" localSheetId="77">'405'!$H$61</definedName>
    <definedName name="OSRRefH22_8x_0" localSheetId="78">'406'!$H$61:$H$63</definedName>
    <definedName name="OSRRefH22_8x_0" localSheetId="79">'411'!$H$57</definedName>
    <definedName name="OSRRefH22_8x_0" localSheetId="80">'412'!$H$61:$H$62</definedName>
    <definedName name="OSRRefH22_8x_0" localSheetId="82">'413'!$H$62</definedName>
    <definedName name="OSRRefH22_8x_0" localSheetId="83">'414'!$H$61</definedName>
    <definedName name="OSRRefH22_8x_0" localSheetId="84">'415'!$H$61</definedName>
    <definedName name="OSRRefH22_8x_0" localSheetId="85">'418'!$H$62:$H$63</definedName>
    <definedName name="OSRRefH22_8x_0" localSheetId="87">'424'!$H$59:$H$60</definedName>
    <definedName name="OSRRefH22_8x_0" localSheetId="88">'425'!$H$61</definedName>
    <definedName name="OSRRefH22_8x_0" localSheetId="91">'430'!$H$55</definedName>
    <definedName name="OSRRefH22_8x_0" localSheetId="92">'433'!$H$61</definedName>
    <definedName name="OSRRefH22_8x_0" localSheetId="94">'444'!$H$61</definedName>
    <definedName name="OSRRefH22_8x_0" localSheetId="96">'450'!$H$62</definedName>
    <definedName name="OSRRefH22_8x_0" localSheetId="76">'491'!$H$71</definedName>
    <definedName name="OSRRefH22_8x_0" localSheetId="90">'492'!$H$65</definedName>
    <definedName name="OSRRefH22_8x_0" localSheetId="98">'501'!$H$54</definedName>
    <definedName name="OSRRefH22_8x_0" localSheetId="39">'Div 2'!$H$56</definedName>
    <definedName name="OSRRefH22_8x_0" localSheetId="47">'Div 3'!$H$207</definedName>
    <definedName name="OSRRefH22_8x_0" localSheetId="74">'Div 4'!$H$74</definedName>
    <definedName name="OSRRefH22_8x_0" localSheetId="97">'Div 5'!$H$54</definedName>
    <definedName name="OSRRefH22_8x_0" localSheetId="64">'Div 6'!$H$94:$H$95</definedName>
    <definedName name="OSRRefH22_8x_0" localSheetId="2">Summary!$H$240</definedName>
    <definedName name="OSRRefH22_9x_0" localSheetId="41">'201'!$H$56</definedName>
    <definedName name="OSRRefH22_9x_0" localSheetId="42">'202'!$H$55:$H$57</definedName>
    <definedName name="OSRRefH22_9x_0" localSheetId="43">'203'!$H$56:$H$57</definedName>
    <definedName name="OSRRefH22_9x_0" localSheetId="44">'204'!$H$59</definedName>
    <definedName name="OSRRefH22_9x_0" localSheetId="45">'205'!$H$57</definedName>
    <definedName name="OSRRefH22_9x_0" localSheetId="46">'206'!$H$56</definedName>
    <definedName name="OSRRefH22_9x_0" localSheetId="48">'300'!$H$203</definedName>
    <definedName name="OSRRefH22_9x_0" localSheetId="49">'300 &amp; 317'!$H$228</definedName>
    <definedName name="OSRRefH22_9x_0" localSheetId="50">'301'!$H$61</definedName>
    <definedName name="OSRRefH22_9x_0" localSheetId="51">'306'!$H$59</definedName>
    <definedName name="OSRRefH22_9x_0" localSheetId="53">'307'!$H$108:$H$109</definedName>
    <definedName name="OSRRefH22_9x_0" localSheetId="55">'308'!$H$101:$H$102</definedName>
    <definedName name="OSRRefH22_9x_0" localSheetId="68">'309'!$H$63:$H$65</definedName>
    <definedName name="OSRRefH22_9x_0" localSheetId="67">'310'!$H$70</definedName>
    <definedName name="OSRRefH22_9x_0" localSheetId="75">'310 &amp; 491'!$H$79</definedName>
    <definedName name="OSRRefH22_9x_0" localSheetId="56">'311'!$H$101:$H$102</definedName>
    <definedName name="OSRRefH22_9x_0" localSheetId="69">'313'!$H$64</definedName>
    <definedName name="OSRRefH22_9x_0" localSheetId="59">'315'!$H$94</definedName>
    <definedName name="OSRRefH22_9x_0" localSheetId="62">'316'!$H$68</definedName>
    <definedName name="OSRRefH22_9x_0" localSheetId="65">'317'!$H$97:$H$98</definedName>
    <definedName name="OSRRefH22_9x_0" localSheetId="70">'321'!$H$60:$H$62</definedName>
    <definedName name="OSRRefH22_9x_0" localSheetId="71">'322'!$H$62:$H$64</definedName>
    <definedName name="OSRRefH22_9x_0" localSheetId="72">'325'!$H$63</definedName>
    <definedName name="OSRRefH22_9x_0" localSheetId="60">'326'!$H$91</definedName>
    <definedName name="OSRRefH22_9x_0" localSheetId="52">'330'!$H$116:$H$117</definedName>
    <definedName name="OSRRefH22_9x_0" localSheetId="58">'331'!$H$108</definedName>
    <definedName name="OSRRefH22_9x_0" localSheetId="61">'332'!$H$77</definedName>
    <definedName name="OSRRefH22_9x_0" localSheetId="77">'405'!$H$63</definedName>
    <definedName name="OSRRefH22_9x_0" localSheetId="78">'406'!$H$65:$H$67</definedName>
    <definedName name="OSRRefH22_9x_0" localSheetId="79">'411'!$H$59</definedName>
    <definedName name="OSRRefH22_9x_0" localSheetId="80">'412'!$H$64</definedName>
    <definedName name="OSRRefH22_9x_0" localSheetId="82">'413'!$H$64:$H$69</definedName>
    <definedName name="OSRRefH22_9x_0" localSheetId="83">'414'!$H$63:$H$64</definedName>
    <definedName name="OSRRefH22_9x_0" localSheetId="84">'415'!$H$63</definedName>
    <definedName name="OSRRefH22_9x_0" localSheetId="85">'418'!$H$65:$H$67</definedName>
    <definedName name="OSRRefH22_9x_0" localSheetId="87">'424'!$H$62</definedName>
    <definedName name="OSRRefH22_9x_0" localSheetId="88">'425'!$H$63:$H$65</definedName>
    <definedName name="OSRRefH22_9x_0" localSheetId="91">'430'!$H$57</definedName>
    <definedName name="OSRRefH22_9x_0" localSheetId="92">'433'!$H$63</definedName>
    <definedName name="OSRRefH22_9x_0" localSheetId="94">'444'!$H$63</definedName>
    <definedName name="OSRRefH22_9x_0" localSheetId="96">'450'!$H$64</definedName>
    <definedName name="OSRRefH22_9x_0" localSheetId="76">'491'!$H$73:$H$74</definedName>
    <definedName name="OSRRefH22_9x_0" localSheetId="90">'492'!$H$67</definedName>
    <definedName name="OSRRefH22_9x_0" localSheetId="98">'501'!$H$56</definedName>
    <definedName name="OSRRefH22_9x_0" localSheetId="39">'Div 2'!$H$58</definedName>
    <definedName name="OSRRefH22_9x_0" localSheetId="47">'Div 3'!$H$209</definedName>
    <definedName name="OSRRefH22_9x_0" localSheetId="74">'Div 4'!$H$76</definedName>
    <definedName name="OSRRefH22_9x_0" localSheetId="97">'Div 5'!$H$56</definedName>
    <definedName name="OSRRefH22_9x_0" localSheetId="64">'Div 6'!$H$97:$H$98</definedName>
    <definedName name="OSRRefH22_9x_0" localSheetId="2">Summary!$H$242</definedName>
    <definedName name="OSRRefH22x_0" localSheetId="40">'200'!$H$20,'200'!$H$22,'200'!$H$24,'200'!$H$26,'200'!$H$28:$H$29</definedName>
    <definedName name="OSRRefH22x_0" localSheetId="41">'201'!$H$20:$H$28,'201'!$H$30:$H$39,'201'!$H$41,'201'!$H$43,'201'!$H$45:$H$46,'201'!$H$48,'201'!$H$50,'201'!$H$52,'201'!$H$54,'201'!$H$56,'201'!$H$58:$H$60,'201'!$H$62:$H$64,'201'!$H$66,'201'!$H$68:$H$70,'201'!$H$72,'201'!$H$74,'201'!$H$76:$H$77</definedName>
    <definedName name="OSRRefH22x_0" localSheetId="42">'202'!$H$20:$H$28,'202'!$H$30:$H$39,'202'!$H$41,'202'!$H$43,'202'!$H$45,'202'!$H$47,'202'!$H$49,'202'!$H$51,'202'!$H$53,'202'!$H$55:$H$57,'202'!$H$59,'202'!$H$61:$H$62,'202'!$H$64,'202'!$H$66,'202'!$H$68:$H$69,'202'!$H$71,'202'!$H$73</definedName>
    <definedName name="OSRRefH22x_0" localSheetId="43">'203'!$H$20:$H$29,'203'!$H$31:$H$40,'203'!$H$42,'203'!$H$44,'203'!$H$46,'203'!$H$48,'203'!$H$50,'203'!$H$52,'203'!$H$54,'203'!$H$56:$H$57,'203'!$H$59:$H$60,'203'!$H$62,'203'!$H$64:$H$66,'203'!$H$68,'203'!$H$70,'203'!$H$72</definedName>
    <definedName name="OSRRefH22x_0" localSheetId="44">'204'!$H$20:$H$29,'204'!$H$31:$H$40,'204'!$H$42,'204'!$H$44,'204'!$H$46,'204'!$H$48,'204'!$H$50,'204'!$H$52:$H$55,'204'!$H$57,'204'!$H$59,'204'!$H$61:$H$62,'204'!$H$64,'204'!$H$66:$H$67</definedName>
    <definedName name="OSRRefH22x_0" localSheetId="45">'205'!$H$20:$H$28,'205'!$H$30:$H$39,'205'!$H$41,'205'!$H$43,'205'!$H$45,'205'!$H$47:$H$48,'205'!$H$50,'205'!$H$52:$H$53,'205'!$H$55,'205'!$H$57</definedName>
    <definedName name="OSRRefH22x_0" localSheetId="46">'206'!$H$20:$H$28,'206'!$H$30:$H$39,'206'!$H$41,'206'!$H$43,'206'!$H$45,'206'!$H$47,'206'!$H$49,'206'!$H$51:$H$52,'206'!$H$54,'206'!$H$56,'206'!$H$58</definedName>
    <definedName name="OSRRefH22x_0" localSheetId="48">'300'!$H$161:$H$170,'300'!$H$172:$H$181,'300'!$H$183,'300'!$H$185:$H$186,'300'!$H$188,'300'!$H$190:$H$193,'300'!$H$195:$H$196,'300'!$H$198:$H$199,'300'!$H$201,'300'!$H$203,'300'!$H$205:$H$206,'300'!$H$208,'300'!$H$210,'300'!$H$212,'300'!$H$214,'300'!$H$216,'300'!$H$218:$H$220,'300'!$H$222:$H$225,'300'!$H$227:$H$230,'300'!$H$232:$H$233,'300'!$H$235:$H$241,'300'!$H$243:$H$244,'300'!$H$246,'300'!$H$248:$H$250,'300'!$H$252</definedName>
    <definedName name="OSRRefH22x_0" localSheetId="49">'300 &amp; 317'!$H$186:$H$195,'300 &amp; 317'!$H$197:$H$206,'300 &amp; 317'!$H$208,'300 &amp; 317'!$H$210:$H$211,'300 &amp; 317'!$H$213,'300 &amp; 317'!$H$215:$H$218,'300 &amp; 317'!$H$220:$H$221,'300 &amp; 317'!$H$223:$H$224,'300 &amp; 317'!$H$226,'300 &amp; 317'!$H$228,'300 &amp; 317'!$H$230:$H$231,'300 &amp; 317'!$H$233,'300 &amp; 317'!$H$235,'300 &amp; 317'!$H$237,'300 &amp; 317'!$H$239,'300 &amp; 317'!$H$241,'300 &amp; 317'!$H$243:$H$245,'300 &amp; 317'!$H$247:$H$250,'300 &amp; 317'!$H$252:$H$255,'300 &amp; 317'!$H$257:$H$258,'300 &amp; 317'!$H$260:$H$266,'300 &amp; 317'!$H$268:$H$269,'300 &amp; 317'!$H$271,'300 &amp; 317'!$H$273:$H$275,'300 &amp; 317'!$H$277</definedName>
    <definedName name="OSRRefH22x_0" localSheetId="50">'301'!$H$20:$H$28,'301'!$H$30:$H$39,'301'!$H$41,'301'!$H$43:$H$44,'301'!$H$46,'301'!$H$48:$H$51,'301'!$H$53:$H$54,'301'!$H$56:$H$57,'301'!$H$59,'301'!$H$61,'301'!$H$63,'301'!$H$65,'301'!$H$67,'301'!$H$69,'301'!$H$71,'301'!$H$73:$H$75,'301'!$H$77:$H$79,'301'!$H$81:$H$82,'301'!$H$84:$H$89,'301'!$H$91,'301'!$H$93,'301'!$H$95:$H$97,'301'!$H$99</definedName>
    <definedName name="OSRRefH22x_0" localSheetId="51">'306'!$H$20:$H$28,'306'!$H$30:$H$39,'306'!$H$41,'306'!$H$43,'306'!$H$45,'306'!$H$47,'306'!$H$49,'306'!$H$51:$H$52,'306'!$H$54:$H$57,'306'!$H$59,'306'!$H$61</definedName>
    <definedName name="OSRRefH22x_0" localSheetId="53">'307'!$H$71:$H$79,'307'!$H$81:$H$90,'307'!$H$92,'307'!$H$94,'307'!$H$96:$H$97,'307'!$H$99,'307'!$H$101,'307'!$H$103,'307'!$H$105:$H$106,'307'!$H$108:$H$109,'307'!$H$111:$H$112,'307'!$H$114,'307'!$H$116</definedName>
    <definedName name="OSRRefH22x_0" localSheetId="55">'308'!$H$63:$H$72,'308'!$H$74:$H$83,'308'!$H$85,'308'!$H$87:$H$88,'308'!$H$90,'308'!$H$92,'308'!$H$94:$H$95,'308'!$H$97,'308'!$H$99,'308'!$H$101:$H$102,'308'!$H$104,'308'!$H$106:$H$108,'308'!$H$110:$H$111,'308'!$H$113,'308'!$H$115:$H$116</definedName>
    <definedName name="OSRRefH22x_0" localSheetId="68">'309'!$H$26:$H$34,'309'!$H$36:$H$45,'309'!$H$47,'309'!$H$49,'309'!$H$51,'309'!$H$53:$H$54,'309'!$H$56,'309'!$H$58,'309'!$H$60:$H$61,'309'!$H$63:$H$65,'309'!$H$67:$H$69,'309'!$H$71,'309'!$H$73</definedName>
    <definedName name="OSRRefH22x_0" localSheetId="67">'310'!$H$33:$H$41,'310'!$H$43:$H$52,'310'!$H$54,'310'!$H$56,'310'!$H$58,'310'!$H$60:$H$62,'310'!$H$64,'310'!$H$66,'310'!$H$68,'310'!$H$70,'310'!$H$72,'310'!$H$74,'310'!$H$76,'310'!$H$78,'310'!$H$80,'310'!$H$82:$H$84,'310'!$H$86:$H$87,'310'!$H$89:$H$93,'310'!$H$95,'310'!$H$97:$H$104,'310'!$H$106,'310'!$H$108,'310'!$H$110,'310'!$H$112</definedName>
    <definedName name="OSRRefH22x_0" localSheetId="75">'310 &amp; 491'!$H$40:$H$49,'310 &amp; 491'!$H$51:$H$60,'310 &amp; 491'!$H$62,'310 &amp; 491'!$H$64,'310 &amp; 491'!$H$66,'310 &amp; 491'!$H$68:$H$71,'310 &amp; 491'!$H$73,'310 &amp; 491'!$H$75,'310 &amp; 491'!$H$77,'310 &amp; 491'!$H$79,'310 &amp; 491'!$H$81,'310 &amp; 491'!$H$83:$H$84,'310 &amp; 491'!$H$86,'310 &amp; 491'!$H$88,'310 &amp; 491'!$H$90,'310 &amp; 491'!$H$92,'310 &amp; 491'!$H$94,'310 &amp; 491'!$H$96:$H$99,'310 &amp; 491'!$H$101:$H$103,'310 &amp; 491'!$H$105:$H$110,'310 &amp; 491'!$H$112,'310 &amp; 491'!$H$114:$H$123,'310 &amp; 491'!$H$125:$H$126,'310 &amp; 491'!$H$128,'310 &amp; 491'!$H$130:$H$132,'310 &amp; 491'!$H$134</definedName>
    <definedName name="OSRRefH22x_0" localSheetId="56">'311'!$H$63:$H$72,'311'!$H$74:$H$83,'311'!$H$85,'311'!$H$87:$H$88,'311'!$H$90,'311'!$H$92,'311'!$H$94:$H$95,'311'!$H$97,'311'!$H$99,'311'!$H$101:$H$102,'311'!$H$104,'311'!$H$106:$H$108,'311'!$H$110:$H$111,'311'!$H$113,'311'!$H$115:$H$116</definedName>
    <definedName name="OSRRefH22x_0" localSheetId="69">'313'!$H$29:$H$37,'313'!$H$39:$H$48,'313'!$H$50,'313'!$H$52,'313'!$H$54,'313'!$H$56,'313'!$H$58,'313'!$H$60,'313'!$H$62,'313'!$H$64,'313'!$H$66:$H$68,'313'!$H$70,'313'!$H$72:$H$76,'313'!$H$78,'313'!$H$80</definedName>
    <definedName name="OSRRefH22x_0" localSheetId="54">'314'!$H$58:$H$65,'314'!$H$67:$H$76,'314'!$H$78,'314'!$H$80:$H$81,'314'!$H$83,'314'!$H$85,'314'!$H$87,'314'!$H$89,'314'!$H$91</definedName>
    <definedName name="OSRRefH22x_0" localSheetId="59">'315'!$H$57:$H$65,'315'!$H$67:$H$76,'315'!$H$78,'315'!$H$80:$H$81,'315'!$H$83,'315'!$H$85:$H$86,'315'!$H$88,'315'!$H$90,'315'!$H$92,'315'!$H$94,'315'!$H$96:$H$98,'315'!$H$100:$H$101,'315'!$H$103:$H$107,'315'!$H$109,'315'!$H$111,'315'!$H$113:$H$114</definedName>
    <definedName name="OSRRefH22x_0" localSheetId="62">'316'!$H$33:$H$41,'316'!$H$43:$H$52,'316'!$H$54,'316'!$H$56,'316'!$H$58,'316'!$H$60,'316'!$H$62,'316'!$H$64,'316'!$H$66,'316'!$H$68,'316'!$H$70:$H$71,'316'!$H$73:$H$76,'316'!$H$78:$H$79,'316'!$H$81</definedName>
    <definedName name="OSRRefH22x_0" localSheetId="65">'317'!$H$60:$H$69,'317'!$H$71:$H$80,'317'!$H$82,'317'!$H$84,'317'!$H$86,'317'!$H$88,'317'!$H$90,'317'!$H$92,'317'!$H$94:$H$95,'317'!$H$97:$H$98,'317'!$H$100,'317'!$H$102</definedName>
    <definedName name="OSRRefH22x_0" localSheetId="63">'320'!$H$28:$H$35,'320'!$H$37:$H$46,'320'!$H$48,'320'!$H$50,'320'!$H$52:$H$53,'320'!$H$55,'320'!$H$57,'320'!$H$59:$H$60,'320'!$H$62</definedName>
    <definedName name="OSRRefH22x_0" localSheetId="70">'321'!$H$26:$H$33,'321'!$H$35:$H$44,'321'!$H$46,'321'!$H$48,'321'!$H$50,'321'!$H$52,'321'!$H$54,'321'!$H$56,'321'!$H$58,'321'!$H$60:$H$62,'321'!$H$64:$H$65,'321'!$H$67:$H$69,'321'!$H$71:$H$73,'321'!$H$75,'321'!$H$77</definedName>
    <definedName name="OSRRefH22x_0" localSheetId="71">'322'!$H$26:$H$34,'322'!$H$36:$H$45,'322'!$H$47,'322'!$H$49,'322'!$H$51,'322'!$H$53:$H$54,'322'!$H$56,'322'!$H$58,'322'!$H$60,'322'!$H$62:$H$64,'322'!$H$66:$H$68,'322'!$H$70:$H$74,'322'!$H$76,'322'!$H$78</definedName>
    <definedName name="OSRRefH22x_0" localSheetId="72">'325'!$H$26:$H$34,'325'!$H$36:$H$45,'325'!$H$47,'325'!$H$49,'325'!$H$51,'325'!$H$53:$H$55,'325'!$H$57,'325'!$H$59,'325'!$H$61,'325'!$H$63,'325'!$H$65,'325'!$H$67:$H$69,'325'!$H$71:$H$74,'325'!$H$76,'325'!$H$78:$H$84,'325'!$H$86,'325'!$H$88,'325'!$H$90,'325'!$H$92</definedName>
    <definedName name="OSRRefH22x_0" localSheetId="60">'326'!$H$55:$H$63,'326'!$H$65:$H$74,'326'!$H$76,'326'!$H$78:$H$79,'326'!$H$81,'326'!$H$83,'326'!$H$85,'326'!$H$87,'326'!$H$89,'326'!$H$91,'326'!$H$93,'326'!$H$95,'326'!$H$97,'326'!$H$99:$H$100,'326'!$H$102:$H$104,'326'!$H$106:$H$107,'326'!$H$109:$H$113,'326'!$H$115:$H$116,'326'!$H$118,'326'!$H$120,'326'!$H$122</definedName>
    <definedName name="OSRRefH22x_0" localSheetId="73">'327'!$H$24,'327'!$H$26,'327'!$H$28</definedName>
    <definedName name="OSRRefH22x_0" localSheetId="52">'330'!$H$80:$H$88,'330'!$H$90:$H$99,'330'!$H$101,'330'!$H$103,'330'!$H$105:$H$106,'330'!$H$108,'330'!$H$110,'330'!$H$112,'330'!$H$114,'330'!$H$116:$H$117,'330'!$H$119:$H$120,'330'!$H$122,'330'!$H$124:$H$125,'330'!$H$127,'330'!$H$129</definedName>
    <definedName name="OSRRefH22x_0" localSheetId="58">'331'!$H$70:$H$78,'331'!$H$80:$H$89,'331'!$H$91,'331'!$H$93:$H$94,'331'!$H$96,'331'!$H$98:$H$99,'331'!$H$101,'331'!$H$103,'331'!$H$105:$H$106,'331'!$H$108,'331'!$H$110,'331'!$H$112,'331'!$H$114,'331'!$H$116,'331'!$H$118:$H$119,'331'!$H$121:$H$123,'331'!$H$125:$H$127,'331'!$H$129:$H$130,'331'!$H$132:$H$137,'331'!$H$139:$H$140,'331'!$H$142,'331'!$H$144:$H$145,'331'!$H$147</definedName>
    <definedName name="OSRRefH22x_0" localSheetId="61">'332'!$H$41:$H$49,'332'!$H$51:$H$60,'332'!$H$62,'332'!$H$64,'332'!$H$66,'332'!$H$68,'332'!$H$70,'332'!$H$72:$H$73,'332'!$H$75,'332'!$H$77,'332'!$H$79,'332'!$H$81:$H$82,'332'!$H$84:$H$88,'332'!$H$90:$H$91,'332'!$H$93</definedName>
    <definedName name="OSRRefH22x_0" localSheetId="77">'405'!$H$26:$H$34,'405'!$H$36:$H$45,'405'!$H$47,'405'!$H$49,'405'!$H$51,'405'!$H$53:$H$55,'405'!$H$57,'405'!$H$59,'405'!$H$61,'405'!$H$63,'405'!$H$65:$H$67,'405'!$H$69,'405'!$H$71:$H$73,'405'!$H$75,'405'!$H$77:$H$85,'405'!$H$87,'405'!$H$89,'405'!$H$91</definedName>
    <definedName name="OSRRefH22x_0" localSheetId="78">'406'!$H$27:$H$35,'406'!$H$37:$H$46,'406'!$H$48,'406'!$H$50,'406'!$H$52,'406'!$H$54:$H$55,'406'!$H$57,'406'!$H$59,'406'!$H$61:$H$63,'406'!$H$65:$H$67,'406'!$H$69:$H$74,'406'!$H$76:$H$77,'406'!$H$79,'406'!$H$81</definedName>
    <definedName name="OSRRefH22x_0" localSheetId="79">'411'!$H$20:$H$29,'411'!$H$31:$H$40,'411'!$H$42,'411'!$H$44:$H$47,'411'!$H$49,'411'!$H$51,'411'!$H$53,'411'!$H$55,'411'!$H$57,'411'!$H$59,'411'!$H$61:$H$63,'411'!$H$65:$H$69,'411'!$H$71:$H$77,'411'!$H$79,'411'!$H$81,'411'!$H$83:$H$85,'411'!$H$87</definedName>
    <definedName name="OSRRefH22x_0" localSheetId="80">'412'!$H$26:$H$34,'412'!$H$36:$H$45,'412'!$H$47,'412'!$H$49,'412'!$H$51,'412'!$H$53:$H$55,'412'!$H$57,'412'!$H$59,'412'!$H$61:$H$62,'412'!$H$64,'412'!$H$66:$H$68,'412'!$H$70:$H$75,'412'!$H$77,'412'!$H$79</definedName>
    <definedName name="OSRRefH22x_0" localSheetId="82">'413'!$H$27:$H$35,'413'!$H$37:$H$46,'413'!$H$48,'413'!$H$50,'413'!$H$52,'413'!$H$54,'413'!$H$56,'413'!$H$58:$H$60,'413'!$H$62,'413'!$H$64:$H$69,'413'!$H$71:$H$72,'413'!$H$74</definedName>
    <definedName name="OSRRefH22x_0" localSheetId="83">'414'!$H$27:$H$35,'414'!$H$37:$H$46,'414'!$H$48,'414'!$H$50,'414'!$H$52,'414'!$H$54:$H$55,'414'!$H$57,'414'!$H$59,'414'!$H$61,'414'!$H$63:$H$64,'414'!$H$66,'414'!$H$68,'414'!$H$70,'414'!$H$72:$H$78,'414'!$H$80,'414'!$H$82</definedName>
    <definedName name="OSRRefH22x_0" localSheetId="84">'415'!$H$26:$H$34,'415'!$H$36:$H$45,'415'!$H$47,'415'!$H$49,'415'!$H$51,'415'!$H$53:$H$55,'415'!$H$57,'415'!$H$59,'415'!$H$61,'415'!$H$63,'415'!$H$65,'415'!$H$67:$H$69,'415'!$H$71:$H$75,'415'!$H$77,'415'!$H$79:$H$86,'415'!$H$88,'415'!$H$90,'415'!$H$92:$H$93,'415'!$H$95</definedName>
    <definedName name="OSRRefH22x_0" localSheetId="85">'418'!$H$27:$H$35,'418'!$H$37:$H$46,'418'!$H$48,'418'!$H$50,'418'!$H$52,'418'!$H$54:$H$56,'418'!$H$58,'418'!$H$60,'418'!$H$62:$H$63,'418'!$H$65:$H$67,'418'!$H$69:$H$71,'418'!$H$73,'418'!$H$75:$H$81,'418'!$H$83,'418'!$H$85,'418'!$H$87</definedName>
    <definedName name="OSRRefH22x_0" localSheetId="81">'420'!$H$22:$H$28,'420'!$H$30:$H$33,'420'!$H$35,'420'!$H$37,'420'!$H$39</definedName>
    <definedName name="OSRRefH22x_0" localSheetId="86">'423'!$H$21:$H$29,'423'!$H$31:$H$40,'423'!$H$42,'423'!$H$44,'423'!$H$46,'423'!$H$48</definedName>
    <definedName name="OSRRefH22x_0" localSheetId="87">'424'!$H$26:$H$33,'424'!$H$35:$H$44,'424'!$H$46,'424'!$H$48,'424'!$H$50,'424'!$H$52,'424'!$H$54,'424'!$H$56:$H$57,'424'!$H$59:$H$60,'424'!$H$62,'424'!$H$64:$H$67,'424'!$H$69:$H$70</definedName>
    <definedName name="OSRRefH22x_0" localSheetId="88">'425'!$H$27:$H$35,'425'!$H$37:$H$46,'425'!$H$48,'425'!$H$50,'425'!$H$52,'425'!$H$54:$H$55,'425'!$H$57,'425'!$H$59,'425'!$H$61,'425'!$H$63:$H$65,'425'!$H$67:$H$68,'425'!$H$70:$H$71,'425'!$H$73:$H$79,'425'!$H$81:$H$82,'425'!$H$84,'425'!$H$86</definedName>
    <definedName name="OSRRefH22x_0" localSheetId="91">'430'!$H$20:$H$28,'430'!$H$30:$H$39,'430'!$H$41,'430'!$H$43,'430'!$H$45,'430'!$H$47,'430'!$H$49,'430'!$H$51:$H$53,'430'!$H$55,'430'!$H$57,'430'!$H$59</definedName>
    <definedName name="OSRRefH22x_0" localSheetId="92">'433'!$H$27:$H$36,'433'!$H$38:$H$47,'433'!$H$49,'433'!$H$51,'433'!$H$53,'433'!$H$55,'433'!$H$57,'433'!$H$59,'433'!$H$61,'433'!$H$63,'433'!$H$65:$H$67,'433'!$H$69:$H$72,'433'!$H$74:$H$81,'433'!$H$83,'433'!$H$85,'433'!$H$87:$H$88</definedName>
    <definedName name="OSRRefH22x_0" localSheetId="93">'435'!$H$27:$H$34,'435'!$H$36:$H$45,'435'!$H$47,'435'!$H$49,'435'!$H$51,'435'!$H$53,'435'!$H$55:$H$57,'435'!$H$59</definedName>
    <definedName name="OSRRefH22x_0" localSheetId="94">'444'!$H$27:$H$36,'444'!$H$38:$H$47,'444'!$H$49,'444'!$H$51,'444'!$H$53,'444'!$H$55,'444'!$H$57,'444'!$H$59,'444'!$H$61,'444'!$H$63,'444'!$H$65,'444'!$H$67:$H$69,'444'!$H$71:$H$74,'444'!$H$76:$H$83,'444'!$H$85,'444'!$H$87,'444'!$H$89</definedName>
    <definedName name="OSRRefH22x_0" localSheetId="96">'450'!$H$27:$H$36,'450'!$H$38:$H$47,'450'!$H$49,'450'!$H$51:$H$52,'450'!$H$54,'450'!$H$56,'450'!$H$58,'450'!$H$60,'450'!$H$62,'450'!$H$64,'450'!$H$66,'450'!$H$68:$H$70,'450'!$H$72:$H$74,'450'!$H$76:$H$81,'450'!$H$83,'450'!$H$85,'450'!$H$87:$H$88</definedName>
    <definedName name="OSRRefH22x_0" localSheetId="89">'455'!$H$20:$H$27,'455'!$H$29:$H$38</definedName>
    <definedName name="OSRRefH22x_0" localSheetId="76">'491'!$H$34:$H$43,'491'!$H$45:$H$54,'491'!$H$56,'491'!$H$58,'491'!$H$60,'491'!$H$62:$H$65,'491'!$H$67,'491'!$H$69,'491'!$H$71,'491'!$H$73:$H$74,'491'!$H$76,'491'!$H$78,'491'!$H$80,'491'!$H$82,'491'!$H$84:$H$87,'491'!$H$89:$H$91,'491'!$H$93:$H$97,'491'!$H$99,'491'!$H$101:$H$110,'491'!$H$112:$H$113,'491'!$H$115,'491'!$H$117:$H$119,'491'!$H$121</definedName>
    <definedName name="OSRRefH22x_0" localSheetId="90">'492'!$H$29:$H$38,'492'!$H$40:$H$49,'492'!$H$51,'492'!$H$53:$H$54,'492'!$H$56,'492'!$H$58:$H$59,'492'!$H$61,'492'!$H$63,'492'!$H$65,'492'!$H$67,'492'!$H$69,'492'!$H$71,'492'!$H$73:$H$76,'492'!$H$78:$H$81,'492'!$H$83:$H$91,'492'!$H$93,'492'!$H$95,'492'!$H$97:$H$98</definedName>
    <definedName name="OSRRefH22x_0" localSheetId="98">'501'!$H$21:$H$29,'501'!$H$31:$H$40,'501'!$H$42,'501'!$H$44,'501'!$H$46,'501'!$H$48,'501'!$H$50,'501'!$H$52,'501'!$H$54,'501'!$H$56,'501'!$H$58:$H$59,'501'!$H$61:$H$63,'501'!$H$65</definedName>
    <definedName name="OSRRefH22x_0" localSheetId="39">'Div 2'!$H$20:$H$30,'Div 2'!$H$32:$H$41,'Div 2'!$H$43,'Div 2'!$H$45,'Div 2'!$H$47,'Div 2'!$H$49,'Div 2'!$H$51:$H$52,'Div 2'!$H$54,'Div 2'!$H$56,'Div 2'!$H$58,'Div 2'!$H$60,'Div 2'!$H$62,'Div 2'!$H$64:$H$66,'Div 2'!$H$68:$H$71,'Div 2'!$H$73:$H$76,'Div 2'!$H$78:$H$79,'Div 2'!$H$81:$H$82,'Div 2'!$H$84:$H$87,'Div 2'!$H$89:$H$90,'Div 2'!$H$92,'Div 2'!$H$94:$H$95</definedName>
    <definedName name="OSRRefH22x_0" localSheetId="47">'Div 3'!$H$167:$H$176,'Div 3'!$H$178:$H$187,'Div 3'!$H$189,'Div 3'!$H$191:$H$192,'Div 3'!$H$194,'Div 3'!$H$196:$H$199,'Div 3'!$H$201:$H$202,'Div 3'!$H$204:$H$205,'Div 3'!$H$207,'Div 3'!$H$209,'Div 3'!$H$211:$H$212,'Div 3'!$H$214,'Div 3'!$H$216,'Div 3'!$H$218,'Div 3'!$H$220,'Div 3'!$H$222,'Div 3'!$H$224,'Div 3'!$H$226,'Div 3'!$H$228:$H$230,'Div 3'!$H$232:$H$235,'Div 3'!$H$237:$H$242,'Div 3'!$H$244:$H$245,'Div 3'!$H$247:$H$254,'Div 3'!$H$256:$H$257,'Div 3'!$H$259,'Div 3'!$H$261:$H$263,'Div 3'!$H$265</definedName>
    <definedName name="OSRRefH22x_0" localSheetId="74">'Div 4'!$H$35:$H$44,'Div 4'!$H$46:$H$55,'Div 4'!$H$57,'Div 4'!$H$59:$H$60,'Div 4'!$H$62,'Div 4'!$H$64:$H$67,'Div 4'!$H$69:$H$70,'Div 4'!$H$72,'Div 4'!$H$74,'Div 4'!$H$76,'Div 4'!$H$78:$H$79,'Div 4'!$H$81,'Div 4'!$H$83,'Div 4'!$H$85,'Div 4'!$H$87,'Div 4'!$H$89,'Div 4'!$H$91:$H$94,'Div 4'!$H$96:$H$98,'Div 4'!$H$100:$H$104,'Div 4'!$H$106,'Div 4'!$H$108:$H$117,'Div 4'!$H$119:$H$120,'Div 4'!$H$122,'Div 4'!$H$124:$H$126,'Div 4'!$H$128</definedName>
    <definedName name="OSRRefH22x_0" localSheetId="97">'Div 5'!$H$21:$H$29,'Div 5'!$H$31:$H$40,'Div 5'!$H$42,'Div 5'!$H$44,'Div 5'!$H$46,'Div 5'!$H$48,'Div 5'!$H$50,'Div 5'!$H$52,'Div 5'!$H$54,'Div 5'!$H$56,'Div 5'!$H$58:$H$59,'Div 5'!$H$61:$H$63,'Div 5'!$H$65</definedName>
    <definedName name="OSRRefH22x_0" localSheetId="64">'Div 6'!$H$60:$H$69,'Div 6'!$H$71:$H$80,'Div 6'!$H$82,'Div 6'!$H$84,'Div 6'!$H$86,'Div 6'!$H$88,'Div 6'!$H$90,'Div 6'!$H$92,'Div 6'!$H$94:$H$95,'Div 6'!$H$97:$H$98,'Div 6'!$H$100,'Div 6'!$H$102</definedName>
    <definedName name="OSRRefH22x_0" localSheetId="2">Summary!$H$199:$H$208,Summary!$H$210:$H$219,Summary!$H$221,Summary!$H$223:$H$224,Summary!$H$226,Summary!$H$228:$H$231,Summary!$H$233:$H$234,Summary!$H$236:$H$238,Summary!$H$240,Summary!$H$242,Summary!$H$244:$H$245,Summary!$H$247:$H$248,Summary!$H$250,Summary!$H$252,Summary!$H$254,Summary!$H$256,Summary!$H$258,Summary!$H$260,Summary!$H$262:$H$265,Summary!$H$267:$H$270,Summary!$H$272:$H$277,Summary!$H$279:$H$280,Summary!$H$282:$H$291,Summary!$H$293:$H$294,Summary!$H$296,Summary!$H$298:$H$300,Summary!$H$302</definedName>
    <definedName name="OSRRefH25x_0" localSheetId="48">'300'!$H$255:$H$263</definedName>
    <definedName name="OSRRefH25x_0" localSheetId="49">'300 &amp; 317'!$H$280:$H$290</definedName>
    <definedName name="OSRRefH25x_0" localSheetId="50">'301'!$H$102:$H$105</definedName>
    <definedName name="OSRRefH25x_0" localSheetId="55">'308'!$H$119:$H$122</definedName>
    <definedName name="OSRRefH25x_0" localSheetId="75">'310 &amp; 491'!$H$137:$H$140</definedName>
    <definedName name="OSRRefH25x_0" localSheetId="56">'311'!$H$119:$H$122</definedName>
    <definedName name="OSRRefH25x_0" localSheetId="59">'315'!$H$117:$H$119</definedName>
    <definedName name="OSRRefH25x_0" localSheetId="62">'316'!$H$84:$H$85</definedName>
    <definedName name="OSRRefH25x_0" localSheetId="65">'317'!$H$105:$H$107</definedName>
    <definedName name="OSRRefH25x_0" localSheetId="63">'320'!$H$65:$H$69</definedName>
    <definedName name="OSRRefH25x_0" localSheetId="58">'331'!$H$150:$H$152</definedName>
    <definedName name="OSRRefH25x_0" localSheetId="61">'332'!$H$96:$H$102</definedName>
    <definedName name="OSRRefH25x_0" localSheetId="79">'411'!$H$90:$H$91</definedName>
    <definedName name="OSRRefH25x_0" localSheetId="82">'413'!$H$77</definedName>
    <definedName name="OSRRefH25x_0" localSheetId="86">'423'!$H$51</definedName>
    <definedName name="OSRRefH25x_0" localSheetId="87">'424'!$H$73</definedName>
    <definedName name="OSRRefH25x_0" localSheetId="88">'425'!$H$89</definedName>
    <definedName name="OSRRefH25x_0" localSheetId="89">'455'!$H$41:$H$44</definedName>
    <definedName name="OSRRefH25x_0" localSheetId="76">'491'!$H$124:$H$127</definedName>
    <definedName name="OSRRefH25x_0" localSheetId="98">'501'!$H$68</definedName>
    <definedName name="OSRRefH25x_0" localSheetId="47">'Div 3'!$H$268:$H$276</definedName>
    <definedName name="OSRRefH25x_0" localSheetId="74">'Div 4'!$H$131:$H$134</definedName>
    <definedName name="OSRRefH25x_0" localSheetId="97">'Div 5'!$H$68</definedName>
    <definedName name="OSRRefH25x_0" localSheetId="64">'Div 6'!$H$105:$H$107</definedName>
    <definedName name="OSRRefH25x_0" localSheetId="2">Summary!$H$305:$H$316</definedName>
    <definedName name="OSRRefP13x_0" localSheetId="48">'300'!$P$13:$P$102</definedName>
    <definedName name="OSRRefP13x_0" localSheetId="49">'300 &amp; 317'!$P$13:$P$120</definedName>
    <definedName name="OSRRefP13x_0" localSheetId="53">'307'!$P$13:$P$43</definedName>
    <definedName name="OSRRefP13x_0" localSheetId="55">'308'!$P$13:$P$39</definedName>
    <definedName name="OSRRefP13x_0" localSheetId="68">'309'!$P$13:$P$15</definedName>
    <definedName name="OSRRefP13x_0" localSheetId="67">'310'!$P$13:$P$22</definedName>
    <definedName name="OSRRefP13x_0" localSheetId="75">'310 &amp; 491'!$P$13:$P$29</definedName>
    <definedName name="OSRRefP13x_0" localSheetId="56">'311'!$P$13:$P$39</definedName>
    <definedName name="OSRRefP13x_0" localSheetId="69">'313'!$P$13:$P$18</definedName>
    <definedName name="OSRRefP13x_0" localSheetId="54">'314'!$P$13:$P$34</definedName>
    <definedName name="OSRRefP13x_0" localSheetId="59">'315'!$P$13:$P$33</definedName>
    <definedName name="OSRRefP13x_0" localSheetId="62">'316'!$P$13:$P$25</definedName>
    <definedName name="OSRRefP13x_0" localSheetId="65">'317'!$P$13:$P$38</definedName>
    <definedName name="OSRRefP13x_0" localSheetId="63">'320'!$P$13:$P$15</definedName>
    <definedName name="OSRRefP13x_0" localSheetId="70">'321'!$P$13:$P$15</definedName>
    <definedName name="OSRRefP13x_0" localSheetId="71">'322'!$P$13:$P$15</definedName>
    <definedName name="OSRRefP13x_0" localSheetId="57">'324'!$P$13:$P$15</definedName>
    <definedName name="OSRRefP13x_0" localSheetId="72">'325'!$P$13:$P$15</definedName>
    <definedName name="OSRRefP13x_0" localSheetId="60">'326'!$P$13:$P$32</definedName>
    <definedName name="OSRRefP13x_0" localSheetId="73">'327'!$P$13:$P$14</definedName>
    <definedName name="OSRRefP13x_0" localSheetId="52">'330'!$P$13:$P$48</definedName>
    <definedName name="OSRRefP13x_0" localSheetId="58">'331'!$P$13:$P$40</definedName>
    <definedName name="OSRRefP13x_0" localSheetId="61">'332'!$P$13:$P$28</definedName>
    <definedName name="OSRRefP13x_0" localSheetId="77">'405'!$P$13:$P$15</definedName>
    <definedName name="OSRRefP13x_0" localSheetId="78">'406'!$P$13:$P$16</definedName>
    <definedName name="OSRRefP13x_0" localSheetId="80">'412'!$P$13:$P$16</definedName>
    <definedName name="OSRRefP13x_0" localSheetId="82">'413'!$P$13:$P$16</definedName>
    <definedName name="OSRRefP13x_0" localSheetId="83">'414'!$P$13:$P$16</definedName>
    <definedName name="OSRRefP13x_0" localSheetId="84">'415'!$P$13:$P$15</definedName>
    <definedName name="OSRRefP13x_0" localSheetId="85">'418'!$P$13:$P$16</definedName>
    <definedName name="OSRRefP13x_0" localSheetId="81">'420'!$P$13:$P$14</definedName>
    <definedName name="OSRRefP13x_0" localSheetId="87">'424'!$P$13:$P$15</definedName>
    <definedName name="OSRRefP13x_0" localSheetId="88">'425'!$P$13:$P$16</definedName>
    <definedName name="OSRRefP13x_0" localSheetId="92">'433'!$P$13:$P$16</definedName>
    <definedName name="OSRRefP13x_0" localSheetId="93">'435'!$P$13:$P$16</definedName>
    <definedName name="OSRRefP13x_0" localSheetId="94">'444'!$P$13:$P$16</definedName>
    <definedName name="OSRRefP13x_0" localSheetId="96">'450'!$P$13:$P$16</definedName>
    <definedName name="OSRRefP13x_0" localSheetId="76">'491'!$P$13:$P$23</definedName>
    <definedName name="OSRRefP13x_0" localSheetId="90">'492'!$P$13:$P$18</definedName>
    <definedName name="OSRRefP13x_0" localSheetId="98">'501'!$P$13</definedName>
    <definedName name="OSRRefP13x_0" localSheetId="47">'Div 3'!$P$13:$P$106</definedName>
    <definedName name="OSRRefP13x_0" localSheetId="74">'Div 4'!$P$13:$P$24</definedName>
    <definedName name="OSRRefP13x_0" localSheetId="97">'Div 5'!$P$13</definedName>
    <definedName name="OSRRefP13x_0" localSheetId="64">'Div 6'!$P$13:$P$38</definedName>
    <definedName name="OSRRefP13x_0" localSheetId="2">Summary!$P$13:$P$131</definedName>
    <definedName name="OSRRefP16x_0" localSheetId="48">'300'!$P$105:$P$155</definedName>
    <definedName name="OSRRefP16x_0" localSheetId="49">'300 &amp; 317'!$P$123:$P$180</definedName>
    <definedName name="OSRRefP16x_0" localSheetId="53">'307'!$P$46:$P$65</definedName>
    <definedName name="OSRRefP16x_0" localSheetId="55">'308'!$P$42:$P$57</definedName>
    <definedName name="OSRRefP16x_0" localSheetId="68">'309'!$P$18:$P$20</definedName>
    <definedName name="OSRRefP16x_0" localSheetId="67">'310'!$P$25:$P$27</definedName>
    <definedName name="OSRRefP16x_0" localSheetId="75">'310 &amp; 491'!$P$32:$P$34</definedName>
    <definedName name="OSRRefP16x_0" localSheetId="56">'311'!$P$42:$P$57</definedName>
    <definedName name="OSRRefP16x_0" localSheetId="69">'313'!$P$21:$P$23</definedName>
    <definedName name="OSRRefP16x_0" localSheetId="54">'314'!$P$37:$P$52</definedName>
    <definedName name="OSRRefP16x_0" localSheetId="59">'315'!$P$36:$P$51</definedName>
    <definedName name="OSRRefP16x_0" localSheetId="65">'317'!$P$41:$P$54</definedName>
    <definedName name="OSRRefP16x_0" localSheetId="63">'320'!$P$18:$P$22</definedName>
    <definedName name="OSRRefP16x_0" localSheetId="70">'321'!$P$18:$P$20</definedName>
    <definedName name="OSRRefP16x_0" localSheetId="71">'322'!$P$18:$P$20</definedName>
    <definedName name="OSRRefP16x_0" localSheetId="57">'324'!$P$18:$P$20</definedName>
    <definedName name="OSRRefP16x_0" localSheetId="72">'325'!$P$18:$P$20</definedName>
    <definedName name="OSRRefP16x_0" localSheetId="60">'326'!$P$35:$P$49</definedName>
    <definedName name="OSRRefP16x_0" localSheetId="73">'327'!$P$17:$P$18</definedName>
    <definedName name="OSRRefP16x_0" localSheetId="52">'330'!$P$51:$P$74</definedName>
    <definedName name="OSRRefP16x_0" localSheetId="58">'331'!$P$43:$P$64</definedName>
    <definedName name="OSRRefP16x_0" localSheetId="61">'332'!$P$31:$P$35</definedName>
    <definedName name="OSRRefP16x_0" localSheetId="77">'405'!$P$18:$P$20</definedName>
    <definedName name="OSRRefP16x_0" localSheetId="78">'406'!$P$19:$P$21</definedName>
    <definedName name="OSRRefP16x_0" localSheetId="80">'412'!$P$19:$P$20</definedName>
    <definedName name="OSRRefP16x_0" localSheetId="82">'413'!$P$19:$P$21</definedName>
    <definedName name="OSRRefP16x_0" localSheetId="83">'414'!$P$19:$P$21</definedName>
    <definedName name="OSRRefP16x_0" localSheetId="84">'415'!$P$18:$P$20</definedName>
    <definedName name="OSRRefP16x_0" localSheetId="85">'418'!$P$19:$P$21</definedName>
    <definedName name="OSRRefP16x_0" localSheetId="86">'423'!$P$15</definedName>
    <definedName name="OSRRefP16x_0" localSheetId="87">'424'!$P$18:$P$20</definedName>
    <definedName name="OSRRefP16x_0" localSheetId="88">'425'!$P$19:$P$21</definedName>
    <definedName name="OSRRefP16x_0" localSheetId="92">'433'!$P$19:$P$21</definedName>
    <definedName name="OSRRefP16x_0" localSheetId="93">'435'!$P$19:$P$21</definedName>
    <definedName name="OSRRefP16x_0" localSheetId="94">'444'!$P$19:$P$21</definedName>
    <definedName name="OSRRefP16x_0" localSheetId="96">'450'!$P$19:$P$21</definedName>
    <definedName name="OSRRefP16x_0" localSheetId="76">'491'!$P$26:$P$28</definedName>
    <definedName name="OSRRefP16x_0" localSheetId="90">'492'!$P$21:$P$23</definedName>
    <definedName name="OSRRefP16x_0" localSheetId="47">'Div 3'!$P$109:$P$161</definedName>
    <definedName name="OSRRefP16x_0" localSheetId="74">'Div 4'!$P$27:$P$29</definedName>
    <definedName name="OSRRefP16x_0" localSheetId="64">'Div 6'!$P$41:$P$54</definedName>
    <definedName name="OSRRefP16x_0" localSheetId="2">Summary!$P$134:$P$193</definedName>
    <definedName name="OSRRefP22_0x_0" localSheetId="40">'200'!$P$20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'204'!$P$20:$P$29</definedName>
    <definedName name="OSRRefP22_0x_0" localSheetId="45">'205'!$P$20:$P$28</definedName>
    <definedName name="OSRRefP22_0x_0" localSheetId="46">'206'!$P$20:$P$28</definedName>
    <definedName name="OSRRefP22_0x_0" localSheetId="48">'300'!$P$161:$P$170</definedName>
    <definedName name="OSRRefP22_0x_0" localSheetId="49">'300 &amp; 317'!$P$186:$P$195</definedName>
    <definedName name="OSRRefP22_0x_0" localSheetId="50">'301'!$P$20:$P$28</definedName>
    <definedName name="OSRRefP22_0x_0" localSheetId="51">'306'!$P$20:$P$28</definedName>
    <definedName name="OSRRefP22_0x_0" localSheetId="53">'307'!$P$71:$P$79</definedName>
    <definedName name="OSRRefP22_0x_0" localSheetId="55">'308'!$P$63:$P$72</definedName>
    <definedName name="OSRRefP22_0x_0" localSheetId="68">'309'!$P$26:$P$34</definedName>
    <definedName name="OSRRefP22_0x_0" localSheetId="67">'310'!$P$33:$P$41</definedName>
    <definedName name="OSRRefP22_0x_0" localSheetId="75">'310 &amp; 491'!$P$40:$P$49</definedName>
    <definedName name="OSRRefP22_0x_0" localSheetId="56">'311'!$P$63:$P$72</definedName>
    <definedName name="OSRRefP22_0x_0" localSheetId="69">'313'!$P$29:$P$37</definedName>
    <definedName name="OSRRefP22_0x_0" localSheetId="54">'314'!$P$58:$P$65</definedName>
    <definedName name="OSRRefP22_0x_0" localSheetId="59">'315'!$P$57:$P$65</definedName>
    <definedName name="OSRRefP22_0x_0" localSheetId="62">'316'!$P$33:$P$41</definedName>
    <definedName name="OSRRefP22_0x_0" localSheetId="65">'317'!$P$60:$P$69</definedName>
    <definedName name="OSRRefP22_0x_0" localSheetId="63">'320'!$P$28:$P$35</definedName>
    <definedName name="OSRRefP22_0x_0" localSheetId="70">'321'!$P$26:$P$33</definedName>
    <definedName name="OSRRefP22_0x_0" localSheetId="71">'322'!$P$26:$P$34</definedName>
    <definedName name="OSRRefP22_0x_0" localSheetId="72">'325'!$P$26:$P$34</definedName>
    <definedName name="OSRRefP22_0x_0" localSheetId="60">'326'!$P$55:$P$63</definedName>
    <definedName name="OSRRefP22_0x_0" localSheetId="73">'327'!$P$24</definedName>
    <definedName name="OSRRefP22_0x_0" localSheetId="52">'330'!$P$80:$P$88</definedName>
    <definedName name="OSRRefP22_0x_0" localSheetId="58">'331'!$P$70:$P$78</definedName>
    <definedName name="OSRRefP22_0x_0" localSheetId="61">'332'!$P$41:$P$49</definedName>
    <definedName name="OSRRefP22_0x_0" localSheetId="77">'405'!$P$26:$P$34</definedName>
    <definedName name="OSRRefP22_0x_0" localSheetId="78">'406'!$P$27:$P$35</definedName>
    <definedName name="OSRRefP22_0x_0" localSheetId="79">'411'!$P$20:$P$29</definedName>
    <definedName name="OSRRefP22_0x_0" localSheetId="80">'412'!$P$26:$P$34</definedName>
    <definedName name="OSRRefP22_0x_0" localSheetId="82">'413'!$P$27:$P$35</definedName>
    <definedName name="OSRRefP22_0x_0" localSheetId="83">'414'!$P$27:$P$35</definedName>
    <definedName name="OSRRefP22_0x_0" localSheetId="84">'415'!$P$26:$P$34</definedName>
    <definedName name="OSRRefP22_0x_0" localSheetId="85">'418'!$P$27:$P$35</definedName>
    <definedName name="OSRRefP22_0x_0" localSheetId="81">'420'!$P$22:$P$28</definedName>
    <definedName name="OSRRefP22_0x_0" localSheetId="86">'423'!$P$21:$P$29</definedName>
    <definedName name="OSRRefP22_0x_0" localSheetId="87">'424'!$P$26:$P$33</definedName>
    <definedName name="OSRRefP22_0x_0" localSheetId="88">'425'!$P$27:$P$35</definedName>
    <definedName name="OSRRefP22_0x_0" localSheetId="91">'430'!$P$20:$P$28</definedName>
    <definedName name="OSRRefP22_0x_0" localSheetId="92">'433'!$P$27:$P$36</definedName>
    <definedName name="OSRRefP22_0x_0" localSheetId="93">'435'!$P$27:$P$34</definedName>
    <definedName name="OSRRefP22_0x_0" localSheetId="94">'444'!$P$27:$P$36</definedName>
    <definedName name="OSRRefP22_0x_0" localSheetId="96">'450'!$P$27:$P$36</definedName>
    <definedName name="OSRRefP22_0x_0" localSheetId="89">'455'!$P$20:$P$27</definedName>
    <definedName name="OSRRefP22_0x_0" localSheetId="76">'491'!$P$34:$P$43</definedName>
    <definedName name="OSRRefP22_0x_0" localSheetId="90">'492'!$P$29:$P$38</definedName>
    <definedName name="OSRRefP22_0x_0" localSheetId="98">'501'!$P$21:$P$29</definedName>
    <definedName name="OSRRefP22_0x_0" localSheetId="39">'Div 2'!$P$20:$P$30</definedName>
    <definedName name="OSRRefP22_0x_0" localSheetId="47">'Div 3'!$P$167:$P$176</definedName>
    <definedName name="OSRRefP22_0x_0" localSheetId="74">'Div 4'!$P$35:$P$44</definedName>
    <definedName name="OSRRefP22_0x_0" localSheetId="97">'Div 5'!$P$21:$P$29</definedName>
    <definedName name="OSRRefP22_0x_0" localSheetId="64">'Div 6'!$P$60:$P$69</definedName>
    <definedName name="OSRRefP22_0x_0" localSheetId="2">Summary!$P$199:$P$208</definedName>
    <definedName name="OSRRefP22_10x_0" localSheetId="41">'201'!$P$58:$P$60</definedName>
    <definedName name="OSRRefP22_10x_0" localSheetId="42">'202'!$P$59</definedName>
    <definedName name="OSRRefP22_10x_0" localSheetId="43">'203'!$P$59:$P$60</definedName>
    <definedName name="OSRRefP22_10x_0" localSheetId="44">'204'!$P$61:$P$62</definedName>
    <definedName name="OSRRefP22_10x_0" localSheetId="46">'206'!$P$58</definedName>
    <definedName name="OSRRefP22_10x_0" localSheetId="48">'300'!$P$205:$P$206</definedName>
    <definedName name="OSRRefP22_10x_0" localSheetId="49">'300 &amp; 317'!$P$230:$P$231</definedName>
    <definedName name="OSRRefP22_10x_0" localSheetId="50">'301'!$P$63</definedName>
    <definedName name="OSRRefP22_10x_0" localSheetId="51">'306'!$P$61</definedName>
    <definedName name="OSRRefP22_10x_0" localSheetId="53">'307'!$P$111:$P$112</definedName>
    <definedName name="OSRRefP22_10x_0" localSheetId="55">'308'!$P$104</definedName>
    <definedName name="OSRRefP22_10x_0" localSheetId="68">'309'!$P$67:$P$69</definedName>
    <definedName name="OSRRefP22_10x_0" localSheetId="67">'310'!$P$72</definedName>
    <definedName name="OSRRefP22_10x_0" localSheetId="75">'310 &amp; 491'!$P$81</definedName>
    <definedName name="OSRRefP22_10x_0" localSheetId="56">'311'!$P$104</definedName>
    <definedName name="OSRRefP22_10x_0" localSheetId="69">'313'!$P$66:$P$68</definedName>
    <definedName name="OSRRefP22_10x_0" localSheetId="59">'315'!$P$96:$P$98</definedName>
    <definedName name="OSRRefP22_10x_0" localSheetId="62">'316'!$P$70:$P$71</definedName>
    <definedName name="OSRRefP22_10x_0" localSheetId="65">'317'!$P$100</definedName>
    <definedName name="OSRRefP22_10x_0" localSheetId="70">'321'!$P$64:$P$65</definedName>
    <definedName name="OSRRefP22_10x_0" localSheetId="71">'322'!$P$66:$P$68</definedName>
    <definedName name="OSRRefP22_10x_0" localSheetId="72">'325'!$P$65</definedName>
    <definedName name="OSRRefP22_10x_0" localSheetId="60">'326'!$P$93</definedName>
    <definedName name="OSRRefP22_10x_0" localSheetId="52">'330'!$P$119:$P$120</definedName>
    <definedName name="OSRRefP22_10x_0" localSheetId="58">'331'!$P$110</definedName>
    <definedName name="OSRRefP22_10x_0" localSheetId="61">'332'!$P$79</definedName>
    <definedName name="OSRRefP22_10x_0" localSheetId="77">'405'!$P$65:$P$67</definedName>
    <definedName name="OSRRefP22_10x_0" localSheetId="78">'406'!$P$69:$P$74</definedName>
    <definedName name="OSRRefP22_10x_0" localSheetId="79">'411'!$P$61:$P$63</definedName>
    <definedName name="OSRRefP22_10x_0" localSheetId="80">'412'!$P$66:$P$68</definedName>
    <definedName name="OSRRefP22_10x_0" localSheetId="82">'413'!$P$71:$P$72</definedName>
    <definedName name="OSRRefP22_10x_0" localSheetId="83">'414'!$P$66</definedName>
    <definedName name="OSRRefP22_10x_0" localSheetId="84">'415'!$P$65</definedName>
    <definedName name="OSRRefP22_10x_0" localSheetId="85">'418'!$P$69:$P$71</definedName>
    <definedName name="OSRRefP22_10x_0" localSheetId="87">'424'!$P$64:$P$67</definedName>
    <definedName name="OSRRefP22_10x_0" localSheetId="88">'425'!$P$67:$P$68</definedName>
    <definedName name="OSRRefP22_10x_0" localSheetId="91">'430'!$P$59</definedName>
    <definedName name="OSRRefP22_10x_0" localSheetId="92">'433'!$P$65:$P$67</definedName>
    <definedName name="OSRRefP22_10x_0" localSheetId="94">'444'!$P$65</definedName>
    <definedName name="OSRRefP22_10x_0" localSheetId="96">'450'!$P$66</definedName>
    <definedName name="OSRRefP22_10x_0" localSheetId="76">'491'!$P$76</definedName>
    <definedName name="OSRRefP22_10x_0" localSheetId="90">'492'!$P$69</definedName>
    <definedName name="OSRRefP22_10x_0" localSheetId="98">'501'!$P$58:$P$59</definedName>
    <definedName name="OSRRefP22_10x_0" localSheetId="39">'Div 2'!$P$60</definedName>
    <definedName name="OSRRefP22_10x_0" localSheetId="47">'Div 3'!$P$211:$P$212</definedName>
    <definedName name="OSRRefP22_10x_0" localSheetId="74">'Div 4'!$P$78:$P$79</definedName>
    <definedName name="OSRRefP22_10x_0" localSheetId="97">'Div 5'!$P$58:$P$59</definedName>
    <definedName name="OSRRefP22_10x_0" localSheetId="64">'Div 6'!$P$100</definedName>
    <definedName name="OSRRefP22_10x_0" localSheetId="2">Summary!$P$244:$P$245</definedName>
    <definedName name="OSRRefP22_11x_0" localSheetId="41">'201'!$P$62:$P$64</definedName>
    <definedName name="OSRRefP22_11x_0" localSheetId="42">'202'!$P$61:$P$62</definedName>
    <definedName name="OSRRefP22_11x_0" localSheetId="43">'203'!$P$62</definedName>
    <definedName name="OSRRefP22_11x_0" localSheetId="44">'204'!$P$64</definedName>
    <definedName name="OSRRefP22_11x_0" localSheetId="48">'300'!$P$208</definedName>
    <definedName name="OSRRefP22_11x_0" localSheetId="49">'300 &amp; 317'!$P$233</definedName>
    <definedName name="OSRRefP22_11x_0" localSheetId="50">'301'!$P$65</definedName>
    <definedName name="OSRRefP22_11x_0" localSheetId="53">'307'!$P$114</definedName>
    <definedName name="OSRRefP22_11x_0" localSheetId="55">'308'!$P$106:$P$108</definedName>
    <definedName name="OSRRefP22_11x_0" localSheetId="68">'309'!$P$71</definedName>
    <definedName name="OSRRefP22_11x_0" localSheetId="67">'310'!$P$74</definedName>
    <definedName name="OSRRefP22_11x_0" localSheetId="75">'310 &amp; 491'!$P$83:$P$84</definedName>
    <definedName name="OSRRefP22_11x_0" localSheetId="56">'311'!$P$106:$P$108</definedName>
    <definedName name="OSRRefP22_11x_0" localSheetId="69">'313'!$P$70</definedName>
    <definedName name="OSRRefP22_11x_0" localSheetId="59">'315'!$P$100:$P$101</definedName>
    <definedName name="OSRRefP22_11x_0" localSheetId="62">'316'!$P$73:$P$76</definedName>
    <definedName name="OSRRefP22_11x_0" localSheetId="65">'317'!$P$102</definedName>
    <definedName name="OSRRefP22_11x_0" localSheetId="70">'321'!$P$67:$P$69</definedName>
    <definedName name="OSRRefP22_11x_0" localSheetId="71">'322'!$P$70:$P$74</definedName>
    <definedName name="OSRRefP22_11x_0" localSheetId="72">'325'!$P$67:$P$69</definedName>
    <definedName name="OSRRefP22_11x_0" localSheetId="60">'326'!$P$95</definedName>
    <definedName name="OSRRefP22_11x_0" localSheetId="52">'330'!$P$122</definedName>
    <definedName name="OSRRefP22_11x_0" localSheetId="58">'331'!$P$112</definedName>
    <definedName name="OSRRefP22_11x_0" localSheetId="61">'332'!$P$81:$P$82</definedName>
    <definedName name="OSRRefP22_11x_0" localSheetId="77">'405'!$P$69</definedName>
    <definedName name="OSRRefP22_11x_0" localSheetId="78">'406'!$P$76:$P$77</definedName>
    <definedName name="OSRRefP22_11x_0" localSheetId="79">'411'!$P$65:$P$69</definedName>
    <definedName name="OSRRefP22_11x_0" localSheetId="80">'412'!$P$70:$P$75</definedName>
    <definedName name="OSRRefP22_11x_0" localSheetId="82">'413'!$P$74</definedName>
    <definedName name="OSRRefP22_11x_0" localSheetId="83">'414'!$P$68</definedName>
    <definedName name="OSRRefP22_11x_0" localSheetId="84">'415'!$P$67:$P$69</definedName>
    <definedName name="OSRRefP22_11x_0" localSheetId="85">'418'!$P$73</definedName>
    <definedName name="OSRRefP22_11x_0" localSheetId="87">'424'!$P$69:$P$70</definedName>
    <definedName name="OSRRefP22_11x_0" localSheetId="88">'425'!$P$70:$P$71</definedName>
    <definedName name="OSRRefP22_11x_0" localSheetId="92">'433'!$P$69:$P$72</definedName>
    <definedName name="OSRRefP22_11x_0" localSheetId="94">'444'!$P$67:$P$69</definedName>
    <definedName name="OSRRefP22_11x_0" localSheetId="96">'450'!$P$68:$P$70</definedName>
    <definedName name="OSRRefP22_11x_0" localSheetId="76">'491'!$P$78</definedName>
    <definedName name="OSRRefP22_11x_0" localSheetId="90">'492'!$P$71</definedName>
    <definedName name="OSRRefP22_11x_0" localSheetId="98">'501'!$P$61:$P$63</definedName>
    <definedName name="OSRRefP22_11x_0" localSheetId="39">'Div 2'!$P$62</definedName>
    <definedName name="OSRRefP22_11x_0" localSheetId="47">'Div 3'!$P$214</definedName>
    <definedName name="OSRRefP22_11x_0" localSheetId="74">'Div 4'!$P$81</definedName>
    <definedName name="OSRRefP22_11x_0" localSheetId="97">'Div 5'!$P$61:$P$63</definedName>
    <definedName name="OSRRefP22_11x_0" localSheetId="64">'Div 6'!$P$102</definedName>
    <definedName name="OSRRefP22_11x_0" localSheetId="2">Summary!$P$247:$P$248</definedName>
    <definedName name="OSRRefP22_12x_0" localSheetId="41">'201'!$P$66</definedName>
    <definedName name="OSRRefP22_12x_0" localSheetId="42">'202'!$P$64</definedName>
    <definedName name="OSRRefP22_12x_0" localSheetId="43">'203'!$P$64:$P$66</definedName>
    <definedName name="OSRRefP22_12x_0" localSheetId="44">'204'!$P$66:$P$67</definedName>
    <definedName name="OSRRefP22_12x_0" localSheetId="48">'300'!$P$210</definedName>
    <definedName name="OSRRefP22_12x_0" localSheetId="49">'300 &amp; 317'!$P$235</definedName>
    <definedName name="OSRRefP22_12x_0" localSheetId="50">'301'!$P$67</definedName>
    <definedName name="OSRRefP22_12x_0" localSheetId="53">'307'!$P$116</definedName>
    <definedName name="OSRRefP22_12x_0" localSheetId="55">'308'!$P$110:$P$111</definedName>
    <definedName name="OSRRefP22_12x_0" localSheetId="68">'309'!$P$73</definedName>
    <definedName name="OSRRefP22_12x_0" localSheetId="67">'310'!$P$76</definedName>
    <definedName name="OSRRefP22_12x_0" localSheetId="75">'310 &amp; 491'!$P$86</definedName>
    <definedName name="OSRRefP22_12x_0" localSheetId="56">'311'!$P$110:$P$111</definedName>
    <definedName name="OSRRefP22_12x_0" localSheetId="69">'313'!$P$72:$P$76</definedName>
    <definedName name="OSRRefP22_12x_0" localSheetId="59">'315'!$P$103:$P$107</definedName>
    <definedName name="OSRRefP22_12x_0" localSheetId="62">'316'!$P$78:$P$79</definedName>
    <definedName name="OSRRefP22_12x_0" localSheetId="70">'321'!$P$71:$P$73</definedName>
    <definedName name="OSRRefP22_12x_0" localSheetId="71">'322'!$P$76</definedName>
    <definedName name="OSRRefP22_12x_0" localSheetId="72">'325'!$P$71:$P$74</definedName>
    <definedName name="OSRRefP22_12x_0" localSheetId="60">'326'!$P$97</definedName>
    <definedName name="OSRRefP22_12x_0" localSheetId="52">'330'!$P$124:$P$125</definedName>
    <definedName name="OSRRefP22_12x_0" localSheetId="58">'331'!$P$114</definedName>
    <definedName name="OSRRefP22_12x_0" localSheetId="61">'332'!$P$84:$P$88</definedName>
    <definedName name="OSRRefP22_12x_0" localSheetId="77">'405'!$P$71:$P$73</definedName>
    <definedName name="OSRRefP22_12x_0" localSheetId="78">'406'!$P$79</definedName>
    <definedName name="OSRRefP22_12x_0" localSheetId="79">'411'!$P$71:$P$77</definedName>
    <definedName name="OSRRefP22_12x_0" localSheetId="80">'412'!$P$77</definedName>
    <definedName name="OSRRefP22_12x_0" localSheetId="83">'414'!$P$70</definedName>
    <definedName name="OSRRefP22_12x_0" localSheetId="84">'415'!$P$71:$P$75</definedName>
    <definedName name="OSRRefP22_12x_0" localSheetId="85">'418'!$P$75:$P$81</definedName>
    <definedName name="OSRRefP22_12x_0" localSheetId="88">'425'!$P$73:$P$79</definedName>
    <definedName name="OSRRefP22_12x_0" localSheetId="92">'433'!$P$74:$P$81</definedName>
    <definedName name="OSRRefP22_12x_0" localSheetId="94">'444'!$P$71:$P$74</definedName>
    <definedName name="OSRRefP22_12x_0" localSheetId="96">'450'!$P$72:$P$74</definedName>
    <definedName name="OSRRefP22_12x_0" localSheetId="76">'491'!$P$80</definedName>
    <definedName name="OSRRefP22_12x_0" localSheetId="90">'492'!$P$73:$P$76</definedName>
    <definedName name="OSRRefP22_12x_0" localSheetId="98">'501'!$P$65</definedName>
    <definedName name="OSRRefP22_12x_0" localSheetId="39">'Div 2'!$P$64:$P$66</definedName>
    <definedName name="OSRRefP22_12x_0" localSheetId="47">'Div 3'!$P$216</definedName>
    <definedName name="OSRRefP22_12x_0" localSheetId="74">'Div 4'!$P$83</definedName>
    <definedName name="OSRRefP22_12x_0" localSheetId="97">'Div 5'!$P$65</definedName>
    <definedName name="OSRRefP22_12x_0" localSheetId="2">Summary!$P$250</definedName>
    <definedName name="OSRRefP22_13x_0" localSheetId="41">'201'!$P$68:$P$70</definedName>
    <definedName name="OSRRefP22_13x_0" localSheetId="42">'202'!$P$66</definedName>
    <definedName name="OSRRefP22_13x_0" localSheetId="43">'203'!$P$68</definedName>
    <definedName name="OSRRefP22_13x_0" localSheetId="48">'300'!$P$212</definedName>
    <definedName name="OSRRefP22_13x_0" localSheetId="49">'300 &amp; 317'!$P$237</definedName>
    <definedName name="OSRRefP22_13x_0" localSheetId="50">'301'!$P$69</definedName>
    <definedName name="OSRRefP22_13x_0" localSheetId="55">'308'!$P$113</definedName>
    <definedName name="OSRRefP22_13x_0" localSheetId="67">'310'!$P$78</definedName>
    <definedName name="OSRRefP22_13x_0" localSheetId="75">'310 &amp; 491'!$P$88</definedName>
    <definedName name="OSRRefP22_13x_0" localSheetId="56">'311'!$P$113</definedName>
    <definedName name="OSRRefP22_13x_0" localSheetId="69">'313'!$P$78</definedName>
    <definedName name="OSRRefP22_13x_0" localSheetId="59">'315'!$P$109</definedName>
    <definedName name="OSRRefP22_13x_0" localSheetId="62">'316'!$P$81</definedName>
    <definedName name="OSRRefP22_13x_0" localSheetId="70">'321'!$P$75</definedName>
    <definedName name="OSRRefP22_13x_0" localSheetId="71">'322'!$P$78</definedName>
    <definedName name="OSRRefP22_13x_0" localSheetId="72">'325'!$P$76</definedName>
    <definedName name="OSRRefP22_13x_0" localSheetId="60">'326'!$P$99:$P$100</definedName>
    <definedName name="OSRRefP22_13x_0" localSheetId="52">'330'!$P$127</definedName>
    <definedName name="OSRRefP22_13x_0" localSheetId="58">'331'!$P$116</definedName>
    <definedName name="OSRRefP22_13x_0" localSheetId="61">'332'!$P$90:$P$91</definedName>
    <definedName name="OSRRefP22_13x_0" localSheetId="77">'405'!$P$75</definedName>
    <definedName name="OSRRefP22_13x_0" localSheetId="78">'406'!$P$81</definedName>
    <definedName name="OSRRefP22_13x_0" localSheetId="79">'411'!$P$79</definedName>
    <definedName name="OSRRefP22_13x_0" localSheetId="80">'412'!$P$79</definedName>
    <definedName name="OSRRefP22_13x_0" localSheetId="83">'414'!$P$72:$P$78</definedName>
    <definedName name="OSRRefP22_13x_0" localSheetId="84">'415'!$P$77</definedName>
    <definedName name="OSRRefP22_13x_0" localSheetId="85">'418'!$P$83</definedName>
    <definedName name="OSRRefP22_13x_0" localSheetId="88">'425'!$P$81:$P$82</definedName>
    <definedName name="OSRRefP22_13x_0" localSheetId="92">'433'!$P$83</definedName>
    <definedName name="OSRRefP22_13x_0" localSheetId="94">'444'!$P$76:$P$83</definedName>
    <definedName name="OSRRefP22_13x_0" localSheetId="96">'450'!$P$76:$P$81</definedName>
    <definedName name="OSRRefP22_13x_0" localSheetId="76">'491'!$P$82</definedName>
    <definedName name="OSRRefP22_13x_0" localSheetId="90">'492'!$P$78:$P$81</definedName>
    <definedName name="OSRRefP22_13x_0" localSheetId="39">'Div 2'!$P$68:$P$71</definedName>
    <definedName name="OSRRefP22_13x_0" localSheetId="47">'Div 3'!$P$218</definedName>
    <definedName name="OSRRefP22_13x_0" localSheetId="74">'Div 4'!$P$85</definedName>
    <definedName name="OSRRefP22_13x_0" localSheetId="2">Summary!$P$252</definedName>
    <definedName name="OSRRefP22_14x_0" localSheetId="41">'201'!$P$72</definedName>
    <definedName name="OSRRefP22_14x_0" localSheetId="42">'202'!$P$68:$P$69</definedName>
    <definedName name="OSRRefP22_14x_0" localSheetId="43">'203'!$P$70</definedName>
    <definedName name="OSRRefP22_14x_0" localSheetId="48">'300'!$P$214</definedName>
    <definedName name="OSRRefP22_14x_0" localSheetId="49">'300 &amp; 317'!$P$239</definedName>
    <definedName name="OSRRefP22_14x_0" localSheetId="50">'301'!$P$71</definedName>
    <definedName name="OSRRefP22_14x_0" localSheetId="55">'308'!$P$115:$P$116</definedName>
    <definedName name="OSRRefP22_14x_0" localSheetId="67">'310'!$P$80</definedName>
    <definedName name="OSRRefP22_14x_0" localSheetId="75">'310 &amp; 491'!$P$90</definedName>
    <definedName name="OSRRefP22_14x_0" localSheetId="56">'311'!$P$115:$P$116</definedName>
    <definedName name="OSRRefP22_14x_0" localSheetId="69">'313'!$P$80</definedName>
    <definedName name="OSRRefP22_14x_0" localSheetId="59">'315'!$P$111</definedName>
    <definedName name="OSRRefP22_14x_0" localSheetId="70">'321'!$P$77</definedName>
    <definedName name="OSRRefP22_14x_0" localSheetId="72">'325'!$P$78:$P$84</definedName>
    <definedName name="OSRRefP22_14x_0" localSheetId="60">'326'!$P$102:$P$104</definedName>
    <definedName name="OSRRefP22_14x_0" localSheetId="52">'330'!$P$129</definedName>
    <definedName name="OSRRefP22_14x_0" localSheetId="58">'331'!$P$118:$P$119</definedName>
    <definedName name="OSRRefP22_14x_0" localSheetId="61">'332'!$P$93</definedName>
    <definedName name="OSRRefP22_14x_0" localSheetId="77">'405'!$P$77:$P$85</definedName>
    <definedName name="OSRRefP22_14x_0" localSheetId="79">'411'!$P$81</definedName>
    <definedName name="OSRRefP22_14x_0" localSheetId="83">'414'!$P$80</definedName>
    <definedName name="OSRRefP22_14x_0" localSheetId="84">'415'!$P$79:$P$86</definedName>
    <definedName name="OSRRefP22_14x_0" localSheetId="85">'418'!$P$85</definedName>
    <definedName name="OSRRefP22_14x_0" localSheetId="88">'425'!$P$84</definedName>
    <definedName name="OSRRefP22_14x_0" localSheetId="92">'433'!$P$85</definedName>
    <definedName name="OSRRefP22_14x_0" localSheetId="94">'444'!$P$85</definedName>
    <definedName name="OSRRefP22_14x_0" localSheetId="96">'450'!$P$83</definedName>
    <definedName name="OSRRefP22_14x_0" localSheetId="76">'491'!$P$84:$P$87</definedName>
    <definedName name="OSRRefP22_14x_0" localSheetId="90">'492'!$P$83:$P$91</definedName>
    <definedName name="OSRRefP22_14x_0" localSheetId="39">'Div 2'!$P$73:$P$76</definedName>
    <definedName name="OSRRefP22_14x_0" localSheetId="47">'Div 3'!$P$220</definedName>
    <definedName name="OSRRefP22_14x_0" localSheetId="74">'Div 4'!$P$87</definedName>
    <definedName name="OSRRefP22_14x_0" localSheetId="2">Summary!$P$254</definedName>
    <definedName name="OSRRefP22_15x_0" localSheetId="41">'201'!$P$74</definedName>
    <definedName name="OSRRefP22_15x_0" localSheetId="42">'202'!$P$71</definedName>
    <definedName name="OSRRefP22_15x_0" localSheetId="43">'203'!$P$72</definedName>
    <definedName name="OSRRefP22_15x_0" localSheetId="48">'300'!$P$216</definedName>
    <definedName name="OSRRefP22_15x_0" localSheetId="49">'300 &amp; 317'!$P$241</definedName>
    <definedName name="OSRRefP22_15x_0" localSheetId="50">'301'!$P$73:$P$75</definedName>
    <definedName name="OSRRefP22_15x_0" localSheetId="67">'310'!$P$82:$P$84</definedName>
    <definedName name="OSRRefP22_15x_0" localSheetId="75">'310 &amp; 491'!$P$92</definedName>
    <definedName name="OSRRefP22_15x_0" localSheetId="59">'315'!$P$113:$P$114</definedName>
    <definedName name="OSRRefP22_15x_0" localSheetId="72">'325'!$P$86</definedName>
    <definedName name="OSRRefP22_15x_0" localSheetId="60">'326'!$P$106:$P$107</definedName>
    <definedName name="OSRRefP22_15x_0" localSheetId="58">'331'!$P$121:$P$123</definedName>
    <definedName name="OSRRefP22_15x_0" localSheetId="77">'405'!$P$87</definedName>
    <definedName name="OSRRefP22_15x_0" localSheetId="79">'411'!$P$83:$P$85</definedName>
    <definedName name="OSRRefP22_15x_0" localSheetId="83">'414'!$P$82</definedName>
    <definedName name="OSRRefP22_15x_0" localSheetId="84">'415'!$P$88</definedName>
    <definedName name="OSRRefP22_15x_0" localSheetId="85">'418'!$P$87</definedName>
    <definedName name="OSRRefP22_15x_0" localSheetId="88">'425'!$P$86</definedName>
    <definedName name="OSRRefP22_15x_0" localSheetId="92">'433'!$P$87:$P$88</definedName>
    <definedName name="OSRRefP22_15x_0" localSheetId="94">'444'!$P$87</definedName>
    <definedName name="OSRRefP22_15x_0" localSheetId="96">'450'!$P$85</definedName>
    <definedName name="OSRRefP22_15x_0" localSheetId="76">'491'!$P$89:$P$91</definedName>
    <definedName name="OSRRefP22_15x_0" localSheetId="90">'492'!$P$93</definedName>
    <definedName name="OSRRefP22_15x_0" localSheetId="39">'Div 2'!$P$78:$P$79</definedName>
    <definedName name="OSRRefP22_15x_0" localSheetId="47">'Div 3'!$P$222</definedName>
    <definedName name="OSRRefP22_15x_0" localSheetId="74">'Div 4'!$P$89</definedName>
    <definedName name="OSRRefP22_15x_0" localSheetId="2">Summary!$P$256</definedName>
    <definedName name="OSRRefP22_16x_0" localSheetId="41">'201'!$P$76:$P$77</definedName>
    <definedName name="OSRRefP22_16x_0" localSheetId="42">'202'!$P$73</definedName>
    <definedName name="OSRRefP22_16x_0" localSheetId="48">'300'!$P$218:$P$220</definedName>
    <definedName name="OSRRefP22_16x_0" localSheetId="49">'300 &amp; 317'!$P$243:$P$245</definedName>
    <definedName name="OSRRefP22_16x_0" localSheetId="50">'301'!$P$77:$P$79</definedName>
    <definedName name="OSRRefP22_16x_0" localSheetId="67">'310'!$P$86:$P$87</definedName>
    <definedName name="OSRRefP22_16x_0" localSheetId="75">'310 &amp; 491'!$P$94</definedName>
    <definedName name="OSRRefP22_16x_0" localSheetId="72">'325'!$P$88</definedName>
    <definedName name="OSRRefP22_16x_0" localSheetId="60">'326'!$P$109:$P$113</definedName>
    <definedName name="OSRRefP22_16x_0" localSheetId="58">'331'!$P$125:$P$127</definedName>
    <definedName name="OSRRefP22_16x_0" localSheetId="77">'405'!$P$89</definedName>
    <definedName name="OSRRefP22_16x_0" localSheetId="79">'411'!$P$87</definedName>
    <definedName name="OSRRefP22_16x_0" localSheetId="84">'415'!$P$90</definedName>
    <definedName name="OSRRefP22_16x_0" localSheetId="94">'444'!$P$89</definedName>
    <definedName name="OSRRefP22_16x_0" localSheetId="96">'450'!$P$87:$P$88</definedName>
    <definedName name="OSRRefP22_16x_0" localSheetId="76">'491'!$P$93:$P$97</definedName>
    <definedName name="OSRRefP22_16x_0" localSheetId="90">'492'!$P$95</definedName>
    <definedName name="OSRRefP22_16x_0" localSheetId="39">'Div 2'!$P$81:$P$82</definedName>
    <definedName name="OSRRefP22_16x_0" localSheetId="47">'Div 3'!$P$224</definedName>
    <definedName name="OSRRefP22_16x_0" localSheetId="74">'Div 4'!$P$91:$P$94</definedName>
    <definedName name="OSRRefP22_16x_0" localSheetId="2">Summary!$P$258</definedName>
    <definedName name="OSRRefP22_17x_0" localSheetId="48">'300'!$P$222:$P$225</definedName>
    <definedName name="OSRRefP22_17x_0" localSheetId="49">'300 &amp; 317'!$P$247:$P$250</definedName>
    <definedName name="OSRRefP22_17x_0" localSheetId="50">'301'!$P$81:$P$82</definedName>
    <definedName name="OSRRefP22_17x_0" localSheetId="67">'310'!$P$89:$P$93</definedName>
    <definedName name="OSRRefP22_17x_0" localSheetId="75">'310 &amp; 491'!$P$96:$P$99</definedName>
    <definedName name="OSRRefP22_17x_0" localSheetId="72">'325'!$P$90</definedName>
    <definedName name="OSRRefP22_17x_0" localSheetId="60">'326'!$P$115:$P$116</definedName>
    <definedName name="OSRRefP22_17x_0" localSheetId="58">'331'!$P$129:$P$130</definedName>
    <definedName name="OSRRefP22_17x_0" localSheetId="77">'405'!$P$91</definedName>
    <definedName name="OSRRefP22_17x_0" localSheetId="84">'415'!$P$92:$P$93</definedName>
    <definedName name="OSRRefP22_17x_0" localSheetId="76">'491'!$P$99</definedName>
    <definedName name="OSRRefP22_17x_0" localSheetId="90">'492'!$P$97:$P$98</definedName>
    <definedName name="OSRRefP22_17x_0" localSheetId="39">'Div 2'!$P$84:$P$87</definedName>
    <definedName name="OSRRefP22_17x_0" localSheetId="47">'Div 3'!$P$226</definedName>
    <definedName name="OSRRefP22_17x_0" localSheetId="74">'Div 4'!$P$96:$P$98</definedName>
    <definedName name="OSRRefP22_17x_0" localSheetId="2">Summary!$P$260</definedName>
    <definedName name="OSRRefP22_18x_0" localSheetId="48">'300'!$P$227:$P$230</definedName>
    <definedName name="OSRRefP22_18x_0" localSheetId="49">'300 &amp; 317'!$P$252:$P$255</definedName>
    <definedName name="OSRRefP22_18x_0" localSheetId="50">'301'!$P$84:$P$89</definedName>
    <definedName name="OSRRefP22_18x_0" localSheetId="67">'310'!$P$95</definedName>
    <definedName name="OSRRefP22_18x_0" localSheetId="75">'310 &amp; 491'!$P$101:$P$103</definedName>
    <definedName name="OSRRefP22_18x_0" localSheetId="72">'325'!$P$92</definedName>
    <definedName name="OSRRefP22_18x_0" localSheetId="60">'326'!$P$118</definedName>
    <definedName name="OSRRefP22_18x_0" localSheetId="58">'331'!$P$132:$P$137</definedName>
    <definedName name="OSRRefP22_18x_0" localSheetId="84">'415'!$P$95</definedName>
    <definedName name="OSRRefP22_18x_0" localSheetId="76">'491'!$P$101:$P$110</definedName>
    <definedName name="OSRRefP22_18x_0" localSheetId="39">'Div 2'!$P$89:$P$90</definedName>
    <definedName name="OSRRefP22_18x_0" localSheetId="47">'Div 3'!$P$228:$P$230</definedName>
    <definedName name="OSRRefP22_18x_0" localSheetId="74">'Div 4'!$P$100:$P$104</definedName>
    <definedName name="OSRRefP22_18x_0" localSheetId="2">Summary!$P$262:$P$265</definedName>
    <definedName name="OSRRefP22_19x_0" localSheetId="48">'300'!$P$232:$P$233</definedName>
    <definedName name="OSRRefP22_19x_0" localSheetId="49">'300 &amp; 317'!$P$257:$P$258</definedName>
    <definedName name="OSRRefP22_19x_0" localSheetId="50">'301'!$P$91</definedName>
    <definedName name="OSRRefP22_19x_0" localSheetId="67">'310'!$P$97:$P$104</definedName>
    <definedName name="OSRRefP22_19x_0" localSheetId="75">'310 &amp; 491'!$P$105:$P$110</definedName>
    <definedName name="OSRRefP22_19x_0" localSheetId="60">'326'!$P$120</definedName>
    <definedName name="OSRRefP22_19x_0" localSheetId="58">'331'!$P$139:$P$140</definedName>
    <definedName name="OSRRefP22_19x_0" localSheetId="76">'491'!$P$112:$P$113</definedName>
    <definedName name="OSRRefP22_19x_0" localSheetId="39">'Div 2'!$P$92</definedName>
    <definedName name="OSRRefP22_19x_0" localSheetId="47">'Div 3'!$P$232:$P$235</definedName>
    <definedName name="OSRRefP22_19x_0" localSheetId="74">'Div 4'!$P$106</definedName>
    <definedName name="OSRRefP22_19x_0" localSheetId="2">Summary!$P$267:$P$270</definedName>
    <definedName name="OSRRefP22_1x_0" localSheetId="40">'200'!$P$22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'204'!$P$31:$P$40</definedName>
    <definedName name="OSRRefP22_1x_0" localSheetId="45">'205'!$P$30:$P$39</definedName>
    <definedName name="OSRRefP22_1x_0" localSheetId="46">'206'!$P$30:$P$39</definedName>
    <definedName name="OSRRefP22_1x_0" localSheetId="48">'300'!$P$172:$P$181</definedName>
    <definedName name="OSRRefP22_1x_0" localSheetId="49">'300 &amp; 317'!$P$197:$P$206</definedName>
    <definedName name="OSRRefP22_1x_0" localSheetId="50">'301'!$P$30:$P$39</definedName>
    <definedName name="OSRRefP22_1x_0" localSheetId="51">'306'!$P$30:$P$39</definedName>
    <definedName name="OSRRefP22_1x_0" localSheetId="53">'307'!$P$81:$P$90</definedName>
    <definedName name="OSRRefP22_1x_0" localSheetId="55">'308'!$P$74:$P$83</definedName>
    <definedName name="OSRRefP22_1x_0" localSheetId="68">'309'!$P$36:$P$45</definedName>
    <definedName name="OSRRefP22_1x_0" localSheetId="67">'310'!$P$43:$P$52</definedName>
    <definedName name="OSRRefP22_1x_0" localSheetId="75">'310 &amp; 491'!$P$51:$P$60</definedName>
    <definedName name="OSRRefP22_1x_0" localSheetId="56">'311'!$P$74:$P$83</definedName>
    <definedName name="OSRRefP22_1x_0" localSheetId="69">'313'!$P$39:$P$48</definedName>
    <definedName name="OSRRefP22_1x_0" localSheetId="54">'314'!$P$67:$P$76</definedName>
    <definedName name="OSRRefP22_1x_0" localSheetId="59">'315'!$P$67:$P$76</definedName>
    <definedName name="OSRRefP22_1x_0" localSheetId="62">'316'!$P$43:$P$52</definedName>
    <definedName name="OSRRefP22_1x_0" localSheetId="65">'317'!$P$71:$P$80</definedName>
    <definedName name="OSRRefP22_1x_0" localSheetId="63">'320'!$P$37:$P$46</definedName>
    <definedName name="OSRRefP22_1x_0" localSheetId="70">'321'!$P$35:$P$44</definedName>
    <definedName name="OSRRefP22_1x_0" localSheetId="71">'322'!$P$36:$P$45</definedName>
    <definedName name="OSRRefP22_1x_0" localSheetId="72">'325'!$P$36:$P$45</definedName>
    <definedName name="OSRRefP22_1x_0" localSheetId="60">'326'!$P$65:$P$74</definedName>
    <definedName name="OSRRefP22_1x_0" localSheetId="73">'327'!$P$26</definedName>
    <definedName name="OSRRefP22_1x_0" localSheetId="52">'330'!$P$90:$P$99</definedName>
    <definedName name="OSRRefP22_1x_0" localSheetId="58">'331'!$P$80:$P$89</definedName>
    <definedName name="OSRRefP22_1x_0" localSheetId="61">'332'!$P$51:$P$60</definedName>
    <definedName name="OSRRefP22_1x_0" localSheetId="77">'405'!$P$36:$P$45</definedName>
    <definedName name="OSRRefP22_1x_0" localSheetId="78">'406'!$P$37:$P$46</definedName>
    <definedName name="OSRRefP22_1x_0" localSheetId="79">'411'!$P$31:$P$40</definedName>
    <definedName name="OSRRefP22_1x_0" localSheetId="80">'412'!$P$36:$P$45</definedName>
    <definedName name="OSRRefP22_1x_0" localSheetId="82">'413'!$P$37:$P$46</definedName>
    <definedName name="OSRRefP22_1x_0" localSheetId="83">'414'!$P$37:$P$46</definedName>
    <definedName name="OSRRefP22_1x_0" localSheetId="84">'415'!$P$36:$P$45</definedName>
    <definedName name="OSRRefP22_1x_0" localSheetId="85">'418'!$P$37:$P$46</definedName>
    <definedName name="OSRRefP22_1x_0" localSheetId="81">'420'!$P$30:$P$33</definedName>
    <definedName name="OSRRefP22_1x_0" localSheetId="86">'423'!$P$31:$P$40</definedName>
    <definedName name="OSRRefP22_1x_0" localSheetId="87">'424'!$P$35:$P$44</definedName>
    <definedName name="OSRRefP22_1x_0" localSheetId="88">'425'!$P$37:$P$46</definedName>
    <definedName name="OSRRefP22_1x_0" localSheetId="91">'430'!$P$30:$P$39</definedName>
    <definedName name="OSRRefP22_1x_0" localSheetId="92">'433'!$P$38:$P$47</definedName>
    <definedName name="OSRRefP22_1x_0" localSheetId="93">'435'!$P$36:$P$45</definedName>
    <definedName name="OSRRefP22_1x_0" localSheetId="94">'444'!$P$38:$P$47</definedName>
    <definedName name="OSRRefP22_1x_0" localSheetId="96">'450'!$P$38:$P$47</definedName>
    <definedName name="OSRRefP22_1x_0" localSheetId="89">'455'!$P$29:$P$38</definedName>
    <definedName name="OSRRefP22_1x_0" localSheetId="76">'491'!$P$45:$P$54</definedName>
    <definedName name="OSRRefP22_1x_0" localSheetId="90">'492'!$P$40:$P$49</definedName>
    <definedName name="OSRRefP22_1x_0" localSheetId="98">'501'!$P$31:$P$40</definedName>
    <definedName name="OSRRefP22_1x_0" localSheetId="39">'Div 2'!$P$32:$P$41</definedName>
    <definedName name="OSRRefP22_1x_0" localSheetId="47">'Div 3'!$P$178:$P$187</definedName>
    <definedName name="OSRRefP22_1x_0" localSheetId="74">'Div 4'!$P$46:$P$55</definedName>
    <definedName name="OSRRefP22_1x_0" localSheetId="97">'Div 5'!$P$31:$P$40</definedName>
    <definedName name="OSRRefP22_1x_0" localSheetId="64">'Div 6'!$P$71:$P$80</definedName>
    <definedName name="OSRRefP22_1x_0" localSheetId="2">Summary!$P$210:$P$219</definedName>
    <definedName name="OSRRefP22_20x_0" localSheetId="48">'300'!$P$235:$P$241</definedName>
    <definedName name="OSRRefP22_20x_0" localSheetId="49">'300 &amp; 317'!$P$260:$P$266</definedName>
    <definedName name="OSRRefP22_20x_0" localSheetId="50">'301'!$P$93</definedName>
    <definedName name="OSRRefP22_20x_0" localSheetId="67">'310'!$P$106</definedName>
    <definedName name="OSRRefP22_20x_0" localSheetId="75">'310 &amp; 491'!$P$112</definedName>
    <definedName name="OSRRefP22_20x_0" localSheetId="60">'326'!$P$122</definedName>
    <definedName name="OSRRefP22_20x_0" localSheetId="58">'331'!$P$142</definedName>
    <definedName name="OSRRefP22_20x_0" localSheetId="76">'491'!$P$115</definedName>
    <definedName name="OSRRefP22_20x_0" localSheetId="39">'Div 2'!$P$94:$P$95</definedName>
    <definedName name="OSRRefP22_20x_0" localSheetId="47">'Div 3'!$P$237:$P$242</definedName>
    <definedName name="OSRRefP22_20x_0" localSheetId="74">'Div 4'!$P$108:$P$117</definedName>
    <definedName name="OSRRefP22_20x_0" localSheetId="2">Summary!$P$272:$P$277</definedName>
    <definedName name="OSRRefP22_21x_0" localSheetId="48">'300'!$P$243:$P$244</definedName>
    <definedName name="OSRRefP22_21x_0" localSheetId="49">'300 &amp; 317'!$P$268:$P$269</definedName>
    <definedName name="OSRRefP22_21x_0" localSheetId="50">'301'!$P$95:$P$97</definedName>
    <definedName name="OSRRefP22_21x_0" localSheetId="67">'310'!$P$108</definedName>
    <definedName name="OSRRefP22_21x_0" localSheetId="75">'310 &amp; 491'!$P$114:$P$123</definedName>
    <definedName name="OSRRefP22_21x_0" localSheetId="58">'331'!$P$144:$P$145</definedName>
    <definedName name="OSRRefP22_21x_0" localSheetId="76">'491'!$P$117:$P$119</definedName>
    <definedName name="OSRRefP22_21x_0" localSheetId="47">'Div 3'!$P$244:$P$245</definedName>
    <definedName name="OSRRefP22_21x_0" localSheetId="74">'Div 4'!$P$119:$P$120</definedName>
    <definedName name="OSRRefP22_21x_0" localSheetId="2">Summary!$P$279:$P$280</definedName>
    <definedName name="OSRRefP22_22x_0" localSheetId="48">'300'!$P$246</definedName>
    <definedName name="OSRRefP22_22x_0" localSheetId="49">'300 &amp; 317'!$P$271</definedName>
    <definedName name="OSRRefP22_22x_0" localSheetId="50">'301'!$P$99</definedName>
    <definedName name="OSRRefP22_22x_0" localSheetId="67">'310'!$P$110</definedName>
    <definedName name="OSRRefP22_22x_0" localSheetId="75">'310 &amp; 491'!$P$125:$P$126</definedName>
    <definedName name="OSRRefP22_22x_0" localSheetId="58">'331'!$P$147</definedName>
    <definedName name="OSRRefP22_22x_0" localSheetId="76">'491'!$P$121</definedName>
    <definedName name="OSRRefP22_22x_0" localSheetId="47">'Div 3'!$P$247:$P$254</definedName>
    <definedName name="OSRRefP22_22x_0" localSheetId="74">'Div 4'!$P$122</definedName>
    <definedName name="OSRRefP22_22x_0" localSheetId="2">Summary!$P$282:$P$291</definedName>
    <definedName name="OSRRefP22_23x_0" localSheetId="48">'300'!$P$248:$P$250</definedName>
    <definedName name="OSRRefP22_23x_0" localSheetId="49">'300 &amp; 317'!$P$273:$P$275</definedName>
    <definedName name="OSRRefP22_23x_0" localSheetId="67">'310'!$P$112</definedName>
    <definedName name="OSRRefP22_23x_0" localSheetId="75">'310 &amp; 491'!$P$128</definedName>
    <definedName name="OSRRefP22_23x_0" localSheetId="47">'Div 3'!$P$256:$P$257</definedName>
    <definedName name="OSRRefP22_23x_0" localSheetId="74">'Div 4'!$P$124:$P$126</definedName>
    <definedName name="OSRRefP22_23x_0" localSheetId="2">Summary!$P$293:$P$294</definedName>
    <definedName name="OSRRefP22_24x_0" localSheetId="48">'300'!$P$252</definedName>
    <definedName name="OSRRefP22_24x_0" localSheetId="49">'300 &amp; 317'!$P$277</definedName>
    <definedName name="OSRRefP22_24x_0" localSheetId="75">'310 &amp; 491'!$P$130:$P$132</definedName>
    <definedName name="OSRRefP22_24x_0" localSheetId="47">'Div 3'!$P$259</definedName>
    <definedName name="OSRRefP22_24x_0" localSheetId="74">'Div 4'!$P$128</definedName>
    <definedName name="OSRRefP22_24x_0" localSheetId="2">Summary!$P$296</definedName>
    <definedName name="OSRRefP22_25x_0" localSheetId="75">'310 &amp; 491'!$P$134</definedName>
    <definedName name="OSRRefP22_25x_0" localSheetId="47">'Div 3'!$P$261:$P$263</definedName>
    <definedName name="OSRRefP22_25x_0" localSheetId="2">Summary!$P$298:$P$300</definedName>
    <definedName name="OSRRefP22_26x_0" localSheetId="47">'Div 3'!$P$265</definedName>
    <definedName name="OSRRefP22_26x_0" localSheetId="2">Summary!$P$302</definedName>
    <definedName name="OSRRefP22_2x_0" localSheetId="40">'200'!$P$24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'204'!$P$42</definedName>
    <definedName name="OSRRefP22_2x_0" localSheetId="45">'205'!$P$41</definedName>
    <definedName name="OSRRefP22_2x_0" localSheetId="46">'206'!$P$41</definedName>
    <definedName name="OSRRefP22_2x_0" localSheetId="48">'300'!$P$183</definedName>
    <definedName name="OSRRefP22_2x_0" localSheetId="49">'300 &amp; 317'!$P$208</definedName>
    <definedName name="OSRRefP22_2x_0" localSheetId="50">'301'!$P$41</definedName>
    <definedName name="OSRRefP22_2x_0" localSheetId="51">'306'!$P$41</definedName>
    <definedName name="OSRRefP22_2x_0" localSheetId="53">'307'!$P$92</definedName>
    <definedName name="OSRRefP22_2x_0" localSheetId="55">'308'!$P$85</definedName>
    <definedName name="OSRRefP22_2x_0" localSheetId="68">'309'!$P$47</definedName>
    <definedName name="OSRRefP22_2x_0" localSheetId="67">'310'!$P$54</definedName>
    <definedName name="OSRRefP22_2x_0" localSheetId="75">'310 &amp; 491'!$P$62</definedName>
    <definedName name="OSRRefP22_2x_0" localSheetId="56">'311'!$P$85</definedName>
    <definedName name="OSRRefP22_2x_0" localSheetId="69">'313'!$P$50</definedName>
    <definedName name="OSRRefP22_2x_0" localSheetId="54">'314'!$P$78</definedName>
    <definedName name="OSRRefP22_2x_0" localSheetId="59">'315'!$P$78</definedName>
    <definedName name="OSRRefP22_2x_0" localSheetId="62">'316'!$P$54</definedName>
    <definedName name="OSRRefP22_2x_0" localSheetId="65">'317'!$P$82</definedName>
    <definedName name="OSRRefP22_2x_0" localSheetId="63">'320'!$P$48</definedName>
    <definedName name="OSRRefP22_2x_0" localSheetId="70">'321'!$P$46</definedName>
    <definedName name="OSRRefP22_2x_0" localSheetId="71">'322'!$P$47</definedName>
    <definedName name="OSRRefP22_2x_0" localSheetId="72">'325'!$P$47</definedName>
    <definedName name="OSRRefP22_2x_0" localSheetId="60">'326'!$P$76</definedName>
    <definedName name="OSRRefP22_2x_0" localSheetId="73">'327'!$P$28</definedName>
    <definedName name="OSRRefP22_2x_0" localSheetId="52">'330'!$P$101</definedName>
    <definedName name="OSRRefP22_2x_0" localSheetId="58">'331'!$P$91</definedName>
    <definedName name="OSRRefP22_2x_0" localSheetId="61">'332'!$P$62</definedName>
    <definedName name="OSRRefP22_2x_0" localSheetId="77">'405'!$P$47</definedName>
    <definedName name="OSRRefP22_2x_0" localSheetId="78">'406'!$P$48</definedName>
    <definedName name="OSRRefP22_2x_0" localSheetId="79">'411'!$P$42</definedName>
    <definedName name="OSRRefP22_2x_0" localSheetId="80">'412'!$P$47</definedName>
    <definedName name="OSRRefP22_2x_0" localSheetId="82">'413'!$P$48</definedName>
    <definedName name="OSRRefP22_2x_0" localSheetId="83">'414'!$P$48</definedName>
    <definedName name="OSRRefP22_2x_0" localSheetId="84">'415'!$P$47</definedName>
    <definedName name="OSRRefP22_2x_0" localSheetId="85">'418'!$P$48</definedName>
    <definedName name="OSRRefP22_2x_0" localSheetId="81">'420'!$P$35</definedName>
    <definedName name="OSRRefP22_2x_0" localSheetId="86">'423'!$P$42</definedName>
    <definedName name="OSRRefP22_2x_0" localSheetId="87">'424'!$P$46</definedName>
    <definedName name="OSRRefP22_2x_0" localSheetId="88">'425'!$P$48</definedName>
    <definedName name="OSRRefP22_2x_0" localSheetId="91">'430'!$P$41</definedName>
    <definedName name="OSRRefP22_2x_0" localSheetId="92">'433'!$P$49</definedName>
    <definedName name="OSRRefP22_2x_0" localSheetId="93">'435'!$P$47</definedName>
    <definedName name="OSRRefP22_2x_0" localSheetId="94">'444'!$P$49</definedName>
    <definedName name="OSRRefP22_2x_0" localSheetId="96">'450'!$P$49</definedName>
    <definedName name="OSRRefP22_2x_0" localSheetId="76">'491'!$P$56</definedName>
    <definedName name="OSRRefP22_2x_0" localSheetId="90">'492'!$P$51</definedName>
    <definedName name="OSRRefP22_2x_0" localSheetId="98">'501'!$P$42</definedName>
    <definedName name="OSRRefP22_2x_0" localSheetId="39">'Div 2'!$P$43</definedName>
    <definedName name="OSRRefP22_2x_0" localSheetId="47">'Div 3'!$P$189</definedName>
    <definedName name="OSRRefP22_2x_0" localSheetId="74">'Div 4'!$P$57</definedName>
    <definedName name="OSRRefP22_2x_0" localSheetId="97">'Div 5'!$P$42</definedName>
    <definedName name="OSRRefP22_2x_0" localSheetId="64">'Div 6'!$P$82</definedName>
    <definedName name="OSRRefP22_2x_0" localSheetId="2">Summary!$P$221</definedName>
    <definedName name="OSRRefP22_3x_0" localSheetId="40">'200'!$P$26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'204'!$P$44</definedName>
    <definedName name="OSRRefP22_3x_0" localSheetId="45">'205'!$P$43</definedName>
    <definedName name="OSRRefP22_3x_0" localSheetId="46">'206'!$P$43</definedName>
    <definedName name="OSRRefP22_3x_0" localSheetId="48">'300'!$P$185:$P$186</definedName>
    <definedName name="OSRRefP22_3x_0" localSheetId="49">'300 &amp; 317'!$P$210:$P$211</definedName>
    <definedName name="OSRRefP22_3x_0" localSheetId="50">'301'!$P$43:$P$44</definedName>
    <definedName name="OSRRefP22_3x_0" localSheetId="51">'306'!$P$43</definedName>
    <definedName name="OSRRefP22_3x_0" localSheetId="53">'307'!$P$94</definedName>
    <definedName name="OSRRefP22_3x_0" localSheetId="55">'308'!$P$87:$P$88</definedName>
    <definedName name="OSRRefP22_3x_0" localSheetId="68">'309'!$P$49</definedName>
    <definedName name="OSRRefP22_3x_0" localSheetId="67">'310'!$P$56</definedName>
    <definedName name="OSRRefP22_3x_0" localSheetId="75">'310 &amp; 491'!$P$64</definedName>
    <definedName name="OSRRefP22_3x_0" localSheetId="56">'311'!$P$87:$P$88</definedName>
    <definedName name="OSRRefP22_3x_0" localSheetId="69">'313'!$P$52</definedName>
    <definedName name="OSRRefP22_3x_0" localSheetId="54">'314'!$P$80:$P$81</definedName>
    <definedName name="OSRRefP22_3x_0" localSheetId="59">'315'!$P$80:$P$81</definedName>
    <definedName name="OSRRefP22_3x_0" localSheetId="62">'316'!$P$56</definedName>
    <definedName name="OSRRefP22_3x_0" localSheetId="65">'317'!$P$84</definedName>
    <definedName name="OSRRefP22_3x_0" localSheetId="63">'320'!$P$50</definedName>
    <definedName name="OSRRefP22_3x_0" localSheetId="70">'321'!$P$48</definedName>
    <definedName name="OSRRefP22_3x_0" localSheetId="71">'322'!$P$49</definedName>
    <definedName name="OSRRefP22_3x_0" localSheetId="72">'325'!$P$49</definedName>
    <definedName name="OSRRefP22_3x_0" localSheetId="60">'326'!$P$78:$P$79</definedName>
    <definedName name="OSRRefP22_3x_0" localSheetId="52">'330'!$P$103</definedName>
    <definedName name="OSRRefP22_3x_0" localSheetId="58">'331'!$P$93:$P$94</definedName>
    <definedName name="OSRRefP22_3x_0" localSheetId="61">'332'!$P$64</definedName>
    <definedName name="OSRRefP22_3x_0" localSheetId="77">'405'!$P$49</definedName>
    <definedName name="OSRRefP22_3x_0" localSheetId="78">'406'!$P$50</definedName>
    <definedName name="OSRRefP22_3x_0" localSheetId="79">'411'!$P$44:$P$47</definedName>
    <definedName name="OSRRefP22_3x_0" localSheetId="80">'412'!$P$49</definedName>
    <definedName name="OSRRefP22_3x_0" localSheetId="82">'413'!$P$50</definedName>
    <definedName name="OSRRefP22_3x_0" localSheetId="83">'414'!$P$50</definedName>
    <definedName name="OSRRefP22_3x_0" localSheetId="84">'415'!$P$49</definedName>
    <definedName name="OSRRefP22_3x_0" localSheetId="85">'418'!$P$50</definedName>
    <definedName name="OSRRefP22_3x_0" localSheetId="81">'420'!$P$37</definedName>
    <definedName name="OSRRefP22_3x_0" localSheetId="86">'423'!$P$44</definedName>
    <definedName name="OSRRefP22_3x_0" localSheetId="87">'424'!$P$48</definedName>
    <definedName name="OSRRefP22_3x_0" localSheetId="88">'425'!$P$50</definedName>
    <definedName name="OSRRefP22_3x_0" localSheetId="91">'430'!$P$43</definedName>
    <definedName name="OSRRefP22_3x_0" localSheetId="92">'433'!$P$51</definedName>
    <definedName name="OSRRefP22_3x_0" localSheetId="93">'435'!$P$49</definedName>
    <definedName name="OSRRefP22_3x_0" localSheetId="94">'444'!$P$51</definedName>
    <definedName name="OSRRefP22_3x_0" localSheetId="96">'450'!$P$51:$P$52</definedName>
    <definedName name="OSRRefP22_3x_0" localSheetId="76">'491'!$P$58</definedName>
    <definedName name="OSRRefP22_3x_0" localSheetId="90">'492'!$P$53:$P$54</definedName>
    <definedName name="OSRRefP22_3x_0" localSheetId="98">'501'!$P$44</definedName>
    <definedName name="OSRRefP22_3x_0" localSheetId="39">'Div 2'!$P$45</definedName>
    <definedName name="OSRRefP22_3x_0" localSheetId="47">'Div 3'!$P$191:$P$192</definedName>
    <definedName name="OSRRefP22_3x_0" localSheetId="74">'Div 4'!$P$59:$P$60</definedName>
    <definedName name="OSRRefP22_3x_0" localSheetId="97">'Div 5'!$P$44</definedName>
    <definedName name="OSRRefP22_3x_0" localSheetId="64">'Div 6'!$P$84</definedName>
    <definedName name="OSRRefP22_3x_0" localSheetId="2">Summary!$P$223:$P$224</definedName>
    <definedName name="OSRRefP22_4x_0" localSheetId="40">'200'!$P$28:$P$29</definedName>
    <definedName name="OSRRefP22_4x_0" localSheetId="41">'201'!$P$45:$P$46</definedName>
    <definedName name="OSRRefP22_4x_0" localSheetId="42">'202'!$P$45</definedName>
    <definedName name="OSRRefP22_4x_0" localSheetId="43">'203'!$P$46</definedName>
    <definedName name="OSRRefP22_4x_0" localSheetId="44">'204'!$P$46</definedName>
    <definedName name="OSRRefP22_4x_0" localSheetId="45">'205'!$P$45</definedName>
    <definedName name="OSRRefP22_4x_0" localSheetId="46">'206'!$P$45</definedName>
    <definedName name="OSRRefP22_4x_0" localSheetId="48">'300'!$P$188</definedName>
    <definedName name="OSRRefP22_4x_0" localSheetId="49">'300 &amp; 317'!$P$213</definedName>
    <definedName name="OSRRefP22_4x_0" localSheetId="50">'301'!$P$46</definedName>
    <definedName name="OSRRefP22_4x_0" localSheetId="51">'306'!$P$45</definedName>
    <definedName name="OSRRefP22_4x_0" localSheetId="53">'307'!$P$96:$P$97</definedName>
    <definedName name="OSRRefP22_4x_0" localSheetId="55">'308'!$P$90</definedName>
    <definedName name="OSRRefP22_4x_0" localSheetId="68">'309'!$P$51</definedName>
    <definedName name="OSRRefP22_4x_0" localSheetId="67">'310'!$P$58</definedName>
    <definedName name="OSRRefP22_4x_0" localSheetId="75">'310 &amp; 491'!$P$66</definedName>
    <definedName name="OSRRefP22_4x_0" localSheetId="56">'311'!$P$90</definedName>
    <definedName name="OSRRefP22_4x_0" localSheetId="69">'313'!$P$54</definedName>
    <definedName name="OSRRefP22_4x_0" localSheetId="54">'314'!$P$83</definedName>
    <definedName name="OSRRefP22_4x_0" localSheetId="59">'315'!$P$83</definedName>
    <definedName name="OSRRefP22_4x_0" localSheetId="62">'316'!$P$58</definedName>
    <definedName name="OSRRefP22_4x_0" localSheetId="65">'317'!$P$86</definedName>
    <definedName name="OSRRefP22_4x_0" localSheetId="63">'320'!$P$52:$P$53</definedName>
    <definedName name="OSRRefP22_4x_0" localSheetId="70">'321'!$P$50</definedName>
    <definedName name="OSRRefP22_4x_0" localSheetId="71">'322'!$P$51</definedName>
    <definedName name="OSRRefP22_4x_0" localSheetId="72">'325'!$P$51</definedName>
    <definedName name="OSRRefP22_4x_0" localSheetId="60">'326'!$P$81</definedName>
    <definedName name="OSRRefP22_4x_0" localSheetId="52">'330'!$P$105:$P$106</definedName>
    <definedName name="OSRRefP22_4x_0" localSheetId="58">'331'!$P$96</definedName>
    <definedName name="OSRRefP22_4x_0" localSheetId="61">'332'!$P$66</definedName>
    <definedName name="OSRRefP22_4x_0" localSheetId="77">'405'!$P$51</definedName>
    <definedName name="OSRRefP22_4x_0" localSheetId="78">'406'!$P$52</definedName>
    <definedName name="OSRRefP22_4x_0" localSheetId="79">'411'!$P$49</definedName>
    <definedName name="OSRRefP22_4x_0" localSheetId="80">'412'!$P$51</definedName>
    <definedName name="OSRRefP22_4x_0" localSheetId="82">'413'!$P$52</definedName>
    <definedName name="OSRRefP22_4x_0" localSheetId="83">'414'!$P$52</definedName>
    <definedName name="OSRRefP22_4x_0" localSheetId="84">'415'!$P$51</definedName>
    <definedName name="OSRRefP22_4x_0" localSheetId="85">'418'!$P$52</definedName>
    <definedName name="OSRRefP22_4x_0" localSheetId="81">'420'!$P$39</definedName>
    <definedName name="OSRRefP22_4x_0" localSheetId="86">'423'!$P$46</definedName>
    <definedName name="OSRRefP22_4x_0" localSheetId="87">'424'!$P$50</definedName>
    <definedName name="OSRRefP22_4x_0" localSheetId="88">'425'!$P$52</definedName>
    <definedName name="OSRRefP22_4x_0" localSheetId="91">'430'!$P$45</definedName>
    <definedName name="OSRRefP22_4x_0" localSheetId="92">'433'!$P$53</definedName>
    <definedName name="OSRRefP22_4x_0" localSheetId="93">'435'!$P$51</definedName>
    <definedName name="OSRRefP22_4x_0" localSheetId="94">'444'!$P$53</definedName>
    <definedName name="OSRRefP22_4x_0" localSheetId="96">'450'!$P$54</definedName>
    <definedName name="OSRRefP22_4x_0" localSheetId="76">'491'!$P$60</definedName>
    <definedName name="OSRRefP22_4x_0" localSheetId="90">'492'!$P$56</definedName>
    <definedName name="OSRRefP22_4x_0" localSheetId="98">'501'!$P$46</definedName>
    <definedName name="OSRRefP22_4x_0" localSheetId="39">'Div 2'!$P$47</definedName>
    <definedName name="OSRRefP22_4x_0" localSheetId="47">'Div 3'!$P$194</definedName>
    <definedName name="OSRRefP22_4x_0" localSheetId="74">'Div 4'!$P$62</definedName>
    <definedName name="OSRRefP22_4x_0" localSheetId="97">'Div 5'!$P$46</definedName>
    <definedName name="OSRRefP22_4x_0" localSheetId="64">'Div 6'!$P$86</definedName>
    <definedName name="OSRRefP22_4x_0" localSheetId="2">Summary!$P$226</definedName>
    <definedName name="OSRRefP22_5x_0" localSheetId="41">'201'!$P$48</definedName>
    <definedName name="OSRRefP22_5x_0" localSheetId="42">'202'!$P$47</definedName>
    <definedName name="OSRRefP22_5x_0" localSheetId="43">'203'!$P$48</definedName>
    <definedName name="OSRRefP22_5x_0" localSheetId="44">'204'!$P$48</definedName>
    <definedName name="OSRRefP22_5x_0" localSheetId="45">'205'!$P$47:$P$48</definedName>
    <definedName name="OSRRefP22_5x_0" localSheetId="46">'206'!$P$47</definedName>
    <definedName name="OSRRefP22_5x_0" localSheetId="48">'300'!$P$190:$P$193</definedName>
    <definedName name="OSRRefP22_5x_0" localSheetId="49">'300 &amp; 317'!$P$215:$P$218</definedName>
    <definedName name="OSRRefP22_5x_0" localSheetId="50">'301'!$P$48:$P$51</definedName>
    <definedName name="OSRRefP22_5x_0" localSheetId="51">'306'!$P$47</definedName>
    <definedName name="OSRRefP22_5x_0" localSheetId="53">'307'!$P$99</definedName>
    <definedName name="OSRRefP22_5x_0" localSheetId="55">'308'!$P$92</definedName>
    <definedName name="OSRRefP22_5x_0" localSheetId="68">'309'!$P$53:$P$54</definedName>
    <definedName name="OSRRefP22_5x_0" localSheetId="67">'310'!$P$60:$P$62</definedName>
    <definedName name="OSRRefP22_5x_0" localSheetId="75">'310 &amp; 491'!$P$68:$P$71</definedName>
    <definedName name="OSRRefP22_5x_0" localSheetId="56">'311'!$P$92</definedName>
    <definedName name="OSRRefP22_5x_0" localSheetId="69">'313'!$P$56</definedName>
    <definedName name="OSRRefP22_5x_0" localSheetId="54">'314'!$P$85</definedName>
    <definedName name="OSRRefP22_5x_0" localSheetId="59">'315'!$P$85:$P$86</definedName>
    <definedName name="OSRRefP22_5x_0" localSheetId="62">'316'!$P$60</definedName>
    <definedName name="OSRRefP22_5x_0" localSheetId="65">'317'!$P$88</definedName>
    <definedName name="OSRRefP22_5x_0" localSheetId="63">'320'!$P$55</definedName>
    <definedName name="OSRRefP22_5x_0" localSheetId="70">'321'!$P$52</definedName>
    <definedName name="OSRRefP22_5x_0" localSheetId="71">'322'!$P$53:$P$54</definedName>
    <definedName name="OSRRefP22_5x_0" localSheetId="72">'325'!$P$53:$P$55</definedName>
    <definedName name="OSRRefP22_5x_0" localSheetId="60">'326'!$P$83</definedName>
    <definedName name="OSRRefP22_5x_0" localSheetId="52">'330'!$P$108</definedName>
    <definedName name="OSRRefP22_5x_0" localSheetId="58">'331'!$P$98:$P$99</definedName>
    <definedName name="OSRRefP22_5x_0" localSheetId="61">'332'!$P$68</definedName>
    <definedName name="OSRRefP22_5x_0" localSheetId="77">'405'!$P$53:$P$55</definedName>
    <definedName name="OSRRefP22_5x_0" localSheetId="78">'406'!$P$54:$P$55</definedName>
    <definedName name="OSRRefP22_5x_0" localSheetId="79">'411'!$P$51</definedName>
    <definedName name="OSRRefP22_5x_0" localSheetId="80">'412'!$P$53:$P$55</definedName>
    <definedName name="OSRRefP22_5x_0" localSheetId="82">'413'!$P$54</definedName>
    <definedName name="OSRRefP22_5x_0" localSheetId="83">'414'!$P$54:$P$55</definedName>
    <definedName name="OSRRefP22_5x_0" localSheetId="84">'415'!$P$53:$P$55</definedName>
    <definedName name="OSRRefP22_5x_0" localSheetId="85">'418'!$P$54:$P$56</definedName>
    <definedName name="OSRRefP22_5x_0" localSheetId="86">'423'!$P$48</definedName>
    <definedName name="OSRRefP22_5x_0" localSheetId="87">'424'!$P$52</definedName>
    <definedName name="OSRRefP22_5x_0" localSheetId="88">'425'!$P$54:$P$55</definedName>
    <definedName name="OSRRefP22_5x_0" localSheetId="91">'430'!$P$47</definedName>
    <definedName name="OSRRefP22_5x_0" localSheetId="92">'433'!$P$55</definedName>
    <definedName name="OSRRefP22_5x_0" localSheetId="93">'435'!$P$53</definedName>
    <definedName name="OSRRefP22_5x_0" localSheetId="94">'444'!$P$55</definedName>
    <definedName name="OSRRefP22_5x_0" localSheetId="96">'450'!$P$56</definedName>
    <definedName name="OSRRefP22_5x_0" localSheetId="76">'491'!$P$62:$P$65</definedName>
    <definedName name="OSRRefP22_5x_0" localSheetId="90">'492'!$P$58:$P$59</definedName>
    <definedName name="OSRRefP22_5x_0" localSheetId="98">'501'!$P$48</definedName>
    <definedName name="OSRRefP22_5x_0" localSheetId="39">'Div 2'!$P$49</definedName>
    <definedName name="OSRRefP22_5x_0" localSheetId="47">'Div 3'!$P$196:$P$199</definedName>
    <definedName name="OSRRefP22_5x_0" localSheetId="74">'Div 4'!$P$64:$P$67</definedName>
    <definedName name="OSRRefP22_5x_0" localSheetId="97">'Div 5'!$P$48</definedName>
    <definedName name="OSRRefP22_5x_0" localSheetId="64">'Div 6'!$P$88</definedName>
    <definedName name="OSRRefP22_5x_0" localSheetId="2">Summary!$P$228:$P$231</definedName>
    <definedName name="OSRRefP22_6x_0" localSheetId="41">'201'!$P$50</definedName>
    <definedName name="OSRRefP22_6x_0" localSheetId="42">'202'!$P$49</definedName>
    <definedName name="OSRRefP22_6x_0" localSheetId="43">'203'!$P$50</definedName>
    <definedName name="OSRRefP22_6x_0" localSheetId="44">'204'!$P$50</definedName>
    <definedName name="OSRRefP22_6x_0" localSheetId="45">'205'!$P$50</definedName>
    <definedName name="OSRRefP22_6x_0" localSheetId="46">'206'!$P$49</definedName>
    <definedName name="OSRRefP22_6x_0" localSheetId="48">'300'!$P$195:$P$196</definedName>
    <definedName name="OSRRefP22_6x_0" localSheetId="49">'300 &amp; 317'!$P$220:$P$221</definedName>
    <definedName name="OSRRefP22_6x_0" localSheetId="50">'301'!$P$53:$P$54</definedName>
    <definedName name="OSRRefP22_6x_0" localSheetId="51">'306'!$P$49</definedName>
    <definedName name="OSRRefP22_6x_0" localSheetId="53">'307'!$P$101</definedName>
    <definedName name="OSRRefP22_6x_0" localSheetId="55">'308'!$P$94:$P$95</definedName>
    <definedName name="OSRRefP22_6x_0" localSheetId="68">'309'!$P$56</definedName>
    <definedName name="OSRRefP22_6x_0" localSheetId="67">'310'!$P$64</definedName>
    <definedName name="OSRRefP22_6x_0" localSheetId="75">'310 &amp; 491'!$P$73</definedName>
    <definedName name="OSRRefP22_6x_0" localSheetId="56">'311'!$P$94:$P$95</definedName>
    <definedName name="OSRRefP22_6x_0" localSheetId="69">'313'!$P$58</definedName>
    <definedName name="OSRRefP22_6x_0" localSheetId="54">'314'!$P$87</definedName>
    <definedName name="OSRRefP22_6x_0" localSheetId="59">'315'!$P$88</definedName>
    <definedName name="OSRRefP22_6x_0" localSheetId="62">'316'!$P$62</definedName>
    <definedName name="OSRRefP22_6x_0" localSheetId="65">'317'!$P$90</definedName>
    <definedName name="OSRRefP22_6x_0" localSheetId="63">'320'!$P$57</definedName>
    <definedName name="OSRRefP22_6x_0" localSheetId="70">'321'!$P$54</definedName>
    <definedName name="OSRRefP22_6x_0" localSheetId="71">'322'!$P$56</definedName>
    <definedName name="OSRRefP22_6x_0" localSheetId="72">'325'!$P$57</definedName>
    <definedName name="OSRRefP22_6x_0" localSheetId="60">'326'!$P$85</definedName>
    <definedName name="OSRRefP22_6x_0" localSheetId="52">'330'!$P$110</definedName>
    <definedName name="OSRRefP22_6x_0" localSheetId="58">'331'!$P$101</definedName>
    <definedName name="OSRRefP22_6x_0" localSheetId="61">'332'!$P$70</definedName>
    <definedName name="OSRRefP22_6x_0" localSheetId="77">'405'!$P$57</definedName>
    <definedName name="OSRRefP22_6x_0" localSheetId="78">'406'!$P$57</definedName>
    <definedName name="OSRRefP22_6x_0" localSheetId="79">'411'!$P$53</definedName>
    <definedName name="OSRRefP22_6x_0" localSheetId="80">'412'!$P$57</definedName>
    <definedName name="OSRRefP22_6x_0" localSheetId="82">'413'!$P$56</definedName>
    <definedName name="OSRRefP22_6x_0" localSheetId="83">'414'!$P$57</definedName>
    <definedName name="OSRRefP22_6x_0" localSheetId="84">'415'!$P$57</definedName>
    <definedName name="OSRRefP22_6x_0" localSheetId="85">'418'!$P$58</definedName>
    <definedName name="OSRRefP22_6x_0" localSheetId="87">'424'!$P$54</definedName>
    <definedName name="OSRRefP22_6x_0" localSheetId="88">'425'!$P$57</definedName>
    <definedName name="OSRRefP22_6x_0" localSheetId="91">'430'!$P$49</definedName>
    <definedName name="OSRRefP22_6x_0" localSheetId="92">'433'!$P$57</definedName>
    <definedName name="OSRRefP22_6x_0" localSheetId="93">'435'!$P$55:$P$57</definedName>
    <definedName name="OSRRefP22_6x_0" localSheetId="94">'444'!$P$57</definedName>
    <definedName name="OSRRefP22_6x_0" localSheetId="96">'450'!$P$58</definedName>
    <definedName name="OSRRefP22_6x_0" localSheetId="76">'491'!$P$67</definedName>
    <definedName name="OSRRefP22_6x_0" localSheetId="90">'492'!$P$61</definedName>
    <definedName name="OSRRefP22_6x_0" localSheetId="98">'501'!$P$50</definedName>
    <definedName name="OSRRefP22_6x_0" localSheetId="39">'Div 2'!$P$51:$P$52</definedName>
    <definedName name="OSRRefP22_6x_0" localSheetId="47">'Div 3'!$P$201:$P$202</definedName>
    <definedName name="OSRRefP22_6x_0" localSheetId="74">'Div 4'!$P$69:$P$70</definedName>
    <definedName name="OSRRefP22_6x_0" localSheetId="97">'Div 5'!$P$50</definedName>
    <definedName name="OSRRefP22_6x_0" localSheetId="64">'Div 6'!$P$90</definedName>
    <definedName name="OSRRefP22_6x_0" localSheetId="2">Summary!$P$233:$P$234</definedName>
    <definedName name="OSRRefP22_7x_0" localSheetId="41">'201'!$P$52</definedName>
    <definedName name="OSRRefP22_7x_0" localSheetId="42">'202'!$P$51</definedName>
    <definedName name="OSRRefP22_7x_0" localSheetId="43">'203'!$P$52</definedName>
    <definedName name="OSRRefP22_7x_0" localSheetId="44">'204'!$P$52:$P$55</definedName>
    <definedName name="OSRRefP22_7x_0" localSheetId="45">'205'!$P$52:$P$53</definedName>
    <definedName name="OSRRefP22_7x_0" localSheetId="46">'206'!$P$51:$P$52</definedName>
    <definedName name="OSRRefP22_7x_0" localSheetId="48">'300'!$P$198:$P$199</definedName>
    <definedName name="OSRRefP22_7x_0" localSheetId="49">'300 &amp; 317'!$P$223:$P$224</definedName>
    <definedName name="OSRRefP22_7x_0" localSheetId="50">'301'!$P$56:$P$57</definedName>
    <definedName name="OSRRefP22_7x_0" localSheetId="51">'306'!$P$51:$P$52</definedName>
    <definedName name="OSRRefP22_7x_0" localSheetId="53">'307'!$P$103</definedName>
    <definedName name="OSRRefP22_7x_0" localSheetId="55">'308'!$P$97</definedName>
    <definedName name="OSRRefP22_7x_0" localSheetId="68">'309'!$P$58</definedName>
    <definedName name="OSRRefP22_7x_0" localSheetId="67">'310'!$P$66</definedName>
    <definedName name="OSRRefP22_7x_0" localSheetId="75">'310 &amp; 491'!$P$75</definedName>
    <definedName name="OSRRefP22_7x_0" localSheetId="56">'311'!$P$97</definedName>
    <definedName name="OSRRefP22_7x_0" localSheetId="69">'313'!$P$60</definedName>
    <definedName name="OSRRefP22_7x_0" localSheetId="54">'314'!$P$89</definedName>
    <definedName name="OSRRefP22_7x_0" localSheetId="59">'315'!$P$90</definedName>
    <definedName name="OSRRefP22_7x_0" localSheetId="62">'316'!$P$64</definedName>
    <definedName name="OSRRefP22_7x_0" localSheetId="65">'317'!$P$92</definedName>
    <definedName name="OSRRefP22_7x_0" localSheetId="63">'320'!$P$59:$P$60</definedName>
    <definedName name="OSRRefP22_7x_0" localSheetId="70">'321'!$P$56</definedName>
    <definedName name="OSRRefP22_7x_0" localSheetId="71">'322'!$P$58</definedName>
    <definedName name="OSRRefP22_7x_0" localSheetId="72">'325'!$P$59</definedName>
    <definedName name="OSRRefP22_7x_0" localSheetId="60">'326'!$P$87</definedName>
    <definedName name="OSRRefP22_7x_0" localSheetId="52">'330'!$P$112</definedName>
    <definedName name="OSRRefP22_7x_0" localSheetId="58">'331'!$P$103</definedName>
    <definedName name="OSRRefP22_7x_0" localSheetId="61">'332'!$P$72:$P$73</definedName>
    <definedName name="OSRRefP22_7x_0" localSheetId="77">'405'!$P$59</definedName>
    <definedName name="OSRRefP22_7x_0" localSheetId="78">'406'!$P$59</definedName>
    <definedName name="OSRRefP22_7x_0" localSheetId="79">'411'!$P$55</definedName>
    <definedName name="OSRRefP22_7x_0" localSheetId="80">'412'!$P$59</definedName>
    <definedName name="OSRRefP22_7x_0" localSheetId="82">'413'!$P$58:$P$60</definedName>
    <definedName name="OSRRefP22_7x_0" localSheetId="83">'414'!$P$59</definedName>
    <definedName name="OSRRefP22_7x_0" localSheetId="84">'415'!$P$59</definedName>
    <definedName name="OSRRefP22_7x_0" localSheetId="85">'418'!$P$60</definedName>
    <definedName name="OSRRefP22_7x_0" localSheetId="87">'424'!$P$56:$P$57</definedName>
    <definedName name="OSRRefP22_7x_0" localSheetId="88">'425'!$P$59</definedName>
    <definedName name="OSRRefP22_7x_0" localSheetId="91">'430'!$P$51:$P$53</definedName>
    <definedName name="OSRRefP22_7x_0" localSheetId="92">'433'!$P$59</definedName>
    <definedName name="OSRRefP22_7x_0" localSheetId="93">'435'!$P$59</definedName>
    <definedName name="OSRRefP22_7x_0" localSheetId="94">'444'!$P$59</definedName>
    <definedName name="OSRRefP22_7x_0" localSheetId="96">'450'!$P$60</definedName>
    <definedName name="OSRRefP22_7x_0" localSheetId="76">'491'!$P$69</definedName>
    <definedName name="OSRRefP22_7x_0" localSheetId="90">'492'!$P$63</definedName>
    <definedName name="OSRRefP22_7x_0" localSheetId="98">'501'!$P$52</definedName>
    <definedName name="OSRRefP22_7x_0" localSheetId="39">'Div 2'!$P$54</definedName>
    <definedName name="OSRRefP22_7x_0" localSheetId="47">'Div 3'!$P$204:$P$205</definedName>
    <definedName name="OSRRefP22_7x_0" localSheetId="74">'Div 4'!$P$72</definedName>
    <definedName name="OSRRefP22_7x_0" localSheetId="97">'Div 5'!$P$52</definedName>
    <definedName name="OSRRefP22_7x_0" localSheetId="64">'Div 6'!$P$92</definedName>
    <definedName name="OSRRefP22_7x_0" localSheetId="2">Summary!$P$236:$P$238</definedName>
    <definedName name="OSRRefP22_8x_0" localSheetId="41">'201'!$P$54</definedName>
    <definedName name="OSRRefP22_8x_0" localSheetId="42">'202'!$P$53</definedName>
    <definedName name="OSRRefP22_8x_0" localSheetId="43">'203'!$P$54</definedName>
    <definedName name="OSRRefP22_8x_0" localSheetId="44">'204'!$P$57</definedName>
    <definedName name="OSRRefP22_8x_0" localSheetId="45">'205'!$P$55</definedName>
    <definedName name="OSRRefP22_8x_0" localSheetId="46">'206'!$P$54</definedName>
    <definedName name="OSRRefP22_8x_0" localSheetId="48">'300'!$P$201</definedName>
    <definedName name="OSRRefP22_8x_0" localSheetId="49">'300 &amp; 317'!$P$226</definedName>
    <definedName name="OSRRefP22_8x_0" localSheetId="50">'301'!$P$59</definedName>
    <definedName name="OSRRefP22_8x_0" localSheetId="51">'306'!$P$54:$P$57</definedName>
    <definedName name="OSRRefP22_8x_0" localSheetId="53">'307'!$P$105:$P$106</definedName>
    <definedName name="OSRRefP22_8x_0" localSheetId="55">'308'!$P$99</definedName>
    <definedName name="OSRRefP22_8x_0" localSheetId="68">'309'!$P$60:$P$61</definedName>
    <definedName name="OSRRefP22_8x_0" localSheetId="67">'310'!$P$68</definedName>
    <definedName name="OSRRefP22_8x_0" localSheetId="75">'310 &amp; 491'!$P$77</definedName>
    <definedName name="OSRRefP22_8x_0" localSheetId="56">'311'!$P$99</definedName>
    <definedName name="OSRRefP22_8x_0" localSheetId="69">'313'!$P$62</definedName>
    <definedName name="OSRRefP22_8x_0" localSheetId="54">'314'!$P$91</definedName>
    <definedName name="OSRRefP22_8x_0" localSheetId="59">'315'!$P$92</definedName>
    <definedName name="OSRRefP22_8x_0" localSheetId="62">'316'!$P$66</definedName>
    <definedName name="OSRRefP22_8x_0" localSheetId="65">'317'!$P$94:$P$95</definedName>
    <definedName name="OSRRefP22_8x_0" localSheetId="63">'320'!$P$62</definedName>
    <definedName name="OSRRefP22_8x_0" localSheetId="70">'321'!$P$58</definedName>
    <definedName name="OSRRefP22_8x_0" localSheetId="71">'322'!$P$60</definedName>
    <definedName name="OSRRefP22_8x_0" localSheetId="72">'325'!$P$61</definedName>
    <definedName name="OSRRefP22_8x_0" localSheetId="60">'326'!$P$89</definedName>
    <definedName name="OSRRefP22_8x_0" localSheetId="52">'330'!$P$114</definedName>
    <definedName name="OSRRefP22_8x_0" localSheetId="58">'331'!$P$105:$P$106</definedName>
    <definedName name="OSRRefP22_8x_0" localSheetId="61">'332'!$P$75</definedName>
    <definedName name="OSRRefP22_8x_0" localSheetId="77">'405'!$P$61</definedName>
    <definedName name="OSRRefP22_8x_0" localSheetId="78">'406'!$P$61:$P$63</definedName>
    <definedName name="OSRRefP22_8x_0" localSheetId="79">'411'!$P$57</definedName>
    <definedName name="OSRRefP22_8x_0" localSheetId="80">'412'!$P$61:$P$62</definedName>
    <definedName name="OSRRefP22_8x_0" localSheetId="82">'413'!$P$62</definedName>
    <definedName name="OSRRefP22_8x_0" localSheetId="83">'414'!$P$61</definedName>
    <definedName name="OSRRefP22_8x_0" localSheetId="84">'415'!$P$61</definedName>
    <definedName name="OSRRefP22_8x_0" localSheetId="85">'418'!$P$62:$P$63</definedName>
    <definedName name="OSRRefP22_8x_0" localSheetId="87">'424'!$P$59:$P$60</definedName>
    <definedName name="OSRRefP22_8x_0" localSheetId="88">'425'!$P$61</definedName>
    <definedName name="OSRRefP22_8x_0" localSheetId="91">'430'!$P$55</definedName>
    <definedName name="OSRRefP22_8x_0" localSheetId="92">'433'!$P$61</definedName>
    <definedName name="OSRRefP22_8x_0" localSheetId="94">'444'!$P$61</definedName>
    <definedName name="OSRRefP22_8x_0" localSheetId="96">'450'!$P$62</definedName>
    <definedName name="OSRRefP22_8x_0" localSheetId="76">'491'!$P$71</definedName>
    <definedName name="OSRRefP22_8x_0" localSheetId="90">'492'!$P$65</definedName>
    <definedName name="OSRRefP22_8x_0" localSheetId="98">'501'!$P$54</definedName>
    <definedName name="OSRRefP22_8x_0" localSheetId="39">'Div 2'!$P$56</definedName>
    <definedName name="OSRRefP22_8x_0" localSheetId="47">'Div 3'!$P$207</definedName>
    <definedName name="OSRRefP22_8x_0" localSheetId="74">'Div 4'!$P$74</definedName>
    <definedName name="OSRRefP22_8x_0" localSheetId="97">'Div 5'!$P$54</definedName>
    <definedName name="OSRRefP22_8x_0" localSheetId="64">'Div 6'!$P$94:$P$95</definedName>
    <definedName name="OSRRefP22_8x_0" localSheetId="2">Summary!$P$240</definedName>
    <definedName name="OSRRefP22_9x_0" localSheetId="41">'201'!$P$56</definedName>
    <definedName name="OSRRefP22_9x_0" localSheetId="42">'202'!$P$55:$P$57</definedName>
    <definedName name="OSRRefP22_9x_0" localSheetId="43">'203'!$P$56:$P$57</definedName>
    <definedName name="OSRRefP22_9x_0" localSheetId="44">'204'!$P$59</definedName>
    <definedName name="OSRRefP22_9x_0" localSheetId="45">'205'!$P$57</definedName>
    <definedName name="OSRRefP22_9x_0" localSheetId="46">'206'!$P$56</definedName>
    <definedName name="OSRRefP22_9x_0" localSheetId="48">'300'!$P$203</definedName>
    <definedName name="OSRRefP22_9x_0" localSheetId="49">'300 &amp; 317'!$P$228</definedName>
    <definedName name="OSRRefP22_9x_0" localSheetId="50">'301'!$P$61</definedName>
    <definedName name="OSRRefP22_9x_0" localSheetId="51">'306'!$P$59</definedName>
    <definedName name="OSRRefP22_9x_0" localSheetId="53">'307'!$P$108:$P$109</definedName>
    <definedName name="OSRRefP22_9x_0" localSheetId="55">'308'!$P$101:$P$102</definedName>
    <definedName name="OSRRefP22_9x_0" localSheetId="68">'309'!$P$63:$P$65</definedName>
    <definedName name="OSRRefP22_9x_0" localSheetId="67">'310'!$P$70</definedName>
    <definedName name="OSRRefP22_9x_0" localSheetId="75">'310 &amp; 491'!$P$79</definedName>
    <definedName name="OSRRefP22_9x_0" localSheetId="56">'311'!$P$101:$P$102</definedName>
    <definedName name="OSRRefP22_9x_0" localSheetId="69">'313'!$P$64</definedName>
    <definedName name="OSRRefP22_9x_0" localSheetId="59">'315'!$P$94</definedName>
    <definedName name="OSRRefP22_9x_0" localSheetId="62">'316'!$P$68</definedName>
    <definedName name="OSRRefP22_9x_0" localSheetId="65">'317'!$P$97:$P$98</definedName>
    <definedName name="OSRRefP22_9x_0" localSheetId="70">'321'!$P$60:$P$62</definedName>
    <definedName name="OSRRefP22_9x_0" localSheetId="71">'322'!$P$62:$P$64</definedName>
    <definedName name="OSRRefP22_9x_0" localSheetId="72">'325'!$P$63</definedName>
    <definedName name="OSRRefP22_9x_0" localSheetId="60">'326'!$P$91</definedName>
    <definedName name="OSRRefP22_9x_0" localSheetId="52">'330'!$P$116:$P$117</definedName>
    <definedName name="OSRRefP22_9x_0" localSheetId="58">'331'!$P$108</definedName>
    <definedName name="OSRRefP22_9x_0" localSheetId="61">'332'!$P$77</definedName>
    <definedName name="OSRRefP22_9x_0" localSheetId="77">'405'!$P$63</definedName>
    <definedName name="OSRRefP22_9x_0" localSheetId="78">'406'!$P$65:$P$67</definedName>
    <definedName name="OSRRefP22_9x_0" localSheetId="79">'411'!$P$59</definedName>
    <definedName name="OSRRefP22_9x_0" localSheetId="80">'412'!$P$64</definedName>
    <definedName name="OSRRefP22_9x_0" localSheetId="82">'413'!$P$64:$P$69</definedName>
    <definedName name="OSRRefP22_9x_0" localSheetId="83">'414'!$P$63:$P$64</definedName>
    <definedName name="OSRRefP22_9x_0" localSheetId="84">'415'!$P$63</definedName>
    <definedName name="OSRRefP22_9x_0" localSheetId="85">'418'!$P$65:$P$67</definedName>
    <definedName name="OSRRefP22_9x_0" localSheetId="87">'424'!$P$62</definedName>
    <definedName name="OSRRefP22_9x_0" localSheetId="88">'425'!$P$63:$P$65</definedName>
    <definedName name="OSRRefP22_9x_0" localSheetId="91">'430'!$P$57</definedName>
    <definedName name="OSRRefP22_9x_0" localSheetId="92">'433'!$P$63</definedName>
    <definedName name="OSRRefP22_9x_0" localSheetId="94">'444'!$P$63</definedName>
    <definedName name="OSRRefP22_9x_0" localSheetId="96">'450'!$P$64</definedName>
    <definedName name="OSRRefP22_9x_0" localSheetId="76">'491'!$P$73:$P$74</definedName>
    <definedName name="OSRRefP22_9x_0" localSheetId="90">'492'!$P$67</definedName>
    <definedName name="OSRRefP22_9x_0" localSheetId="98">'501'!$P$56</definedName>
    <definedName name="OSRRefP22_9x_0" localSheetId="39">'Div 2'!$P$58</definedName>
    <definedName name="OSRRefP22_9x_0" localSheetId="47">'Div 3'!$P$209</definedName>
    <definedName name="OSRRefP22_9x_0" localSheetId="74">'Div 4'!$P$76</definedName>
    <definedName name="OSRRefP22_9x_0" localSheetId="97">'Div 5'!$P$56</definedName>
    <definedName name="OSRRefP22_9x_0" localSheetId="64">'Div 6'!$P$97:$P$98</definedName>
    <definedName name="OSRRefP22_9x_0" localSheetId="2">Summary!$P$242</definedName>
    <definedName name="OSRRefP22x_0" localSheetId="40">'200'!$P$20,'200'!$P$22,'200'!$P$24,'200'!$P$26,'200'!$P$28:$P$29</definedName>
    <definedName name="OSRRefP22x_0" localSheetId="41">'201'!$P$20:$P$28,'201'!$P$30:$P$39,'201'!$P$41,'201'!$P$43,'201'!$P$45:$P$46,'201'!$P$48,'201'!$P$50,'201'!$P$52,'201'!$P$54,'201'!$P$56,'201'!$P$58:$P$60,'201'!$P$62:$P$64,'201'!$P$66,'201'!$P$68:$P$70,'201'!$P$72,'201'!$P$74,'201'!$P$76:$P$77</definedName>
    <definedName name="OSRRefP22x_0" localSheetId="42">'202'!$P$20:$P$28,'202'!$P$30:$P$39,'202'!$P$41,'202'!$P$43,'202'!$P$45,'202'!$P$47,'202'!$P$49,'202'!$P$51,'202'!$P$53,'202'!$P$55:$P$57,'202'!$P$59,'202'!$P$61:$P$62,'202'!$P$64,'202'!$P$66,'202'!$P$68:$P$69,'202'!$P$71,'202'!$P$73</definedName>
    <definedName name="OSRRefP22x_0" localSheetId="43">'203'!$P$20:$P$29,'203'!$P$31:$P$40,'203'!$P$42,'203'!$P$44,'203'!$P$46,'203'!$P$48,'203'!$P$50,'203'!$P$52,'203'!$P$54,'203'!$P$56:$P$57,'203'!$P$59:$P$60,'203'!$P$62,'203'!$P$64:$P$66,'203'!$P$68,'203'!$P$70,'203'!$P$72</definedName>
    <definedName name="OSRRefP22x_0" localSheetId="44">'204'!$P$20:$P$29,'204'!$P$31:$P$40,'204'!$P$42,'204'!$P$44,'204'!$P$46,'204'!$P$48,'204'!$P$50,'204'!$P$52:$P$55,'204'!$P$57,'204'!$P$59,'204'!$P$61:$P$62,'204'!$P$64,'204'!$P$66:$P$67</definedName>
    <definedName name="OSRRefP22x_0" localSheetId="45">'205'!$P$20:$P$28,'205'!$P$30:$P$39,'205'!$P$41,'205'!$P$43,'205'!$P$45,'205'!$P$47:$P$48,'205'!$P$50,'205'!$P$52:$P$53,'205'!$P$55,'205'!$P$57</definedName>
    <definedName name="OSRRefP22x_0" localSheetId="46">'206'!$P$20:$P$28,'206'!$P$30:$P$39,'206'!$P$41,'206'!$P$43,'206'!$P$45,'206'!$P$47,'206'!$P$49,'206'!$P$51:$P$52,'206'!$P$54,'206'!$P$56,'206'!$P$58</definedName>
    <definedName name="OSRRefP22x_0" localSheetId="48">'300'!$P$161:$P$170,'300'!$P$172:$P$181,'300'!$P$183,'300'!$P$185:$P$186,'300'!$P$188,'300'!$P$190:$P$193,'300'!$P$195:$P$196,'300'!$P$198:$P$199,'300'!$P$201,'300'!$P$203,'300'!$P$205:$P$206,'300'!$P$208,'300'!$P$210,'300'!$P$212,'300'!$P$214,'300'!$P$216,'300'!$P$218:$P$220,'300'!$P$222:$P$225,'300'!$P$227:$P$230,'300'!$P$232:$P$233,'300'!$P$235:$P$241,'300'!$P$243:$P$244,'300'!$P$246,'300'!$P$248:$P$250,'300'!$P$252</definedName>
    <definedName name="OSRRefP22x_0" localSheetId="49">'300 &amp; 317'!$P$186:$P$195,'300 &amp; 317'!$P$197:$P$206,'300 &amp; 317'!$P$208,'300 &amp; 317'!$P$210:$P$211,'300 &amp; 317'!$P$213,'300 &amp; 317'!$P$215:$P$218,'300 &amp; 317'!$P$220:$P$221,'300 &amp; 317'!$P$223:$P$224,'300 &amp; 317'!$P$226,'300 &amp; 317'!$P$228,'300 &amp; 317'!$P$230:$P$231,'300 &amp; 317'!$P$233,'300 &amp; 317'!$P$235,'300 &amp; 317'!$P$237,'300 &amp; 317'!$P$239,'300 &amp; 317'!$P$241,'300 &amp; 317'!$P$243:$P$245,'300 &amp; 317'!$P$247:$P$250,'300 &amp; 317'!$P$252:$P$255,'300 &amp; 317'!$P$257:$P$258,'300 &amp; 317'!$P$260:$P$266,'300 &amp; 317'!$P$268:$P$269,'300 &amp; 317'!$P$271,'300 &amp; 317'!$P$273:$P$275,'300 &amp; 317'!$P$277</definedName>
    <definedName name="OSRRefP22x_0" localSheetId="50">'301'!$P$20:$P$28,'301'!$P$30:$P$39,'301'!$P$41,'301'!$P$43:$P$44,'301'!$P$46,'301'!$P$48:$P$51,'301'!$P$53:$P$54,'301'!$P$56:$P$57,'301'!$P$59,'301'!$P$61,'301'!$P$63,'301'!$P$65,'301'!$P$67,'301'!$P$69,'301'!$P$71,'301'!$P$73:$P$75,'301'!$P$77:$P$79,'301'!$P$81:$P$82,'301'!$P$84:$P$89,'301'!$P$91,'301'!$P$93,'301'!$P$95:$P$97,'301'!$P$99</definedName>
    <definedName name="OSRRefP22x_0" localSheetId="51">'306'!$P$20:$P$28,'306'!$P$30:$P$39,'306'!$P$41,'306'!$P$43,'306'!$P$45,'306'!$P$47,'306'!$P$49,'306'!$P$51:$P$52,'306'!$P$54:$P$57,'306'!$P$59,'306'!$P$61</definedName>
    <definedName name="OSRRefP22x_0" localSheetId="53">'307'!$P$71:$P$79,'307'!$P$81:$P$90,'307'!$P$92,'307'!$P$94,'307'!$P$96:$P$97,'307'!$P$99,'307'!$P$101,'307'!$P$103,'307'!$P$105:$P$106,'307'!$P$108:$P$109,'307'!$P$111:$P$112,'307'!$P$114,'307'!$P$116</definedName>
    <definedName name="OSRRefP22x_0" localSheetId="55">'308'!$P$63:$P$72,'308'!$P$74:$P$83,'308'!$P$85,'308'!$P$87:$P$88,'308'!$P$90,'308'!$P$92,'308'!$P$94:$P$95,'308'!$P$97,'308'!$P$99,'308'!$P$101:$P$102,'308'!$P$104,'308'!$P$106:$P$108,'308'!$P$110:$P$111,'308'!$P$113,'308'!$P$115:$P$116</definedName>
    <definedName name="OSRRefP22x_0" localSheetId="68">'309'!$P$26:$P$34,'309'!$P$36:$P$45,'309'!$P$47,'309'!$P$49,'309'!$P$51,'309'!$P$53:$P$54,'309'!$P$56,'309'!$P$58,'309'!$P$60:$P$61,'309'!$P$63:$P$65,'309'!$P$67:$P$69,'309'!$P$71,'309'!$P$73</definedName>
    <definedName name="OSRRefP22x_0" localSheetId="67">'310'!$P$33:$P$41,'310'!$P$43:$P$52,'310'!$P$54,'310'!$P$56,'310'!$P$58,'310'!$P$60:$P$62,'310'!$P$64,'310'!$P$66,'310'!$P$68,'310'!$P$70,'310'!$P$72,'310'!$P$74,'310'!$P$76,'310'!$P$78,'310'!$P$80,'310'!$P$82:$P$84,'310'!$P$86:$P$87,'310'!$P$89:$P$93,'310'!$P$95,'310'!$P$97:$P$104,'310'!$P$106,'310'!$P$108,'310'!$P$110,'310'!$P$112</definedName>
    <definedName name="OSRRefP22x_0" localSheetId="75">'310 &amp; 491'!$P$40:$P$49,'310 &amp; 491'!$P$51:$P$60,'310 &amp; 491'!$P$62,'310 &amp; 491'!$P$64,'310 &amp; 491'!$P$66,'310 &amp; 491'!$P$68:$P$71,'310 &amp; 491'!$P$73,'310 &amp; 491'!$P$75,'310 &amp; 491'!$P$77,'310 &amp; 491'!$P$79,'310 &amp; 491'!$P$81,'310 &amp; 491'!$P$83:$P$84,'310 &amp; 491'!$P$86,'310 &amp; 491'!$P$88,'310 &amp; 491'!$P$90,'310 &amp; 491'!$P$92,'310 &amp; 491'!$P$94,'310 &amp; 491'!$P$96:$P$99,'310 &amp; 491'!$P$101:$P$103,'310 &amp; 491'!$P$105:$P$110,'310 &amp; 491'!$P$112,'310 &amp; 491'!$P$114:$P$123,'310 &amp; 491'!$P$125:$P$126,'310 &amp; 491'!$P$128,'310 &amp; 491'!$P$130:$P$132,'310 &amp; 491'!$P$134</definedName>
    <definedName name="OSRRefP22x_0" localSheetId="56">'311'!$P$63:$P$72,'311'!$P$74:$P$83,'311'!$P$85,'311'!$P$87:$P$88,'311'!$P$90,'311'!$P$92,'311'!$P$94:$P$95,'311'!$P$97,'311'!$P$99,'311'!$P$101:$P$102,'311'!$P$104,'311'!$P$106:$P$108,'311'!$P$110:$P$111,'311'!$P$113,'311'!$P$115:$P$116</definedName>
    <definedName name="OSRRefP22x_0" localSheetId="69">'313'!$P$29:$P$37,'313'!$P$39:$P$48,'313'!$P$50,'313'!$P$52,'313'!$P$54,'313'!$P$56,'313'!$P$58,'313'!$P$60,'313'!$P$62,'313'!$P$64,'313'!$P$66:$P$68,'313'!$P$70,'313'!$P$72:$P$76,'313'!$P$78,'313'!$P$80</definedName>
    <definedName name="OSRRefP22x_0" localSheetId="54">'314'!$P$58:$P$65,'314'!$P$67:$P$76,'314'!$P$78,'314'!$P$80:$P$81,'314'!$P$83,'314'!$P$85,'314'!$P$87,'314'!$P$89,'314'!$P$91</definedName>
    <definedName name="OSRRefP22x_0" localSheetId="59">'315'!$P$57:$P$65,'315'!$P$67:$P$76,'315'!$P$78,'315'!$P$80:$P$81,'315'!$P$83,'315'!$P$85:$P$86,'315'!$P$88,'315'!$P$90,'315'!$P$92,'315'!$P$94,'315'!$P$96:$P$98,'315'!$P$100:$P$101,'315'!$P$103:$P$107,'315'!$P$109,'315'!$P$111,'315'!$P$113:$P$114</definedName>
    <definedName name="OSRRefP22x_0" localSheetId="62">'316'!$P$33:$P$41,'316'!$P$43:$P$52,'316'!$P$54,'316'!$P$56,'316'!$P$58,'316'!$P$60,'316'!$P$62,'316'!$P$64,'316'!$P$66,'316'!$P$68,'316'!$P$70:$P$71,'316'!$P$73:$P$76,'316'!$P$78:$P$79,'316'!$P$81</definedName>
    <definedName name="OSRRefP22x_0" localSheetId="65">'317'!$P$60:$P$69,'317'!$P$71:$P$80,'317'!$P$82,'317'!$P$84,'317'!$P$86,'317'!$P$88,'317'!$P$90,'317'!$P$92,'317'!$P$94:$P$95,'317'!$P$97:$P$98,'317'!$P$100,'317'!$P$102</definedName>
    <definedName name="OSRRefP22x_0" localSheetId="63">'320'!$P$28:$P$35,'320'!$P$37:$P$46,'320'!$P$48,'320'!$P$50,'320'!$P$52:$P$53,'320'!$P$55,'320'!$P$57,'320'!$P$59:$P$60,'320'!$P$62</definedName>
    <definedName name="OSRRefP22x_0" localSheetId="70">'321'!$P$26:$P$33,'321'!$P$35:$P$44,'321'!$P$46,'321'!$P$48,'321'!$P$50,'321'!$P$52,'321'!$P$54,'321'!$P$56,'321'!$P$58,'321'!$P$60:$P$62,'321'!$P$64:$P$65,'321'!$P$67:$P$69,'321'!$P$71:$P$73,'321'!$P$75,'321'!$P$77</definedName>
    <definedName name="OSRRefP22x_0" localSheetId="71">'322'!$P$26:$P$34,'322'!$P$36:$P$45,'322'!$P$47,'322'!$P$49,'322'!$P$51,'322'!$P$53:$P$54,'322'!$P$56,'322'!$P$58,'322'!$P$60,'322'!$P$62:$P$64,'322'!$P$66:$P$68,'322'!$P$70:$P$74,'322'!$P$76,'322'!$P$78</definedName>
    <definedName name="OSRRefP22x_0" localSheetId="72">'325'!$P$26:$P$34,'325'!$P$36:$P$45,'325'!$P$47,'325'!$P$49,'325'!$P$51,'325'!$P$53:$P$55,'325'!$P$57,'325'!$P$59,'325'!$P$61,'325'!$P$63,'325'!$P$65,'325'!$P$67:$P$69,'325'!$P$71:$P$74,'325'!$P$76,'325'!$P$78:$P$84,'325'!$P$86,'325'!$P$88,'325'!$P$90,'325'!$P$92</definedName>
    <definedName name="OSRRefP22x_0" localSheetId="60">'326'!$P$55:$P$63,'326'!$P$65:$P$74,'326'!$P$76,'326'!$P$78:$P$79,'326'!$P$81,'326'!$P$83,'326'!$P$85,'326'!$P$87,'326'!$P$89,'326'!$P$91,'326'!$P$93,'326'!$P$95,'326'!$P$97,'326'!$P$99:$P$100,'326'!$P$102:$P$104,'326'!$P$106:$P$107,'326'!$P$109:$P$113,'326'!$P$115:$P$116,'326'!$P$118,'326'!$P$120,'326'!$P$122</definedName>
    <definedName name="OSRRefP22x_0" localSheetId="73">'327'!$P$24,'327'!$P$26,'327'!$P$28</definedName>
    <definedName name="OSRRefP22x_0" localSheetId="52">'330'!$P$80:$P$88,'330'!$P$90:$P$99,'330'!$P$101,'330'!$P$103,'330'!$P$105:$P$106,'330'!$P$108,'330'!$P$110,'330'!$P$112,'330'!$P$114,'330'!$P$116:$P$117,'330'!$P$119:$P$120,'330'!$P$122,'330'!$P$124:$P$125,'330'!$P$127,'330'!$P$129</definedName>
    <definedName name="OSRRefP22x_0" localSheetId="58">'331'!$P$70:$P$78,'331'!$P$80:$P$89,'331'!$P$91,'331'!$P$93:$P$94,'331'!$P$96,'331'!$P$98:$P$99,'331'!$P$101,'331'!$P$103,'331'!$P$105:$P$106,'331'!$P$108,'331'!$P$110,'331'!$P$112,'331'!$P$114,'331'!$P$116,'331'!$P$118:$P$119,'331'!$P$121:$P$123,'331'!$P$125:$P$127,'331'!$P$129:$P$130,'331'!$P$132:$P$137,'331'!$P$139:$P$140,'331'!$P$142,'331'!$P$144:$P$145,'331'!$P$147</definedName>
    <definedName name="OSRRefP22x_0" localSheetId="61">'332'!$P$41:$P$49,'332'!$P$51:$P$60,'332'!$P$62,'332'!$P$64,'332'!$P$66,'332'!$P$68,'332'!$P$70,'332'!$P$72:$P$73,'332'!$P$75,'332'!$P$77,'332'!$P$79,'332'!$P$81:$P$82,'332'!$P$84:$P$88,'332'!$P$90:$P$91,'332'!$P$93</definedName>
    <definedName name="OSRRefP22x_0" localSheetId="77">'405'!$P$26:$P$34,'405'!$P$36:$P$45,'405'!$P$47,'405'!$P$49,'405'!$P$51,'405'!$P$53:$P$55,'405'!$P$57,'405'!$P$59,'405'!$P$61,'405'!$P$63,'405'!$P$65:$P$67,'405'!$P$69,'405'!$P$71:$P$73,'405'!$P$75,'405'!$P$77:$P$85,'405'!$P$87,'405'!$P$89,'405'!$P$91</definedName>
    <definedName name="OSRRefP22x_0" localSheetId="78">'406'!$P$27:$P$35,'406'!$P$37:$P$46,'406'!$P$48,'406'!$P$50,'406'!$P$52,'406'!$P$54:$P$55,'406'!$P$57,'406'!$P$59,'406'!$P$61:$P$63,'406'!$P$65:$P$67,'406'!$P$69:$P$74,'406'!$P$76:$P$77,'406'!$P$79,'406'!$P$81</definedName>
    <definedName name="OSRRefP22x_0" localSheetId="79">'411'!$P$20:$P$29,'411'!$P$31:$P$40,'411'!$P$42,'411'!$P$44:$P$47,'411'!$P$49,'411'!$P$51,'411'!$P$53,'411'!$P$55,'411'!$P$57,'411'!$P$59,'411'!$P$61:$P$63,'411'!$P$65:$P$69,'411'!$P$71:$P$77,'411'!$P$79,'411'!$P$81,'411'!$P$83:$P$85,'411'!$P$87</definedName>
    <definedName name="OSRRefP22x_0" localSheetId="80">'412'!$P$26:$P$34,'412'!$P$36:$P$45,'412'!$P$47,'412'!$P$49,'412'!$P$51,'412'!$P$53:$P$55,'412'!$P$57,'412'!$P$59,'412'!$P$61:$P$62,'412'!$P$64,'412'!$P$66:$P$68,'412'!$P$70:$P$75,'412'!$P$77,'412'!$P$79</definedName>
    <definedName name="OSRRefP22x_0" localSheetId="82">'413'!$P$27:$P$35,'413'!$P$37:$P$46,'413'!$P$48,'413'!$P$50,'413'!$P$52,'413'!$P$54,'413'!$P$56,'413'!$P$58:$P$60,'413'!$P$62,'413'!$P$64:$P$69,'413'!$P$71:$P$72,'413'!$P$74</definedName>
    <definedName name="OSRRefP22x_0" localSheetId="83">'414'!$P$27:$P$35,'414'!$P$37:$P$46,'414'!$P$48,'414'!$P$50,'414'!$P$52,'414'!$P$54:$P$55,'414'!$P$57,'414'!$P$59,'414'!$P$61,'414'!$P$63:$P$64,'414'!$P$66,'414'!$P$68,'414'!$P$70,'414'!$P$72:$P$78,'414'!$P$80,'414'!$P$82</definedName>
    <definedName name="OSRRefP22x_0" localSheetId="84">'415'!$P$26:$P$34,'415'!$P$36:$P$45,'415'!$P$47,'415'!$P$49,'415'!$P$51,'415'!$P$53:$P$55,'415'!$P$57,'415'!$P$59,'415'!$P$61,'415'!$P$63,'415'!$P$65,'415'!$P$67:$P$69,'415'!$P$71:$P$75,'415'!$P$77,'415'!$P$79:$P$86,'415'!$P$88,'415'!$P$90,'415'!$P$92:$P$93,'415'!$P$95</definedName>
    <definedName name="OSRRefP22x_0" localSheetId="85">'418'!$P$27:$P$35,'418'!$P$37:$P$46,'418'!$P$48,'418'!$P$50,'418'!$P$52,'418'!$P$54:$P$56,'418'!$P$58,'418'!$P$60,'418'!$P$62:$P$63,'418'!$P$65:$P$67,'418'!$P$69:$P$71,'418'!$P$73,'418'!$P$75:$P$81,'418'!$P$83,'418'!$P$85,'418'!$P$87</definedName>
    <definedName name="OSRRefP22x_0" localSheetId="81">'420'!$P$22:$P$28,'420'!$P$30:$P$33,'420'!$P$35,'420'!$P$37,'420'!$P$39</definedName>
    <definedName name="OSRRefP22x_0" localSheetId="86">'423'!$P$21:$P$29,'423'!$P$31:$P$40,'423'!$P$42,'423'!$P$44,'423'!$P$46,'423'!$P$48</definedName>
    <definedName name="OSRRefP22x_0" localSheetId="87">'424'!$P$26:$P$33,'424'!$P$35:$P$44,'424'!$P$46,'424'!$P$48,'424'!$P$50,'424'!$P$52,'424'!$P$54,'424'!$P$56:$P$57,'424'!$P$59:$P$60,'424'!$P$62,'424'!$P$64:$P$67,'424'!$P$69:$P$70</definedName>
    <definedName name="OSRRefP22x_0" localSheetId="88">'425'!$P$27:$P$35,'425'!$P$37:$P$46,'425'!$P$48,'425'!$P$50,'425'!$P$52,'425'!$P$54:$P$55,'425'!$P$57,'425'!$P$59,'425'!$P$61,'425'!$P$63:$P$65,'425'!$P$67:$P$68,'425'!$P$70:$P$71,'425'!$P$73:$P$79,'425'!$P$81:$P$82,'425'!$P$84,'425'!$P$86</definedName>
    <definedName name="OSRRefP22x_0" localSheetId="91">'430'!$P$20:$P$28,'430'!$P$30:$P$39,'430'!$P$41,'430'!$P$43,'430'!$P$45,'430'!$P$47,'430'!$P$49,'430'!$P$51:$P$53,'430'!$P$55,'430'!$P$57,'430'!$P$59</definedName>
    <definedName name="OSRRefP22x_0" localSheetId="92">'433'!$P$27:$P$36,'433'!$P$38:$P$47,'433'!$P$49,'433'!$P$51,'433'!$P$53,'433'!$P$55,'433'!$P$57,'433'!$P$59,'433'!$P$61,'433'!$P$63,'433'!$P$65:$P$67,'433'!$P$69:$P$72,'433'!$P$74:$P$81,'433'!$P$83,'433'!$P$85,'433'!$P$87:$P$88</definedName>
    <definedName name="OSRRefP22x_0" localSheetId="93">'435'!$P$27:$P$34,'435'!$P$36:$P$45,'435'!$P$47,'435'!$P$49,'435'!$P$51,'435'!$P$53,'435'!$P$55:$P$57,'435'!$P$59</definedName>
    <definedName name="OSRRefP22x_0" localSheetId="94">'444'!$P$27:$P$36,'444'!$P$38:$P$47,'444'!$P$49,'444'!$P$51,'444'!$P$53,'444'!$P$55,'444'!$P$57,'444'!$P$59,'444'!$P$61,'444'!$P$63,'444'!$P$65,'444'!$P$67:$P$69,'444'!$P$71:$P$74,'444'!$P$76:$P$83,'444'!$P$85,'444'!$P$87,'444'!$P$89</definedName>
    <definedName name="OSRRefP22x_0" localSheetId="96">'450'!$P$27:$P$36,'450'!$P$38:$P$47,'450'!$P$49,'450'!$P$51:$P$52,'450'!$P$54,'450'!$P$56,'450'!$P$58,'450'!$P$60,'450'!$P$62,'450'!$P$64,'450'!$P$66,'450'!$P$68:$P$70,'450'!$P$72:$P$74,'450'!$P$76:$P$81,'450'!$P$83,'450'!$P$85,'450'!$P$87:$P$88</definedName>
    <definedName name="OSRRefP22x_0" localSheetId="89">'455'!$P$20:$P$27,'455'!$P$29:$P$38</definedName>
    <definedName name="OSRRefP22x_0" localSheetId="76">'491'!$P$34:$P$43,'491'!$P$45:$P$54,'491'!$P$56,'491'!$P$58,'491'!$P$60,'491'!$P$62:$P$65,'491'!$P$67,'491'!$P$69,'491'!$P$71,'491'!$P$73:$P$74,'491'!$P$76,'491'!$P$78,'491'!$P$80,'491'!$P$82,'491'!$P$84:$P$87,'491'!$P$89:$P$91,'491'!$P$93:$P$97,'491'!$P$99,'491'!$P$101:$P$110,'491'!$P$112:$P$113,'491'!$P$115,'491'!$P$117:$P$119,'491'!$P$121</definedName>
    <definedName name="OSRRefP22x_0" localSheetId="90">'492'!$P$29:$P$38,'492'!$P$40:$P$49,'492'!$P$51,'492'!$P$53:$P$54,'492'!$P$56,'492'!$P$58:$P$59,'492'!$P$61,'492'!$P$63,'492'!$P$65,'492'!$P$67,'492'!$P$69,'492'!$P$71,'492'!$P$73:$P$76,'492'!$P$78:$P$81,'492'!$P$83:$P$91,'492'!$P$93,'492'!$P$95,'492'!$P$97:$P$98</definedName>
    <definedName name="OSRRefP22x_0" localSheetId="98">'501'!$P$21:$P$29,'501'!$P$31:$P$40,'501'!$P$42,'501'!$P$44,'501'!$P$46,'501'!$P$48,'501'!$P$50,'501'!$P$52,'501'!$P$54,'501'!$P$56,'501'!$P$58:$P$59,'501'!$P$61:$P$63,'501'!$P$65</definedName>
    <definedName name="OSRRefP22x_0" localSheetId="39">'Div 2'!$P$20:$P$30,'Div 2'!$P$32:$P$41,'Div 2'!$P$43,'Div 2'!$P$45,'Div 2'!$P$47,'Div 2'!$P$49,'Div 2'!$P$51:$P$52,'Div 2'!$P$54,'Div 2'!$P$56,'Div 2'!$P$58,'Div 2'!$P$60,'Div 2'!$P$62,'Div 2'!$P$64:$P$66,'Div 2'!$P$68:$P$71,'Div 2'!$P$73:$P$76,'Div 2'!$P$78:$P$79,'Div 2'!$P$81:$P$82,'Div 2'!$P$84:$P$87,'Div 2'!$P$89:$P$90,'Div 2'!$P$92,'Div 2'!$P$94:$P$95</definedName>
    <definedName name="OSRRefP22x_0" localSheetId="47">'Div 3'!$P$167:$P$176,'Div 3'!$P$178:$P$187,'Div 3'!$P$189,'Div 3'!$P$191:$P$192,'Div 3'!$P$194,'Div 3'!$P$196:$P$199,'Div 3'!$P$201:$P$202,'Div 3'!$P$204:$P$205,'Div 3'!$P$207,'Div 3'!$P$209,'Div 3'!$P$211:$P$212,'Div 3'!$P$214,'Div 3'!$P$216,'Div 3'!$P$218,'Div 3'!$P$220,'Div 3'!$P$222,'Div 3'!$P$224,'Div 3'!$P$226,'Div 3'!$P$228:$P$230,'Div 3'!$P$232:$P$235,'Div 3'!$P$237:$P$242,'Div 3'!$P$244:$P$245,'Div 3'!$P$247:$P$254,'Div 3'!$P$256:$P$257,'Div 3'!$P$259,'Div 3'!$P$261:$P$263,'Div 3'!$P$265</definedName>
    <definedName name="OSRRefP22x_0" localSheetId="74">'Div 4'!$P$35:$P$44,'Div 4'!$P$46:$P$55,'Div 4'!$P$57,'Div 4'!$P$59:$P$60,'Div 4'!$P$62,'Div 4'!$P$64:$P$67,'Div 4'!$P$69:$P$70,'Div 4'!$P$72,'Div 4'!$P$74,'Div 4'!$P$76,'Div 4'!$P$78:$P$79,'Div 4'!$P$81,'Div 4'!$P$83,'Div 4'!$P$85,'Div 4'!$P$87,'Div 4'!$P$89,'Div 4'!$P$91:$P$94,'Div 4'!$P$96:$P$98,'Div 4'!$P$100:$P$104,'Div 4'!$P$106,'Div 4'!$P$108:$P$117,'Div 4'!$P$119:$P$120,'Div 4'!$P$122,'Div 4'!$P$124:$P$126,'Div 4'!$P$128</definedName>
    <definedName name="OSRRefP22x_0" localSheetId="97">'Div 5'!$P$21:$P$29,'Div 5'!$P$31:$P$40,'Div 5'!$P$42,'Div 5'!$P$44,'Div 5'!$P$46,'Div 5'!$P$48,'Div 5'!$P$50,'Div 5'!$P$52,'Div 5'!$P$54,'Div 5'!$P$56,'Div 5'!$P$58:$P$59,'Div 5'!$P$61:$P$63,'Div 5'!$P$65</definedName>
    <definedName name="OSRRefP22x_0" localSheetId="64">'Div 6'!$P$60:$P$69,'Div 6'!$P$71:$P$80,'Div 6'!$P$82,'Div 6'!$P$84,'Div 6'!$P$86,'Div 6'!$P$88,'Div 6'!$P$90,'Div 6'!$P$92,'Div 6'!$P$94:$P$95,'Div 6'!$P$97:$P$98,'Div 6'!$P$100,'Div 6'!$P$102</definedName>
    <definedName name="OSRRefP22x_0" localSheetId="2">Summary!$P$199:$P$208,Summary!$P$210:$P$219,Summary!$P$221,Summary!$P$223:$P$224,Summary!$P$226,Summary!$P$228:$P$231,Summary!$P$233:$P$234,Summary!$P$236:$P$238,Summary!$P$240,Summary!$P$242,Summary!$P$244:$P$245,Summary!$P$247:$P$248,Summary!$P$250,Summary!$P$252,Summary!$P$254,Summary!$P$256,Summary!$P$258,Summary!$P$260,Summary!$P$262:$P$265,Summary!$P$267:$P$270,Summary!$P$272:$P$277,Summary!$P$279:$P$280,Summary!$P$282:$P$291,Summary!$P$293:$P$294,Summary!$P$296,Summary!$P$298:$P$300,Summary!$P$302</definedName>
    <definedName name="OSRRefP25x_0" localSheetId="48">'300'!$P$255:$P$263</definedName>
    <definedName name="OSRRefP25x_0" localSheetId="49">'300 &amp; 317'!$P$280:$P$290</definedName>
    <definedName name="OSRRefP25x_0" localSheetId="50">'301'!$P$102:$P$105</definedName>
    <definedName name="OSRRefP25x_0" localSheetId="55">'308'!$P$119:$P$122</definedName>
    <definedName name="OSRRefP25x_0" localSheetId="75">'310 &amp; 491'!$P$137:$P$140</definedName>
    <definedName name="OSRRefP25x_0" localSheetId="56">'311'!$P$119:$P$122</definedName>
    <definedName name="OSRRefP25x_0" localSheetId="59">'315'!$P$117:$P$119</definedName>
    <definedName name="OSRRefP25x_0" localSheetId="62">'316'!$P$84:$P$85</definedName>
    <definedName name="OSRRefP25x_0" localSheetId="65">'317'!$P$105:$P$107</definedName>
    <definedName name="OSRRefP25x_0" localSheetId="63">'320'!$P$65:$P$69</definedName>
    <definedName name="OSRRefP25x_0" localSheetId="58">'331'!$P$150:$P$152</definedName>
    <definedName name="OSRRefP25x_0" localSheetId="61">'332'!$P$96:$P$102</definedName>
    <definedName name="OSRRefP25x_0" localSheetId="79">'411'!$P$90:$P$91</definedName>
    <definedName name="OSRRefP25x_0" localSheetId="82">'413'!$P$77</definedName>
    <definedName name="OSRRefP25x_0" localSheetId="86">'423'!$P$51</definedName>
    <definedName name="OSRRefP25x_0" localSheetId="87">'424'!$P$73</definedName>
    <definedName name="OSRRefP25x_0" localSheetId="88">'425'!$P$89</definedName>
    <definedName name="OSRRefP25x_0" localSheetId="89">'455'!$P$41:$P$44</definedName>
    <definedName name="OSRRefP25x_0" localSheetId="76">'491'!$P$124:$P$127</definedName>
    <definedName name="OSRRefP25x_0" localSheetId="98">'501'!$P$68</definedName>
    <definedName name="OSRRefP25x_0" localSheetId="47">'Div 3'!$P$268:$P$276</definedName>
    <definedName name="OSRRefP25x_0" localSheetId="74">'Div 4'!$P$131:$P$134</definedName>
    <definedName name="OSRRefP25x_0" localSheetId="97">'Div 5'!$P$68</definedName>
    <definedName name="OSRRefP25x_0" localSheetId="64">'Div 6'!$P$105:$P$107</definedName>
    <definedName name="OSRRefP25x_0" localSheetId="2">Summary!$P$305:$P$316</definedName>
    <definedName name="OSRRefT13x_0" localSheetId="48">'300'!$T$13:$T$102</definedName>
    <definedName name="OSRRefT13x_0" localSheetId="49">'300 &amp; 317'!$T$13:$T$120</definedName>
    <definedName name="OSRRefT13x_0" localSheetId="53">'307'!$T$13:$T$43</definedName>
    <definedName name="OSRRefT13x_0" localSheetId="55">'308'!$T$13:$T$39</definedName>
    <definedName name="OSRRefT13x_0" localSheetId="68">'309'!$T$13:$T$15</definedName>
    <definedName name="OSRRefT13x_0" localSheetId="67">'310'!$T$13:$T$22</definedName>
    <definedName name="OSRRefT13x_0" localSheetId="75">'310 &amp; 491'!$T$13:$T$29</definedName>
    <definedName name="OSRRefT13x_0" localSheetId="56">'311'!$T$13:$T$39</definedName>
    <definedName name="OSRRefT13x_0" localSheetId="69">'313'!$T$13:$T$18</definedName>
    <definedName name="OSRRefT13x_0" localSheetId="54">'314'!$T$13:$T$34</definedName>
    <definedName name="OSRRefT13x_0" localSheetId="59">'315'!$T$13:$T$33</definedName>
    <definedName name="OSRRefT13x_0" localSheetId="62">'316'!$T$13:$T$25</definedName>
    <definedName name="OSRRefT13x_0" localSheetId="65">'317'!$T$13:$T$38</definedName>
    <definedName name="OSRRefT13x_0" localSheetId="63">'320'!$T$13:$T$15</definedName>
    <definedName name="OSRRefT13x_0" localSheetId="70">'321'!$T$13:$T$15</definedName>
    <definedName name="OSRRefT13x_0" localSheetId="71">'322'!$T$13:$T$15</definedName>
    <definedName name="OSRRefT13x_0" localSheetId="57">'324'!$T$13:$T$15</definedName>
    <definedName name="OSRRefT13x_0" localSheetId="72">'325'!$T$13:$T$15</definedName>
    <definedName name="OSRRefT13x_0" localSheetId="60">'326'!$T$13:$T$32</definedName>
    <definedName name="OSRRefT13x_0" localSheetId="73">'327'!$T$13:$T$14</definedName>
    <definedName name="OSRRefT13x_0" localSheetId="52">'330'!$T$13:$T$48</definedName>
    <definedName name="OSRRefT13x_0" localSheetId="58">'331'!$T$13:$T$40</definedName>
    <definedName name="OSRRefT13x_0" localSheetId="61">'332'!$T$13:$T$28</definedName>
    <definedName name="OSRRefT13x_0" localSheetId="77">'405'!$T$13:$T$15</definedName>
    <definedName name="OSRRefT13x_0" localSheetId="78">'406'!$T$13:$T$16</definedName>
    <definedName name="OSRRefT13x_0" localSheetId="80">'412'!$T$13:$T$16</definedName>
    <definedName name="OSRRefT13x_0" localSheetId="82">'413'!$T$13:$T$16</definedName>
    <definedName name="OSRRefT13x_0" localSheetId="83">'414'!$T$13:$T$16</definedName>
    <definedName name="OSRRefT13x_0" localSheetId="84">'415'!$T$13:$T$15</definedName>
    <definedName name="OSRRefT13x_0" localSheetId="85">'418'!$T$13:$T$16</definedName>
    <definedName name="OSRRefT13x_0" localSheetId="81">'420'!$T$13:$T$14</definedName>
    <definedName name="OSRRefT13x_0" localSheetId="87">'424'!$T$13:$T$15</definedName>
    <definedName name="OSRRefT13x_0" localSheetId="88">'425'!$T$13:$T$16</definedName>
    <definedName name="OSRRefT13x_0" localSheetId="92">'433'!$T$13:$T$16</definedName>
    <definedName name="OSRRefT13x_0" localSheetId="93">'435'!$T$13:$T$16</definedName>
    <definedName name="OSRRefT13x_0" localSheetId="94">'444'!$T$13:$T$16</definedName>
    <definedName name="OSRRefT13x_0" localSheetId="96">'450'!$T$13:$T$16</definedName>
    <definedName name="OSRRefT13x_0" localSheetId="76">'491'!$T$13:$T$23</definedName>
    <definedName name="OSRRefT13x_0" localSheetId="90">'492'!$T$13:$T$18</definedName>
    <definedName name="OSRRefT13x_0" localSheetId="98">'501'!$T$13</definedName>
    <definedName name="OSRRefT13x_0" localSheetId="47">'Div 3'!$T$13:$T$106</definedName>
    <definedName name="OSRRefT13x_0" localSheetId="74">'Div 4'!$T$13:$T$24</definedName>
    <definedName name="OSRRefT13x_0" localSheetId="97">'Div 5'!$T$13</definedName>
    <definedName name="OSRRefT13x_0" localSheetId="64">'Div 6'!$T$13:$T$38</definedName>
    <definedName name="OSRRefT13x_0" localSheetId="2">Summary!$T$13:$T$131</definedName>
    <definedName name="OSRRefT16x_0" localSheetId="48">'300'!$T$105:$T$155</definedName>
    <definedName name="OSRRefT16x_0" localSheetId="49">'300 &amp; 317'!$T$123:$T$180</definedName>
    <definedName name="OSRRefT16x_0" localSheetId="53">'307'!$T$46:$T$65</definedName>
    <definedName name="OSRRefT16x_0" localSheetId="55">'308'!$T$42:$T$57</definedName>
    <definedName name="OSRRefT16x_0" localSheetId="68">'309'!$T$18:$T$20</definedName>
    <definedName name="OSRRefT16x_0" localSheetId="67">'310'!$T$25:$T$27</definedName>
    <definedName name="OSRRefT16x_0" localSheetId="75">'310 &amp; 491'!$T$32:$T$34</definedName>
    <definedName name="OSRRefT16x_0" localSheetId="56">'311'!$T$42:$T$57</definedName>
    <definedName name="OSRRefT16x_0" localSheetId="69">'313'!$T$21:$T$23</definedName>
    <definedName name="OSRRefT16x_0" localSheetId="54">'314'!$T$37:$T$52</definedName>
    <definedName name="OSRRefT16x_0" localSheetId="59">'315'!$T$36:$T$51</definedName>
    <definedName name="OSRRefT16x_0" localSheetId="65">'317'!$T$41:$T$54</definedName>
    <definedName name="OSRRefT16x_0" localSheetId="63">'320'!$T$18:$T$22</definedName>
    <definedName name="OSRRefT16x_0" localSheetId="70">'321'!$T$18:$T$20</definedName>
    <definedName name="OSRRefT16x_0" localSheetId="71">'322'!$T$18:$T$20</definedName>
    <definedName name="OSRRefT16x_0" localSheetId="57">'324'!$T$18:$T$20</definedName>
    <definedName name="OSRRefT16x_0" localSheetId="72">'325'!$T$18:$T$20</definedName>
    <definedName name="OSRRefT16x_0" localSheetId="60">'326'!$T$35:$T$49</definedName>
    <definedName name="OSRRefT16x_0" localSheetId="73">'327'!$T$17:$T$18</definedName>
    <definedName name="OSRRefT16x_0" localSheetId="52">'330'!$T$51:$T$74</definedName>
    <definedName name="OSRRefT16x_0" localSheetId="58">'331'!$T$43:$T$64</definedName>
    <definedName name="OSRRefT16x_0" localSheetId="61">'332'!$T$31:$T$35</definedName>
    <definedName name="OSRRefT16x_0" localSheetId="77">'405'!$T$18:$T$20</definedName>
    <definedName name="OSRRefT16x_0" localSheetId="78">'406'!$T$19:$T$21</definedName>
    <definedName name="OSRRefT16x_0" localSheetId="80">'412'!$T$19:$T$20</definedName>
    <definedName name="OSRRefT16x_0" localSheetId="82">'413'!$T$19:$T$21</definedName>
    <definedName name="OSRRefT16x_0" localSheetId="83">'414'!$T$19:$T$21</definedName>
    <definedName name="OSRRefT16x_0" localSheetId="84">'415'!$T$18:$T$20</definedName>
    <definedName name="OSRRefT16x_0" localSheetId="85">'418'!$T$19:$T$21</definedName>
    <definedName name="OSRRefT16x_0" localSheetId="86">'423'!$T$15</definedName>
    <definedName name="OSRRefT16x_0" localSheetId="87">'424'!$T$18:$T$20</definedName>
    <definedName name="OSRRefT16x_0" localSheetId="88">'425'!$T$19:$T$21</definedName>
    <definedName name="OSRRefT16x_0" localSheetId="92">'433'!$T$19:$T$21</definedName>
    <definedName name="OSRRefT16x_0" localSheetId="93">'435'!$T$19:$T$21</definedName>
    <definedName name="OSRRefT16x_0" localSheetId="94">'444'!$T$19:$T$21</definedName>
    <definedName name="OSRRefT16x_0" localSheetId="96">'450'!$T$19:$T$21</definedName>
    <definedName name="OSRRefT16x_0" localSheetId="76">'491'!$T$26:$T$28</definedName>
    <definedName name="OSRRefT16x_0" localSheetId="90">'492'!$T$21:$T$23</definedName>
    <definedName name="OSRRefT16x_0" localSheetId="47">'Div 3'!$T$109:$T$161</definedName>
    <definedName name="OSRRefT16x_0" localSheetId="74">'Div 4'!$T$27:$T$29</definedName>
    <definedName name="OSRRefT16x_0" localSheetId="64">'Div 6'!$T$41:$T$54</definedName>
    <definedName name="OSRRefT16x_0" localSheetId="2">Summary!$T$134:$T$193</definedName>
    <definedName name="OSRRefT22_0x_0" localSheetId="40">'200'!$T$20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'204'!$T$20:$T$29</definedName>
    <definedName name="OSRRefT22_0x_0" localSheetId="45">'205'!$T$20:$T$28</definedName>
    <definedName name="OSRRefT22_0x_0" localSheetId="46">'206'!$T$20:$T$28</definedName>
    <definedName name="OSRRefT22_0x_0" localSheetId="48">'300'!$T$161:$T$170</definedName>
    <definedName name="OSRRefT22_0x_0" localSheetId="49">'300 &amp; 317'!$T$186:$T$195</definedName>
    <definedName name="OSRRefT22_0x_0" localSheetId="50">'301'!$T$20:$T$28</definedName>
    <definedName name="OSRRefT22_0x_0" localSheetId="51">'306'!$T$20:$T$28</definedName>
    <definedName name="OSRRefT22_0x_0" localSheetId="53">'307'!$T$71:$T$79</definedName>
    <definedName name="OSRRefT22_0x_0" localSheetId="55">'308'!$T$63:$T$72</definedName>
    <definedName name="OSRRefT22_0x_0" localSheetId="68">'309'!$T$26:$T$34</definedName>
    <definedName name="OSRRefT22_0x_0" localSheetId="67">'310'!$T$33:$T$41</definedName>
    <definedName name="OSRRefT22_0x_0" localSheetId="75">'310 &amp; 491'!$T$40:$T$49</definedName>
    <definedName name="OSRRefT22_0x_0" localSheetId="56">'311'!$T$63:$T$72</definedName>
    <definedName name="OSRRefT22_0x_0" localSheetId="69">'313'!$T$29:$T$37</definedName>
    <definedName name="OSRRefT22_0x_0" localSheetId="54">'314'!$T$58:$T$65</definedName>
    <definedName name="OSRRefT22_0x_0" localSheetId="59">'315'!$T$57:$T$65</definedName>
    <definedName name="OSRRefT22_0x_0" localSheetId="62">'316'!$T$33:$T$41</definedName>
    <definedName name="OSRRefT22_0x_0" localSheetId="65">'317'!$T$60:$T$69</definedName>
    <definedName name="OSRRefT22_0x_0" localSheetId="63">'320'!$T$28:$T$35</definedName>
    <definedName name="OSRRefT22_0x_0" localSheetId="70">'321'!$T$26:$T$33</definedName>
    <definedName name="OSRRefT22_0x_0" localSheetId="71">'322'!$T$26:$T$34</definedName>
    <definedName name="OSRRefT22_0x_0" localSheetId="72">'325'!$T$26:$T$34</definedName>
    <definedName name="OSRRefT22_0x_0" localSheetId="60">'326'!$T$55:$T$63</definedName>
    <definedName name="OSRRefT22_0x_0" localSheetId="73">'327'!$T$24</definedName>
    <definedName name="OSRRefT22_0x_0" localSheetId="52">'330'!$T$80:$T$88</definedName>
    <definedName name="OSRRefT22_0x_0" localSheetId="58">'331'!$T$70:$T$78</definedName>
    <definedName name="OSRRefT22_0x_0" localSheetId="61">'332'!$T$41:$T$49</definedName>
    <definedName name="OSRRefT22_0x_0" localSheetId="77">'405'!$T$26:$T$34</definedName>
    <definedName name="OSRRefT22_0x_0" localSheetId="78">'406'!$T$27:$T$35</definedName>
    <definedName name="OSRRefT22_0x_0" localSheetId="79">'411'!$T$20:$T$29</definedName>
    <definedName name="OSRRefT22_0x_0" localSheetId="80">'412'!$T$26:$T$34</definedName>
    <definedName name="OSRRefT22_0x_0" localSheetId="82">'413'!$T$27:$T$35</definedName>
    <definedName name="OSRRefT22_0x_0" localSheetId="83">'414'!$T$27:$T$35</definedName>
    <definedName name="OSRRefT22_0x_0" localSheetId="84">'415'!$T$26:$T$34</definedName>
    <definedName name="OSRRefT22_0x_0" localSheetId="85">'418'!$T$27:$T$35</definedName>
    <definedName name="OSRRefT22_0x_0" localSheetId="81">'420'!$T$22:$T$28</definedName>
    <definedName name="OSRRefT22_0x_0" localSheetId="86">'423'!$T$21:$T$29</definedName>
    <definedName name="OSRRefT22_0x_0" localSheetId="87">'424'!$T$26:$T$33</definedName>
    <definedName name="OSRRefT22_0x_0" localSheetId="88">'425'!$T$27:$T$35</definedName>
    <definedName name="OSRRefT22_0x_0" localSheetId="91">'430'!$T$20:$T$28</definedName>
    <definedName name="OSRRefT22_0x_0" localSheetId="92">'433'!$T$27:$T$36</definedName>
    <definedName name="OSRRefT22_0x_0" localSheetId="93">'435'!$T$27:$T$34</definedName>
    <definedName name="OSRRefT22_0x_0" localSheetId="94">'444'!$T$27:$T$36</definedName>
    <definedName name="OSRRefT22_0x_0" localSheetId="96">'450'!$T$27:$T$36</definedName>
    <definedName name="OSRRefT22_0x_0" localSheetId="89">'455'!$T$20:$T$27</definedName>
    <definedName name="OSRRefT22_0x_0" localSheetId="76">'491'!$T$34:$T$43</definedName>
    <definedName name="OSRRefT22_0x_0" localSheetId="90">'492'!$T$29:$T$38</definedName>
    <definedName name="OSRRefT22_0x_0" localSheetId="98">'501'!$T$21:$T$29</definedName>
    <definedName name="OSRRefT22_0x_0" localSheetId="39">'Div 2'!$T$20:$T$30</definedName>
    <definedName name="OSRRefT22_0x_0" localSheetId="47">'Div 3'!$T$167:$T$176</definedName>
    <definedName name="OSRRefT22_0x_0" localSheetId="74">'Div 4'!$T$35:$T$44</definedName>
    <definedName name="OSRRefT22_0x_0" localSheetId="97">'Div 5'!$T$21:$T$29</definedName>
    <definedName name="OSRRefT22_0x_0" localSheetId="64">'Div 6'!$T$60:$T$69</definedName>
    <definedName name="OSRRefT22_0x_0" localSheetId="2">Summary!$T$199:$T$208</definedName>
    <definedName name="OSRRefT22_10x_0" localSheetId="41">'201'!$T$58:$T$60</definedName>
    <definedName name="OSRRefT22_10x_0" localSheetId="42">'202'!$T$59</definedName>
    <definedName name="OSRRefT22_10x_0" localSheetId="43">'203'!$T$59:$T$60</definedName>
    <definedName name="OSRRefT22_10x_0" localSheetId="44">'204'!$T$61:$T$62</definedName>
    <definedName name="OSRRefT22_10x_0" localSheetId="46">'206'!$T$58</definedName>
    <definedName name="OSRRefT22_10x_0" localSheetId="48">'300'!$T$205:$T$206</definedName>
    <definedName name="OSRRefT22_10x_0" localSheetId="49">'300 &amp; 317'!$T$230:$T$231</definedName>
    <definedName name="OSRRefT22_10x_0" localSheetId="50">'301'!$T$63</definedName>
    <definedName name="OSRRefT22_10x_0" localSheetId="51">'306'!$T$61</definedName>
    <definedName name="OSRRefT22_10x_0" localSheetId="53">'307'!$T$111:$T$112</definedName>
    <definedName name="OSRRefT22_10x_0" localSheetId="55">'308'!$T$104</definedName>
    <definedName name="OSRRefT22_10x_0" localSheetId="68">'309'!$T$67:$T$69</definedName>
    <definedName name="OSRRefT22_10x_0" localSheetId="67">'310'!$T$72</definedName>
    <definedName name="OSRRefT22_10x_0" localSheetId="75">'310 &amp; 491'!$T$81</definedName>
    <definedName name="OSRRefT22_10x_0" localSheetId="56">'311'!$T$104</definedName>
    <definedName name="OSRRefT22_10x_0" localSheetId="69">'313'!$T$66:$T$68</definedName>
    <definedName name="OSRRefT22_10x_0" localSheetId="59">'315'!$T$96:$T$98</definedName>
    <definedName name="OSRRefT22_10x_0" localSheetId="62">'316'!$T$70:$T$71</definedName>
    <definedName name="OSRRefT22_10x_0" localSheetId="65">'317'!$T$100</definedName>
    <definedName name="OSRRefT22_10x_0" localSheetId="70">'321'!$T$64:$T$65</definedName>
    <definedName name="OSRRefT22_10x_0" localSheetId="71">'322'!$T$66:$T$68</definedName>
    <definedName name="OSRRefT22_10x_0" localSheetId="72">'325'!$T$65</definedName>
    <definedName name="OSRRefT22_10x_0" localSheetId="60">'326'!$T$93</definedName>
    <definedName name="OSRRefT22_10x_0" localSheetId="52">'330'!$T$119:$T$120</definedName>
    <definedName name="OSRRefT22_10x_0" localSheetId="58">'331'!$T$110</definedName>
    <definedName name="OSRRefT22_10x_0" localSheetId="61">'332'!$T$79</definedName>
    <definedName name="OSRRefT22_10x_0" localSheetId="77">'405'!$T$65:$T$67</definedName>
    <definedName name="OSRRefT22_10x_0" localSheetId="78">'406'!$T$69:$T$74</definedName>
    <definedName name="OSRRefT22_10x_0" localSheetId="79">'411'!$T$61:$T$63</definedName>
    <definedName name="OSRRefT22_10x_0" localSheetId="80">'412'!$T$66:$T$68</definedName>
    <definedName name="OSRRefT22_10x_0" localSheetId="82">'413'!$T$71:$T$72</definedName>
    <definedName name="OSRRefT22_10x_0" localSheetId="83">'414'!$T$66</definedName>
    <definedName name="OSRRefT22_10x_0" localSheetId="84">'415'!$T$65</definedName>
    <definedName name="OSRRefT22_10x_0" localSheetId="85">'418'!$T$69:$T$71</definedName>
    <definedName name="OSRRefT22_10x_0" localSheetId="87">'424'!$T$64:$T$67</definedName>
    <definedName name="OSRRefT22_10x_0" localSheetId="88">'425'!$T$67:$T$68</definedName>
    <definedName name="OSRRefT22_10x_0" localSheetId="91">'430'!$T$59</definedName>
    <definedName name="OSRRefT22_10x_0" localSheetId="92">'433'!$T$65:$T$67</definedName>
    <definedName name="OSRRefT22_10x_0" localSheetId="94">'444'!$T$65</definedName>
    <definedName name="OSRRefT22_10x_0" localSheetId="96">'450'!$T$66</definedName>
    <definedName name="OSRRefT22_10x_0" localSheetId="76">'491'!$T$76</definedName>
    <definedName name="OSRRefT22_10x_0" localSheetId="90">'492'!$T$69</definedName>
    <definedName name="OSRRefT22_10x_0" localSheetId="98">'501'!$T$58:$T$59</definedName>
    <definedName name="OSRRefT22_10x_0" localSheetId="39">'Div 2'!$T$60</definedName>
    <definedName name="OSRRefT22_10x_0" localSheetId="47">'Div 3'!$T$211:$T$212</definedName>
    <definedName name="OSRRefT22_10x_0" localSheetId="74">'Div 4'!$T$78:$T$79</definedName>
    <definedName name="OSRRefT22_10x_0" localSheetId="97">'Div 5'!$T$58:$T$59</definedName>
    <definedName name="OSRRefT22_10x_0" localSheetId="64">'Div 6'!$T$100</definedName>
    <definedName name="OSRRefT22_10x_0" localSheetId="2">Summary!$T$244:$T$245</definedName>
    <definedName name="OSRRefT22_11x_0" localSheetId="41">'201'!$T$62:$T$64</definedName>
    <definedName name="OSRRefT22_11x_0" localSheetId="42">'202'!$T$61:$T$62</definedName>
    <definedName name="OSRRefT22_11x_0" localSheetId="43">'203'!$T$62</definedName>
    <definedName name="OSRRefT22_11x_0" localSheetId="44">'204'!$T$64</definedName>
    <definedName name="OSRRefT22_11x_0" localSheetId="48">'300'!$T$208</definedName>
    <definedName name="OSRRefT22_11x_0" localSheetId="49">'300 &amp; 317'!$T$233</definedName>
    <definedName name="OSRRefT22_11x_0" localSheetId="50">'301'!$T$65</definedName>
    <definedName name="OSRRefT22_11x_0" localSheetId="53">'307'!$T$114</definedName>
    <definedName name="OSRRefT22_11x_0" localSheetId="55">'308'!$T$106:$T$108</definedName>
    <definedName name="OSRRefT22_11x_0" localSheetId="68">'309'!$T$71</definedName>
    <definedName name="OSRRefT22_11x_0" localSheetId="67">'310'!$T$74</definedName>
    <definedName name="OSRRefT22_11x_0" localSheetId="75">'310 &amp; 491'!$T$83:$T$84</definedName>
    <definedName name="OSRRefT22_11x_0" localSheetId="56">'311'!$T$106:$T$108</definedName>
    <definedName name="OSRRefT22_11x_0" localSheetId="69">'313'!$T$70</definedName>
    <definedName name="OSRRefT22_11x_0" localSheetId="59">'315'!$T$100:$T$101</definedName>
    <definedName name="OSRRefT22_11x_0" localSheetId="62">'316'!$T$73:$T$76</definedName>
    <definedName name="OSRRefT22_11x_0" localSheetId="65">'317'!$T$102</definedName>
    <definedName name="OSRRefT22_11x_0" localSheetId="70">'321'!$T$67:$T$69</definedName>
    <definedName name="OSRRefT22_11x_0" localSheetId="71">'322'!$T$70:$T$74</definedName>
    <definedName name="OSRRefT22_11x_0" localSheetId="72">'325'!$T$67:$T$69</definedName>
    <definedName name="OSRRefT22_11x_0" localSheetId="60">'326'!$T$95</definedName>
    <definedName name="OSRRefT22_11x_0" localSheetId="52">'330'!$T$122</definedName>
    <definedName name="OSRRefT22_11x_0" localSheetId="58">'331'!$T$112</definedName>
    <definedName name="OSRRefT22_11x_0" localSheetId="61">'332'!$T$81:$T$82</definedName>
    <definedName name="OSRRefT22_11x_0" localSheetId="77">'405'!$T$69</definedName>
    <definedName name="OSRRefT22_11x_0" localSheetId="78">'406'!$T$76:$T$77</definedName>
    <definedName name="OSRRefT22_11x_0" localSheetId="79">'411'!$T$65:$T$69</definedName>
    <definedName name="OSRRefT22_11x_0" localSheetId="80">'412'!$T$70:$T$75</definedName>
    <definedName name="OSRRefT22_11x_0" localSheetId="82">'413'!$T$74</definedName>
    <definedName name="OSRRefT22_11x_0" localSheetId="83">'414'!$T$68</definedName>
    <definedName name="OSRRefT22_11x_0" localSheetId="84">'415'!$T$67:$T$69</definedName>
    <definedName name="OSRRefT22_11x_0" localSheetId="85">'418'!$T$73</definedName>
    <definedName name="OSRRefT22_11x_0" localSheetId="87">'424'!$T$69:$T$70</definedName>
    <definedName name="OSRRefT22_11x_0" localSheetId="88">'425'!$T$70:$T$71</definedName>
    <definedName name="OSRRefT22_11x_0" localSheetId="92">'433'!$T$69:$T$72</definedName>
    <definedName name="OSRRefT22_11x_0" localSheetId="94">'444'!$T$67:$T$69</definedName>
    <definedName name="OSRRefT22_11x_0" localSheetId="96">'450'!$T$68:$T$70</definedName>
    <definedName name="OSRRefT22_11x_0" localSheetId="76">'491'!$T$78</definedName>
    <definedName name="OSRRefT22_11x_0" localSheetId="90">'492'!$T$71</definedName>
    <definedName name="OSRRefT22_11x_0" localSheetId="98">'501'!$T$61:$T$63</definedName>
    <definedName name="OSRRefT22_11x_0" localSheetId="39">'Div 2'!$T$62</definedName>
    <definedName name="OSRRefT22_11x_0" localSheetId="47">'Div 3'!$T$214</definedName>
    <definedName name="OSRRefT22_11x_0" localSheetId="74">'Div 4'!$T$81</definedName>
    <definedName name="OSRRefT22_11x_0" localSheetId="97">'Div 5'!$T$61:$T$63</definedName>
    <definedName name="OSRRefT22_11x_0" localSheetId="64">'Div 6'!$T$102</definedName>
    <definedName name="OSRRefT22_11x_0" localSheetId="2">Summary!$T$247:$T$248</definedName>
    <definedName name="OSRRefT22_12x_0" localSheetId="41">'201'!$T$66</definedName>
    <definedName name="OSRRefT22_12x_0" localSheetId="42">'202'!$T$64</definedName>
    <definedName name="OSRRefT22_12x_0" localSheetId="43">'203'!$T$64:$T$66</definedName>
    <definedName name="OSRRefT22_12x_0" localSheetId="44">'204'!$T$66:$T$67</definedName>
    <definedName name="OSRRefT22_12x_0" localSheetId="48">'300'!$T$210</definedName>
    <definedName name="OSRRefT22_12x_0" localSheetId="49">'300 &amp; 317'!$T$235</definedName>
    <definedName name="OSRRefT22_12x_0" localSheetId="50">'301'!$T$67</definedName>
    <definedName name="OSRRefT22_12x_0" localSheetId="53">'307'!$T$116</definedName>
    <definedName name="OSRRefT22_12x_0" localSheetId="55">'308'!$T$110:$T$111</definedName>
    <definedName name="OSRRefT22_12x_0" localSheetId="68">'309'!$T$73</definedName>
    <definedName name="OSRRefT22_12x_0" localSheetId="67">'310'!$T$76</definedName>
    <definedName name="OSRRefT22_12x_0" localSheetId="75">'310 &amp; 491'!$T$86</definedName>
    <definedName name="OSRRefT22_12x_0" localSheetId="56">'311'!$T$110:$T$111</definedName>
    <definedName name="OSRRefT22_12x_0" localSheetId="69">'313'!$T$72:$T$76</definedName>
    <definedName name="OSRRefT22_12x_0" localSheetId="59">'315'!$T$103:$T$107</definedName>
    <definedName name="OSRRefT22_12x_0" localSheetId="62">'316'!$T$78:$T$79</definedName>
    <definedName name="OSRRefT22_12x_0" localSheetId="70">'321'!$T$71:$T$73</definedName>
    <definedName name="OSRRefT22_12x_0" localSheetId="71">'322'!$T$76</definedName>
    <definedName name="OSRRefT22_12x_0" localSheetId="72">'325'!$T$71:$T$74</definedName>
    <definedName name="OSRRefT22_12x_0" localSheetId="60">'326'!$T$97</definedName>
    <definedName name="OSRRefT22_12x_0" localSheetId="52">'330'!$T$124:$T$125</definedName>
    <definedName name="OSRRefT22_12x_0" localSheetId="58">'331'!$T$114</definedName>
    <definedName name="OSRRefT22_12x_0" localSheetId="61">'332'!$T$84:$T$88</definedName>
    <definedName name="OSRRefT22_12x_0" localSheetId="77">'405'!$T$71:$T$73</definedName>
    <definedName name="OSRRefT22_12x_0" localSheetId="78">'406'!$T$79</definedName>
    <definedName name="OSRRefT22_12x_0" localSheetId="79">'411'!$T$71:$T$77</definedName>
    <definedName name="OSRRefT22_12x_0" localSheetId="80">'412'!$T$77</definedName>
    <definedName name="OSRRefT22_12x_0" localSheetId="83">'414'!$T$70</definedName>
    <definedName name="OSRRefT22_12x_0" localSheetId="84">'415'!$T$71:$T$75</definedName>
    <definedName name="OSRRefT22_12x_0" localSheetId="85">'418'!$T$75:$T$81</definedName>
    <definedName name="OSRRefT22_12x_0" localSheetId="88">'425'!$T$73:$T$79</definedName>
    <definedName name="OSRRefT22_12x_0" localSheetId="92">'433'!$T$74:$T$81</definedName>
    <definedName name="OSRRefT22_12x_0" localSheetId="94">'444'!$T$71:$T$74</definedName>
    <definedName name="OSRRefT22_12x_0" localSheetId="96">'450'!$T$72:$T$74</definedName>
    <definedName name="OSRRefT22_12x_0" localSheetId="76">'491'!$T$80</definedName>
    <definedName name="OSRRefT22_12x_0" localSheetId="90">'492'!$T$73:$T$76</definedName>
    <definedName name="OSRRefT22_12x_0" localSheetId="98">'501'!$T$65</definedName>
    <definedName name="OSRRefT22_12x_0" localSheetId="39">'Div 2'!$T$64:$T$66</definedName>
    <definedName name="OSRRefT22_12x_0" localSheetId="47">'Div 3'!$T$216</definedName>
    <definedName name="OSRRefT22_12x_0" localSheetId="74">'Div 4'!$T$83</definedName>
    <definedName name="OSRRefT22_12x_0" localSheetId="97">'Div 5'!$T$65</definedName>
    <definedName name="OSRRefT22_12x_0" localSheetId="2">Summary!$T$250</definedName>
    <definedName name="OSRRefT22_13x_0" localSheetId="41">'201'!$T$68:$T$70</definedName>
    <definedName name="OSRRefT22_13x_0" localSheetId="42">'202'!$T$66</definedName>
    <definedName name="OSRRefT22_13x_0" localSheetId="43">'203'!$T$68</definedName>
    <definedName name="OSRRefT22_13x_0" localSheetId="48">'300'!$T$212</definedName>
    <definedName name="OSRRefT22_13x_0" localSheetId="49">'300 &amp; 317'!$T$237</definedName>
    <definedName name="OSRRefT22_13x_0" localSheetId="50">'301'!$T$69</definedName>
    <definedName name="OSRRefT22_13x_0" localSheetId="55">'308'!$T$113</definedName>
    <definedName name="OSRRefT22_13x_0" localSheetId="67">'310'!$T$78</definedName>
    <definedName name="OSRRefT22_13x_0" localSheetId="75">'310 &amp; 491'!$T$88</definedName>
    <definedName name="OSRRefT22_13x_0" localSheetId="56">'311'!$T$113</definedName>
    <definedName name="OSRRefT22_13x_0" localSheetId="69">'313'!$T$78</definedName>
    <definedName name="OSRRefT22_13x_0" localSheetId="59">'315'!$T$109</definedName>
    <definedName name="OSRRefT22_13x_0" localSheetId="62">'316'!$T$81</definedName>
    <definedName name="OSRRefT22_13x_0" localSheetId="70">'321'!$T$75</definedName>
    <definedName name="OSRRefT22_13x_0" localSheetId="71">'322'!$T$78</definedName>
    <definedName name="OSRRefT22_13x_0" localSheetId="72">'325'!$T$76</definedName>
    <definedName name="OSRRefT22_13x_0" localSheetId="60">'326'!$T$99:$T$100</definedName>
    <definedName name="OSRRefT22_13x_0" localSheetId="52">'330'!$T$127</definedName>
    <definedName name="OSRRefT22_13x_0" localSheetId="58">'331'!$T$116</definedName>
    <definedName name="OSRRefT22_13x_0" localSheetId="61">'332'!$T$90:$T$91</definedName>
    <definedName name="OSRRefT22_13x_0" localSheetId="77">'405'!$T$75</definedName>
    <definedName name="OSRRefT22_13x_0" localSheetId="78">'406'!$T$81</definedName>
    <definedName name="OSRRefT22_13x_0" localSheetId="79">'411'!$T$79</definedName>
    <definedName name="OSRRefT22_13x_0" localSheetId="80">'412'!$T$79</definedName>
    <definedName name="OSRRefT22_13x_0" localSheetId="83">'414'!$T$72:$T$78</definedName>
    <definedName name="OSRRefT22_13x_0" localSheetId="84">'415'!$T$77</definedName>
    <definedName name="OSRRefT22_13x_0" localSheetId="85">'418'!$T$83</definedName>
    <definedName name="OSRRefT22_13x_0" localSheetId="88">'425'!$T$81:$T$82</definedName>
    <definedName name="OSRRefT22_13x_0" localSheetId="92">'433'!$T$83</definedName>
    <definedName name="OSRRefT22_13x_0" localSheetId="94">'444'!$T$76:$T$83</definedName>
    <definedName name="OSRRefT22_13x_0" localSheetId="96">'450'!$T$76:$T$81</definedName>
    <definedName name="OSRRefT22_13x_0" localSheetId="76">'491'!$T$82</definedName>
    <definedName name="OSRRefT22_13x_0" localSheetId="90">'492'!$T$78:$T$81</definedName>
    <definedName name="OSRRefT22_13x_0" localSheetId="39">'Div 2'!$T$68:$T$71</definedName>
    <definedName name="OSRRefT22_13x_0" localSheetId="47">'Div 3'!$T$218</definedName>
    <definedName name="OSRRefT22_13x_0" localSheetId="74">'Div 4'!$T$85</definedName>
    <definedName name="OSRRefT22_13x_0" localSheetId="2">Summary!$T$252</definedName>
    <definedName name="OSRRefT22_14x_0" localSheetId="41">'201'!$T$72</definedName>
    <definedName name="OSRRefT22_14x_0" localSheetId="42">'202'!$T$68:$T$69</definedName>
    <definedName name="OSRRefT22_14x_0" localSheetId="43">'203'!$T$70</definedName>
    <definedName name="OSRRefT22_14x_0" localSheetId="48">'300'!$T$214</definedName>
    <definedName name="OSRRefT22_14x_0" localSheetId="49">'300 &amp; 317'!$T$239</definedName>
    <definedName name="OSRRefT22_14x_0" localSheetId="50">'301'!$T$71</definedName>
    <definedName name="OSRRefT22_14x_0" localSheetId="55">'308'!$T$115:$T$116</definedName>
    <definedName name="OSRRefT22_14x_0" localSheetId="67">'310'!$T$80</definedName>
    <definedName name="OSRRefT22_14x_0" localSheetId="75">'310 &amp; 491'!$T$90</definedName>
    <definedName name="OSRRefT22_14x_0" localSheetId="56">'311'!$T$115:$T$116</definedName>
    <definedName name="OSRRefT22_14x_0" localSheetId="69">'313'!$T$80</definedName>
    <definedName name="OSRRefT22_14x_0" localSheetId="59">'315'!$T$111</definedName>
    <definedName name="OSRRefT22_14x_0" localSheetId="70">'321'!$T$77</definedName>
    <definedName name="OSRRefT22_14x_0" localSheetId="72">'325'!$T$78:$T$84</definedName>
    <definedName name="OSRRefT22_14x_0" localSheetId="60">'326'!$T$102:$T$104</definedName>
    <definedName name="OSRRefT22_14x_0" localSheetId="52">'330'!$T$129</definedName>
    <definedName name="OSRRefT22_14x_0" localSheetId="58">'331'!$T$118:$T$119</definedName>
    <definedName name="OSRRefT22_14x_0" localSheetId="61">'332'!$T$93</definedName>
    <definedName name="OSRRefT22_14x_0" localSheetId="77">'405'!$T$77:$T$85</definedName>
    <definedName name="OSRRefT22_14x_0" localSheetId="79">'411'!$T$81</definedName>
    <definedName name="OSRRefT22_14x_0" localSheetId="83">'414'!$T$80</definedName>
    <definedName name="OSRRefT22_14x_0" localSheetId="84">'415'!$T$79:$T$86</definedName>
    <definedName name="OSRRefT22_14x_0" localSheetId="85">'418'!$T$85</definedName>
    <definedName name="OSRRefT22_14x_0" localSheetId="88">'425'!$T$84</definedName>
    <definedName name="OSRRefT22_14x_0" localSheetId="92">'433'!$T$85</definedName>
    <definedName name="OSRRefT22_14x_0" localSheetId="94">'444'!$T$85</definedName>
    <definedName name="OSRRefT22_14x_0" localSheetId="96">'450'!$T$83</definedName>
    <definedName name="OSRRefT22_14x_0" localSheetId="76">'491'!$T$84:$T$87</definedName>
    <definedName name="OSRRefT22_14x_0" localSheetId="90">'492'!$T$83:$T$91</definedName>
    <definedName name="OSRRefT22_14x_0" localSheetId="39">'Div 2'!$T$73:$T$76</definedName>
    <definedName name="OSRRefT22_14x_0" localSheetId="47">'Div 3'!$T$220</definedName>
    <definedName name="OSRRefT22_14x_0" localSheetId="74">'Div 4'!$T$87</definedName>
    <definedName name="OSRRefT22_14x_0" localSheetId="2">Summary!$T$254</definedName>
    <definedName name="OSRRefT22_15x_0" localSheetId="41">'201'!$T$74</definedName>
    <definedName name="OSRRefT22_15x_0" localSheetId="42">'202'!$T$71</definedName>
    <definedName name="OSRRefT22_15x_0" localSheetId="43">'203'!$T$72</definedName>
    <definedName name="OSRRefT22_15x_0" localSheetId="48">'300'!$T$216</definedName>
    <definedName name="OSRRefT22_15x_0" localSheetId="49">'300 &amp; 317'!$T$241</definedName>
    <definedName name="OSRRefT22_15x_0" localSheetId="50">'301'!$T$73:$T$75</definedName>
    <definedName name="OSRRefT22_15x_0" localSheetId="67">'310'!$T$82:$T$84</definedName>
    <definedName name="OSRRefT22_15x_0" localSheetId="75">'310 &amp; 491'!$T$92</definedName>
    <definedName name="OSRRefT22_15x_0" localSheetId="59">'315'!$T$113:$T$114</definedName>
    <definedName name="OSRRefT22_15x_0" localSheetId="72">'325'!$T$86</definedName>
    <definedName name="OSRRefT22_15x_0" localSheetId="60">'326'!$T$106:$T$107</definedName>
    <definedName name="OSRRefT22_15x_0" localSheetId="58">'331'!$T$121:$T$123</definedName>
    <definedName name="OSRRefT22_15x_0" localSheetId="77">'405'!$T$87</definedName>
    <definedName name="OSRRefT22_15x_0" localSheetId="79">'411'!$T$83:$T$85</definedName>
    <definedName name="OSRRefT22_15x_0" localSheetId="83">'414'!$T$82</definedName>
    <definedName name="OSRRefT22_15x_0" localSheetId="84">'415'!$T$88</definedName>
    <definedName name="OSRRefT22_15x_0" localSheetId="85">'418'!$T$87</definedName>
    <definedName name="OSRRefT22_15x_0" localSheetId="88">'425'!$T$86</definedName>
    <definedName name="OSRRefT22_15x_0" localSheetId="92">'433'!$T$87:$T$88</definedName>
    <definedName name="OSRRefT22_15x_0" localSheetId="94">'444'!$T$87</definedName>
    <definedName name="OSRRefT22_15x_0" localSheetId="96">'450'!$T$85</definedName>
    <definedName name="OSRRefT22_15x_0" localSheetId="76">'491'!$T$89:$T$91</definedName>
    <definedName name="OSRRefT22_15x_0" localSheetId="90">'492'!$T$93</definedName>
    <definedName name="OSRRefT22_15x_0" localSheetId="39">'Div 2'!$T$78:$T$79</definedName>
    <definedName name="OSRRefT22_15x_0" localSheetId="47">'Div 3'!$T$222</definedName>
    <definedName name="OSRRefT22_15x_0" localSheetId="74">'Div 4'!$T$89</definedName>
    <definedName name="OSRRefT22_15x_0" localSheetId="2">Summary!$T$256</definedName>
    <definedName name="OSRRefT22_16x_0" localSheetId="41">'201'!$T$76:$T$77</definedName>
    <definedName name="OSRRefT22_16x_0" localSheetId="42">'202'!$T$73</definedName>
    <definedName name="OSRRefT22_16x_0" localSheetId="48">'300'!$T$218:$T$220</definedName>
    <definedName name="OSRRefT22_16x_0" localSheetId="49">'300 &amp; 317'!$T$243:$T$245</definedName>
    <definedName name="OSRRefT22_16x_0" localSheetId="50">'301'!$T$77:$T$79</definedName>
    <definedName name="OSRRefT22_16x_0" localSheetId="67">'310'!$T$86:$T$87</definedName>
    <definedName name="OSRRefT22_16x_0" localSheetId="75">'310 &amp; 491'!$T$94</definedName>
    <definedName name="OSRRefT22_16x_0" localSheetId="72">'325'!$T$88</definedName>
    <definedName name="OSRRefT22_16x_0" localSheetId="60">'326'!$T$109:$T$113</definedName>
    <definedName name="OSRRefT22_16x_0" localSheetId="58">'331'!$T$125:$T$127</definedName>
    <definedName name="OSRRefT22_16x_0" localSheetId="77">'405'!$T$89</definedName>
    <definedName name="OSRRefT22_16x_0" localSheetId="79">'411'!$T$87</definedName>
    <definedName name="OSRRefT22_16x_0" localSheetId="84">'415'!$T$90</definedName>
    <definedName name="OSRRefT22_16x_0" localSheetId="94">'444'!$T$89</definedName>
    <definedName name="OSRRefT22_16x_0" localSheetId="96">'450'!$T$87:$T$88</definedName>
    <definedName name="OSRRefT22_16x_0" localSheetId="76">'491'!$T$93:$T$97</definedName>
    <definedName name="OSRRefT22_16x_0" localSheetId="90">'492'!$T$95</definedName>
    <definedName name="OSRRefT22_16x_0" localSheetId="39">'Div 2'!$T$81:$T$82</definedName>
    <definedName name="OSRRefT22_16x_0" localSheetId="47">'Div 3'!$T$224</definedName>
    <definedName name="OSRRefT22_16x_0" localSheetId="74">'Div 4'!$T$91:$T$94</definedName>
    <definedName name="OSRRefT22_16x_0" localSheetId="2">Summary!$T$258</definedName>
    <definedName name="OSRRefT22_17x_0" localSheetId="48">'300'!$T$222:$T$225</definedName>
    <definedName name="OSRRefT22_17x_0" localSheetId="49">'300 &amp; 317'!$T$247:$T$250</definedName>
    <definedName name="OSRRefT22_17x_0" localSheetId="50">'301'!$T$81:$T$82</definedName>
    <definedName name="OSRRefT22_17x_0" localSheetId="67">'310'!$T$89:$T$93</definedName>
    <definedName name="OSRRefT22_17x_0" localSheetId="75">'310 &amp; 491'!$T$96:$T$99</definedName>
    <definedName name="OSRRefT22_17x_0" localSheetId="72">'325'!$T$90</definedName>
    <definedName name="OSRRefT22_17x_0" localSheetId="60">'326'!$T$115:$T$116</definedName>
    <definedName name="OSRRefT22_17x_0" localSheetId="58">'331'!$T$129:$T$130</definedName>
    <definedName name="OSRRefT22_17x_0" localSheetId="77">'405'!$T$91</definedName>
    <definedName name="OSRRefT22_17x_0" localSheetId="84">'415'!$T$92:$T$93</definedName>
    <definedName name="OSRRefT22_17x_0" localSheetId="76">'491'!$T$99</definedName>
    <definedName name="OSRRefT22_17x_0" localSheetId="90">'492'!$T$97:$T$98</definedName>
    <definedName name="OSRRefT22_17x_0" localSheetId="39">'Div 2'!$T$84:$T$87</definedName>
    <definedName name="OSRRefT22_17x_0" localSheetId="47">'Div 3'!$T$226</definedName>
    <definedName name="OSRRefT22_17x_0" localSheetId="74">'Div 4'!$T$96:$T$98</definedName>
    <definedName name="OSRRefT22_17x_0" localSheetId="2">Summary!$T$260</definedName>
    <definedName name="OSRRefT22_18x_0" localSheetId="48">'300'!$T$227:$T$230</definedName>
    <definedName name="OSRRefT22_18x_0" localSheetId="49">'300 &amp; 317'!$T$252:$T$255</definedName>
    <definedName name="OSRRefT22_18x_0" localSheetId="50">'301'!$T$84:$T$89</definedName>
    <definedName name="OSRRefT22_18x_0" localSheetId="67">'310'!$T$95</definedName>
    <definedName name="OSRRefT22_18x_0" localSheetId="75">'310 &amp; 491'!$T$101:$T$103</definedName>
    <definedName name="OSRRefT22_18x_0" localSheetId="72">'325'!$T$92</definedName>
    <definedName name="OSRRefT22_18x_0" localSheetId="60">'326'!$T$118</definedName>
    <definedName name="OSRRefT22_18x_0" localSheetId="58">'331'!$T$132:$T$137</definedName>
    <definedName name="OSRRefT22_18x_0" localSheetId="84">'415'!$T$95</definedName>
    <definedName name="OSRRefT22_18x_0" localSheetId="76">'491'!$T$101:$T$110</definedName>
    <definedName name="OSRRefT22_18x_0" localSheetId="39">'Div 2'!$T$89:$T$90</definedName>
    <definedName name="OSRRefT22_18x_0" localSheetId="47">'Div 3'!$T$228:$T$230</definedName>
    <definedName name="OSRRefT22_18x_0" localSheetId="74">'Div 4'!$T$100:$T$104</definedName>
    <definedName name="OSRRefT22_18x_0" localSheetId="2">Summary!$T$262:$T$265</definedName>
    <definedName name="OSRRefT22_19x_0" localSheetId="48">'300'!$T$232:$T$233</definedName>
    <definedName name="OSRRefT22_19x_0" localSheetId="49">'300 &amp; 317'!$T$257:$T$258</definedName>
    <definedName name="OSRRefT22_19x_0" localSheetId="50">'301'!$T$91</definedName>
    <definedName name="OSRRefT22_19x_0" localSheetId="67">'310'!$T$97:$T$104</definedName>
    <definedName name="OSRRefT22_19x_0" localSheetId="75">'310 &amp; 491'!$T$105:$T$110</definedName>
    <definedName name="OSRRefT22_19x_0" localSheetId="60">'326'!$T$120</definedName>
    <definedName name="OSRRefT22_19x_0" localSheetId="58">'331'!$T$139:$T$140</definedName>
    <definedName name="OSRRefT22_19x_0" localSheetId="76">'491'!$T$112:$T$113</definedName>
    <definedName name="OSRRefT22_19x_0" localSheetId="39">'Div 2'!$T$92</definedName>
    <definedName name="OSRRefT22_19x_0" localSheetId="47">'Div 3'!$T$232:$T$235</definedName>
    <definedName name="OSRRefT22_19x_0" localSheetId="74">'Div 4'!$T$106</definedName>
    <definedName name="OSRRefT22_19x_0" localSheetId="2">Summary!$T$267:$T$270</definedName>
    <definedName name="OSRRefT22_1x_0" localSheetId="40">'200'!$T$22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'204'!$T$31:$T$40</definedName>
    <definedName name="OSRRefT22_1x_0" localSheetId="45">'205'!$T$30:$T$39</definedName>
    <definedName name="OSRRefT22_1x_0" localSheetId="46">'206'!$T$30:$T$39</definedName>
    <definedName name="OSRRefT22_1x_0" localSheetId="48">'300'!$T$172:$T$181</definedName>
    <definedName name="OSRRefT22_1x_0" localSheetId="49">'300 &amp; 317'!$T$197:$T$206</definedName>
    <definedName name="OSRRefT22_1x_0" localSheetId="50">'301'!$T$30:$T$39</definedName>
    <definedName name="OSRRefT22_1x_0" localSheetId="51">'306'!$T$30:$T$39</definedName>
    <definedName name="OSRRefT22_1x_0" localSheetId="53">'307'!$T$81:$T$90</definedName>
    <definedName name="OSRRefT22_1x_0" localSheetId="55">'308'!$T$74:$T$83</definedName>
    <definedName name="OSRRefT22_1x_0" localSheetId="68">'309'!$T$36:$T$45</definedName>
    <definedName name="OSRRefT22_1x_0" localSheetId="67">'310'!$T$43:$T$52</definedName>
    <definedName name="OSRRefT22_1x_0" localSheetId="75">'310 &amp; 491'!$T$51:$T$60</definedName>
    <definedName name="OSRRefT22_1x_0" localSheetId="56">'311'!$T$74:$T$83</definedName>
    <definedName name="OSRRefT22_1x_0" localSheetId="69">'313'!$T$39:$T$48</definedName>
    <definedName name="OSRRefT22_1x_0" localSheetId="54">'314'!$T$67:$T$76</definedName>
    <definedName name="OSRRefT22_1x_0" localSheetId="59">'315'!$T$67:$T$76</definedName>
    <definedName name="OSRRefT22_1x_0" localSheetId="62">'316'!$T$43:$T$52</definedName>
    <definedName name="OSRRefT22_1x_0" localSheetId="65">'317'!$T$71:$T$80</definedName>
    <definedName name="OSRRefT22_1x_0" localSheetId="63">'320'!$T$37:$T$46</definedName>
    <definedName name="OSRRefT22_1x_0" localSheetId="70">'321'!$T$35:$T$44</definedName>
    <definedName name="OSRRefT22_1x_0" localSheetId="71">'322'!$T$36:$T$45</definedName>
    <definedName name="OSRRefT22_1x_0" localSheetId="72">'325'!$T$36:$T$45</definedName>
    <definedName name="OSRRefT22_1x_0" localSheetId="60">'326'!$T$65:$T$74</definedName>
    <definedName name="OSRRefT22_1x_0" localSheetId="73">'327'!$T$26</definedName>
    <definedName name="OSRRefT22_1x_0" localSheetId="52">'330'!$T$90:$T$99</definedName>
    <definedName name="OSRRefT22_1x_0" localSheetId="58">'331'!$T$80:$T$89</definedName>
    <definedName name="OSRRefT22_1x_0" localSheetId="61">'332'!$T$51:$T$60</definedName>
    <definedName name="OSRRefT22_1x_0" localSheetId="77">'405'!$T$36:$T$45</definedName>
    <definedName name="OSRRefT22_1x_0" localSheetId="78">'406'!$T$37:$T$46</definedName>
    <definedName name="OSRRefT22_1x_0" localSheetId="79">'411'!$T$31:$T$40</definedName>
    <definedName name="OSRRefT22_1x_0" localSheetId="80">'412'!$T$36:$T$45</definedName>
    <definedName name="OSRRefT22_1x_0" localSheetId="82">'413'!$T$37:$T$46</definedName>
    <definedName name="OSRRefT22_1x_0" localSheetId="83">'414'!$T$37:$T$46</definedName>
    <definedName name="OSRRefT22_1x_0" localSheetId="84">'415'!$T$36:$T$45</definedName>
    <definedName name="OSRRefT22_1x_0" localSheetId="85">'418'!$T$37:$T$46</definedName>
    <definedName name="OSRRefT22_1x_0" localSheetId="81">'420'!$T$30:$T$33</definedName>
    <definedName name="OSRRefT22_1x_0" localSheetId="86">'423'!$T$31:$T$40</definedName>
    <definedName name="OSRRefT22_1x_0" localSheetId="87">'424'!$T$35:$T$44</definedName>
    <definedName name="OSRRefT22_1x_0" localSheetId="88">'425'!$T$37:$T$46</definedName>
    <definedName name="OSRRefT22_1x_0" localSheetId="91">'430'!$T$30:$T$39</definedName>
    <definedName name="OSRRefT22_1x_0" localSheetId="92">'433'!$T$38:$T$47</definedName>
    <definedName name="OSRRefT22_1x_0" localSheetId="93">'435'!$T$36:$T$45</definedName>
    <definedName name="OSRRefT22_1x_0" localSheetId="94">'444'!$T$38:$T$47</definedName>
    <definedName name="OSRRefT22_1x_0" localSheetId="96">'450'!$T$38:$T$47</definedName>
    <definedName name="OSRRefT22_1x_0" localSheetId="89">'455'!$T$29:$T$38</definedName>
    <definedName name="OSRRefT22_1x_0" localSheetId="76">'491'!$T$45:$T$54</definedName>
    <definedName name="OSRRefT22_1x_0" localSheetId="90">'492'!$T$40:$T$49</definedName>
    <definedName name="OSRRefT22_1x_0" localSheetId="98">'501'!$T$31:$T$40</definedName>
    <definedName name="OSRRefT22_1x_0" localSheetId="39">'Div 2'!$T$32:$T$41</definedName>
    <definedName name="OSRRefT22_1x_0" localSheetId="47">'Div 3'!$T$178:$T$187</definedName>
    <definedName name="OSRRefT22_1x_0" localSheetId="74">'Div 4'!$T$46:$T$55</definedName>
    <definedName name="OSRRefT22_1x_0" localSheetId="97">'Div 5'!$T$31:$T$40</definedName>
    <definedName name="OSRRefT22_1x_0" localSheetId="64">'Div 6'!$T$71:$T$80</definedName>
    <definedName name="OSRRefT22_1x_0" localSheetId="2">Summary!$T$210:$T$219</definedName>
    <definedName name="OSRRefT22_20x_0" localSheetId="48">'300'!$T$235:$T$241</definedName>
    <definedName name="OSRRefT22_20x_0" localSheetId="49">'300 &amp; 317'!$T$260:$T$266</definedName>
    <definedName name="OSRRefT22_20x_0" localSheetId="50">'301'!$T$93</definedName>
    <definedName name="OSRRefT22_20x_0" localSheetId="67">'310'!$T$106</definedName>
    <definedName name="OSRRefT22_20x_0" localSheetId="75">'310 &amp; 491'!$T$112</definedName>
    <definedName name="OSRRefT22_20x_0" localSheetId="60">'326'!$T$122</definedName>
    <definedName name="OSRRefT22_20x_0" localSheetId="58">'331'!$T$142</definedName>
    <definedName name="OSRRefT22_20x_0" localSheetId="76">'491'!$T$115</definedName>
    <definedName name="OSRRefT22_20x_0" localSheetId="39">'Div 2'!$T$94:$T$95</definedName>
    <definedName name="OSRRefT22_20x_0" localSheetId="47">'Div 3'!$T$237:$T$242</definedName>
    <definedName name="OSRRefT22_20x_0" localSheetId="74">'Div 4'!$T$108:$T$117</definedName>
    <definedName name="OSRRefT22_20x_0" localSheetId="2">Summary!$T$272:$T$277</definedName>
    <definedName name="OSRRefT22_21x_0" localSheetId="48">'300'!$T$243:$T$244</definedName>
    <definedName name="OSRRefT22_21x_0" localSheetId="49">'300 &amp; 317'!$T$268:$T$269</definedName>
    <definedName name="OSRRefT22_21x_0" localSheetId="50">'301'!$T$95:$T$97</definedName>
    <definedName name="OSRRefT22_21x_0" localSheetId="67">'310'!$T$108</definedName>
    <definedName name="OSRRefT22_21x_0" localSheetId="75">'310 &amp; 491'!$T$114:$T$123</definedName>
    <definedName name="OSRRefT22_21x_0" localSheetId="58">'331'!$T$144:$T$145</definedName>
    <definedName name="OSRRefT22_21x_0" localSheetId="76">'491'!$T$117:$T$119</definedName>
    <definedName name="OSRRefT22_21x_0" localSheetId="47">'Div 3'!$T$244:$T$245</definedName>
    <definedName name="OSRRefT22_21x_0" localSheetId="74">'Div 4'!$T$119:$T$120</definedName>
    <definedName name="OSRRefT22_21x_0" localSheetId="2">Summary!$T$279:$T$280</definedName>
    <definedName name="OSRRefT22_22x_0" localSheetId="48">'300'!$T$246</definedName>
    <definedName name="OSRRefT22_22x_0" localSheetId="49">'300 &amp; 317'!$T$271</definedName>
    <definedName name="OSRRefT22_22x_0" localSheetId="50">'301'!$T$99</definedName>
    <definedName name="OSRRefT22_22x_0" localSheetId="67">'310'!$T$110</definedName>
    <definedName name="OSRRefT22_22x_0" localSheetId="75">'310 &amp; 491'!$T$125:$T$126</definedName>
    <definedName name="OSRRefT22_22x_0" localSheetId="58">'331'!$T$147</definedName>
    <definedName name="OSRRefT22_22x_0" localSheetId="76">'491'!$T$121</definedName>
    <definedName name="OSRRefT22_22x_0" localSheetId="47">'Div 3'!$T$247:$T$254</definedName>
    <definedName name="OSRRefT22_22x_0" localSheetId="74">'Div 4'!$T$122</definedName>
    <definedName name="OSRRefT22_22x_0" localSheetId="2">Summary!$T$282:$T$291</definedName>
    <definedName name="OSRRefT22_23x_0" localSheetId="48">'300'!$T$248:$T$250</definedName>
    <definedName name="OSRRefT22_23x_0" localSheetId="49">'300 &amp; 317'!$T$273:$T$275</definedName>
    <definedName name="OSRRefT22_23x_0" localSheetId="67">'310'!$T$112</definedName>
    <definedName name="OSRRefT22_23x_0" localSheetId="75">'310 &amp; 491'!$T$128</definedName>
    <definedName name="OSRRefT22_23x_0" localSheetId="47">'Div 3'!$T$256:$T$257</definedName>
    <definedName name="OSRRefT22_23x_0" localSheetId="74">'Div 4'!$T$124:$T$126</definedName>
    <definedName name="OSRRefT22_23x_0" localSheetId="2">Summary!$T$293:$T$294</definedName>
    <definedName name="OSRRefT22_24x_0" localSheetId="48">'300'!$T$252</definedName>
    <definedName name="OSRRefT22_24x_0" localSheetId="49">'300 &amp; 317'!$T$277</definedName>
    <definedName name="OSRRefT22_24x_0" localSheetId="75">'310 &amp; 491'!$T$130:$T$132</definedName>
    <definedName name="OSRRefT22_24x_0" localSheetId="47">'Div 3'!$T$259</definedName>
    <definedName name="OSRRefT22_24x_0" localSheetId="74">'Div 4'!$T$128</definedName>
    <definedName name="OSRRefT22_24x_0" localSheetId="2">Summary!$T$296</definedName>
    <definedName name="OSRRefT22_25x_0" localSheetId="75">'310 &amp; 491'!$T$134</definedName>
    <definedName name="OSRRefT22_25x_0" localSheetId="47">'Div 3'!$T$261:$T$263</definedName>
    <definedName name="OSRRefT22_25x_0" localSheetId="2">Summary!$T$298:$T$300</definedName>
    <definedName name="OSRRefT22_26x_0" localSheetId="47">'Div 3'!$T$265</definedName>
    <definedName name="OSRRefT22_26x_0" localSheetId="2">Summary!$T$302</definedName>
    <definedName name="OSRRefT22_2x_0" localSheetId="40">'200'!$T$24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'204'!$T$42</definedName>
    <definedName name="OSRRefT22_2x_0" localSheetId="45">'205'!$T$41</definedName>
    <definedName name="OSRRefT22_2x_0" localSheetId="46">'206'!$T$41</definedName>
    <definedName name="OSRRefT22_2x_0" localSheetId="48">'300'!$T$183</definedName>
    <definedName name="OSRRefT22_2x_0" localSheetId="49">'300 &amp; 317'!$T$208</definedName>
    <definedName name="OSRRefT22_2x_0" localSheetId="50">'301'!$T$41</definedName>
    <definedName name="OSRRefT22_2x_0" localSheetId="51">'306'!$T$41</definedName>
    <definedName name="OSRRefT22_2x_0" localSheetId="53">'307'!$T$92</definedName>
    <definedName name="OSRRefT22_2x_0" localSheetId="55">'308'!$T$85</definedName>
    <definedName name="OSRRefT22_2x_0" localSheetId="68">'309'!$T$47</definedName>
    <definedName name="OSRRefT22_2x_0" localSheetId="67">'310'!$T$54</definedName>
    <definedName name="OSRRefT22_2x_0" localSheetId="75">'310 &amp; 491'!$T$62</definedName>
    <definedName name="OSRRefT22_2x_0" localSheetId="56">'311'!$T$85</definedName>
    <definedName name="OSRRefT22_2x_0" localSheetId="69">'313'!$T$50</definedName>
    <definedName name="OSRRefT22_2x_0" localSheetId="54">'314'!$T$78</definedName>
    <definedName name="OSRRefT22_2x_0" localSheetId="59">'315'!$T$78</definedName>
    <definedName name="OSRRefT22_2x_0" localSheetId="62">'316'!$T$54</definedName>
    <definedName name="OSRRefT22_2x_0" localSheetId="65">'317'!$T$82</definedName>
    <definedName name="OSRRefT22_2x_0" localSheetId="63">'320'!$T$48</definedName>
    <definedName name="OSRRefT22_2x_0" localSheetId="70">'321'!$T$46</definedName>
    <definedName name="OSRRefT22_2x_0" localSheetId="71">'322'!$T$47</definedName>
    <definedName name="OSRRefT22_2x_0" localSheetId="72">'325'!$T$47</definedName>
    <definedName name="OSRRefT22_2x_0" localSheetId="60">'326'!$T$76</definedName>
    <definedName name="OSRRefT22_2x_0" localSheetId="73">'327'!$T$28</definedName>
    <definedName name="OSRRefT22_2x_0" localSheetId="52">'330'!$T$101</definedName>
    <definedName name="OSRRefT22_2x_0" localSheetId="58">'331'!$T$91</definedName>
    <definedName name="OSRRefT22_2x_0" localSheetId="61">'332'!$T$62</definedName>
    <definedName name="OSRRefT22_2x_0" localSheetId="77">'405'!$T$47</definedName>
    <definedName name="OSRRefT22_2x_0" localSheetId="78">'406'!$T$48</definedName>
    <definedName name="OSRRefT22_2x_0" localSheetId="79">'411'!$T$42</definedName>
    <definedName name="OSRRefT22_2x_0" localSheetId="80">'412'!$T$47</definedName>
    <definedName name="OSRRefT22_2x_0" localSheetId="82">'413'!$T$48</definedName>
    <definedName name="OSRRefT22_2x_0" localSheetId="83">'414'!$T$48</definedName>
    <definedName name="OSRRefT22_2x_0" localSheetId="84">'415'!$T$47</definedName>
    <definedName name="OSRRefT22_2x_0" localSheetId="85">'418'!$T$48</definedName>
    <definedName name="OSRRefT22_2x_0" localSheetId="81">'420'!$T$35</definedName>
    <definedName name="OSRRefT22_2x_0" localSheetId="86">'423'!$T$42</definedName>
    <definedName name="OSRRefT22_2x_0" localSheetId="87">'424'!$T$46</definedName>
    <definedName name="OSRRefT22_2x_0" localSheetId="88">'425'!$T$48</definedName>
    <definedName name="OSRRefT22_2x_0" localSheetId="91">'430'!$T$41</definedName>
    <definedName name="OSRRefT22_2x_0" localSheetId="92">'433'!$T$49</definedName>
    <definedName name="OSRRefT22_2x_0" localSheetId="93">'435'!$T$47</definedName>
    <definedName name="OSRRefT22_2x_0" localSheetId="94">'444'!$T$49</definedName>
    <definedName name="OSRRefT22_2x_0" localSheetId="96">'450'!$T$49</definedName>
    <definedName name="OSRRefT22_2x_0" localSheetId="76">'491'!$T$56</definedName>
    <definedName name="OSRRefT22_2x_0" localSheetId="90">'492'!$T$51</definedName>
    <definedName name="OSRRefT22_2x_0" localSheetId="98">'501'!$T$42</definedName>
    <definedName name="OSRRefT22_2x_0" localSheetId="39">'Div 2'!$T$43</definedName>
    <definedName name="OSRRefT22_2x_0" localSheetId="47">'Div 3'!$T$189</definedName>
    <definedName name="OSRRefT22_2x_0" localSheetId="74">'Div 4'!$T$57</definedName>
    <definedName name="OSRRefT22_2x_0" localSheetId="97">'Div 5'!$T$42</definedName>
    <definedName name="OSRRefT22_2x_0" localSheetId="64">'Div 6'!$T$82</definedName>
    <definedName name="OSRRefT22_2x_0" localSheetId="2">Summary!$T$221</definedName>
    <definedName name="OSRRefT22_3x_0" localSheetId="40">'200'!$T$26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'204'!$T$44</definedName>
    <definedName name="OSRRefT22_3x_0" localSheetId="45">'205'!$T$43</definedName>
    <definedName name="OSRRefT22_3x_0" localSheetId="46">'206'!$T$43</definedName>
    <definedName name="OSRRefT22_3x_0" localSheetId="48">'300'!$T$185:$T$186</definedName>
    <definedName name="OSRRefT22_3x_0" localSheetId="49">'300 &amp; 317'!$T$210:$T$211</definedName>
    <definedName name="OSRRefT22_3x_0" localSheetId="50">'301'!$T$43:$T$44</definedName>
    <definedName name="OSRRefT22_3x_0" localSheetId="51">'306'!$T$43</definedName>
    <definedName name="OSRRefT22_3x_0" localSheetId="53">'307'!$T$94</definedName>
    <definedName name="OSRRefT22_3x_0" localSheetId="55">'308'!$T$87:$T$88</definedName>
    <definedName name="OSRRefT22_3x_0" localSheetId="68">'309'!$T$49</definedName>
    <definedName name="OSRRefT22_3x_0" localSheetId="67">'310'!$T$56</definedName>
    <definedName name="OSRRefT22_3x_0" localSheetId="75">'310 &amp; 491'!$T$64</definedName>
    <definedName name="OSRRefT22_3x_0" localSheetId="56">'311'!$T$87:$T$88</definedName>
    <definedName name="OSRRefT22_3x_0" localSheetId="69">'313'!$T$52</definedName>
    <definedName name="OSRRefT22_3x_0" localSheetId="54">'314'!$T$80:$T$81</definedName>
    <definedName name="OSRRefT22_3x_0" localSheetId="59">'315'!$T$80:$T$81</definedName>
    <definedName name="OSRRefT22_3x_0" localSheetId="62">'316'!$T$56</definedName>
    <definedName name="OSRRefT22_3x_0" localSheetId="65">'317'!$T$84</definedName>
    <definedName name="OSRRefT22_3x_0" localSheetId="63">'320'!$T$50</definedName>
    <definedName name="OSRRefT22_3x_0" localSheetId="70">'321'!$T$48</definedName>
    <definedName name="OSRRefT22_3x_0" localSheetId="71">'322'!$T$49</definedName>
    <definedName name="OSRRefT22_3x_0" localSheetId="72">'325'!$T$49</definedName>
    <definedName name="OSRRefT22_3x_0" localSheetId="60">'326'!$T$78:$T$79</definedName>
    <definedName name="OSRRefT22_3x_0" localSheetId="52">'330'!$T$103</definedName>
    <definedName name="OSRRefT22_3x_0" localSheetId="58">'331'!$T$93:$T$94</definedName>
    <definedName name="OSRRefT22_3x_0" localSheetId="61">'332'!$T$64</definedName>
    <definedName name="OSRRefT22_3x_0" localSheetId="77">'405'!$T$49</definedName>
    <definedName name="OSRRefT22_3x_0" localSheetId="78">'406'!$T$50</definedName>
    <definedName name="OSRRefT22_3x_0" localSheetId="79">'411'!$T$44:$T$47</definedName>
    <definedName name="OSRRefT22_3x_0" localSheetId="80">'412'!$T$49</definedName>
    <definedName name="OSRRefT22_3x_0" localSheetId="82">'413'!$T$50</definedName>
    <definedName name="OSRRefT22_3x_0" localSheetId="83">'414'!$T$50</definedName>
    <definedName name="OSRRefT22_3x_0" localSheetId="84">'415'!$T$49</definedName>
    <definedName name="OSRRefT22_3x_0" localSheetId="85">'418'!$T$50</definedName>
    <definedName name="OSRRefT22_3x_0" localSheetId="81">'420'!$T$37</definedName>
    <definedName name="OSRRefT22_3x_0" localSheetId="86">'423'!$T$44</definedName>
    <definedName name="OSRRefT22_3x_0" localSheetId="87">'424'!$T$48</definedName>
    <definedName name="OSRRefT22_3x_0" localSheetId="88">'425'!$T$50</definedName>
    <definedName name="OSRRefT22_3x_0" localSheetId="91">'430'!$T$43</definedName>
    <definedName name="OSRRefT22_3x_0" localSheetId="92">'433'!$T$51</definedName>
    <definedName name="OSRRefT22_3x_0" localSheetId="93">'435'!$T$49</definedName>
    <definedName name="OSRRefT22_3x_0" localSheetId="94">'444'!$T$51</definedName>
    <definedName name="OSRRefT22_3x_0" localSheetId="96">'450'!$T$51:$T$52</definedName>
    <definedName name="OSRRefT22_3x_0" localSheetId="76">'491'!$T$58</definedName>
    <definedName name="OSRRefT22_3x_0" localSheetId="90">'492'!$T$53:$T$54</definedName>
    <definedName name="OSRRefT22_3x_0" localSheetId="98">'501'!$T$44</definedName>
    <definedName name="OSRRefT22_3x_0" localSheetId="39">'Div 2'!$T$45</definedName>
    <definedName name="OSRRefT22_3x_0" localSheetId="47">'Div 3'!$T$191:$T$192</definedName>
    <definedName name="OSRRefT22_3x_0" localSheetId="74">'Div 4'!$T$59:$T$60</definedName>
    <definedName name="OSRRefT22_3x_0" localSheetId="97">'Div 5'!$T$44</definedName>
    <definedName name="OSRRefT22_3x_0" localSheetId="64">'Div 6'!$T$84</definedName>
    <definedName name="OSRRefT22_3x_0" localSheetId="2">Summary!$T$223:$T$224</definedName>
    <definedName name="OSRRefT22_4x_0" localSheetId="40">'200'!$T$28:$T$29</definedName>
    <definedName name="OSRRefT22_4x_0" localSheetId="41">'201'!$T$45:$T$46</definedName>
    <definedName name="OSRRefT22_4x_0" localSheetId="42">'202'!$T$45</definedName>
    <definedName name="OSRRefT22_4x_0" localSheetId="43">'203'!$T$46</definedName>
    <definedName name="OSRRefT22_4x_0" localSheetId="44">'204'!$T$46</definedName>
    <definedName name="OSRRefT22_4x_0" localSheetId="45">'205'!$T$45</definedName>
    <definedName name="OSRRefT22_4x_0" localSheetId="46">'206'!$T$45</definedName>
    <definedName name="OSRRefT22_4x_0" localSheetId="48">'300'!$T$188</definedName>
    <definedName name="OSRRefT22_4x_0" localSheetId="49">'300 &amp; 317'!$T$213</definedName>
    <definedName name="OSRRefT22_4x_0" localSheetId="50">'301'!$T$46</definedName>
    <definedName name="OSRRefT22_4x_0" localSheetId="51">'306'!$T$45</definedName>
    <definedName name="OSRRefT22_4x_0" localSheetId="53">'307'!$T$96:$T$97</definedName>
    <definedName name="OSRRefT22_4x_0" localSheetId="55">'308'!$T$90</definedName>
    <definedName name="OSRRefT22_4x_0" localSheetId="68">'309'!$T$51</definedName>
    <definedName name="OSRRefT22_4x_0" localSheetId="67">'310'!$T$58</definedName>
    <definedName name="OSRRefT22_4x_0" localSheetId="75">'310 &amp; 491'!$T$66</definedName>
    <definedName name="OSRRefT22_4x_0" localSheetId="56">'311'!$T$90</definedName>
    <definedName name="OSRRefT22_4x_0" localSheetId="69">'313'!$T$54</definedName>
    <definedName name="OSRRefT22_4x_0" localSheetId="54">'314'!$T$83</definedName>
    <definedName name="OSRRefT22_4x_0" localSheetId="59">'315'!$T$83</definedName>
    <definedName name="OSRRefT22_4x_0" localSheetId="62">'316'!$T$58</definedName>
    <definedName name="OSRRefT22_4x_0" localSheetId="65">'317'!$T$86</definedName>
    <definedName name="OSRRefT22_4x_0" localSheetId="63">'320'!$T$52:$T$53</definedName>
    <definedName name="OSRRefT22_4x_0" localSheetId="70">'321'!$T$50</definedName>
    <definedName name="OSRRefT22_4x_0" localSheetId="71">'322'!$T$51</definedName>
    <definedName name="OSRRefT22_4x_0" localSheetId="72">'325'!$T$51</definedName>
    <definedName name="OSRRefT22_4x_0" localSheetId="60">'326'!$T$81</definedName>
    <definedName name="OSRRefT22_4x_0" localSheetId="52">'330'!$T$105:$T$106</definedName>
    <definedName name="OSRRefT22_4x_0" localSheetId="58">'331'!$T$96</definedName>
    <definedName name="OSRRefT22_4x_0" localSheetId="61">'332'!$T$66</definedName>
    <definedName name="OSRRefT22_4x_0" localSheetId="77">'405'!$T$51</definedName>
    <definedName name="OSRRefT22_4x_0" localSheetId="78">'406'!$T$52</definedName>
    <definedName name="OSRRefT22_4x_0" localSheetId="79">'411'!$T$49</definedName>
    <definedName name="OSRRefT22_4x_0" localSheetId="80">'412'!$T$51</definedName>
    <definedName name="OSRRefT22_4x_0" localSheetId="82">'413'!$T$52</definedName>
    <definedName name="OSRRefT22_4x_0" localSheetId="83">'414'!$T$52</definedName>
    <definedName name="OSRRefT22_4x_0" localSheetId="84">'415'!$T$51</definedName>
    <definedName name="OSRRefT22_4x_0" localSheetId="85">'418'!$T$52</definedName>
    <definedName name="OSRRefT22_4x_0" localSheetId="81">'420'!$T$39</definedName>
    <definedName name="OSRRefT22_4x_0" localSheetId="86">'423'!$T$46</definedName>
    <definedName name="OSRRefT22_4x_0" localSheetId="87">'424'!$T$50</definedName>
    <definedName name="OSRRefT22_4x_0" localSheetId="88">'425'!$T$52</definedName>
    <definedName name="OSRRefT22_4x_0" localSheetId="91">'430'!$T$45</definedName>
    <definedName name="OSRRefT22_4x_0" localSheetId="92">'433'!$T$53</definedName>
    <definedName name="OSRRefT22_4x_0" localSheetId="93">'435'!$T$51</definedName>
    <definedName name="OSRRefT22_4x_0" localSheetId="94">'444'!$T$53</definedName>
    <definedName name="OSRRefT22_4x_0" localSheetId="96">'450'!$T$54</definedName>
    <definedName name="OSRRefT22_4x_0" localSheetId="76">'491'!$T$60</definedName>
    <definedName name="OSRRefT22_4x_0" localSheetId="90">'492'!$T$56</definedName>
    <definedName name="OSRRefT22_4x_0" localSheetId="98">'501'!$T$46</definedName>
    <definedName name="OSRRefT22_4x_0" localSheetId="39">'Div 2'!$T$47</definedName>
    <definedName name="OSRRefT22_4x_0" localSheetId="47">'Div 3'!$T$194</definedName>
    <definedName name="OSRRefT22_4x_0" localSheetId="74">'Div 4'!$T$62</definedName>
    <definedName name="OSRRefT22_4x_0" localSheetId="97">'Div 5'!$T$46</definedName>
    <definedName name="OSRRefT22_4x_0" localSheetId="64">'Div 6'!$T$86</definedName>
    <definedName name="OSRRefT22_4x_0" localSheetId="2">Summary!$T$226</definedName>
    <definedName name="OSRRefT22_5x_0" localSheetId="41">'201'!$T$48</definedName>
    <definedName name="OSRRefT22_5x_0" localSheetId="42">'202'!$T$47</definedName>
    <definedName name="OSRRefT22_5x_0" localSheetId="43">'203'!$T$48</definedName>
    <definedName name="OSRRefT22_5x_0" localSheetId="44">'204'!$T$48</definedName>
    <definedName name="OSRRefT22_5x_0" localSheetId="45">'205'!$T$47:$T$48</definedName>
    <definedName name="OSRRefT22_5x_0" localSheetId="46">'206'!$T$47</definedName>
    <definedName name="OSRRefT22_5x_0" localSheetId="48">'300'!$T$190:$T$193</definedName>
    <definedName name="OSRRefT22_5x_0" localSheetId="49">'300 &amp; 317'!$T$215:$T$218</definedName>
    <definedName name="OSRRefT22_5x_0" localSheetId="50">'301'!$T$48:$T$51</definedName>
    <definedName name="OSRRefT22_5x_0" localSheetId="51">'306'!$T$47</definedName>
    <definedName name="OSRRefT22_5x_0" localSheetId="53">'307'!$T$99</definedName>
    <definedName name="OSRRefT22_5x_0" localSheetId="55">'308'!$T$92</definedName>
    <definedName name="OSRRefT22_5x_0" localSheetId="68">'309'!$T$53:$T$54</definedName>
    <definedName name="OSRRefT22_5x_0" localSheetId="67">'310'!$T$60:$T$62</definedName>
    <definedName name="OSRRefT22_5x_0" localSheetId="75">'310 &amp; 491'!$T$68:$T$71</definedName>
    <definedName name="OSRRefT22_5x_0" localSheetId="56">'311'!$T$92</definedName>
    <definedName name="OSRRefT22_5x_0" localSheetId="69">'313'!$T$56</definedName>
    <definedName name="OSRRefT22_5x_0" localSheetId="54">'314'!$T$85</definedName>
    <definedName name="OSRRefT22_5x_0" localSheetId="59">'315'!$T$85:$T$86</definedName>
    <definedName name="OSRRefT22_5x_0" localSheetId="62">'316'!$T$60</definedName>
    <definedName name="OSRRefT22_5x_0" localSheetId="65">'317'!$T$88</definedName>
    <definedName name="OSRRefT22_5x_0" localSheetId="63">'320'!$T$55</definedName>
    <definedName name="OSRRefT22_5x_0" localSheetId="70">'321'!$T$52</definedName>
    <definedName name="OSRRefT22_5x_0" localSheetId="71">'322'!$T$53:$T$54</definedName>
    <definedName name="OSRRefT22_5x_0" localSheetId="72">'325'!$T$53:$T$55</definedName>
    <definedName name="OSRRefT22_5x_0" localSheetId="60">'326'!$T$83</definedName>
    <definedName name="OSRRefT22_5x_0" localSheetId="52">'330'!$T$108</definedName>
    <definedName name="OSRRefT22_5x_0" localSheetId="58">'331'!$T$98:$T$99</definedName>
    <definedName name="OSRRefT22_5x_0" localSheetId="61">'332'!$T$68</definedName>
    <definedName name="OSRRefT22_5x_0" localSheetId="77">'405'!$T$53:$T$55</definedName>
    <definedName name="OSRRefT22_5x_0" localSheetId="78">'406'!$T$54:$T$55</definedName>
    <definedName name="OSRRefT22_5x_0" localSheetId="79">'411'!$T$51</definedName>
    <definedName name="OSRRefT22_5x_0" localSheetId="80">'412'!$T$53:$T$55</definedName>
    <definedName name="OSRRefT22_5x_0" localSheetId="82">'413'!$T$54</definedName>
    <definedName name="OSRRefT22_5x_0" localSheetId="83">'414'!$T$54:$T$55</definedName>
    <definedName name="OSRRefT22_5x_0" localSheetId="84">'415'!$T$53:$T$55</definedName>
    <definedName name="OSRRefT22_5x_0" localSheetId="85">'418'!$T$54:$T$56</definedName>
    <definedName name="OSRRefT22_5x_0" localSheetId="86">'423'!$T$48</definedName>
    <definedName name="OSRRefT22_5x_0" localSheetId="87">'424'!$T$52</definedName>
    <definedName name="OSRRefT22_5x_0" localSheetId="88">'425'!$T$54:$T$55</definedName>
    <definedName name="OSRRefT22_5x_0" localSheetId="91">'430'!$T$47</definedName>
    <definedName name="OSRRefT22_5x_0" localSheetId="92">'433'!$T$55</definedName>
    <definedName name="OSRRefT22_5x_0" localSheetId="93">'435'!$T$53</definedName>
    <definedName name="OSRRefT22_5x_0" localSheetId="94">'444'!$T$55</definedName>
    <definedName name="OSRRefT22_5x_0" localSheetId="96">'450'!$T$56</definedName>
    <definedName name="OSRRefT22_5x_0" localSheetId="76">'491'!$T$62:$T$65</definedName>
    <definedName name="OSRRefT22_5x_0" localSheetId="90">'492'!$T$58:$T$59</definedName>
    <definedName name="OSRRefT22_5x_0" localSheetId="98">'501'!$T$48</definedName>
    <definedName name="OSRRefT22_5x_0" localSheetId="39">'Div 2'!$T$49</definedName>
    <definedName name="OSRRefT22_5x_0" localSheetId="47">'Div 3'!$T$196:$T$199</definedName>
    <definedName name="OSRRefT22_5x_0" localSheetId="74">'Div 4'!$T$64:$T$67</definedName>
    <definedName name="OSRRefT22_5x_0" localSheetId="97">'Div 5'!$T$48</definedName>
    <definedName name="OSRRefT22_5x_0" localSheetId="64">'Div 6'!$T$88</definedName>
    <definedName name="OSRRefT22_5x_0" localSheetId="2">Summary!$T$228:$T$231</definedName>
    <definedName name="OSRRefT22_6x_0" localSheetId="41">'201'!$T$50</definedName>
    <definedName name="OSRRefT22_6x_0" localSheetId="42">'202'!$T$49</definedName>
    <definedName name="OSRRefT22_6x_0" localSheetId="43">'203'!$T$50</definedName>
    <definedName name="OSRRefT22_6x_0" localSheetId="44">'204'!$T$50</definedName>
    <definedName name="OSRRefT22_6x_0" localSheetId="45">'205'!$T$50</definedName>
    <definedName name="OSRRefT22_6x_0" localSheetId="46">'206'!$T$49</definedName>
    <definedName name="OSRRefT22_6x_0" localSheetId="48">'300'!$T$195:$T$196</definedName>
    <definedName name="OSRRefT22_6x_0" localSheetId="49">'300 &amp; 317'!$T$220:$T$221</definedName>
    <definedName name="OSRRefT22_6x_0" localSheetId="50">'301'!$T$53:$T$54</definedName>
    <definedName name="OSRRefT22_6x_0" localSheetId="51">'306'!$T$49</definedName>
    <definedName name="OSRRefT22_6x_0" localSheetId="53">'307'!$T$101</definedName>
    <definedName name="OSRRefT22_6x_0" localSheetId="55">'308'!$T$94:$T$95</definedName>
    <definedName name="OSRRefT22_6x_0" localSheetId="68">'309'!$T$56</definedName>
    <definedName name="OSRRefT22_6x_0" localSheetId="67">'310'!$T$64</definedName>
    <definedName name="OSRRefT22_6x_0" localSheetId="75">'310 &amp; 491'!$T$73</definedName>
    <definedName name="OSRRefT22_6x_0" localSheetId="56">'311'!$T$94:$T$95</definedName>
    <definedName name="OSRRefT22_6x_0" localSheetId="69">'313'!$T$58</definedName>
    <definedName name="OSRRefT22_6x_0" localSheetId="54">'314'!$T$87</definedName>
    <definedName name="OSRRefT22_6x_0" localSheetId="59">'315'!$T$88</definedName>
    <definedName name="OSRRefT22_6x_0" localSheetId="62">'316'!$T$62</definedName>
    <definedName name="OSRRefT22_6x_0" localSheetId="65">'317'!$T$90</definedName>
    <definedName name="OSRRefT22_6x_0" localSheetId="63">'320'!$T$57</definedName>
    <definedName name="OSRRefT22_6x_0" localSheetId="70">'321'!$T$54</definedName>
    <definedName name="OSRRefT22_6x_0" localSheetId="71">'322'!$T$56</definedName>
    <definedName name="OSRRefT22_6x_0" localSheetId="72">'325'!$T$57</definedName>
    <definedName name="OSRRefT22_6x_0" localSheetId="60">'326'!$T$85</definedName>
    <definedName name="OSRRefT22_6x_0" localSheetId="52">'330'!$T$110</definedName>
    <definedName name="OSRRefT22_6x_0" localSheetId="58">'331'!$T$101</definedName>
    <definedName name="OSRRefT22_6x_0" localSheetId="61">'332'!$T$70</definedName>
    <definedName name="OSRRefT22_6x_0" localSheetId="77">'405'!$T$57</definedName>
    <definedName name="OSRRefT22_6x_0" localSheetId="78">'406'!$T$57</definedName>
    <definedName name="OSRRefT22_6x_0" localSheetId="79">'411'!$T$53</definedName>
    <definedName name="OSRRefT22_6x_0" localSheetId="80">'412'!$T$57</definedName>
    <definedName name="OSRRefT22_6x_0" localSheetId="82">'413'!$T$56</definedName>
    <definedName name="OSRRefT22_6x_0" localSheetId="83">'414'!$T$57</definedName>
    <definedName name="OSRRefT22_6x_0" localSheetId="84">'415'!$T$57</definedName>
    <definedName name="OSRRefT22_6x_0" localSheetId="85">'418'!$T$58</definedName>
    <definedName name="OSRRefT22_6x_0" localSheetId="87">'424'!$T$54</definedName>
    <definedName name="OSRRefT22_6x_0" localSheetId="88">'425'!$T$57</definedName>
    <definedName name="OSRRefT22_6x_0" localSheetId="91">'430'!$T$49</definedName>
    <definedName name="OSRRefT22_6x_0" localSheetId="92">'433'!$T$57</definedName>
    <definedName name="OSRRefT22_6x_0" localSheetId="93">'435'!$T$55:$T$57</definedName>
    <definedName name="OSRRefT22_6x_0" localSheetId="94">'444'!$T$57</definedName>
    <definedName name="OSRRefT22_6x_0" localSheetId="96">'450'!$T$58</definedName>
    <definedName name="OSRRefT22_6x_0" localSheetId="76">'491'!$T$67</definedName>
    <definedName name="OSRRefT22_6x_0" localSheetId="90">'492'!$T$61</definedName>
    <definedName name="OSRRefT22_6x_0" localSheetId="98">'501'!$T$50</definedName>
    <definedName name="OSRRefT22_6x_0" localSheetId="39">'Div 2'!$T$51:$T$52</definedName>
    <definedName name="OSRRefT22_6x_0" localSheetId="47">'Div 3'!$T$201:$T$202</definedName>
    <definedName name="OSRRefT22_6x_0" localSheetId="74">'Div 4'!$T$69:$T$70</definedName>
    <definedName name="OSRRefT22_6x_0" localSheetId="97">'Div 5'!$T$50</definedName>
    <definedName name="OSRRefT22_6x_0" localSheetId="64">'Div 6'!$T$90</definedName>
    <definedName name="OSRRefT22_6x_0" localSheetId="2">Summary!$T$233:$T$234</definedName>
    <definedName name="OSRRefT22_7x_0" localSheetId="41">'201'!$T$52</definedName>
    <definedName name="OSRRefT22_7x_0" localSheetId="42">'202'!$T$51</definedName>
    <definedName name="OSRRefT22_7x_0" localSheetId="43">'203'!$T$52</definedName>
    <definedName name="OSRRefT22_7x_0" localSheetId="44">'204'!$T$52:$T$55</definedName>
    <definedName name="OSRRefT22_7x_0" localSheetId="45">'205'!$T$52:$T$53</definedName>
    <definedName name="OSRRefT22_7x_0" localSheetId="46">'206'!$T$51:$T$52</definedName>
    <definedName name="OSRRefT22_7x_0" localSheetId="48">'300'!$T$198:$T$199</definedName>
    <definedName name="OSRRefT22_7x_0" localSheetId="49">'300 &amp; 317'!$T$223:$T$224</definedName>
    <definedName name="OSRRefT22_7x_0" localSheetId="50">'301'!$T$56:$T$57</definedName>
    <definedName name="OSRRefT22_7x_0" localSheetId="51">'306'!$T$51:$T$52</definedName>
    <definedName name="OSRRefT22_7x_0" localSheetId="53">'307'!$T$103</definedName>
    <definedName name="OSRRefT22_7x_0" localSheetId="55">'308'!$T$97</definedName>
    <definedName name="OSRRefT22_7x_0" localSheetId="68">'309'!$T$58</definedName>
    <definedName name="OSRRefT22_7x_0" localSheetId="67">'310'!$T$66</definedName>
    <definedName name="OSRRefT22_7x_0" localSheetId="75">'310 &amp; 491'!$T$75</definedName>
    <definedName name="OSRRefT22_7x_0" localSheetId="56">'311'!$T$97</definedName>
    <definedName name="OSRRefT22_7x_0" localSheetId="69">'313'!$T$60</definedName>
    <definedName name="OSRRefT22_7x_0" localSheetId="54">'314'!$T$89</definedName>
    <definedName name="OSRRefT22_7x_0" localSheetId="59">'315'!$T$90</definedName>
    <definedName name="OSRRefT22_7x_0" localSheetId="62">'316'!$T$64</definedName>
    <definedName name="OSRRefT22_7x_0" localSheetId="65">'317'!$T$92</definedName>
    <definedName name="OSRRefT22_7x_0" localSheetId="63">'320'!$T$59:$T$60</definedName>
    <definedName name="OSRRefT22_7x_0" localSheetId="70">'321'!$T$56</definedName>
    <definedName name="OSRRefT22_7x_0" localSheetId="71">'322'!$T$58</definedName>
    <definedName name="OSRRefT22_7x_0" localSheetId="72">'325'!$T$59</definedName>
    <definedName name="OSRRefT22_7x_0" localSheetId="60">'326'!$T$87</definedName>
    <definedName name="OSRRefT22_7x_0" localSheetId="52">'330'!$T$112</definedName>
    <definedName name="OSRRefT22_7x_0" localSheetId="58">'331'!$T$103</definedName>
    <definedName name="OSRRefT22_7x_0" localSheetId="61">'332'!$T$72:$T$73</definedName>
    <definedName name="OSRRefT22_7x_0" localSheetId="77">'405'!$T$59</definedName>
    <definedName name="OSRRefT22_7x_0" localSheetId="78">'406'!$T$59</definedName>
    <definedName name="OSRRefT22_7x_0" localSheetId="79">'411'!$T$55</definedName>
    <definedName name="OSRRefT22_7x_0" localSheetId="80">'412'!$T$59</definedName>
    <definedName name="OSRRefT22_7x_0" localSheetId="82">'413'!$T$58:$T$60</definedName>
    <definedName name="OSRRefT22_7x_0" localSheetId="83">'414'!$T$59</definedName>
    <definedName name="OSRRefT22_7x_0" localSheetId="84">'415'!$T$59</definedName>
    <definedName name="OSRRefT22_7x_0" localSheetId="85">'418'!$T$60</definedName>
    <definedName name="OSRRefT22_7x_0" localSheetId="87">'424'!$T$56:$T$57</definedName>
    <definedName name="OSRRefT22_7x_0" localSheetId="88">'425'!$T$59</definedName>
    <definedName name="OSRRefT22_7x_0" localSheetId="91">'430'!$T$51:$T$53</definedName>
    <definedName name="OSRRefT22_7x_0" localSheetId="92">'433'!$T$59</definedName>
    <definedName name="OSRRefT22_7x_0" localSheetId="93">'435'!$T$59</definedName>
    <definedName name="OSRRefT22_7x_0" localSheetId="94">'444'!$T$59</definedName>
    <definedName name="OSRRefT22_7x_0" localSheetId="96">'450'!$T$60</definedName>
    <definedName name="OSRRefT22_7x_0" localSheetId="76">'491'!$T$69</definedName>
    <definedName name="OSRRefT22_7x_0" localSheetId="90">'492'!$T$63</definedName>
    <definedName name="OSRRefT22_7x_0" localSheetId="98">'501'!$T$52</definedName>
    <definedName name="OSRRefT22_7x_0" localSheetId="39">'Div 2'!$T$54</definedName>
    <definedName name="OSRRefT22_7x_0" localSheetId="47">'Div 3'!$T$204:$T$205</definedName>
    <definedName name="OSRRefT22_7x_0" localSheetId="74">'Div 4'!$T$72</definedName>
    <definedName name="OSRRefT22_7x_0" localSheetId="97">'Div 5'!$T$52</definedName>
    <definedName name="OSRRefT22_7x_0" localSheetId="64">'Div 6'!$T$92</definedName>
    <definedName name="OSRRefT22_7x_0" localSheetId="2">Summary!$T$236:$T$238</definedName>
    <definedName name="OSRRefT22_8x_0" localSheetId="41">'201'!$T$54</definedName>
    <definedName name="OSRRefT22_8x_0" localSheetId="42">'202'!$T$53</definedName>
    <definedName name="OSRRefT22_8x_0" localSheetId="43">'203'!$T$54</definedName>
    <definedName name="OSRRefT22_8x_0" localSheetId="44">'204'!$T$57</definedName>
    <definedName name="OSRRefT22_8x_0" localSheetId="45">'205'!$T$55</definedName>
    <definedName name="OSRRefT22_8x_0" localSheetId="46">'206'!$T$54</definedName>
    <definedName name="OSRRefT22_8x_0" localSheetId="48">'300'!$T$201</definedName>
    <definedName name="OSRRefT22_8x_0" localSheetId="49">'300 &amp; 317'!$T$226</definedName>
    <definedName name="OSRRefT22_8x_0" localSheetId="50">'301'!$T$59</definedName>
    <definedName name="OSRRefT22_8x_0" localSheetId="51">'306'!$T$54:$T$57</definedName>
    <definedName name="OSRRefT22_8x_0" localSheetId="53">'307'!$T$105:$T$106</definedName>
    <definedName name="OSRRefT22_8x_0" localSheetId="55">'308'!$T$99</definedName>
    <definedName name="OSRRefT22_8x_0" localSheetId="68">'309'!$T$60:$T$61</definedName>
    <definedName name="OSRRefT22_8x_0" localSheetId="67">'310'!$T$68</definedName>
    <definedName name="OSRRefT22_8x_0" localSheetId="75">'310 &amp; 491'!$T$77</definedName>
    <definedName name="OSRRefT22_8x_0" localSheetId="56">'311'!$T$99</definedName>
    <definedName name="OSRRefT22_8x_0" localSheetId="69">'313'!$T$62</definedName>
    <definedName name="OSRRefT22_8x_0" localSheetId="54">'314'!$T$91</definedName>
    <definedName name="OSRRefT22_8x_0" localSheetId="59">'315'!$T$92</definedName>
    <definedName name="OSRRefT22_8x_0" localSheetId="62">'316'!$T$66</definedName>
    <definedName name="OSRRefT22_8x_0" localSheetId="65">'317'!$T$94:$T$95</definedName>
    <definedName name="OSRRefT22_8x_0" localSheetId="63">'320'!$T$62</definedName>
    <definedName name="OSRRefT22_8x_0" localSheetId="70">'321'!$T$58</definedName>
    <definedName name="OSRRefT22_8x_0" localSheetId="71">'322'!$T$60</definedName>
    <definedName name="OSRRefT22_8x_0" localSheetId="72">'325'!$T$61</definedName>
    <definedName name="OSRRefT22_8x_0" localSheetId="60">'326'!$T$89</definedName>
    <definedName name="OSRRefT22_8x_0" localSheetId="52">'330'!$T$114</definedName>
    <definedName name="OSRRefT22_8x_0" localSheetId="58">'331'!$T$105:$T$106</definedName>
    <definedName name="OSRRefT22_8x_0" localSheetId="61">'332'!$T$75</definedName>
    <definedName name="OSRRefT22_8x_0" localSheetId="77">'405'!$T$61</definedName>
    <definedName name="OSRRefT22_8x_0" localSheetId="78">'406'!$T$61:$T$63</definedName>
    <definedName name="OSRRefT22_8x_0" localSheetId="79">'411'!$T$57</definedName>
    <definedName name="OSRRefT22_8x_0" localSheetId="80">'412'!$T$61:$T$62</definedName>
    <definedName name="OSRRefT22_8x_0" localSheetId="82">'413'!$T$62</definedName>
    <definedName name="OSRRefT22_8x_0" localSheetId="83">'414'!$T$61</definedName>
    <definedName name="OSRRefT22_8x_0" localSheetId="84">'415'!$T$61</definedName>
    <definedName name="OSRRefT22_8x_0" localSheetId="85">'418'!$T$62:$T$63</definedName>
    <definedName name="OSRRefT22_8x_0" localSheetId="87">'424'!$T$59:$T$60</definedName>
    <definedName name="OSRRefT22_8x_0" localSheetId="88">'425'!$T$61</definedName>
    <definedName name="OSRRefT22_8x_0" localSheetId="91">'430'!$T$55</definedName>
    <definedName name="OSRRefT22_8x_0" localSheetId="92">'433'!$T$61</definedName>
    <definedName name="OSRRefT22_8x_0" localSheetId="94">'444'!$T$61</definedName>
    <definedName name="OSRRefT22_8x_0" localSheetId="96">'450'!$T$62</definedName>
    <definedName name="OSRRefT22_8x_0" localSheetId="76">'491'!$T$71</definedName>
    <definedName name="OSRRefT22_8x_0" localSheetId="90">'492'!$T$65</definedName>
    <definedName name="OSRRefT22_8x_0" localSheetId="98">'501'!$T$54</definedName>
    <definedName name="OSRRefT22_8x_0" localSheetId="39">'Div 2'!$T$56</definedName>
    <definedName name="OSRRefT22_8x_0" localSheetId="47">'Div 3'!$T$207</definedName>
    <definedName name="OSRRefT22_8x_0" localSheetId="74">'Div 4'!$T$74</definedName>
    <definedName name="OSRRefT22_8x_0" localSheetId="97">'Div 5'!$T$54</definedName>
    <definedName name="OSRRefT22_8x_0" localSheetId="64">'Div 6'!$T$94:$T$95</definedName>
    <definedName name="OSRRefT22_8x_0" localSheetId="2">Summary!$T$240</definedName>
    <definedName name="OSRRefT22_9x_0" localSheetId="41">'201'!$T$56</definedName>
    <definedName name="OSRRefT22_9x_0" localSheetId="42">'202'!$T$55:$T$57</definedName>
    <definedName name="OSRRefT22_9x_0" localSheetId="43">'203'!$T$56:$T$57</definedName>
    <definedName name="OSRRefT22_9x_0" localSheetId="44">'204'!$T$59</definedName>
    <definedName name="OSRRefT22_9x_0" localSheetId="45">'205'!$T$57</definedName>
    <definedName name="OSRRefT22_9x_0" localSheetId="46">'206'!$T$56</definedName>
    <definedName name="OSRRefT22_9x_0" localSheetId="48">'300'!$T$203</definedName>
    <definedName name="OSRRefT22_9x_0" localSheetId="49">'300 &amp; 317'!$T$228</definedName>
    <definedName name="OSRRefT22_9x_0" localSheetId="50">'301'!$T$61</definedName>
    <definedName name="OSRRefT22_9x_0" localSheetId="51">'306'!$T$59</definedName>
    <definedName name="OSRRefT22_9x_0" localSheetId="53">'307'!$T$108:$T$109</definedName>
    <definedName name="OSRRefT22_9x_0" localSheetId="55">'308'!$T$101:$T$102</definedName>
    <definedName name="OSRRefT22_9x_0" localSheetId="68">'309'!$T$63:$T$65</definedName>
    <definedName name="OSRRefT22_9x_0" localSheetId="67">'310'!$T$70</definedName>
    <definedName name="OSRRefT22_9x_0" localSheetId="75">'310 &amp; 491'!$T$79</definedName>
    <definedName name="OSRRefT22_9x_0" localSheetId="56">'311'!$T$101:$T$102</definedName>
    <definedName name="OSRRefT22_9x_0" localSheetId="69">'313'!$T$64</definedName>
    <definedName name="OSRRefT22_9x_0" localSheetId="59">'315'!$T$94</definedName>
    <definedName name="OSRRefT22_9x_0" localSheetId="62">'316'!$T$68</definedName>
    <definedName name="OSRRefT22_9x_0" localSheetId="65">'317'!$T$97:$T$98</definedName>
    <definedName name="OSRRefT22_9x_0" localSheetId="70">'321'!$T$60:$T$62</definedName>
    <definedName name="OSRRefT22_9x_0" localSheetId="71">'322'!$T$62:$T$64</definedName>
    <definedName name="OSRRefT22_9x_0" localSheetId="72">'325'!$T$63</definedName>
    <definedName name="OSRRefT22_9x_0" localSheetId="60">'326'!$T$91</definedName>
    <definedName name="OSRRefT22_9x_0" localSheetId="52">'330'!$T$116:$T$117</definedName>
    <definedName name="OSRRefT22_9x_0" localSheetId="58">'331'!$T$108</definedName>
    <definedName name="OSRRefT22_9x_0" localSheetId="61">'332'!$T$77</definedName>
    <definedName name="OSRRefT22_9x_0" localSheetId="77">'405'!$T$63</definedName>
    <definedName name="OSRRefT22_9x_0" localSheetId="78">'406'!$T$65:$T$67</definedName>
    <definedName name="OSRRefT22_9x_0" localSheetId="79">'411'!$T$59</definedName>
    <definedName name="OSRRefT22_9x_0" localSheetId="80">'412'!$T$64</definedName>
    <definedName name="OSRRefT22_9x_0" localSheetId="82">'413'!$T$64:$T$69</definedName>
    <definedName name="OSRRefT22_9x_0" localSheetId="83">'414'!$T$63:$T$64</definedName>
    <definedName name="OSRRefT22_9x_0" localSheetId="84">'415'!$T$63</definedName>
    <definedName name="OSRRefT22_9x_0" localSheetId="85">'418'!$T$65:$T$67</definedName>
    <definedName name="OSRRefT22_9x_0" localSheetId="87">'424'!$T$62</definedName>
    <definedName name="OSRRefT22_9x_0" localSheetId="88">'425'!$T$63:$T$65</definedName>
    <definedName name="OSRRefT22_9x_0" localSheetId="91">'430'!$T$57</definedName>
    <definedName name="OSRRefT22_9x_0" localSheetId="92">'433'!$T$63</definedName>
    <definedName name="OSRRefT22_9x_0" localSheetId="94">'444'!$T$63</definedName>
    <definedName name="OSRRefT22_9x_0" localSheetId="96">'450'!$T$64</definedName>
    <definedName name="OSRRefT22_9x_0" localSheetId="76">'491'!$T$73:$T$74</definedName>
    <definedName name="OSRRefT22_9x_0" localSheetId="90">'492'!$T$67</definedName>
    <definedName name="OSRRefT22_9x_0" localSheetId="98">'501'!$T$56</definedName>
    <definedName name="OSRRefT22_9x_0" localSheetId="39">'Div 2'!$T$58</definedName>
    <definedName name="OSRRefT22_9x_0" localSheetId="47">'Div 3'!$T$209</definedName>
    <definedName name="OSRRefT22_9x_0" localSheetId="74">'Div 4'!$T$76</definedName>
    <definedName name="OSRRefT22_9x_0" localSheetId="97">'Div 5'!$T$56</definedName>
    <definedName name="OSRRefT22_9x_0" localSheetId="64">'Div 6'!$T$97:$T$98</definedName>
    <definedName name="OSRRefT22_9x_0" localSheetId="2">Summary!$T$242</definedName>
    <definedName name="OSRRefT22x_0" localSheetId="40">'200'!$T$20,'200'!$T$22,'200'!$T$24,'200'!$T$26,'200'!$T$28:$T$29</definedName>
    <definedName name="OSRRefT22x_0" localSheetId="41">'201'!$T$20:$T$28,'201'!$T$30:$T$39,'201'!$T$41,'201'!$T$43,'201'!$T$45:$T$46,'201'!$T$48,'201'!$T$50,'201'!$T$52,'201'!$T$54,'201'!$T$56,'201'!$T$58:$T$60,'201'!$T$62:$T$64,'201'!$T$66,'201'!$T$68:$T$70,'201'!$T$72,'201'!$T$74,'201'!$T$76:$T$77</definedName>
    <definedName name="OSRRefT22x_0" localSheetId="42">'202'!$T$20:$T$28,'202'!$T$30:$T$39,'202'!$T$41,'202'!$T$43,'202'!$T$45,'202'!$T$47,'202'!$T$49,'202'!$T$51,'202'!$T$53,'202'!$T$55:$T$57,'202'!$T$59,'202'!$T$61:$T$62,'202'!$T$64,'202'!$T$66,'202'!$T$68:$T$69,'202'!$T$71,'202'!$T$73</definedName>
    <definedName name="OSRRefT22x_0" localSheetId="43">'203'!$T$20:$T$29,'203'!$T$31:$T$40,'203'!$T$42,'203'!$T$44,'203'!$T$46,'203'!$T$48,'203'!$T$50,'203'!$T$52,'203'!$T$54,'203'!$T$56:$T$57,'203'!$T$59:$T$60,'203'!$T$62,'203'!$T$64:$T$66,'203'!$T$68,'203'!$T$70,'203'!$T$72</definedName>
    <definedName name="OSRRefT22x_0" localSheetId="44">'204'!$T$20:$T$29,'204'!$T$31:$T$40,'204'!$T$42,'204'!$T$44,'204'!$T$46,'204'!$T$48,'204'!$T$50,'204'!$T$52:$T$55,'204'!$T$57,'204'!$T$59,'204'!$T$61:$T$62,'204'!$T$64,'204'!$T$66:$T$67</definedName>
    <definedName name="OSRRefT22x_0" localSheetId="45">'205'!$T$20:$T$28,'205'!$T$30:$T$39,'205'!$T$41,'205'!$T$43,'205'!$T$45,'205'!$T$47:$T$48,'205'!$T$50,'205'!$T$52:$T$53,'205'!$T$55,'205'!$T$57</definedName>
    <definedName name="OSRRefT22x_0" localSheetId="46">'206'!$T$20:$T$28,'206'!$T$30:$T$39,'206'!$T$41,'206'!$T$43,'206'!$T$45,'206'!$T$47,'206'!$T$49,'206'!$T$51:$T$52,'206'!$T$54,'206'!$T$56,'206'!$T$58</definedName>
    <definedName name="OSRRefT22x_0" localSheetId="48">'300'!$T$161:$T$170,'300'!$T$172:$T$181,'300'!$T$183,'300'!$T$185:$T$186,'300'!$T$188,'300'!$T$190:$T$193,'300'!$T$195:$T$196,'300'!$T$198:$T$199,'300'!$T$201,'300'!$T$203,'300'!$T$205:$T$206,'300'!$T$208,'300'!$T$210,'300'!$T$212,'300'!$T$214,'300'!$T$216,'300'!$T$218:$T$220,'300'!$T$222:$T$225,'300'!$T$227:$T$230,'300'!$T$232:$T$233,'300'!$T$235:$T$241,'300'!$T$243:$T$244,'300'!$T$246,'300'!$T$248:$T$250,'300'!$T$252</definedName>
    <definedName name="OSRRefT22x_0" localSheetId="49">'300 &amp; 317'!$T$186:$T$195,'300 &amp; 317'!$T$197:$T$206,'300 &amp; 317'!$T$208,'300 &amp; 317'!$T$210:$T$211,'300 &amp; 317'!$T$213,'300 &amp; 317'!$T$215:$T$218,'300 &amp; 317'!$T$220:$T$221,'300 &amp; 317'!$T$223:$T$224,'300 &amp; 317'!$T$226,'300 &amp; 317'!$T$228,'300 &amp; 317'!$T$230:$T$231,'300 &amp; 317'!$T$233,'300 &amp; 317'!$T$235,'300 &amp; 317'!$T$237,'300 &amp; 317'!$T$239,'300 &amp; 317'!$T$241,'300 &amp; 317'!$T$243:$T$245,'300 &amp; 317'!$T$247:$T$250,'300 &amp; 317'!$T$252:$T$255,'300 &amp; 317'!$T$257:$T$258,'300 &amp; 317'!$T$260:$T$266,'300 &amp; 317'!$T$268:$T$269,'300 &amp; 317'!$T$271,'300 &amp; 317'!$T$273:$T$275,'300 &amp; 317'!$T$277</definedName>
    <definedName name="OSRRefT22x_0" localSheetId="50">'301'!$T$20:$T$28,'301'!$T$30:$T$39,'301'!$T$41,'301'!$T$43:$T$44,'301'!$T$46,'301'!$T$48:$T$51,'301'!$T$53:$T$54,'301'!$T$56:$T$57,'301'!$T$59,'301'!$T$61,'301'!$T$63,'301'!$T$65,'301'!$T$67,'301'!$T$69,'301'!$T$71,'301'!$T$73:$T$75,'301'!$T$77:$T$79,'301'!$T$81:$T$82,'301'!$T$84:$T$89,'301'!$T$91,'301'!$T$93,'301'!$T$95:$T$97,'301'!$T$99</definedName>
    <definedName name="OSRRefT22x_0" localSheetId="51">'306'!$T$20:$T$28,'306'!$T$30:$T$39,'306'!$T$41,'306'!$T$43,'306'!$T$45,'306'!$T$47,'306'!$T$49,'306'!$T$51:$T$52,'306'!$T$54:$T$57,'306'!$T$59,'306'!$T$61</definedName>
    <definedName name="OSRRefT22x_0" localSheetId="53">'307'!$T$71:$T$79,'307'!$T$81:$T$90,'307'!$T$92,'307'!$T$94,'307'!$T$96:$T$97,'307'!$T$99,'307'!$T$101,'307'!$T$103,'307'!$T$105:$T$106,'307'!$T$108:$T$109,'307'!$T$111:$T$112,'307'!$T$114,'307'!$T$116</definedName>
    <definedName name="OSRRefT22x_0" localSheetId="55">'308'!$T$63:$T$72,'308'!$T$74:$T$83,'308'!$T$85,'308'!$T$87:$T$88,'308'!$T$90,'308'!$T$92,'308'!$T$94:$T$95,'308'!$T$97,'308'!$T$99,'308'!$T$101:$T$102,'308'!$T$104,'308'!$T$106:$T$108,'308'!$T$110:$T$111,'308'!$T$113,'308'!$T$115:$T$116</definedName>
    <definedName name="OSRRefT22x_0" localSheetId="68">'309'!$T$26:$T$34,'309'!$T$36:$T$45,'309'!$T$47,'309'!$T$49,'309'!$T$51,'309'!$T$53:$T$54,'309'!$T$56,'309'!$T$58,'309'!$T$60:$T$61,'309'!$T$63:$T$65,'309'!$T$67:$T$69,'309'!$T$71,'309'!$T$73</definedName>
    <definedName name="OSRRefT22x_0" localSheetId="67">'310'!$T$33:$T$41,'310'!$T$43:$T$52,'310'!$T$54,'310'!$T$56,'310'!$T$58,'310'!$T$60:$T$62,'310'!$T$64,'310'!$T$66,'310'!$T$68,'310'!$T$70,'310'!$T$72,'310'!$T$74,'310'!$T$76,'310'!$T$78,'310'!$T$80,'310'!$T$82:$T$84,'310'!$T$86:$T$87,'310'!$T$89:$T$93,'310'!$T$95,'310'!$T$97:$T$104,'310'!$T$106,'310'!$T$108,'310'!$T$110,'310'!$T$112</definedName>
    <definedName name="OSRRefT22x_0" localSheetId="75">'310 &amp; 491'!$T$40:$T$49,'310 &amp; 491'!$T$51:$T$60,'310 &amp; 491'!$T$62,'310 &amp; 491'!$T$64,'310 &amp; 491'!$T$66,'310 &amp; 491'!$T$68:$T$71,'310 &amp; 491'!$T$73,'310 &amp; 491'!$T$75,'310 &amp; 491'!$T$77,'310 &amp; 491'!$T$79,'310 &amp; 491'!$T$81,'310 &amp; 491'!$T$83:$T$84,'310 &amp; 491'!$T$86,'310 &amp; 491'!$T$88,'310 &amp; 491'!$T$90,'310 &amp; 491'!$T$92,'310 &amp; 491'!$T$94,'310 &amp; 491'!$T$96:$T$99,'310 &amp; 491'!$T$101:$T$103,'310 &amp; 491'!$T$105:$T$110,'310 &amp; 491'!$T$112,'310 &amp; 491'!$T$114:$T$123,'310 &amp; 491'!$T$125:$T$126,'310 &amp; 491'!$T$128,'310 &amp; 491'!$T$130:$T$132,'310 &amp; 491'!$T$134</definedName>
    <definedName name="OSRRefT22x_0" localSheetId="56">'311'!$T$63:$T$72,'311'!$T$74:$T$83,'311'!$T$85,'311'!$T$87:$T$88,'311'!$T$90,'311'!$T$92,'311'!$T$94:$T$95,'311'!$T$97,'311'!$T$99,'311'!$T$101:$T$102,'311'!$T$104,'311'!$T$106:$T$108,'311'!$T$110:$T$111,'311'!$T$113,'311'!$T$115:$T$116</definedName>
    <definedName name="OSRRefT22x_0" localSheetId="69">'313'!$T$29:$T$37,'313'!$T$39:$T$48,'313'!$T$50,'313'!$T$52,'313'!$T$54,'313'!$T$56,'313'!$T$58,'313'!$T$60,'313'!$T$62,'313'!$T$64,'313'!$T$66:$T$68,'313'!$T$70,'313'!$T$72:$T$76,'313'!$T$78,'313'!$T$80</definedName>
    <definedName name="OSRRefT22x_0" localSheetId="54">'314'!$T$58:$T$65,'314'!$T$67:$T$76,'314'!$T$78,'314'!$T$80:$T$81,'314'!$T$83,'314'!$T$85,'314'!$T$87,'314'!$T$89,'314'!$T$91</definedName>
    <definedName name="OSRRefT22x_0" localSheetId="59">'315'!$T$57:$T$65,'315'!$T$67:$T$76,'315'!$T$78,'315'!$T$80:$T$81,'315'!$T$83,'315'!$T$85:$T$86,'315'!$T$88,'315'!$T$90,'315'!$T$92,'315'!$T$94,'315'!$T$96:$T$98,'315'!$T$100:$T$101,'315'!$T$103:$T$107,'315'!$T$109,'315'!$T$111,'315'!$T$113:$T$114</definedName>
    <definedName name="OSRRefT22x_0" localSheetId="62">'316'!$T$33:$T$41,'316'!$T$43:$T$52,'316'!$T$54,'316'!$T$56,'316'!$T$58,'316'!$T$60,'316'!$T$62,'316'!$T$64,'316'!$T$66,'316'!$T$68,'316'!$T$70:$T$71,'316'!$T$73:$T$76,'316'!$T$78:$T$79,'316'!$T$81</definedName>
    <definedName name="OSRRefT22x_0" localSheetId="65">'317'!$T$60:$T$69,'317'!$T$71:$T$80,'317'!$T$82,'317'!$T$84,'317'!$T$86,'317'!$T$88,'317'!$T$90,'317'!$T$92,'317'!$T$94:$T$95,'317'!$T$97:$T$98,'317'!$T$100,'317'!$T$102</definedName>
    <definedName name="OSRRefT22x_0" localSheetId="63">'320'!$T$28:$T$35,'320'!$T$37:$T$46,'320'!$T$48,'320'!$T$50,'320'!$T$52:$T$53,'320'!$T$55,'320'!$T$57,'320'!$T$59:$T$60,'320'!$T$62</definedName>
    <definedName name="OSRRefT22x_0" localSheetId="70">'321'!$T$26:$T$33,'321'!$T$35:$T$44,'321'!$T$46,'321'!$T$48,'321'!$T$50,'321'!$T$52,'321'!$T$54,'321'!$T$56,'321'!$T$58,'321'!$T$60:$T$62,'321'!$T$64:$T$65,'321'!$T$67:$T$69,'321'!$T$71:$T$73,'321'!$T$75,'321'!$T$77</definedName>
    <definedName name="OSRRefT22x_0" localSheetId="71">'322'!$T$26:$T$34,'322'!$T$36:$T$45,'322'!$T$47,'322'!$T$49,'322'!$T$51,'322'!$T$53:$T$54,'322'!$T$56,'322'!$T$58,'322'!$T$60,'322'!$T$62:$T$64,'322'!$T$66:$T$68,'322'!$T$70:$T$74,'322'!$T$76,'322'!$T$78</definedName>
    <definedName name="OSRRefT22x_0" localSheetId="72">'325'!$T$26:$T$34,'325'!$T$36:$T$45,'325'!$T$47,'325'!$T$49,'325'!$T$51,'325'!$T$53:$T$55,'325'!$T$57,'325'!$T$59,'325'!$T$61,'325'!$T$63,'325'!$T$65,'325'!$T$67:$T$69,'325'!$T$71:$T$74,'325'!$T$76,'325'!$T$78:$T$84,'325'!$T$86,'325'!$T$88,'325'!$T$90,'325'!$T$92</definedName>
    <definedName name="OSRRefT22x_0" localSheetId="60">'326'!$T$55:$T$63,'326'!$T$65:$T$74,'326'!$T$76,'326'!$T$78:$T$79,'326'!$T$81,'326'!$T$83,'326'!$T$85,'326'!$T$87,'326'!$T$89,'326'!$T$91,'326'!$T$93,'326'!$T$95,'326'!$T$97,'326'!$T$99:$T$100,'326'!$T$102:$T$104,'326'!$T$106:$T$107,'326'!$T$109:$T$113,'326'!$T$115:$T$116,'326'!$T$118,'326'!$T$120,'326'!$T$122</definedName>
    <definedName name="OSRRefT22x_0" localSheetId="73">'327'!$T$24,'327'!$T$26,'327'!$T$28</definedName>
    <definedName name="OSRRefT22x_0" localSheetId="52">'330'!$T$80:$T$88,'330'!$T$90:$T$99,'330'!$T$101,'330'!$T$103,'330'!$T$105:$T$106,'330'!$T$108,'330'!$T$110,'330'!$T$112,'330'!$T$114,'330'!$T$116:$T$117,'330'!$T$119:$T$120,'330'!$T$122,'330'!$T$124:$T$125,'330'!$T$127,'330'!$T$129</definedName>
    <definedName name="OSRRefT22x_0" localSheetId="58">'331'!$T$70:$T$78,'331'!$T$80:$T$89,'331'!$T$91,'331'!$T$93:$T$94,'331'!$T$96,'331'!$T$98:$T$99,'331'!$T$101,'331'!$T$103,'331'!$T$105:$T$106,'331'!$T$108,'331'!$T$110,'331'!$T$112,'331'!$T$114,'331'!$T$116,'331'!$T$118:$T$119,'331'!$T$121:$T$123,'331'!$T$125:$T$127,'331'!$T$129:$T$130,'331'!$T$132:$T$137,'331'!$T$139:$T$140,'331'!$T$142,'331'!$T$144:$T$145,'331'!$T$147</definedName>
    <definedName name="OSRRefT22x_0" localSheetId="61">'332'!$T$41:$T$49,'332'!$T$51:$T$60,'332'!$T$62,'332'!$T$64,'332'!$T$66,'332'!$T$68,'332'!$T$70,'332'!$T$72:$T$73,'332'!$T$75,'332'!$T$77,'332'!$T$79,'332'!$T$81:$T$82,'332'!$T$84:$T$88,'332'!$T$90:$T$91,'332'!$T$93</definedName>
    <definedName name="OSRRefT22x_0" localSheetId="77">'405'!$T$26:$T$34,'405'!$T$36:$T$45,'405'!$T$47,'405'!$T$49,'405'!$T$51,'405'!$T$53:$T$55,'405'!$T$57,'405'!$T$59,'405'!$T$61,'405'!$T$63,'405'!$T$65:$T$67,'405'!$T$69,'405'!$T$71:$T$73,'405'!$T$75,'405'!$T$77:$T$85,'405'!$T$87,'405'!$T$89,'405'!$T$91</definedName>
    <definedName name="OSRRefT22x_0" localSheetId="78">'406'!$T$27:$T$35,'406'!$T$37:$T$46,'406'!$T$48,'406'!$T$50,'406'!$T$52,'406'!$T$54:$T$55,'406'!$T$57,'406'!$T$59,'406'!$T$61:$T$63,'406'!$T$65:$T$67,'406'!$T$69:$T$74,'406'!$T$76:$T$77,'406'!$T$79,'406'!$T$81</definedName>
    <definedName name="OSRRefT22x_0" localSheetId="79">'411'!$T$20:$T$29,'411'!$T$31:$T$40,'411'!$T$42,'411'!$T$44:$T$47,'411'!$T$49,'411'!$T$51,'411'!$T$53,'411'!$T$55,'411'!$T$57,'411'!$T$59,'411'!$T$61:$T$63,'411'!$T$65:$T$69,'411'!$T$71:$T$77,'411'!$T$79,'411'!$T$81,'411'!$T$83:$T$85,'411'!$T$87</definedName>
    <definedName name="OSRRefT22x_0" localSheetId="80">'412'!$T$26:$T$34,'412'!$T$36:$T$45,'412'!$T$47,'412'!$T$49,'412'!$T$51,'412'!$T$53:$T$55,'412'!$T$57,'412'!$T$59,'412'!$T$61:$T$62,'412'!$T$64,'412'!$T$66:$T$68,'412'!$T$70:$T$75,'412'!$T$77,'412'!$T$79</definedName>
    <definedName name="OSRRefT22x_0" localSheetId="82">'413'!$T$27:$T$35,'413'!$T$37:$T$46,'413'!$T$48,'413'!$T$50,'413'!$T$52,'413'!$T$54,'413'!$T$56,'413'!$T$58:$T$60,'413'!$T$62,'413'!$T$64:$T$69,'413'!$T$71:$T$72,'413'!$T$74</definedName>
    <definedName name="OSRRefT22x_0" localSheetId="83">'414'!$T$27:$T$35,'414'!$T$37:$T$46,'414'!$T$48,'414'!$T$50,'414'!$T$52,'414'!$T$54:$T$55,'414'!$T$57,'414'!$T$59,'414'!$T$61,'414'!$T$63:$T$64,'414'!$T$66,'414'!$T$68,'414'!$T$70,'414'!$T$72:$T$78,'414'!$T$80,'414'!$T$82</definedName>
    <definedName name="OSRRefT22x_0" localSheetId="84">'415'!$T$26:$T$34,'415'!$T$36:$T$45,'415'!$T$47,'415'!$T$49,'415'!$T$51,'415'!$T$53:$T$55,'415'!$T$57,'415'!$T$59,'415'!$T$61,'415'!$T$63,'415'!$T$65,'415'!$T$67:$T$69,'415'!$T$71:$T$75,'415'!$T$77,'415'!$T$79:$T$86,'415'!$T$88,'415'!$T$90,'415'!$T$92:$T$93,'415'!$T$95</definedName>
    <definedName name="OSRRefT22x_0" localSheetId="85">'418'!$T$27:$T$35,'418'!$T$37:$T$46,'418'!$T$48,'418'!$T$50,'418'!$T$52,'418'!$T$54:$T$56,'418'!$T$58,'418'!$T$60,'418'!$T$62:$T$63,'418'!$T$65:$T$67,'418'!$T$69:$T$71,'418'!$T$73,'418'!$T$75:$T$81,'418'!$T$83,'418'!$T$85,'418'!$T$87</definedName>
    <definedName name="OSRRefT22x_0" localSheetId="81">'420'!$T$22:$T$28,'420'!$T$30:$T$33,'420'!$T$35,'420'!$T$37,'420'!$T$39</definedName>
    <definedName name="OSRRefT22x_0" localSheetId="86">'423'!$T$21:$T$29,'423'!$T$31:$T$40,'423'!$T$42,'423'!$T$44,'423'!$T$46,'423'!$T$48</definedName>
    <definedName name="OSRRefT22x_0" localSheetId="87">'424'!$T$26:$T$33,'424'!$T$35:$T$44,'424'!$T$46,'424'!$T$48,'424'!$T$50,'424'!$T$52,'424'!$T$54,'424'!$T$56:$T$57,'424'!$T$59:$T$60,'424'!$T$62,'424'!$T$64:$T$67,'424'!$T$69:$T$70</definedName>
    <definedName name="OSRRefT22x_0" localSheetId="88">'425'!$T$27:$T$35,'425'!$T$37:$T$46,'425'!$T$48,'425'!$T$50,'425'!$T$52,'425'!$T$54:$T$55,'425'!$T$57,'425'!$T$59,'425'!$T$61,'425'!$T$63:$T$65,'425'!$T$67:$T$68,'425'!$T$70:$T$71,'425'!$T$73:$T$79,'425'!$T$81:$T$82,'425'!$T$84,'425'!$T$86</definedName>
    <definedName name="OSRRefT22x_0" localSheetId="91">'430'!$T$20:$T$28,'430'!$T$30:$T$39,'430'!$T$41,'430'!$T$43,'430'!$T$45,'430'!$T$47,'430'!$T$49,'430'!$T$51:$T$53,'430'!$T$55,'430'!$T$57,'430'!$T$59</definedName>
    <definedName name="OSRRefT22x_0" localSheetId="92">'433'!$T$27:$T$36,'433'!$T$38:$T$47,'433'!$T$49,'433'!$T$51,'433'!$T$53,'433'!$T$55,'433'!$T$57,'433'!$T$59,'433'!$T$61,'433'!$T$63,'433'!$T$65:$T$67,'433'!$T$69:$T$72,'433'!$T$74:$T$81,'433'!$T$83,'433'!$T$85,'433'!$T$87:$T$88</definedName>
    <definedName name="OSRRefT22x_0" localSheetId="93">'435'!$T$27:$T$34,'435'!$T$36:$T$45,'435'!$T$47,'435'!$T$49,'435'!$T$51,'435'!$T$53,'435'!$T$55:$T$57,'435'!$T$59</definedName>
    <definedName name="OSRRefT22x_0" localSheetId="94">'444'!$T$27:$T$36,'444'!$T$38:$T$47,'444'!$T$49,'444'!$T$51,'444'!$T$53,'444'!$T$55,'444'!$T$57,'444'!$T$59,'444'!$T$61,'444'!$T$63,'444'!$T$65,'444'!$T$67:$T$69,'444'!$T$71:$T$74,'444'!$T$76:$T$83,'444'!$T$85,'444'!$T$87,'444'!$T$89</definedName>
    <definedName name="OSRRefT22x_0" localSheetId="96">'450'!$T$27:$T$36,'450'!$T$38:$T$47,'450'!$T$49,'450'!$T$51:$T$52,'450'!$T$54,'450'!$T$56,'450'!$T$58,'450'!$T$60,'450'!$T$62,'450'!$T$64,'450'!$T$66,'450'!$T$68:$T$70,'450'!$T$72:$T$74,'450'!$T$76:$T$81,'450'!$T$83,'450'!$T$85,'450'!$T$87:$T$88</definedName>
    <definedName name="OSRRefT22x_0" localSheetId="89">'455'!$T$20:$T$27,'455'!$T$29:$T$38</definedName>
    <definedName name="OSRRefT22x_0" localSheetId="76">'491'!$T$34:$T$43,'491'!$T$45:$T$54,'491'!$T$56,'491'!$T$58,'491'!$T$60,'491'!$T$62:$T$65,'491'!$T$67,'491'!$T$69,'491'!$T$71,'491'!$T$73:$T$74,'491'!$T$76,'491'!$T$78,'491'!$T$80,'491'!$T$82,'491'!$T$84:$T$87,'491'!$T$89:$T$91,'491'!$T$93:$T$97,'491'!$T$99,'491'!$T$101:$T$110,'491'!$T$112:$T$113,'491'!$T$115,'491'!$T$117:$T$119,'491'!$T$121</definedName>
    <definedName name="OSRRefT22x_0" localSheetId="90">'492'!$T$29:$T$38,'492'!$T$40:$T$49,'492'!$T$51,'492'!$T$53:$T$54,'492'!$T$56,'492'!$T$58:$T$59,'492'!$T$61,'492'!$T$63,'492'!$T$65,'492'!$T$67,'492'!$T$69,'492'!$T$71,'492'!$T$73:$T$76,'492'!$T$78:$T$81,'492'!$T$83:$T$91,'492'!$T$93,'492'!$T$95,'492'!$T$97:$T$98</definedName>
    <definedName name="OSRRefT22x_0" localSheetId="98">'501'!$T$21:$T$29,'501'!$T$31:$T$40,'501'!$T$42,'501'!$T$44,'501'!$T$46,'501'!$T$48,'501'!$T$50,'501'!$T$52,'501'!$T$54,'501'!$T$56,'501'!$T$58:$T$59,'501'!$T$61:$T$63,'501'!$T$65</definedName>
    <definedName name="OSRRefT22x_0" localSheetId="39">'Div 2'!$T$20:$T$30,'Div 2'!$T$32:$T$41,'Div 2'!$T$43,'Div 2'!$T$45,'Div 2'!$T$47,'Div 2'!$T$49,'Div 2'!$T$51:$T$52,'Div 2'!$T$54,'Div 2'!$T$56,'Div 2'!$T$58,'Div 2'!$T$60,'Div 2'!$T$62,'Div 2'!$T$64:$T$66,'Div 2'!$T$68:$T$71,'Div 2'!$T$73:$T$76,'Div 2'!$T$78:$T$79,'Div 2'!$T$81:$T$82,'Div 2'!$T$84:$T$87,'Div 2'!$T$89:$T$90,'Div 2'!$T$92,'Div 2'!$T$94:$T$95</definedName>
    <definedName name="OSRRefT22x_0" localSheetId="47">'Div 3'!$T$167:$T$176,'Div 3'!$T$178:$T$187,'Div 3'!$T$189,'Div 3'!$T$191:$T$192,'Div 3'!$T$194,'Div 3'!$T$196:$T$199,'Div 3'!$T$201:$T$202,'Div 3'!$T$204:$T$205,'Div 3'!$T$207,'Div 3'!$T$209,'Div 3'!$T$211:$T$212,'Div 3'!$T$214,'Div 3'!$T$216,'Div 3'!$T$218,'Div 3'!$T$220,'Div 3'!$T$222,'Div 3'!$T$224,'Div 3'!$T$226,'Div 3'!$T$228:$T$230,'Div 3'!$T$232:$T$235,'Div 3'!$T$237:$T$242,'Div 3'!$T$244:$T$245,'Div 3'!$T$247:$T$254,'Div 3'!$T$256:$T$257,'Div 3'!$T$259,'Div 3'!$T$261:$T$263,'Div 3'!$T$265</definedName>
    <definedName name="OSRRefT22x_0" localSheetId="74">'Div 4'!$T$35:$T$44,'Div 4'!$T$46:$T$55,'Div 4'!$T$57,'Div 4'!$T$59:$T$60,'Div 4'!$T$62,'Div 4'!$T$64:$T$67,'Div 4'!$T$69:$T$70,'Div 4'!$T$72,'Div 4'!$T$74,'Div 4'!$T$76,'Div 4'!$T$78:$T$79,'Div 4'!$T$81,'Div 4'!$T$83,'Div 4'!$T$85,'Div 4'!$T$87,'Div 4'!$T$89,'Div 4'!$T$91:$T$94,'Div 4'!$T$96:$T$98,'Div 4'!$T$100:$T$104,'Div 4'!$T$106,'Div 4'!$T$108:$T$117,'Div 4'!$T$119:$T$120,'Div 4'!$T$122,'Div 4'!$T$124:$T$126,'Div 4'!$T$128</definedName>
    <definedName name="OSRRefT22x_0" localSheetId="97">'Div 5'!$T$21:$T$29,'Div 5'!$T$31:$T$40,'Div 5'!$T$42,'Div 5'!$T$44,'Div 5'!$T$46,'Div 5'!$T$48,'Div 5'!$T$50,'Div 5'!$T$52,'Div 5'!$T$54,'Div 5'!$T$56,'Div 5'!$T$58:$T$59,'Div 5'!$T$61:$T$63,'Div 5'!$T$65</definedName>
    <definedName name="OSRRefT22x_0" localSheetId="64">'Div 6'!$T$60:$T$69,'Div 6'!$T$71:$T$80,'Div 6'!$T$82,'Div 6'!$T$84,'Div 6'!$T$86,'Div 6'!$T$88,'Div 6'!$T$90,'Div 6'!$T$92,'Div 6'!$T$94:$T$95,'Div 6'!$T$97:$T$98,'Div 6'!$T$100,'Div 6'!$T$102</definedName>
    <definedName name="OSRRefT22x_0" localSheetId="2">Summary!$T$199:$T$208,Summary!$T$210:$T$219,Summary!$T$221,Summary!$T$223:$T$224,Summary!$T$226,Summary!$T$228:$T$231,Summary!$T$233:$T$234,Summary!$T$236:$T$238,Summary!$T$240,Summary!$T$242,Summary!$T$244:$T$245,Summary!$T$247:$T$248,Summary!$T$250,Summary!$T$252,Summary!$T$254,Summary!$T$256,Summary!$T$258,Summary!$T$260,Summary!$T$262:$T$265,Summary!$T$267:$T$270,Summary!$T$272:$T$277,Summary!$T$279:$T$280,Summary!$T$282:$T$291,Summary!$T$293:$T$294,Summary!$T$296,Summary!$T$298:$T$300,Summary!$T$302</definedName>
    <definedName name="OSRRefT25x_0" localSheetId="48">'300'!$T$255:$T$263</definedName>
    <definedName name="OSRRefT25x_0" localSheetId="49">'300 &amp; 317'!$T$280:$T$290</definedName>
    <definedName name="OSRRefT25x_0" localSheetId="50">'301'!$T$102:$T$105</definedName>
    <definedName name="OSRRefT25x_0" localSheetId="55">'308'!$T$119:$T$122</definedName>
    <definedName name="OSRRefT25x_0" localSheetId="75">'310 &amp; 491'!$T$137:$T$140</definedName>
    <definedName name="OSRRefT25x_0" localSheetId="56">'311'!$T$119:$T$122</definedName>
    <definedName name="OSRRefT25x_0" localSheetId="59">'315'!$T$117:$T$119</definedName>
    <definedName name="OSRRefT25x_0" localSheetId="62">'316'!$T$84:$T$85</definedName>
    <definedName name="OSRRefT25x_0" localSheetId="65">'317'!$T$105:$T$107</definedName>
    <definedName name="OSRRefT25x_0" localSheetId="63">'320'!$T$65:$T$69</definedName>
    <definedName name="OSRRefT25x_0" localSheetId="58">'331'!$T$150:$T$152</definedName>
    <definedName name="OSRRefT25x_0" localSheetId="61">'332'!$T$96:$T$102</definedName>
    <definedName name="OSRRefT25x_0" localSheetId="79">'411'!$T$90:$T$91</definedName>
    <definedName name="OSRRefT25x_0" localSheetId="82">'413'!$T$77</definedName>
    <definedName name="OSRRefT25x_0" localSheetId="86">'423'!$T$51</definedName>
    <definedName name="OSRRefT25x_0" localSheetId="87">'424'!$T$73</definedName>
    <definedName name="OSRRefT25x_0" localSheetId="88">'425'!$T$89</definedName>
    <definedName name="OSRRefT25x_0" localSheetId="89">'455'!$T$41:$T$44</definedName>
    <definedName name="OSRRefT25x_0" localSheetId="76">'491'!$T$124:$T$127</definedName>
    <definedName name="OSRRefT25x_0" localSheetId="98">'501'!$T$68</definedName>
    <definedName name="OSRRefT25x_0" localSheetId="47">'Div 3'!$T$268:$T$276</definedName>
    <definedName name="OSRRefT25x_0" localSheetId="74">'Div 4'!$T$131:$T$134</definedName>
    <definedName name="OSRRefT25x_0" localSheetId="97">'Div 5'!$T$68</definedName>
    <definedName name="OSRRefT25x_0" localSheetId="64">'Div 6'!$T$105:$T$107</definedName>
    <definedName name="OSRRefT25x_0" localSheetId="2">Summary!$T$305:$T$316</definedName>
    <definedName name="_xlnm.Print_Area" localSheetId="38">'100'!$A$1:$Z$34</definedName>
    <definedName name="_xlnm.Print_Area" localSheetId="40">'200'!$A$1:$Z$43</definedName>
    <definedName name="_xlnm.Print_Area" localSheetId="41">'201'!$A$1:$Z$91</definedName>
    <definedName name="_xlnm.Print_Area" localSheetId="42">'202'!$A$1:$Z$87</definedName>
    <definedName name="_xlnm.Print_Area" localSheetId="43">'203'!$A$1:$Z$86</definedName>
    <definedName name="_xlnm.Print_Area" localSheetId="44">'204'!$A$1:$Z$81</definedName>
    <definedName name="_xlnm.Print_Area" localSheetId="45">'205'!$A$1:$Z$71</definedName>
    <definedName name="_xlnm.Print_Area" localSheetId="46">'206'!$A$1:$Z$72</definedName>
    <definedName name="_xlnm.Print_Area" localSheetId="48">'300'!$A$1:$Z$275</definedName>
    <definedName name="_xlnm.Print_Area" localSheetId="49">'300 &amp; 317'!$A$1:$Z$302</definedName>
    <definedName name="_xlnm.Print_Area" localSheetId="50">'301'!$A$1:$Z$117</definedName>
    <definedName name="_xlnm.Print_Area" localSheetId="51">'306'!$A$1:$Z$75</definedName>
    <definedName name="_xlnm.Print_Area" localSheetId="53">'307'!$A$1:$Z$130</definedName>
    <definedName name="_xlnm.Print_Area" localSheetId="55">'308'!$A$1:$Z$134</definedName>
    <definedName name="_xlnm.Print_Area" localSheetId="68">'309'!$A$1:$Z$87</definedName>
    <definedName name="_xlnm.Print_Area" localSheetId="67">'310'!$A$1:$Z$126</definedName>
    <definedName name="_xlnm.Print_Area" localSheetId="75">'310 &amp; 491'!$A$1:$Z$152</definedName>
    <definedName name="_xlnm.Print_Area" localSheetId="56">'311'!$A$1:$Z$134</definedName>
    <definedName name="_xlnm.Print_Area" localSheetId="69">'313'!$A$1:$Z$94</definedName>
    <definedName name="_xlnm.Print_Area" localSheetId="54">'314'!$A$1:$Z$105</definedName>
    <definedName name="_xlnm.Print_Area" localSheetId="59">'315'!$A$1:$Z$131</definedName>
    <definedName name="_xlnm.Print_Area" localSheetId="62">'316'!$A$1:$Z$97</definedName>
    <definedName name="_xlnm.Print_Area" localSheetId="65">'317'!$A$1:$Z$119</definedName>
    <definedName name="_xlnm.Print_Area" localSheetId="66">'318'!$A$1:$Z$32</definedName>
    <definedName name="_xlnm.Print_Area" localSheetId="63">'320'!$A$1:$Z$81</definedName>
    <definedName name="_xlnm.Print_Area" localSheetId="70">'321'!$A$1:$Z$91</definedName>
    <definedName name="_xlnm.Print_Area" localSheetId="71">'322'!$A$1:$Z$92</definedName>
    <definedName name="_xlnm.Print_Area" localSheetId="57">'324'!$A$1:$Z$38</definedName>
    <definedName name="_xlnm.Print_Area" localSheetId="72">'325'!$A$1:$Z$106</definedName>
    <definedName name="_xlnm.Print_Area" localSheetId="60">'326'!$A$1:$Z$136</definedName>
    <definedName name="_xlnm.Print_Area" localSheetId="73">'327'!$A$1:$Z$42</definedName>
    <definedName name="_xlnm.Print_Area" localSheetId="52">'330'!$A$1:$Z$143</definedName>
    <definedName name="_xlnm.Print_Area" localSheetId="58">'331'!$A$1:$Z$164</definedName>
    <definedName name="_xlnm.Print_Area" localSheetId="61">'332'!$A$1:$Z$114</definedName>
    <definedName name="_xlnm.Print_Area" localSheetId="77">'405'!$A$1:$Z$105</definedName>
    <definedName name="_xlnm.Print_Area" localSheetId="78">'406'!$A$1:$Z$95</definedName>
    <definedName name="_xlnm.Print_Area" localSheetId="79">'411'!$A$1:$Z$103</definedName>
    <definedName name="_xlnm.Print_Area" localSheetId="80">'412'!$A$1:$Z$93</definedName>
    <definedName name="_xlnm.Print_Area" localSheetId="82">'413'!$A$1:$Z$89</definedName>
    <definedName name="_xlnm.Print_Area" localSheetId="83">'414'!$A$1:$Z$96</definedName>
    <definedName name="_xlnm.Print_Area" localSheetId="84">'415'!$A$1:$Z$109</definedName>
    <definedName name="_xlnm.Print_Area" localSheetId="85">'418'!$A$1:$Z$101</definedName>
    <definedName name="_xlnm.Print_Area" localSheetId="81">'420'!$A$1:$Z$53</definedName>
    <definedName name="_xlnm.Print_Area" localSheetId="86">'423'!$A$1:$Z$63</definedName>
    <definedName name="_xlnm.Print_Area" localSheetId="87">'424'!$A$1:$Z$85</definedName>
    <definedName name="_xlnm.Print_Area" localSheetId="88">'425'!$A$1:$Z$101</definedName>
    <definedName name="_xlnm.Print_Area" localSheetId="91">'430'!$A$1:$Z$73</definedName>
    <definedName name="_xlnm.Print_Area" localSheetId="92">'433'!$A$1:$Z$102</definedName>
    <definedName name="_xlnm.Print_Area" localSheetId="93">'435'!$A$1:$Z$73</definedName>
    <definedName name="_xlnm.Print_Area" localSheetId="94">'444'!$A$1:$Z$103</definedName>
    <definedName name="_xlnm.Print_Area" localSheetId="95">'445'!$A$1:$Z$32</definedName>
    <definedName name="_xlnm.Print_Area" localSheetId="96">'450'!$A$1:$Z$102</definedName>
    <definedName name="_xlnm.Print_Area" localSheetId="89">'455'!$A$1:$Z$56</definedName>
    <definedName name="_xlnm.Print_Area" localSheetId="76">'491'!$A$1:$Z$139</definedName>
    <definedName name="_xlnm.Print_Area" localSheetId="90">'492'!$A$1:$Z$112</definedName>
    <definedName name="_xlnm.Print_Area" localSheetId="98">'501'!$A$1:$Z$80</definedName>
    <definedName name="_xlnm.Print_Area" localSheetId="99">Dept!$A$1:$Z$39</definedName>
    <definedName name="_xlnm.Print_Area" localSheetId="37">'Div 1'!$A$1:$Z$34</definedName>
    <definedName name="_xlnm.Print_Area" localSheetId="39">'Div 2'!$A$1:$Z$109</definedName>
    <definedName name="_xlnm.Print_Area" localSheetId="47">'Div 3'!$A$1:$Z$288</definedName>
    <definedName name="_xlnm.Print_Area" localSheetId="74">'Div 4'!$A$1:$Z$146</definedName>
    <definedName name="_xlnm.Print_Area" localSheetId="97">'Div 5'!$A$1:$Z$80</definedName>
    <definedName name="_xlnm.Print_Area" localSheetId="64">'Div 6'!$A$1:$Z$119</definedName>
    <definedName name="_xlnm.Print_Area" localSheetId="13">'OSR_300 &amp; 317_1C00ID4'!$A$1:$Z$39</definedName>
    <definedName name="_xlnm.Print_Area" localSheetId="14">'OSR_300 (2)_...6aa5a22d_14M6XO4'!$A$1:$Z$39</definedName>
    <definedName name="_xlnm.Print_Area" localSheetId="10">'OSR_300 (2)_7...54cb56fc_UFX0O2'!$A$1:$Z$39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2">'OSR_310 (2)_5...3d931dee_QNK8R2'!$A$1:$Z$39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(2)_...853a34aa_1UNC34K'!$A$1:$Z$39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100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(2)...32d16c57_IVJ1QO'!$A$1:$Z$39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101">'OSR_Summary (...56e5d78f_5JEYZH'!$A$1:$Z$39</definedName>
    <definedName name="_xlnm.Print_Area" localSheetId="3">OSR_Summary_18VAVWG!$A$1:$Z$39</definedName>
    <definedName name="_xlnm.Print_Area" localSheetId="2">Summary!$A$1:$Z$330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8">'309'!$A:$C,'309'!$1:$10</definedName>
    <definedName name="_xlnm.Print_Titles" localSheetId="67">'310'!$A:$C,'310'!$1:$10</definedName>
    <definedName name="_xlnm.Print_Titles" localSheetId="75">'310 &amp; 491'!$A:$C,'310 &amp; 491'!$1:$10</definedName>
    <definedName name="_xlnm.Print_Titles" localSheetId="56">'311'!$A:$C,'311'!$1:$10</definedName>
    <definedName name="_xlnm.Print_Titles" localSheetId="69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2">'316'!$A:$C,'316'!$1:$10</definedName>
    <definedName name="_xlnm.Print_Titles" localSheetId="65">'317'!$A:$C,'317'!$1:$10</definedName>
    <definedName name="_xlnm.Print_Titles" localSheetId="66">'318'!$A:$C,'318'!$1:$10</definedName>
    <definedName name="_xlnm.Print_Titles" localSheetId="63">'320'!$A:$C,'320'!$1:$10</definedName>
    <definedName name="_xlnm.Print_Titles" localSheetId="70">'321'!$A:$C,'321'!$1:$10</definedName>
    <definedName name="_xlnm.Print_Titles" localSheetId="71">'322'!$A:$C,'322'!$1:$10</definedName>
    <definedName name="_xlnm.Print_Titles" localSheetId="57">'324'!$A:$C,'324'!$1:$10</definedName>
    <definedName name="_xlnm.Print_Titles" localSheetId="72">'325'!$A:$C,'325'!$1:$10</definedName>
    <definedName name="_xlnm.Print_Titles" localSheetId="60">'326'!$A:$C,'326'!$1:$10</definedName>
    <definedName name="_xlnm.Print_Titles" localSheetId="73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1">'332'!$A:$C,'332'!$1:$10</definedName>
    <definedName name="_xlnm.Print_Titles" localSheetId="77">'405'!$A:$C,'405'!$1:$10</definedName>
    <definedName name="_xlnm.Print_Titles" localSheetId="78">'406'!$A:$C,'406'!$1:$10</definedName>
    <definedName name="_xlnm.Print_Titles" localSheetId="79">'411'!$A:$C,'411'!$1:$10</definedName>
    <definedName name="_xlnm.Print_Titles" localSheetId="80">'412'!$A:$C,'412'!$1:$10</definedName>
    <definedName name="_xlnm.Print_Titles" localSheetId="82">'413'!$A:$C,'413'!$1:$10</definedName>
    <definedName name="_xlnm.Print_Titles" localSheetId="83">'414'!$A:$C,'414'!$1:$10</definedName>
    <definedName name="_xlnm.Print_Titles" localSheetId="84">'415'!$A:$C,'415'!$1:$10</definedName>
    <definedName name="_xlnm.Print_Titles" localSheetId="85">'418'!$A:$C,'418'!$1:$10</definedName>
    <definedName name="_xlnm.Print_Titles" localSheetId="81">'420'!$A:$C,'420'!$1:$10</definedName>
    <definedName name="_xlnm.Print_Titles" localSheetId="86">'423'!$A:$C,'423'!$1:$10</definedName>
    <definedName name="_xlnm.Print_Titles" localSheetId="87">'424'!$A:$C,'424'!$1:$10</definedName>
    <definedName name="_xlnm.Print_Titles" localSheetId="88">'425'!$A:$C,'425'!$1:$10</definedName>
    <definedName name="_xlnm.Print_Titles" localSheetId="91">'430'!$A:$C,'430'!$1:$10</definedName>
    <definedName name="_xlnm.Print_Titles" localSheetId="92">'433'!$A:$C,'433'!$1:$10</definedName>
    <definedName name="_xlnm.Print_Titles" localSheetId="93">'435'!$A:$C,'435'!$1:$10</definedName>
    <definedName name="_xlnm.Print_Titles" localSheetId="94">'444'!$A:$C,'444'!$1:$10</definedName>
    <definedName name="_xlnm.Print_Titles" localSheetId="95">'445'!$A:$C,'445'!$1:$10</definedName>
    <definedName name="_xlnm.Print_Titles" localSheetId="96">'450'!$A:$C,'450'!$1:$10</definedName>
    <definedName name="_xlnm.Print_Titles" localSheetId="89">'455'!$A:$C,'455'!$1:$10</definedName>
    <definedName name="_xlnm.Print_Titles" localSheetId="76">'491'!$A:$C,'491'!$1:$10</definedName>
    <definedName name="_xlnm.Print_Titles" localSheetId="90">'492'!$A:$C,'492'!$1:$10</definedName>
    <definedName name="_xlnm.Print_Titles" localSheetId="98">'501'!$A:$C,'501'!$1:$10</definedName>
    <definedName name="_xlnm.Print_Titles" localSheetId="99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4">'Div 4'!$A:$C,'Div 4'!$1:$10</definedName>
    <definedName name="_xlnm.Print_Titles" localSheetId="97">'Div 5'!$A:$C,'Div 5'!$1:$10</definedName>
    <definedName name="_xlnm.Print_Titles" localSheetId="64">'Div 6'!$A:$C,'Div 6'!$1:$10</definedName>
    <definedName name="_xlnm.Print_Titles" localSheetId="13">'OSR_300 &amp; 317_1C00ID4'!$A:$C,'OSR_300 &amp; 317_1C00ID4'!$1:$10</definedName>
    <definedName name="_xlnm.Print_Titles" localSheetId="14">'OSR_300 (2)_...6aa5a22d_14M6XO4'!$A:$C,'OSR_300 (2)_...6aa5a22d_14M6XO4'!$1:$10</definedName>
    <definedName name="_xlnm.Print_Titles" localSheetId="10">'OSR_300 (2)_7...54cb56fc_UFX0O2'!$A:$C,'OSR_300 (2)_7...54cb56fc_UFX0O2'!$1:$10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2">'OSR_310 (2)_5...3d931dee_QNK8R2'!$A:$C,'OSR_310 (2)_5...3d931dee_QNK8R2'!$1:$10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(2)_...853a34aa_1UNC34K'!$A:$C,'OSR_491 (2)_...853a34aa_1UNC34K'!$1:$10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100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(2)...32d16c57_IVJ1QO'!$A:$C,'OSR_Div 5 (2)...32d16c57_IVJ1QO'!$1:$10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101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72" i="110" l="1"/>
  <c r="X72" i="110"/>
  <c r="L72" i="110"/>
  <c r="N72" i="110" s="1"/>
  <c r="P68" i="110"/>
  <c r="X68" i="110" s="1"/>
  <c r="Z68" i="110" s="1"/>
  <c r="J68" i="110"/>
  <c r="D68" i="110"/>
  <c r="B68" i="110"/>
  <c r="T67" i="110"/>
  <c r="P67" i="110"/>
  <c r="X67" i="110" s="1"/>
  <c r="J67" i="110"/>
  <c r="H67" i="110"/>
  <c r="X65" i="110"/>
  <c r="Z65" i="110" s="1"/>
  <c r="L65" i="110"/>
  <c r="N65" i="110" s="1"/>
  <c r="B65" i="110"/>
  <c r="X64" i="110"/>
  <c r="Z64" i="110" s="1"/>
  <c r="T64" i="110"/>
  <c r="P64" i="110"/>
  <c r="H64" i="110"/>
  <c r="D64" i="110"/>
  <c r="L64" i="110" s="1"/>
  <c r="N64" i="110" s="1"/>
  <c r="B64" i="110"/>
  <c r="Z63" i="110"/>
  <c r="X63" i="110"/>
  <c r="N63" i="110"/>
  <c r="L63" i="110"/>
  <c r="B63" i="110"/>
  <c r="Z62" i="110"/>
  <c r="X62" i="110"/>
  <c r="N62" i="110"/>
  <c r="L62" i="110"/>
  <c r="B62" i="110"/>
  <c r="X61" i="110"/>
  <c r="Z61" i="110" s="1"/>
  <c r="N61" i="110"/>
  <c r="L61" i="110"/>
  <c r="J61" i="110"/>
  <c r="B61" i="110"/>
  <c r="T60" i="110"/>
  <c r="P60" i="110"/>
  <c r="X60" i="110" s="1"/>
  <c r="H60" i="110"/>
  <c r="D60" i="110"/>
  <c r="B60" i="110"/>
  <c r="X59" i="110"/>
  <c r="Z59" i="110" s="1"/>
  <c r="N59" i="110"/>
  <c r="L59" i="110"/>
  <c r="J59" i="110"/>
  <c r="B59" i="110"/>
  <c r="Z58" i="110"/>
  <c r="X58" i="110"/>
  <c r="N58" i="110"/>
  <c r="L58" i="110"/>
  <c r="B58" i="110"/>
  <c r="Z57" i="110"/>
  <c r="V57" i="110"/>
  <c r="T57" i="110"/>
  <c r="P57" i="110"/>
  <c r="X57" i="110" s="1"/>
  <c r="H57" i="110"/>
  <c r="D57" i="110"/>
  <c r="L57" i="110" s="1"/>
  <c r="B57" i="110"/>
  <c r="X56" i="110"/>
  <c r="Z56" i="110" s="1"/>
  <c r="N56" i="110"/>
  <c r="L56" i="110"/>
  <c r="J56" i="110"/>
  <c r="B56" i="110"/>
  <c r="X55" i="110"/>
  <c r="T55" i="110"/>
  <c r="P55" i="110"/>
  <c r="H55" i="110"/>
  <c r="D55" i="110"/>
  <c r="B55" i="110"/>
  <c r="Z54" i="110"/>
  <c r="X54" i="110"/>
  <c r="N54" i="110"/>
  <c r="L54" i="110"/>
  <c r="B54" i="110"/>
  <c r="T53" i="110"/>
  <c r="P53" i="110"/>
  <c r="X53" i="110" s="1"/>
  <c r="N53" i="110"/>
  <c r="H53" i="110"/>
  <c r="D53" i="110"/>
  <c r="L53" i="110" s="1"/>
  <c r="B53" i="110"/>
  <c r="X52" i="110"/>
  <c r="Z52" i="110" s="1"/>
  <c r="L52" i="110"/>
  <c r="N52" i="110" s="1"/>
  <c r="B52" i="110"/>
  <c r="T51" i="110"/>
  <c r="P51" i="110"/>
  <c r="X51" i="110" s="1"/>
  <c r="N51" i="110"/>
  <c r="J51" i="110"/>
  <c r="H51" i="110"/>
  <c r="D51" i="110"/>
  <c r="L51" i="110" s="1"/>
  <c r="B51" i="110"/>
  <c r="Z50" i="110"/>
  <c r="X50" i="110"/>
  <c r="N50" i="110"/>
  <c r="L50" i="110"/>
  <c r="B50" i="110"/>
  <c r="T49" i="110"/>
  <c r="P49" i="110"/>
  <c r="L49" i="110"/>
  <c r="N49" i="110" s="1"/>
  <c r="J49" i="110"/>
  <c r="H49" i="110"/>
  <c r="F49" i="110"/>
  <c r="D49" i="110"/>
  <c r="B49" i="110"/>
  <c r="X48" i="110"/>
  <c r="Z48" i="110" s="1"/>
  <c r="L48" i="110"/>
  <c r="N48" i="110" s="1"/>
  <c r="J48" i="110"/>
  <c r="F48" i="110"/>
  <c r="B48" i="110"/>
  <c r="T47" i="110"/>
  <c r="P47" i="110"/>
  <c r="X47" i="110" s="1"/>
  <c r="Z47" i="110" s="1"/>
  <c r="H47" i="110"/>
  <c r="F47" i="110"/>
  <c r="D47" i="110"/>
  <c r="B47" i="110"/>
  <c r="Z46" i="110"/>
  <c r="X46" i="110"/>
  <c r="N46" i="110"/>
  <c r="L46" i="110"/>
  <c r="B46" i="110"/>
  <c r="V45" i="110"/>
  <c r="T45" i="110"/>
  <c r="P45" i="110"/>
  <c r="X45" i="110" s="1"/>
  <c r="Z45" i="110" s="1"/>
  <c r="L45" i="110"/>
  <c r="N45" i="110" s="1"/>
  <c r="H45" i="110"/>
  <c r="D45" i="110"/>
  <c r="B45" i="110"/>
  <c r="X44" i="110"/>
  <c r="Z44" i="110" s="1"/>
  <c r="L44" i="110"/>
  <c r="N44" i="110" s="1"/>
  <c r="J44" i="110"/>
  <c r="B44" i="110"/>
  <c r="X43" i="110"/>
  <c r="V43" i="110"/>
  <c r="T43" i="110"/>
  <c r="Z43" i="110" s="1"/>
  <c r="P43" i="110"/>
  <c r="H43" i="110"/>
  <c r="D43" i="110"/>
  <c r="B43" i="110"/>
  <c r="X42" i="110"/>
  <c r="Z42" i="110" s="1"/>
  <c r="N42" i="110"/>
  <c r="L42" i="110"/>
  <c r="F42" i="110"/>
  <c r="B42" i="110"/>
  <c r="T41" i="110"/>
  <c r="P41" i="110"/>
  <c r="N41" i="110"/>
  <c r="H41" i="110"/>
  <c r="D41" i="110"/>
  <c r="L41" i="110" s="1"/>
  <c r="B41" i="110"/>
  <c r="Z40" i="110"/>
  <c r="X40" i="110"/>
  <c r="N40" i="110"/>
  <c r="L40" i="110"/>
  <c r="B40" i="110"/>
  <c r="Z39" i="110"/>
  <c r="X39" i="110"/>
  <c r="N39" i="110"/>
  <c r="L39" i="110"/>
  <c r="J39" i="110"/>
  <c r="B39" i="110"/>
  <c r="Z38" i="110"/>
  <c r="X38" i="110"/>
  <c r="N38" i="110"/>
  <c r="L38" i="110"/>
  <c r="B38" i="110"/>
  <c r="Z37" i="110"/>
  <c r="X37" i="110"/>
  <c r="N37" i="110"/>
  <c r="L37" i="110"/>
  <c r="J37" i="110"/>
  <c r="F37" i="110"/>
  <c r="B37" i="110"/>
  <c r="Z36" i="110"/>
  <c r="X36" i="110"/>
  <c r="N36" i="110"/>
  <c r="L36" i="110"/>
  <c r="B36" i="110"/>
  <c r="Z35" i="110"/>
  <c r="X35" i="110"/>
  <c r="N35" i="110"/>
  <c r="L35" i="110"/>
  <c r="J35" i="110"/>
  <c r="B35" i="110"/>
  <c r="Z34" i="110"/>
  <c r="X34" i="110"/>
  <c r="N34" i="110"/>
  <c r="L34" i="110"/>
  <c r="B34" i="110"/>
  <c r="Z33" i="110"/>
  <c r="X33" i="110"/>
  <c r="V33" i="110"/>
  <c r="N33" i="110"/>
  <c r="L33" i="110"/>
  <c r="J33" i="110"/>
  <c r="B33" i="110"/>
  <c r="Z32" i="110"/>
  <c r="X32" i="110"/>
  <c r="L32" i="110"/>
  <c r="N32" i="110" s="1"/>
  <c r="B32" i="110"/>
  <c r="Z31" i="110"/>
  <c r="X31" i="110"/>
  <c r="N31" i="110"/>
  <c r="L31" i="110"/>
  <c r="J31" i="110"/>
  <c r="B31" i="110"/>
  <c r="T30" i="110"/>
  <c r="P30" i="110"/>
  <c r="J30" i="110"/>
  <c r="H30" i="110"/>
  <c r="D30" i="110"/>
  <c r="L30" i="110" s="1"/>
  <c r="B30" i="110"/>
  <c r="X29" i="110"/>
  <c r="Z29" i="110" s="1"/>
  <c r="N29" i="110"/>
  <c r="L29" i="110"/>
  <c r="F29" i="110"/>
  <c r="B29" i="110"/>
  <c r="X28" i="110"/>
  <c r="Z28" i="110" s="1"/>
  <c r="N28" i="110"/>
  <c r="L28" i="110"/>
  <c r="J28" i="110"/>
  <c r="B28" i="110"/>
  <c r="X27" i="110"/>
  <c r="Z27" i="110" s="1"/>
  <c r="N27" i="110"/>
  <c r="L27" i="110"/>
  <c r="B27" i="110"/>
  <c r="Z26" i="110"/>
  <c r="X26" i="110"/>
  <c r="N26" i="110"/>
  <c r="L26" i="110"/>
  <c r="F26" i="110"/>
  <c r="B26" i="110"/>
  <c r="X25" i="110"/>
  <c r="Z25" i="110" s="1"/>
  <c r="N25" i="110"/>
  <c r="L25" i="110"/>
  <c r="F25" i="110"/>
  <c r="B25" i="110"/>
  <c r="X24" i="110"/>
  <c r="Z24" i="110" s="1"/>
  <c r="N24" i="110"/>
  <c r="L24" i="110"/>
  <c r="J24" i="110"/>
  <c r="B24" i="110"/>
  <c r="X23" i="110"/>
  <c r="Z23" i="110" s="1"/>
  <c r="N23" i="110"/>
  <c r="L23" i="110"/>
  <c r="B23" i="110"/>
  <c r="Z22" i="110"/>
  <c r="X22" i="110"/>
  <c r="N22" i="110"/>
  <c r="L22" i="110"/>
  <c r="F22" i="110"/>
  <c r="B22" i="110"/>
  <c r="X21" i="110"/>
  <c r="Z21" i="110" s="1"/>
  <c r="N21" i="110"/>
  <c r="L21" i="110"/>
  <c r="F21" i="110"/>
  <c r="B21" i="110"/>
  <c r="T20" i="110"/>
  <c r="P20" i="110"/>
  <c r="X20" i="110" s="1"/>
  <c r="Z20" i="110" s="1"/>
  <c r="N20" i="110"/>
  <c r="J20" i="110"/>
  <c r="H20" i="110"/>
  <c r="D20" i="110"/>
  <c r="L20" i="110" s="1"/>
  <c r="B20" i="110"/>
  <c r="T19" i="110"/>
  <c r="P19" i="110"/>
  <c r="H19" i="110"/>
  <c r="F19" i="110"/>
  <c r="D19" i="110"/>
  <c r="L19" i="110" s="1"/>
  <c r="H17" i="110"/>
  <c r="Z15" i="110"/>
  <c r="T15" i="110"/>
  <c r="P15" i="110"/>
  <c r="X15" i="110" s="1"/>
  <c r="N15" i="110"/>
  <c r="H15" i="110"/>
  <c r="D15" i="110"/>
  <c r="L15" i="110" s="1"/>
  <c r="Z13" i="110"/>
  <c r="X13" i="110"/>
  <c r="P13" i="110"/>
  <c r="L13" i="110"/>
  <c r="N13" i="110" s="1"/>
  <c r="D13" i="110"/>
  <c r="D12" i="110" s="1"/>
  <c r="B13" i="110"/>
  <c r="T12" i="110"/>
  <c r="P12" i="110"/>
  <c r="H12" i="110"/>
  <c r="J72" i="110" s="1"/>
  <c r="D6" i="110"/>
  <c r="D4" i="110"/>
  <c r="F53" i="109"/>
  <c r="F50" i="109"/>
  <c r="Z48" i="109"/>
  <c r="X48" i="109"/>
  <c r="N48" i="109"/>
  <c r="L48" i="109"/>
  <c r="J46" i="109"/>
  <c r="F46" i="109"/>
  <c r="Z44" i="109"/>
  <c r="P44" i="109"/>
  <c r="X44" i="109" s="1"/>
  <c r="N44" i="109"/>
  <c r="F44" i="109"/>
  <c r="D44" i="109"/>
  <c r="L44" i="109" s="1"/>
  <c r="B44" i="109"/>
  <c r="Z43" i="109"/>
  <c r="P43" i="109"/>
  <c r="X43" i="109" s="1"/>
  <c r="N43" i="109"/>
  <c r="L43" i="109"/>
  <c r="D43" i="109"/>
  <c r="B43" i="109"/>
  <c r="P42" i="109"/>
  <c r="N42" i="109"/>
  <c r="L42" i="109"/>
  <c r="J42" i="109"/>
  <c r="D42" i="109"/>
  <c r="B42" i="109"/>
  <c r="Z41" i="109"/>
  <c r="X41" i="109"/>
  <c r="P41" i="109"/>
  <c r="L41" i="109"/>
  <c r="N41" i="109" s="1"/>
  <c r="J41" i="109"/>
  <c r="F41" i="109"/>
  <c r="D41" i="109"/>
  <c r="B41" i="109"/>
  <c r="V40" i="109"/>
  <c r="T40" i="109"/>
  <c r="H40" i="109"/>
  <c r="Z38" i="109"/>
  <c r="X38" i="109"/>
  <c r="N38" i="109"/>
  <c r="L38" i="109"/>
  <c r="J38" i="109"/>
  <c r="F38" i="109"/>
  <c r="B38" i="109"/>
  <c r="Z37" i="109"/>
  <c r="X37" i="109"/>
  <c r="N37" i="109"/>
  <c r="L37" i="109"/>
  <c r="B37" i="109"/>
  <c r="Z36" i="109"/>
  <c r="X36" i="109"/>
  <c r="V36" i="109"/>
  <c r="R36" i="109"/>
  <c r="N36" i="109"/>
  <c r="L36" i="109"/>
  <c r="B36" i="109"/>
  <c r="Z35" i="109"/>
  <c r="X35" i="109"/>
  <c r="N35" i="109"/>
  <c r="L35" i="109"/>
  <c r="J35" i="109"/>
  <c r="F35" i="109"/>
  <c r="B35" i="109"/>
  <c r="Z34" i="109"/>
  <c r="X34" i="109"/>
  <c r="R34" i="109"/>
  <c r="N34" i="109"/>
  <c r="L34" i="109"/>
  <c r="J34" i="109"/>
  <c r="B34" i="109"/>
  <c r="Z33" i="109"/>
  <c r="X33" i="109"/>
  <c r="N33" i="109"/>
  <c r="L33" i="109"/>
  <c r="J33" i="109"/>
  <c r="B33" i="109"/>
  <c r="Z32" i="109"/>
  <c r="X32" i="109"/>
  <c r="N32" i="109"/>
  <c r="L32" i="109"/>
  <c r="B32" i="109"/>
  <c r="Z31" i="109"/>
  <c r="X31" i="109"/>
  <c r="N31" i="109"/>
  <c r="L31" i="109"/>
  <c r="J31" i="109"/>
  <c r="F31" i="109"/>
  <c r="B31" i="109"/>
  <c r="Z30" i="109"/>
  <c r="X30" i="109"/>
  <c r="N30" i="109"/>
  <c r="L30" i="109"/>
  <c r="F30" i="109"/>
  <c r="B30" i="109"/>
  <c r="Z29" i="109"/>
  <c r="X29" i="109"/>
  <c r="V29" i="109"/>
  <c r="L29" i="109"/>
  <c r="N29" i="109" s="1"/>
  <c r="F29" i="109"/>
  <c r="B29" i="109"/>
  <c r="T28" i="109"/>
  <c r="P28" i="109"/>
  <c r="H28" i="109"/>
  <c r="F28" i="109"/>
  <c r="D28" i="109"/>
  <c r="L28" i="109" s="1"/>
  <c r="B28" i="109"/>
  <c r="Z27" i="109"/>
  <c r="X27" i="109"/>
  <c r="R27" i="109"/>
  <c r="N27" i="109"/>
  <c r="L27" i="109"/>
  <c r="B27" i="109"/>
  <c r="Z26" i="109"/>
  <c r="X26" i="109"/>
  <c r="L26" i="109"/>
  <c r="N26" i="109" s="1"/>
  <c r="J26" i="109"/>
  <c r="F26" i="109"/>
  <c r="B26" i="109"/>
  <c r="Z25" i="109"/>
  <c r="X25" i="109"/>
  <c r="R25" i="109"/>
  <c r="N25" i="109"/>
  <c r="L25" i="109"/>
  <c r="J25" i="109"/>
  <c r="B25" i="109"/>
  <c r="Z24" i="109"/>
  <c r="X24" i="109"/>
  <c r="L24" i="109"/>
  <c r="N24" i="109" s="1"/>
  <c r="J24" i="109"/>
  <c r="F24" i="109"/>
  <c r="B24" i="109"/>
  <c r="Z23" i="109"/>
  <c r="X23" i="109"/>
  <c r="V23" i="109"/>
  <c r="R23" i="109"/>
  <c r="N23" i="109"/>
  <c r="L23" i="109"/>
  <c r="B23" i="109"/>
  <c r="Z22" i="109"/>
  <c r="X22" i="109"/>
  <c r="N22" i="109"/>
  <c r="L22" i="109"/>
  <c r="J22" i="109"/>
  <c r="F22" i="109"/>
  <c r="B22" i="109"/>
  <c r="Z21" i="109"/>
  <c r="X21" i="109"/>
  <c r="N21" i="109"/>
  <c r="L21" i="109"/>
  <c r="J21" i="109"/>
  <c r="B21" i="109"/>
  <c r="Z20" i="109"/>
  <c r="X20" i="109"/>
  <c r="L20" i="109"/>
  <c r="N20" i="109" s="1"/>
  <c r="J20" i="109"/>
  <c r="F20" i="109"/>
  <c r="B20" i="109"/>
  <c r="V19" i="109"/>
  <c r="T19" i="109"/>
  <c r="P19" i="109"/>
  <c r="J19" i="109"/>
  <c r="H19" i="109"/>
  <c r="F19" i="109"/>
  <c r="D19" i="109"/>
  <c r="B19" i="109"/>
  <c r="V18" i="109"/>
  <c r="T18" i="109"/>
  <c r="P18" i="109"/>
  <c r="J18" i="109"/>
  <c r="H18" i="109"/>
  <c r="N18" i="109" s="1"/>
  <c r="D18" i="109"/>
  <c r="L18" i="109" s="1"/>
  <c r="V16" i="109"/>
  <c r="J16" i="109"/>
  <c r="T14" i="109"/>
  <c r="P14" i="109"/>
  <c r="J14" i="109"/>
  <c r="H14" i="109"/>
  <c r="N14" i="109" s="1"/>
  <c r="D14" i="109"/>
  <c r="L14" i="109" s="1"/>
  <c r="T12" i="109"/>
  <c r="V27" i="109" s="1"/>
  <c r="P12" i="109"/>
  <c r="H12" i="109"/>
  <c r="J29" i="109" s="1"/>
  <c r="D12" i="109"/>
  <c r="F18" i="109" s="1"/>
  <c r="D6" i="109"/>
  <c r="D4" i="109"/>
  <c r="X94" i="108"/>
  <c r="Z94" i="108" s="1"/>
  <c r="L94" i="108"/>
  <c r="N94" i="108" s="1"/>
  <c r="T90" i="108"/>
  <c r="Z90" i="108" s="1"/>
  <c r="P90" i="108"/>
  <c r="H90" i="108"/>
  <c r="D90" i="108"/>
  <c r="X88" i="108"/>
  <c r="Z88" i="108" s="1"/>
  <c r="L88" i="108"/>
  <c r="N88" i="108" s="1"/>
  <c r="B88" i="108"/>
  <c r="Z87" i="108"/>
  <c r="X87" i="108"/>
  <c r="N87" i="108"/>
  <c r="L87" i="108"/>
  <c r="J87" i="108"/>
  <c r="B87" i="108"/>
  <c r="X86" i="108"/>
  <c r="T86" i="108"/>
  <c r="P86" i="108"/>
  <c r="H86" i="108"/>
  <c r="D86" i="108"/>
  <c r="B86" i="108"/>
  <c r="Z85" i="108"/>
  <c r="X85" i="108"/>
  <c r="N85" i="108"/>
  <c r="L85" i="108"/>
  <c r="B85" i="108"/>
  <c r="T84" i="108"/>
  <c r="P84" i="108"/>
  <c r="X84" i="108" s="1"/>
  <c r="H84" i="108"/>
  <c r="N84" i="108" s="1"/>
  <c r="D84" i="108"/>
  <c r="L84" i="108" s="1"/>
  <c r="B84" i="108"/>
  <c r="Z83" i="108"/>
  <c r="X83" i="108"/>
  <c r="V83" i="108"/>
  <c r="N83" i="108"/>
  <c r="L83" i="108"/>
  <c r="B83" i="108"/>
  <c r="T82" i="108"/>
  <c r="P82" i="108"/>
  <c r="X82" i="108" s="1"/>
  <c r="Z82" i="108" s="1"/>
  <c r="L82" i="108"/>
  <c r="N82" i="108" s="1"/>
  <c r="H82" i="108"/>
  <c r="D82" i="108"/>
  <c r="B82" i="108"/>
  <c r="Z81" i="108"/>
  <c r="X81" i="108"/>
  <c r="N81" i="108"/>
  <c r="L81" i="108"/>
  <c r="B81" i="108"/>
  <c r="Z80" i="108"/>
  <c r="X80" i="108"/>
  <c r="N80" i="108"/>
  <c r="L80" i="108"/>
  <c r="B80" i="108"/>
  <c r="Z79" i="108"/>
  <c r="X79" i="108"/>
  <c r="L79" i="108"/>
  <c r="N79" i="108" s="1"/>
  <c r="J79" i="108"/>
  <c r="B79" i="108"/>
  <c r="X78" i="108"/>
  <c r="Z78" i="108" s="1"/>
  <c r="L78" i="108"/>
  <c r="N78" i="108" s="1"/>
  <c r="B78" i="108"/>
  <c r="Z77" i="108"/>
  <c r="X77" i="108"/>
  <c r="L77" i="108"/>
  <c r="N77" i="108" s="1"/>
  <c r="B77" i="108"/>
  <c r="X76" i="108"/>
  <c r="Z76" i="108" s="1"/>
  <c r="L76" i="108"/>
  <c r="N76" i="108" s="1"/>
  <c r="B76" i="108"/>
  <c r="Z75" i="108"/>
  <c r="T75" i="108"/>
  <c r="P75" i="108"/>
  <c r="X75" i="108" s="1"/>
  <c r="N75" i="108"/>
  <c r="H75" i="108"/>
  <c r="D75" i="108"/>
  <c r="L75" i="108" s="1"/>
  <c r="B75" i="108"/>
  <c r="X74" i="108"/>
  <c r="Z74" i="108" s="1"/>
  <c r="L74" i="108"/>
  <c r="N74" i="108" s="1"/>
  <c r="B74" i="108"/>
  <c r="Z73" i="108"/>
  <c r="X73" i="108"/>
  <c r="N73" i="108"/>
  <c r="L73" i="108"/>
  <c r="B73" i="108"/>
  <c r="X72" i="108"/>
  <c r="Z72" i="108" s="1"/>
  <c r="R72" i="108"/>
  <c r="L72" i="108"/>
  <c r="N72" i="108" s="1"/>
  <c r="B72" i="108"/>
  <c r="X71" i="108"/>
  <c r="T71" i="108"/>
  <c r="P71" i="108"/>
  <c r="L71" i="108"/>
  <c r="N71" i="108" s="1"/>
  <c r="H71" i="108"/>
  <c r="D71" i="108"/>
  <c r="B71" i="108"/>
  <c r="Z70" i="108"/>
  <c r="X70" i="108"/>
  <c r="N70" i="108"/>
  <c r="L70" i="108"/>
  <c r="B70" i="108"/>
  <c r="X69" i="108"/>
  <c r="Z69" i="108" s="1"/>
  <c r="N69" i="108"/>
  <c r="L69" i="108"/>
  <c r="B69" i="108"/>
  <c r="Z68" i="108"/>
  <c r="X68" i="108"/>
  <c r="N68" i="108"/>
  <c r="L68" i="108"/>
  <c r="B68" i="108"/>
  <c r="T67" i="108"/>
  <c r="P67" i="108"/>
  <c r="H67" i="108"/>
  <c r="D67" i="108"/>
  <c r="B67" i="108"/>
  <c r="X66" i="108"/>
  <c r="Z66" i="108" s="1"/>
  <c r="L66" i="108"/>
  <c r="N66" i="108" s="1"/>
  <c r="B66" i="108"/>
  <c r="T65" i="108"/>
  <c r="P65" i="108"/>
  <c r="N65" i="108"/>
  <c r="H65" i="108"/>
  <c r="D65" i="108"/>
  <c r="L65" i="108" s="1"/>
  <c r="B65" i="108"/>
  <c r="X64" i="108"/>
  <c r="Z64" i="108" s="1"/>
  <c r="L64" i="108"/>
  <c r="N64" i="108" s="1"/>
  <c r="B64" i="108"/>
  <c r="X63" i="108"/>
  <c r="T63" i="108"/>
  <c r="Z63" i="108" s="1"/>
  <c r="P63" i="108"/>
  <c r="L63" i="108"/>
  <c r="N63" i="108" s="1"/>
  <c r="H63" i="108"/>
  <c r="D63" i="108"/>
  <c r="B63" i="108"/>
  <c r="Z62" i="108"/>
  <c r="X62" i="108"/>
  <c r="L62" i="108"/>
  <c r="N62" i="108" s="1"/>
  <c r="J62" i="108"/>
  <c r="B62" i="108"/>
  <c r="T61" i="108"/>
  <c r="P61" i="108"/>
  <c r="H61" i="108"/>
  <c r="D61" i="108"/>
  <c r="L61" i="108" s="1"/>
  <c r="B61" i="108"/>
  <c r="Z60" i="108"/>
  <c r="X60" i="108"/>
  <c r="V60" i="108"/>
  <c r="N60" i="108"/>
  <c r="L60" i="108"/>
  <c r="B60" i="108"/>
  <c r="Z59" i="108"/>
  <c r="T59" i="108"/>
  <c r="P59" i="108"/>
  <c r="X59" i="108" s="1"/>
  <c r="N59" i="108"/>
  <c r="H59" i="108"/>
  <c r="D59" i="108"/>
  <c r="L59" i="108" s="1"/>
  <c r="B59" i="108"/>
  <c r="Z58" i="108"/>
  <c r="X58" i="108"/>
  <c r="N58" i="108"/>
  <c r="L58" i="108"/>
  <c r="B58" i="108"/>
  <c r="X57" i="108"/>
  <c r="Z57" i="108" s="1"/>
  <c r="T57" i="108"/>
  <c r="P57" i="108"/>
  <c r="L57" i="108"/>
  <c r="J57" i="108"/>
  <c r="H57" i="108"/>
  <c r="D57" i="108"/>
  <c r="B57" i="108"/>
  <c r="Z56" i="108"/>
  <c r="X56" i="108"/>
  <c r="N56" i="108"/>
  <c r="L56" i="108"/>
  <c r="B56" i="108"/>
  <c r="Z55" i="108"/>
  <c r="T55" i="108"/>
  <c r="X55" i="108" s="1"/>
  <c r="P55" i="108"/>
  <c r="H55" i="108"/>
  <c r="D55" i="108"/>
  <c r="L55" i="108" s="1"/>
  <c r="B55" i="108"/>
  <c r="X54" i="108"/>
  <c r="Z54" i="108" s="1"/>
  <c r="R54" i="108"/>
  <c r="N54" i="108"/>
  <c r="L54" i="108"/>
  <c r="B54" i="108"/>
  <c r="T53" i="108"/>
  <c r="P53" i="108"/>
  <c r="X53" i="108" s="1"/>
  <c r="Z53" i="108" s="1"/>
  <c r="H53" i="108"/>
  <c r="D53" i="108"/>
  <c r="L53" i="108" s="1"/>
  <c r="N53" i="108" s="1"/>
  <c r="B53" i="108"/>
  <c r="X52" i="108"/>
  <c r="Z52" i="108" s="1"/>
  <c r="N52" i="108"/>
  <c r="L52" i="108"/>
  <c r="B52" i="108"/>
  <c r="X51" i="108"/>
  <c r="Z51" i="108" s="1"/>
  <c r="N51" i="108"/>
  <c r="L51" i="108"/>
  <c r="B51" i="108"/>
  <c r="T50" i="108"/>
  <c r="P50" i="108"/>
  <c r="X50" i="108" s="1"/>
  <c r="Z50" i="108" s="1"/>
  <c r="H50" i="108"/>
  <c r="D50" i="108"/>
  <c r="L50" i="108" s="1"/>
  <c r="B50" i="108"/>
  <c r="X49" i="108"/>
  <c r="Z49" i="108" s="1"/>
  <c r="N49" i="108"/>
  <c r="L49" i="108"/>
  <c r="J49" i="108"/>
  <c r="B49" i="108"/>
  <c r="Z48" i="108"/>
  <c r="X48" i="108"/>
  <c r="T48" i="108"/>
  <c r="P48" i="108"/>
  <c r="L48" i="108"/>
  <c r="H48" i="108"/>
  <c r="N48" i="108" s="1"/>
  <c r="D48" i="108"/>
  <c r="B48" i="108"/>
  <c r="Z47" i="108"/>
  <c r="X47" i="108"/>
  <c r="N47" i="108"/>
  <c r="L47" i="108"/>
  <c r="B47" i="108"/>
  <c r="Z46" i="108"/>
  <c r="X46" i="108"/>
  <c r="N46" i="108"/>
  <c r="L46" i="108"/>
  <c r="B46" i="108"/>
  <c r="Z45" i="108"/>
  <c r="X45" i="108"/>
  <c r="N45" i="108"/>
  <c r="L45" i="108"/>
  <c r="B45" i="108"/>
  <c r="Z44" i="108"/>
  <c r="X44" i="108"/>
  <c r="R44" i="108"/>
  <c r="L44" i="108"/>
  <c r="N44" i="108" s="1"/>
  <c r="B44" i="108"/>
  <c r="Z43" i="108"/>
  <c r="X43" i="108"/>
  <c r="N43" i="108"/>
  <c r="L43" i="108"/>
  <c r="B43" i="108"/>
  <c r="X42" i="108"/>
  <c r="Z42" i="108" s="1"/>
  <c r="R42" i="108"/>
  <c r="N42" i="108"/>
  <c r="L42" i="108"/>
  <c r="B42" i="108"/>
  <c r="Z41" i="108"/>
  <c r="X41" i="108"/>
  <c r="N41" i="108"/>
  <c r="L41" i="108"/>
  <c r="J41" i="108"/>
  <c r="B41" i="108"/>
  <c r="Z40" i="108"/>
  <c r="X40" i="108"/>
  <c r="V40" i="108"/>
  <c r="R40" i="108"/>
  <c r="N40" i="108"/>
  <c r="L40" i="108"/>
  <c r="B40" i="108"/>
  <c r="Z39" i="108"/>
  <c r="X39" i="108"/>
  <c r="L39" i="108"/>
  <c r="N39" i="108" s="1"/>
  <c r="B39" i="108"/>
  <c r="Z38" i="108"/>
  <c r="X38" i="108"/>
  <c r="N38" i="108"/>
  <c r="L38" i="108"/>
  <c r="B38" i="108"/>
  <c r="Z37" i="108"/>
  <c r="T37" i="108"/>
  <c r="P37" i="108"/>
  <c r="X37" i="108" s="1"/>
  <c r="N37" i="108"/>
  <c r="H37" i="108"/>
  <c r="D37" i="108"/>
  <c r="L37" i="108" s="1"/>
  <c r="B37" i="108"/>
  <c r="Z36" i="108"/>
  <c r="X36" i="108"/>
  <c r="N36" i="108"/>
  <c r="L36" i="108"/>
  <c r="B36" i="108"/>
  <c r="X35" i="108"/>
  <c r="Z35" i="108" s="1"/>
  <c r="N35" i="108"/>
  <c r="L35" i="108"/>
  <c r="J35" i="108"/>
  <c r="B35" i="108"/>
  <c r="X34" i="108"/>
  <c r="Z34" i="108" s="1"/>
  <c r="L34" i="108"/>
  <c r="N34" i="108" s="1"/>
  <c r="B34" i="108"/>
  <c r="Z33" i="108"/>
  <c r="X33" i="108"/>
  <c r="V33" i="108"/>
  <c r="N33" i="108"/>
  <c r="L33" i="108"/>
  <c r="B33" i="108"/>
  <c r="Z32" i="108"/>
  <c r="X32" i="108"/>
  <c r="N32" i="108"/>
  <c r="L32" i="108"/>
  <c r="B32" i="108"/>
  <c r="X31" i="108"/>
  <c r="Z31" i="108" s="1"/>
  <c r="N31" i="108"/>
  <c r="L31" i="108"/>
  <c r="B31" i="108"/>
  <c r="X30" i="108"/>
  <c r="Z30" i="108" s="1"/>
  <c r="N30" i="108"/>
  <c r="L30" i="108"/>
  <c r="B30" i="108"/>
  <c r="X29" i="108"/>
  <c r="Z29" i="108" s="1"/>
  <c r="L29" i="108"/>
  <c r="N29" i="108" s="1"/>
  <c r="B29" i="108"/>
  <c r="X28" i="108"/>
  <c r="Z28" i="108" s="1"/>
  <c r="N28" i="108"/>
  <c r="L28" i="108"/>
  <c r="B28" i="108"/>
  <c r="X27" i="108"/>
  <c r="Z27" i="108" s="1"/>
  <c r="N27" i="108"/>
  <c r="L27" i="108"/>
  <c r="J27" i="108"/>
  <c r="B27" i="108"/>
  <c r="T26" i="108"/>
  <c r="P26" i="108"/>
  <c r="X26" i="108" s="1"/>
  <c r="Z26" i="108" s="1"/>
  <c r="H26" i="108"/>
  <c r="D26" i="108"/>
  <c r="B26" i="108"/>
  <c r="T25" i="108"/>
  <c r="R25" i="108"/>
  <c r="P25" i="108"/>
  <c r="H25" i="108"/>
  <c r="D25" i="108"/>
  <c r="J23" i="108"/>
  <c r="H23" i="108"/>
  <c r="H92" i="108" s="1"/>
  <c r="Z21" i="108"/>
  <c r="X21" i="108"/>
  <c r="N21" i="108"/>
  <c r="L21" i="108"/>
  <c r="J21" i="108"/>
  <c r="B21" i="108"/>
  <c r="Z20" i="108"/>
  <c r="X20" i="108"/>
  <c r="N20" i="108"/>
  <c r="L20" i="108"/>
  <c r="B20" i="108"/>
  <c r="Z19" i="108"/>
  <c r="X19" i="108"/>
  <c r="N19" i="108"/>
  <c r="L19" i="108"/>
  <c r="B19" i="108"/>
  <c r="X18" i="108"/>
  <c r="Z18" i="108" s="1"/>
  <c r="T18" i="108"/>
  <c r="P18" i="108"/>
  <c r="L18" i="108"/>
  <c r="N18" i="108" s="1"/>
  <c r="H18" i="108"/>
  <c r="D18" i="108"/>
  <c r="Z16" i="108"/>
  <c r="X16" i="108"/>
  <c r="P16" i="108"/>
  <c r="P12" i="108" s="1"/>
  <c r="N16" i="108"/>
  <c r="D16" i="108"/>
  <c r="L16" i="108" s="1"/>
  <c r="B16" i="108"/>
  <c r="Z15" i="108"/>
  <c r="X15" i="108"/>
  <c r="P15" i="108"/>
  <c r="N15" i="108"/>
  <c r="D15" i="108"/>
  <c r="L15" i="108" s="1"/>
  <c r="B15" i="108"/>
  <c r="X14" i="108"/>
  <c r="Z14" i="108" s="1"/>
  <c r="P14" i="108"/>
  <c r="D14" i="108"/>
  <c r="L14" i="108" s="1"/>
  <c r="N14" i="108" s="1"/>
  <c r="B14" i="108"/>
  <c r="Z13" i="108"/>
  <c r="X13" i="108"/>
  <c r="P13" i="108"/>
  <c r="N13" i="108"/>
  <c r="L13" i="108"/>
  <c r="D13" i="108"/>
  <c r="B13" i="108"/>
  <c r="T12" i="108"/>
  <c r="V38" i="108" s="1"/>
  <c r="H12" i="108"/>
  <c r="J86" i="108" s="1"/>
  <c r="D6" i="108"/>
  <c r="D4" i="108"/>
  <c r="J29" i="107"/>
  <c r="F26" i="107"/>
  <c r="Z24" i="107"/>
  <c r="X24" i="107"/>
  <c r="N24" i="107"/>
  <c r="L24" i="107"/>
  <c r="J24" i="107"/>
  <c r="V22" i="107"/>
  <c r="J22" i="107"/>
  <c r="V20" i="107"/>
  <c r="T20" i="107"/>
  <c r="Z20" i="107" s="1"/>
  <c r="P20" i="107"/>
  <c r="X20" i="107" s="1"/>
  <c r="H20" i="107"/>
  <c r="F20" i="107"/>
  <c r="D20" i="107"/>
  <c r="V18" i="107"/>
  <c r="T18" i="107"/>
  <c r="Z18" i="107" s="1"/>
  <c r="P18" i="107"/>
  <c r="X18" i="107" s="1"/>
  <c r="J18" i="107"/>
  <c r="H18" i="107"/>
  <c r="N18" i="107" s="1"/>
  <c r="D18" i="107"/>
  <c r="V16" i="107"/>
  <c r="J16" i="107"/>
  <c r="F16" i="107"/>
  <c r="T14" i="107"/>
  <c r="Z14" i="107" s="1"/>
  <c r="R14" i="107"/>
  <c r="P14" i="107"/>
  <c r="J14" i="107"/>
  <c r="H14" i="107"/>
  <c r="N14" i="107" s="1"/>
  <c r="F14" i="107"/>
  <c r="D14" i="107"/>
  <c r="Z12" i="107"/>
  <c r="T12" i="107"/>
  <c r="P12" i="107"/>
  <c r="N12" i="107"/>
  <c r="L12" i="107"/>
  <c r="H12" i="107"/>
  <c r="J26" i="107" s="1"/>
  <c r="D12" i="107"/>
  <c r="F18" i="107" s="1"/>
  <c r="D6" i="107"/>
  <c r="D4" i="107"/>
  <c r="Z95" i="106"/>
  <c r="X95" i="106"/>
  <c r="L95" i="106"/>
  <c r="N95" i="106" s="1"/>
  <c r="T91" i="106"/>
  <c r="Z91" i="106" s="1"/>
  <c r="P91" i="106"/>
  <c r="H91" i="106"/>
  <c r="N91" i="106" s="1"/>
  <c r="D91" i="106"/>
  <c r="L91" i="106" s="1"/>
  <c r="Z89" i="106"/>
  <c r="X89" i="106"/>
  <c r="N89" i="106"/>
  <c r="L89" i="106"/>
  <c r="B89" i="106"/>
  <c r="Z88" i="106"/>
  <c r="X88" i="106"/>
  <c r="V88" i="106"/>
  <c r="T88" i="106"/>
  <c r="P88" i="106"/>
  <c r="H88" i="106"/>
  <c r="N88" i="106" s="1"/>
  <c r="D88" i="106"/>
  <c r="B88" i="106"/>
  <c r="Z87" i="106"/>
  <c r="X87" i="106"/>
  <c r="L87" i="106"/>
  <c r="N87" i="106" s="1"/>
  <c r="B87" i="106"/>
  <c r="T86" i="106"/>
  <c r="P86" i="106"/>
  <c r="H86" i="106"/>
  <c r="D86" i="106"/>
  <c r="L86" i="106" s="1"/>
  <c r="B86" i="106"/>
  <c r="X85" i="106"/>
  <c r="Z85" i="106" s="1"/>
  <c r="L85" i="106"/>
  <c r="N85" i="106" s="1"/>
  <c r="B85" i="106"/>
  <c r="T84" i="106"/>
  <c r="R84" i="106"/>
  <c r="P84" i="106"/>
  <c r="X84" i="106" s="1"/>
  <c r="Z84" i="106" s="1"/>
  <c r="N84" i="106"/>
  <c r="H84" i="106"/>
  <c r="D84" i="106"/>
  <c r="L84" i="106" s="1"/>
  <c r="B84" i="106"/>
  <c r="Z83" i="106"/>
  <c r="X83" i="106"/>
  <c r="N83" i="106"/>
  <c r="L83" i="106"/>
  <c r="B83" i="106"/>
  <c r="Z82" i="106"/>
  <c r="X82" i="106"/>
  <c r="N82" i="106"/>
  <c r="L82" i="106"/>
  <c r="B82" i="106"/>
  <c r="Z81" i="106"/>
  <c r="X81" i="106"/>
  <c r="N81" i="106"/>
  <c r="L81" i="106"/>
  <c r="B81" i="106"/>
  <c r="X80" i="106"/>
  <c r="Z80" i="106" s="1"/>
  <c r="V80" i="106"/>
  <c r="L80" i="106"/>
  <c r="N80" i="106" s="1"/>
  <c r="B80" i="106"/>
  <c r="Z79" i="106"/>
  <c r="X79" i="106"/>
  <c r="L79" i="106"/>
  <c r="N79" i="106" s="1"/>
  <c r="B79" i="106"/>
  <c r="X78" i="106"/>
  <c r="Z78" i="106" s="1"/>
  <c r="N78" i="106"/>
  <c r="L78" i="106"/>
  <c r="B78" i="106"/>
  <c r="X77" i="106"/>
  <c r="Z77" i="106" s="1"/>
  <c r="N77" i="106"/>
  <c r="L77" i="106"/>
  <c r="B77" i="106"/>
  <c r="Z76" i="106"/>
  <c r="X76" i="106"/>
  <c r="N76" i="106"/>
  <c r="L76" i="106"/>
  <c r="B76" i="106"/>
  <c r="T75" i="106"/>
  <c r="P75" i="106"/>
  <c r="X75" i="106" s="1"/>
  <c r="H75" i="106"/>
  <c r="N75" i="106" s="1"/>
  <c r="D75" i="106"/>
  <c r="L75" i="106" s="1"/>
  <c r="B75" i="106"/>
  <c r="Z74" i="106"/>
  <c r="X74" i="106"/>
  <c r="N74" i="106"/>
  <c r="L74" i="106"/>
  <c r="B74" i="106"/>
  <c r="Z73" i="106"/>
  <c r="X73" i="106"/>
  <c r="L73" i="106"/>
  <c r="N73" i="106" s="1"/>
  <c r="B73" i="106"/>
  <c r="Z72" i="106"/>
  <c r="X72" i="106"/>
  <c r="N72" i="106"/>
  <c r="L72" i="106"/>
  <c r="B72" i="106"/>
  <c r="X71" i="106"/>
  <c r="Z71" i="106" s="1"/>
  <c r="L71" i="106"/>
  <c r="N71" i="106" s="1"/>
  <c r="B71" i="106"/>
  <c r="T70" i="106"/>
  <c r="P70" i="106"/>
  <c r="H70" i="106"/>
  <c r="D70" i="106"/>
  <c r="L70" i="106" s="1"/>
  <c r="B70" i="106"/>
  <c r="X69" i="106"/>
  <c r="Z69" i="106" s="1"/>
  <c r="L69" i="106"/>
  <c r="N69" i="106" s="1"/>
  <c r="B69" i="106"/>
  <c r="X68" i="106"/>
  <c r="Z68" i="106" s="1"/>
  <c r="L68" i="106"/>
  <c r="N68" i="106" s="1"/>
  <c r="B68" i="106"/>
  <c r="X67" i="106"/>
  <c r="Z67" i="106" s="1"/>
  <c r="N67" i="106"/>
  <c r="L67" i="106"/>
  <c r="B67" i="106"/>
  <c r="Z66" i="106"/>
  <c r="T66" i="106"/>
  <c r="P66" i="106"/>
  <c r="X66" i="106" s="1"/>
  <c r="H66" i="106"/>
  <c r="D66" i="106"/>
  <c r="L66" i="106" s="1"/>
  <c r="N66" i="106" s="1"/>
  <c r="B66" i="106"/>
  <c r="X65" i="106"/>
  <c r="Z65" i="106" s="1"/>
  <c r="N65" i="106"/>
  <c r="L65" i="106"/>
  <c r="B65" i="106"/>
  <c r="X64" i="106"/>
  <c r="Z64" i="106" s="1"/>
  <c r="T64" i="106"/>
  <c r="P64" i="106"/>
  <c r="H64" i="106"/>
  <c r="D64" i="106"/>
  <c r="B64" i="106"/>
  <c r="X63" i="106"/>
  <c r="Z63" i="106" s="1"/>
  <c r="L63" i="106"/>
  <c r="N63" i="106" s="1"/>
  <c r="B63" i="106"/>
  <c r="T62" i="106"/>
  <c r="P62" i="106"/>
  <c r="H62" i="106"/>
  <c r="D62" i="106"/>
  <c r="L62" i="106" s="1"/>
  <c r="B62" i="106"/>
  <c r="X61" i="106"/>
  <c r="Z61" i="106" s="1"/>
  <c r="V61" i="106"/>
  <c r="L61" i="106"/>
  <c r="N61" i="106" s="1"/>
  <c r="B61" i="106"/>
  <c r="T60" i="106"/>
  <c r="P60" i="106"/>
  <c r="X60" i="106" s="1"/>
  <c r="Z60" i="106" s="1"/>
  <c r="N60" i="106"/>
  <c r="H60" i="106"/>
  <c r="D60" i="106"/>
  <c r="L60" i="106" s="1"/>
  <c r="B60" i="106"/>
  <c r="Z59" i="106"/>
  <c r="X59" i="106"/>
  <c r="R59" i="106"/>
  <c r="N59" i="106"/>
  <c r="L59" i="106"/>
  <c r="B59" i="106"/>
  <c r="T58" i="106"/>
  <c r="P58" i="106"/>
  <c r="N58" i="106"/>
  <c r="L58" i="106"/>
  <c r="H58" i="106"/>
  <c r="D58" i="106"/>
  <c r="B58" i="106"/>
  <c r="Z57" i="106"/>
  <c r="X57" i="106"/>
  <c r="L57" i="106"/>
  <c r="N57" i="106" s="1"/>
  <c r="B57" i="106"/>
  <c r="T56" i="106"/>
  <c r="Z56" i="106" s="1"/>
  <c r="P56" i="106"/>
  <c r="X56" i="106" s="1"/>
  <c r="H56" i="106"/>
  <c r="D56" i="106"/>
  <c r="B56" i="106"/>
  <c r="X55" i="106"/>
  <c r="Z55" i="106" s="1"/>
  <c r="N55" i="106"/>
  <c r="L55" i="106"/>
  <c r="B55" i="106"/>
  <c r="Z54" i="106"/>
  <c r="T54" i="106"/>
  <c r="P54" i="106"/>
  <c r="X54" i="106" s="1"/>
  <c r="H54" i="106"/>
  <c r="D54" i="106"/>
  <c r="L54" i="106" s="1"/>
  <c r="N54" i="106" s="1"/>
  <c r="B54" i="106"/>
  <c r="X53" i="106"/>
  <c r="Z53" i="106" s="1"/>
  <c r="N53" i="106"/>
  <c r="L53" i="106"/>
  <c r="B53" i="106"/>
  <c r="Z52" i="106"/>
  <c r="X52" i="106"/>
  <c r="T52" i="106"/>
  <c r="P52" i="106"/>
  <c r="H52" i="106"/>
  <c r="D52" i="106"/>
  <c r="B52" i="106"/>
  <c r="X51" i="106"/>
  <c r="Z51" i="106" s="1"/>
  <c r="L51" i="106"/>
  <c r="N51" i="106" s="1"/>
  <c r="B51" i="106"/>
  <c r="T50" i="106"/>
  <c r="P50" i="106"/>
  <c r="H50" i="106"/>
  <c r="D50" i="106"/>
  <c r="L50" i="106" s="1"/>
  <c r="B50" i="106"/>
  <c r="X49" i="106"/>
  <c r="Z49" i="106" s="1"/>
  <c r="N49" i="106"/>
  <c r="L49" i="106"/>
  <c r="B49" i="106"/>
  <c r="T48" i="106"/>
  <c r="P48" i="106"/>
  <c r="X48" i="106" s="1"/>
  <c r="Z48" i="106" s="1"/>
  <c r="H48" i="106"/>
  <c r="D48" i="106"/>
  <c r="L48" i="106" s="1"/>
  <c r="N48" i="106" s="1"/>
  <c r="B48" i="106"/>
  <c r="Z47" i="106"/>
  <c r="X47" i="106"/>
  <c r="N47" i="106"/>
  <c r="L47" i="106"/>
  <c r="B47" i="106"/>
  <c r="Z46" i="106"/>
  <c r="X46" i="106"/>
  <c r="N46" i="106"/>
  <c r="L46" i="106"/>
  <c r="B46" i="106"/>
  <c r="Z45" i="106"/>
  <c r="X45" i="106"/>
  <c r="N45" i="106"/>
  <c r="L45" i="106"/>
  <c r="B45" i="106"/>
  <c r="X44" i="106"/>
  <c r="Z44" i="106" s="1"/>
  <c r="V44" i="106"/>
  <c r="N44" i="106"/>
  <c r="L44" i="106"/>
  <c r="B44" i="106"/>
  <c r="Z43" i="106"/>
  <c r="X43" i="106"/>
  <c r="N43" i="106"/>
  <c r="L43" i="106"/>
  <c r="B43" i="106"/>
  <c r="X42" i="106"/>
  <c r="Z42" i="106" s="1"/>
  <c r="R42" i="106"/>
  <c r="L42" i="106"/>
  <c r="N42" i="106" s="1"/>
  <c r="B42" i="106"/>
  <c r="Z41" i="106"/>
  <c r="X41" i="106"/>
  <c r="N41" i="106"/>
  <c r="L41" i="106"/>
  <c r="B41" i="106"/>
  <c r="Z40" i="106"/>
  <c r="X40" i="106"/>
  <c r="V40" i="106"/>
  <c r="N40" i="106"/>
  <c r="L40" i="106"/>
  <c r="B40" i="106"/>
  <c r="Z39" i="106"/>
  <c r="X39" i="106"/>
  <c r="N39" i="106"/>
  <c r="L39" i="106"/>
  <c r="B39" i="106"/>
  <c r="Z38" i="106"/>
  <c r="X38" i="106"/>
  <c r="R38" i="106"/>
  <c r="N38" i="106"/>
  <c r="L38" i="106"/>
  <c r="B38" i="106"/>
  <c r="T37" i="106"/>
  <c r="P37" i="106"/>
  <c r="X37" i="106" s="1"/>
  <c r="H37" i="106"/>
  <c r="D37" i="106"/>
  <c r="L37" i="106" s="1"/>
  <c r="B37" i="106"/>
  <c r="X36" i="106"/>
  <c r="Z36" i="106" s="1"/>
  <c r="L36" i="106"/>
  <c r="N36" i="106" s="1"/>
  <c r="B36" i="106"/>
  <c r="Z35" i="106"/>
  <c r="X35" i="106"/>
  <c r="N35" i="106"/>
  <c r="L35" i="106"/>
  <c r="B35" i="106"/>
  <c r="X34" i="106"/>
  <c r="Z34" i="106" s="1"/>
  <c r="V34" i="106"/>
  <c r="R34" i="106"/>
  <c r="N34" i="106"/>
  <c r="L34" i="106"/>
  <c r="B34" i="106"/>
  <c r="Z33" i="106"/>
  <c r="X33" i="106"/>
  <c r="N33" i="106"/>
  <c r="L33" i="106"/>
  <c r="B33" i="106"/>
  <c r="Z32" i="106"/>
  <c r="X32" i="106"/>
  <c r="N32" i="106"/>
  <c r="L32" i="106"/>
  <c r="B32" i="106"/>
  <c r="Z31" i="106"/>
  <c r="X31" i="106"/>
  <c r="L31" i="106"/>
  <c r="N31" i="106" s="1"/>
  <c r="B31" i="106"/>
  <c r="X30" i="106"/>
  <c r="Z30" i="106" s="1"/>
  <c r="R30" i="106"/>
  <c r="N30" i="106"/>
  <c r="L30" i="106"/>
  <c r="B30" i="106"/>
  <c r="Z29" i="106"/>
  <c r="X29" i="106"/>
  <c r="V29" i="106"/>
  <c r="L29" i="106"/>
  <c r="N29" i="106" s="1"/>
  <c r="B29" i="106"/>
  <c r="X28" i="106"/>
  <c r="Z28" i="106" s="1"/>
  <c r="L28" i="106"/>
  <c r="N28" i="106" s="1"/>
  <c r="B28" i="106"/>
  <c r="X27" i="106"/>
  <c r="Z27" i="106" s="1"/>
  <c r="L27" i="106"/>
  <c r="N27" i="106" s="1"/>
  <c r="B27" i="106"/>
  <c r="T26" i="106"/>
  <c r="P26" i="106"/>
  <c r="H26" i="106"/>
  <c r="D26" i="106"/>
  <c r="L26" i="106" s="1"/>
  <c r="B26" i="106"/>
  <c r="T25" i="106"/>
  <c r="P25" i="106"/>
  <c r="H25" i="106"/>
  <c r="N25" i="106" s="1"/>
  <c r="D25" i="106"/>
  <c r="L25" i="106" s="1"/>
  <c r="T23" i="106"/>
  <c r="Z21" i="106"/>
  <c r="X21" i="106"/>
  <c r="V21" i="106"/>
  <c r="N21" i="106"/>
  <c r="L21" i="106"/>
  <c r="B21" i="106"/>
  <c r="Z20" i="106"/>
  <c r="X20" i="106"/>
  <c r="N20" i="106"/>
  <c r="L20" i="106"/>
  <c r="B20" i="106"/>
  <c r="X19" i="106"/>
  <c r="Z19" i="106" s="1"/>
  <c r="V19" i="106"/>
  <c r="N19" i="106"/>
  <c r="L19" i="106"/>
  <c r="B19" i="106"/>
  <c r="Z18" i="106"/>
  <c r="T18" i="106"/>
  <c r="P18" i="106"/>
  <c r="X18" i="106" s="1"/>
  <c r="L18" i="106"/>
  <c r="N18" i="106" s="1"/>
  <c r="H18" i="106"/>
  <c r="D18" i="106"/>
  <c r="Z16" i="106"/>
  <c r="P16" i="106"/>
  <c r="X16" i="106" s="1"/>
  <c r="N16" i="106"/>
  <c r="D16" i="106"/>
  <c r="L16" i="106" s="1"/>
  <c r="B16" i="106"/>
  <c r="Z15" i="106"/>
  <c r="X15" i="106"/>
  <c r="P15" i="106"/>
  <c r="N15" i="106"/>
  <c r="L15" i="106"/>
  <c r="D15" i="106"/>
  <c r="B15" i="106"/>
  <c r="Z14" i="106"/>
  <c r="X14" i="106"/>
  <c r="P14" i="106"/>
  <c r="D14" i="106"/>
  <c r="B14" i="106"/>
  <c r="Z13" i="106"/>
  <c r="X13" i="106"/>
  <c r="P13" i="106"/>
  <c r="N13" i="106"/>
  <c r="D13" i="106"/>
  <c r="L13" i="106" s="1"/>
  <c r="B13" i="106"/>
  <c r="T12" i="106"/>
  <c r="P12" i="106"/>
  <c r="H12" i="106"/>
  <c r="J78" i="106" s="1"/>
  <c r="D6" i="106"/>
  <c r="D4" i="106"/>
  <c r="X65" i="105"/>
  <c r="Z65" i="105" s="1"/>
  <c r="N65" i="105"/>
  <c r="L65" i="105"/>
  <c r="H63" i="105"/>
  <c r="V61" i="105"/>
  <c r="T61" i="105"/>
  <c r="Z61" i="105" s="1"/>
  <c r="P61" i="105"/>
  <c r="L61" i="105"/>
  <c r="H61" i="105"/>
  <c r="N61" i="105" s="1"/>
  <c r="D61" i="105"/>
  <c r="Z59" i="105"/>
  <c r="X59" i="105"/>
  <c r="V59" i="105"/>
  <c r="N59" i="105"/>
  <c r="L59" i="105"/>
  <c r="B59" i="105"/>
  <c r="T58" i="105"/>
  <c r="Z58" i="105" s="1"/>
  <c r="P58" i="105"/>
  <c r="N58" i="105"/>
  <c r="H58" i="105"/>
  <c r="D58" i="105"/>
  <c r="L58" i="105" s="1"/>
  <c r="B58" i="105"/>
  <c r="Z57" i="105"/>
  <c r="X57" i="105"/>
  <c r="N57" i="105"/>
  <c r="L57" i="105"/>
  <c r="B57" i="105"/>
  <c r="Z56" i="105"/>
  <c r="X56" i="105"/>
  <c r="V56" i="105"/>
  <c r="L56" i="105"/>
  <c r="N56" i="105" s="1"/>
  <c r="B56" i="105"/>
  <c r="Z55" i="105"/>
  <c r="X55" i="105"/>
  <c r="N55" i="105"/>
  <c r="L55" i="105"/>
  <c r="B55" i="105"/>
  <c r="X54" i="105"/>
  <c r="Z54" i="105" s="1"/>
  <c r="T54" i="105"/>
  <c r="R54" i="105"/>
  <c r="P54" i="105"/>
  <c r="H54" i="105"/>
  <c r="D54" i="105"/>
  <c r="L54" i="105" s="1"/>
  <c r="N54" i="105" s="1"/>
  <c r="B54" i="105"/>
  <c r="Z53" i="105"/>
  <c r="X53" i="105"/>
  <c r="L53" i="105"/>
  <c r="N53" i="105" s="1"/>
  <c r="J53" i="105"/>
  <c r="B53" i="105"/>
  <c r="X52" i="105"/>
  <c r="T52" i="105"/>
  <c r="P52" i="105"/>
  <c r="L52" i="105"/>
  <c r="N52" i="105" s="1"/>
  <c r="H52" i="105"/>
  <c r="F52" i="105"/>
  <c r="D52" i="105"/>
  <c r="B52" i="105"/>
  <c r="X51" i="105"/>
  <c r="Z51" i="105" s="1"/>
  <c r="L51" i="105"/>
  <c r="N51" i="105" s="1"/>
  <c r="J51" i="105"/>
  <c r="B51" i="105"/>
  <c r="Z50" i="105"/>
  <c r="X50" i="105"/>
  <c r="T50" i="105"/>
  <c r="P50" i="105"/>
  <c r="J50" i="105"/>
  <c r="H50" i="105"/>
  <c r="D50" i="105"/>
  <c r="B50" i="105"/>
  <c r="Z49" i="105"/>
  <c r="X49" i="105"/>
  <c r="N49" i="105"/>
  <c r="L49" i="105"/>
  <c r="B49" i="105"/>
  <c r="T48" i="105"/>
  <c r="P48" i="105"/>
  <c r="H48" i="105"/>
  <c r="D48" i="105"/>
  <c r="L48" i="105" s="1"/>
  <c r="B48" i="105"/>
  <c r="X47" i="105"/>
  <c r="Z47" i="105" s="1"/>
  <c r="V47" i="105"/>
  <c r="N47" i="105"/>
  <c r="L47" i="105"/>
  <c r="B47" i="105"/>
  <c r="X46" i="105"/>
  <c r="Z46" i="105" s="1"/>
  <c r="V46" i="105"/>
  <c r="T46" i="105"/>
  <c r="P46" i="105"/>
  <c r="N46" i="105"/>
  <c r="L46" i="105"/>
  <c r="H46" i="105"/>
  <c r="D46" i="105"/>
  <c r="B46" i="105"/>
  <c r="Z45" i="105"/>
  <c r="X45" i="105"/>
  <c r="N45" i="105"/>
  <c r="L45" i="105"/>
  <c r="J45" i="105"/>
  <c r="B45" i="105"/>
  <c r="Z44" i="105"/>
  <c r="X44" i="105"/>
  <c r="V44" i="105"/>
  <c r="R44" i="105"/>
  <c r="N44" i="105"/>
  <c r="L44" i="105"/>
  <c r="B44" i="105"/>
  <c r="Z43" i="105"/>
  <c r="X43" i="105"/>
  <c r="L43" i="105"/>
  <c r="N43" i="105" s="1"/>
  <c r="J43" i="105"/>
  <c r="B43" i="105"/>
  <c r="Z42" i="105"/>
  <c r="X42" i="105"/>
  <c r="N42" i="105"/>
  <c r="L42" i="105"/>
  <c r="B42" i="105"/>
  <c r="Z41" i="105"/>
  <c r="X41" i="105"/>
  <c r="N41" i="105"/>
  <c r="L41" i="105"/>
  <c r="J41" i="105"/>
  <c r="B41" i="105"/>
  <c r="Z40" i="105"/>
  <c r="X40" i="105"/>
  <c r="V40" i="105"/>
  <c r="R40" i="105"/>
  <c r="N40" i="105"/>
  <c r="L40" i="105"/>
  <c r="B40" i="105"/>
  <c r="Z39" i="105"/>
  <c r="X39" i="105"/>
  <c r="N39" i="105"/>
  <c r="L39" i="105"/>
  <c r="J39" i="105"/>
  <c r="B39" i="105"/>
  <c r="Z38" i="105"/>
  <c r="X38" i="105"/>
  <c r="N38" i="105"/>
  <c r="L38" i="105"/>
  <c r="B38" i="105"/>
  <c r="Z37" i="105"/>
  <c r="X37" i="105"/>
  <c r="N37" i="105"/>
  <c r="L37" i="105"/>
  <c r="J37" i="105"/>
  <c r="B37" i="105"/>
  <c r="Z36" i="105"/>
  <c r="X36" i="105"/>
  <c r="V36" i="105"/>
  <c r="N36" i="105"/>
  <c r="L36" i="105"/>
  <c r="F36" i="105"/>
  <c r="B36" i="105"/>
  <c r="T35" i="105"/>
  <c r="P35" i="105"/>
  <c r="X35" i="105" s="1"/>
  <c r="Z35" i="105" s="1"/>
  <c r="L35" i="105"/>
  <c r="N35" i="105" s="1"/>
  <c r="H35" i="105"/>
  <c r="F35" i="105"/>
  <c r="D35" i="105"/>
  <c r="B35" i="105"/>
  <c r="X34" i="105"/>
  <c r="Z34" i="105" s="1"/>
  <c r="L34" i="105"/>
  <c r="N34" i="105" s="1"/>
  <c r="J34" i="105"/>
  <c r="B34" i="105"/>
  <c r="Z33" i="105"/>
  <c r="X33" i="105"/>
  <c r="N33" i="105"/>
  <c r="L33" i="105"/>
  <c r="J33" i="105"/>
  <c r="F33" i="105"/>
  <c r="B33" i="105"/>
  <c r="Z32" i="105"/>
  <c r="X32" i="105"/>
  <c r="R32" i="105"/>
  <c r="N32" i="105"/>
  <c r="L32" i="105"/>
  <c r="B32" i="105"/>
  <c r="Z31" i="105"/>
  <c r="X31" i="105"/>
  <c r="V31" i="105"/>
  <c r="R31" i="105"/>
  <c r="N31" i="105"/>
  <c r="L31" i="105"/>
  <c r="J31" i="105"/>
  <c r="B31" i="105"/>
  <c r="X30" i="105"/>
  <c r="Z30" i="105" s="1"/>
  <c r="N30" i="105"/>
  <c r="L30" i="105"/>
  <c r="J30" i="105"/>
  <c r="B30" i="105"/>
  <c r="Z29" i="105"/>
  <c r="X29" i="105"/>
  <c r="N29" i="105"/>
  <c r="L29" i="105"/>
  <c r="J29" i="105"/>
  <c r="B29" i="105"/>
  <c r="Z28" i="105"/>
  <c r="X28" i="105"/>
  <c r="N28" i="105"/>
  <c r="L28" i="105"/>
  <c r="B28" i="105"/>
  <c r="Z27" i="105"/>
  <c r="X27" i="105"/>
  <c r="V27" i="105"/>
  <c r="N27" i="105"/>
  <c r="L27" i="105"/>
  <c r="J27" i="105"/>
  <c r="B27" i="105"/>
  <c r="T26" i="105"/>
  <c r="P26" i="105"/>
  <c r="X26" i="105" s="1"/>
  <c r="H26" i="105"/>
  <c r="D26" i="105"/>
  <c r="B26" i="105"/>
  <c r="T25" i="105"/>
  <c r="P25" i="105"/>
  <c r="X25" i="105" s="1"/>
  <c r="J25" i="105"/>
  <c r="H25" i="105"/>
  <c r="N25" i="105" s="1"/>
  <c r="D25" i="105"/>
  <c r="L25" i="105" s="1"/>
  <c r="T23" i="105"/>
  <c r="J23" i="105"/>
  <c r="H23" i="105"/>
  <c r="Z21" i="105"/>
  <c r="X21" i="105"/>
  <c r="R21" i="105"/>
  <c r="N21" i="105"/>
  <c r="L21" i="105"/>
  <c r="B21" i="105"/>
  <c r="Z20" i="105"/>
  <c r="X20" i="105"/>
  <c r="N20" i="105"/>
  <c r="L20" i="105"/>
  <c r="J20" i="105"/>
  <c r="F20" i="105"/>
  <c r="B20" i="105"/>
  <c r="X19" i="105"/>
  <c r="Z19" i="105" s="1"/>
  <c r="V19" i="105"/>
  <c r="N19" i="105"/>
  <c r="L19" i="105"/>
  <c r="J19" i="105"/>
  <c r="B19" i="105"/>
  <c r="V18" i="105"/>
  <c r="T18" i="105"/>
  <c r="P18" i="105"/>
  <c r="N18" i="105"/>
  <c r="L18" i="105"/>
  <c r="H18" i="105"/>
  <c r="J18" i="105" s="1"/>
  <c r="D18" i="105"/>
  <c r="Z16" i="105"/>
  <c r="X16" i="105"/>
  <c r="P16" i="105"/>
  <c r="P12" i="105" s="1"/>
  <c r="R26" i="105" s="1"/>
  <c r="N16" i="105"/>
  <c r="D16" i="105"/>
  <c r="L16" i="105" s="1"/>
  <c r="B16" i="105"/>
  <c r="Z15" i="105"/>
  <c r="P15" i="105"/>
  <c r="X15" i="105" s="1"/>
  <c r="N15" i="105"/>
  <c r="D15" i="105"/>
  <c r="L15" i="105" s="1"/>
  <c r="B15" i="105"/>
  <c r="P14" i="105"/>
  <c r="X14" i="105" s="1"/>
  <c r="Z14" i="105" s="1"/>
  <c r="N14" i="105"/>
  <c r="L14" i="105"/>
  <c r="D14" i="105"/>
  <c r="B14" i="105"/>
  <c r="Z13" i="105"/>
  <c r="P13" i="105"/>
  <c r="X13" i="105" s="1"/>
  <c r="N13" i="105"/>
  <c r="L13" i="105"/>
  <c r="D13" i="105"/>
  <c r="D12" i="105" s="1"/>
  <c r="F58" i="105" s="1"/>
  <c r="B13" i="105"/>
  <c r="X12" i="105"/>
  <c r="T12" i="105"/>
  <c r="V57" i="105" s="1"/>
  <c r="H12" i="105"/>
  <c r="J49" i="105" s="1"/>
  <c r="D6" i="105"/>
  <c r="D4" i="105"/>
  <c r="Z94" i="104"/>
  <c r="X94" i="104"/>
  <c r="N94" i="104"/>
  <c r="L94" i="104"/>
  <c r="T90" i="104"/>
  <c r="P90" i="104"/>
  <c r="L90" i="104"/>
  <c r="H90" i="104"/>
  <c r="N90" i="104" s="1"/>
  <c r="D90" i="104"/>
  <c r="X88" i="104"/>
  <c r="Z88" i="104" s="1"/>
  <c r="R88" i="104"/>
  <c r="N88" i="104"/>
  <c r="L88" i="104"/>
  <c r="B88" i="104"/>
  <c r="Z87" i="104"/>
  <c r="X87" i="104"/>
  <c r="N87" i="104"/>
  <c r="L87" i="104"/>
  <c r="B87" i="104"/>
  <c r="X86" i="104"/>
  <c r="V86" i="104"/>
  <c r="T86" i="104"/>
  <c r="Z86" i="104" s="1"/>
  <c r="P86" i="104"/>
  <c r="H86" i="104"/>
  <c r="D86" i="104"/>
  <c r="B86" i="104"/>
  <c r="Z85" i="104"/>
  <c r="X85" i="104"/>
  <c r="N85" i="104"/>
  <c r="L85" i="104"/>
  <c r="F85" i="104"/>
  <c r="B85" i="104"/>
  <c r="T84" i="104"/>
  <c r="Z84" i="104" s="1"/>
  <c r="P84" i="104"/>
  <c r="X84" i="104" s="1"/>
  <c r="H84" i="104"/>
  <c r="N84" i="104" s="1"/>
  <c r="D84" i="104"/>
  <c r="L84" i="104" s="1"/>
  <c r="B84" i="104"/>
  <c r="X83" i="104"/>
  <c r="Z83" i="104" s="1"/>
  <c r="R83" i="104"/>
  <c r="N83" i="104"/>
  <c r="L83" i="104"/>
  <c r="B83" i="104"/>
  <c r="X82" i="104"/>
  <c r="Z82" i="104" s="1"/>
  <c r="T82" i="104"/>
  <c r="P82" i="104"/>
  <c r="N82" i="104"/>
  <c r="L82" i="104"/>
  <c r="H82" i="104"/>
  <c r="D82" i="104"/>
  <c r="B82" i="104"/>
  <c r="X81" i="104"/>
  <c r="Z81" i="104" s="1"/>
  <c r="N81" i="104"/>
  <c r="L81" i="104"/>
  <c r="B81" i="104"/>
  <c r="Z80" i="104"/>
  <c r="X80" i="104"/>
  <c r="N80" i="104"/>
  <c r="L80" i="104"/>
  <c r="F80" i="104"/>
  <c r="B80" i="104"/>
  <c r="Z79" i="104"/>
  <c r="X79" i="104"/>
  <c r="L79" i="104"/>
  <c r="N79" i="104" s="1"/>
  <c r="B79" i="104"/>
  <c r="X78" i="104"/>
  <c r="Z78" i="104" s="1"/>
  <c r="L78" i="104"/>
  <c r="N78" i="104" s="1"/>
  <c r="B78" i="104"/>
  <c r="Z77" i="104"/>
  <c r="X77" i="104"/>
  <c r="L77" i="104"/>
  <c r="N77" i="104" s="1"/>
  <c r="B77" i="104"/>
  <c r="X76" i="104"/>
  <c r="Z76" i="104" s="1"/>
  <c r="N76" i="104"/>
  <c r="L76" i="104"/>
  <c r="B76" i="104"/>
  <c r="Z75" i="104"/>
  <c r="X75" i="104"/>
  <c r="L75" i="104"/>
  <c r="N75" i="104" s="1"/>
  <c r="B75" i="104"/>
  <c r="X74" i="104"/>
  <c r="Z74" i="104" s="1"/>
  <c r="L74" i="104"/>
  <c r="N74" i="104" s="1"/>
  <c r="B74" i="104"/>
  <c r="X73" i="104"/>
  <c r="Z73" i="104" s="1"/>
  <c r="T73" i="104"/>
  <c r="P73" i="104"/>
  <c r="H73" i="104"/>
  <c r="D73" i="104"/>
  <c r="L73" i="104" s="1"/>
  <c r="N73" i="104" s="1"/>
  <c r="B73" i="104"/>
  <c r="Z72" i="104"/>
  <c r="X72" i="104"/>
  <c r="N72" i="104"/>
  <c r="L72" i="104"/>
  <c r="B72" i="104"/>
  <c r="X71" i="104"/>
  <c r="Z71" i="104" s="1"/>
  <c r="L71" i="104"/>
  <c r="N71" i="104" s="1"/>
  <c r="B71" i="104"/>
  <c r="X70" i="104"/>
  <c r="Z70" i="104" s="1"/>
  <c r="N70" i="104"/>
  <c r="L70" i="104"/>
  <c r="J70" i="104"/>
  <c r="B70" i="104"/>
  <c r="Z69" i="104"/>
  <c r="X69" i="104"/>
  <c r="N69" i="104"/>
  <c r="L69" i="104"/>
  <c r="B69" i="104"/>
  <c r="T68" i="104"/>
  <c r="Z68" i="104" s="1"/>
  <c r="P68" i="104"/>
  <c r="X68" i="104" s="1"/>
  <c r="H68" i="104"/>
  <c r="D68" i="104"/>
  <c r="L68" i="104" s="1"/>
  <c r="B68" i="104"/>
  <c r="X67" i="104"/>
  <c r="Z67" i="104" s="1"/>
  <c r="N67" i="104"/>
  <c r="L67" i="104"/>
  <c r="B67" i="104"/>
  <c r="Z66" i="104"/>
  <c r="X66" i="104"/>
  <c r="L66" i="104"/>
  <c r="N66" i="104" s="1"/>
  <c r="J66" i="104"/>
  <c r="B66" i="104"/>
  <c r="Z65" i="104"/>
  <c r="X65" i="104"/>
  <c r="N65" i="104"/>
  <c r="L65" i="104"/>
  <c r="B65" i="104"/>
  <c r="Z64" i="104"/>
  <c r="X64" i="104"/>
  <c r="T64" i="104"/>
  <c r="P64" i="104"/>
  <c r="N64" i="104"/>
  <c r="H64" i="104"/>
  <c r="D64" i="104"/>
  <c r="L64" i="104" s="1"/>
  <c r="B64" i="104"/>
  <c r="Z63" i="104"/>
  <c r="X63" i="104"/>
  <c r="L63" i="104"/>
  <c r="N63" i="104" s="1"/>
  <c r="F63" i="104"/>
  <c r="B63" i="104"/>
  <c r="X62" i="104"/>
  <c r="T62" i="104"/>
  <c r="P62" i="104"/>
  <c r="H62" i="104"/>
  <c r="D62" i="104"/>
  <c r="B62" i="104"/>
  <c r="X61" i="104"/>
  <c r="Z61" i="104" s="1"/>
  <c r="N61" i="104"/>
  <c r="L61" i="104"/>
  <c r="B61" i="104"/>
  <c r="T60" i="104"/>
  <c r="P60" i="104"/>
  <c r="H60" i="104"/>
  <c r="D60" i="104"/>
  <c r="L60" i="104" s="1"/>
  <c r="B60" i="104"/>
  <c r="X59" i="104"/>
  <c r="Z59" i="104" s="1"/>
  <c r="N59" i="104"/>
  <c r="L59" i="104"/>
  <c r="B59" i="104"/>
  <c r="T58" i="104"/>
  <c r="P58" i="104"/>
  <c r="X58" i="104" s="1"/>
  <c r="Z58" i="104" s="1"/>
  <c r="N58" i="104"/>
  <c r="L58" i="104"/>
  <c r="H58" i="104"/>
  <c r="D58" i="104"/>
  <c r="B58" i="104"/>
  <c r="X57" i="104"/>
  <c r="Z57" i="104" s="1"/>
  <c r="N57" i="104"/>
  <c r="L57" i="104"/>
  <c r="B57" i="104"/>
  <c r="T56" i="104"/>
  <c r="R56" i="104"/>
  <c r="P56" i="104"/>
  <c r="L56" i="104"/>
  <c r="H56" i="104"/>
  <c r="D56" i="104"/>
  <c r="B56" i="104"/>
  <c r="X55" i="104"/>
  <c r="Z55" i="104" s="1"/>
  <c r="L55" i="104"/>
  <c r="N55" i="104" s="1"/>
  <c r="B55" i="104"/>
  <c r="T54" i="104"/>
  <c r="Z54" i="104" s="1"/>
  <c r="P54" i="104"/>
  <c r="X54" i="104" s="1"/>
  <c r="H54" i="104"/>
  <c r="D54" i="104"/>
  <c r="B54" i="104"/>
  <c r="Z53" i="104"/>
  <c r="X53" i="104"/>
  <c r="R53" i="104"/>
  <c r="N53" i="104"/>
  <c r="L53" i="104"/>
  <c r="B53" i="104"/>
  <c r="Z52" i="104"/>
  <c r="X52" i="104"/>
  <c r="T52" i="104"/>
  <c r="P52" i="104"/>
  <c r="H52" i="104"/>
  <c r="D52" i="104"/>
  <c r="L52" i="104" s="1"/>
  <c r="N52" i="104" s="1"/>
  <c r="B52" i="104"/>
  <c r="Z51" i="104"/>
  <c r="X51" i="104"/>
  <c r="L51" i="104"/>
  <c r="N51" i="104" s="1"/>
  <c r="B51" i="104"/>
  <c r="X50" i="104"/>
  <c r="T50" i="104"/>
  <c r="Z50" i="104" s="1"/>
  <c r="P50" i="104"/>
  <c r="J50" i="104"/>
  <c r="H50" i="104"/>
  <c r="F50" i="104"/>
  <c r="D50" i="104"/>
  <c r="B50" i="104"/>
  <c r="X49" i="104"/>
  <c r="Z49" i="104" s="1"/>
  <c r="N49" i="104"/>
  <c r="L49" i="104"/>
  <c r="B49" i="104"/>
  <c r="T48" i="104"/>
  <c r="R48" i="104"/>
  <c r="P48" i="104"/>
  <c r="X48" i="104" s="1"/>
  <c r="H48" i="104"/>
  <c r="D48" i="104"/>
  <c r="L48" i="104" s="1"/>
  <c r="B48" i="104"/>
  <c r="Z47" i="104"/>
  <c r="X47" i="104"/>
  <c r="N47" i="104"/>
  <c r="L47" i="104"/>
  <c r="B47" i="104"/>
  <c r="Z46" i="104"/>
  <c r="X46" i="104"/>
  <c r="N46" i="104"/>
  <c r="L46" i="104"/>
  <c r="B46" i="104"/>
  <c r="Z45" i="104"/>
  <c r="X45" i="104"/>
  <c r="N45" i="104"/>
  <c r="L45" i="104"/>
  <c r="B45" i="104"/>
  <c r="Z44" i="104"/>
  <c r="X44" i="104"/>
  <c r="N44" i="104"/>
  <c r="L44" i="104"/>
  <c r="B44" i="104"/>
  <c r="Z43" i="104"/>
  <c r="X43" i="104"/>
  <c r="R43" i="104"/>
  <c r="N43" i="104"/>
  <c r="L43" i="104"/>
  <c r="B43" i="104"/>
  <c r="Z42" i="104"/>
  <c r="X42" i="104"/>
  <c r="N42" i="104"/>
  <c r="L42" i="104"/>
  <c r="B42" i="104"/>
  <c r="Z41" i="104"/>
  <c r="X41" i="104"/>
  <c r="R41" i="104"/>
  <c r="L41" i="104"/>
  <c r="N41" i="104" s="1"/>
  <c r="B41" i="104"/>
  <c r="Z40" i="104"/>
  <c r="X40" i="104"/>
  <c r="N40" i="104"/>
  <c r="L40" i="104"/>
  <c r="B40" i="104"/>
  <c r="X39" i="104"/>
  <c r="Z39" i="104" s="1"/>
  <c r="N39" i="104"/>
  <c r="L39" i="104"/>
  <c r="B39" i="104"/>
  <c r="Z38" i="104"/>
  <c r="X38" i="104"/>
  <c r="N38" i="104"/>
  <c r="L38" i="104"/>
  <c r="J38" i="104"/>
  <c r="B38" i="104"/>
  <c r="T37" i="104"/>
  <c r="P37" i="104"/>
  <c r="H37" i="104"/>
  <c r="D37" i="104"/>
  <c r="B37" i="104"/>
  <c r="Z36" i="104"/>
  <c r="X36" i="104"/>
  <c r="R36" i="104"/>
  <c r="N36" i="104"/>
  <c r="L36" i="104"/>
  <c r="B36" i="104"/>
  <c r="Z35" i="104"/>
  <c r="X35" i="104"/>
  <c r="L35" i="104"/>
  <c r="N35" i="104" s="1"/>
  <c r="B35" i="104"/>
  <c r="X34" i="104"/>
  <c r="Z34" i="104" s="1"/>
  <c r="V34" i="104"/>
  <c r="L34" i="104"/>
  <c r="N34" i="104" s="1"/>
  <c r="B34" i="104"/>
  <c r="Z33" i="104"/>
  <c r="X33" i="104"/>
  <c r="N33" i="104"/>
  <c r="L33" i="104"/>
  <c r="B33" i="104"/>
  <c r="Z32" i="104"/>
  <c r="X32" i="104"/>
  <c r="N32" i="104"/>
  <c r="L32" i="104"/>
  <c r="F32" i="104"/>
  <c r="B32" i="104"/>
  <c r="Z31" i="104"/>
  <c r="X31" i="104"/>
  <c r="L31" i="104"/>
  <c r="N31" i="104" s="1"/>
  <c r="B31" i="104"/>
  <c r="X30" i="104"/>
  <c r="Z30" i="104" s="1"/>
  <c r="L30" i="104"/>
  <c r="N30" i="104" s="1"/>
  <c r="B30" i="104"/>
  <c r="Z29" i="104"/>
  <c r="X29" i="104"/>
  <c r="L29" i="104"/>
  <c r="N29" i="104" s="1"/>
  <c r="B29" i="104"/>
  <c r="X28" i="104"/>
  <c r="Z28" i="104" s="1"/>
  <c r="N28" i="104"/>
  <c r="L28" i="104"/>
  <c r="F28" i="104"/>
  <c r="B28" i="104"/>
  <c r="Z27" i="104"/>
  <c r="X27" i="104"/>
  <c r="L27" i="104"/>
  <c r="N27" i="104" s="1"/>
  <c r="B27" i="104"/>
  <c r="T26" i="104"/>
  <c r="P26" i="104"/>
  <c r="X26" i="104" s="1"/>
  <c r="J26" i="104"/>
  <c r="H26" i="104"/>
  <c r="D26" i="104"/>
  <c r="B26" i="104"/>
  <c r="Z25" i="104"/>
  <c r="X25" i="104"/>
  <c r="T25" i="104"/>
  <c r="P25" i="104"/>
  <c r="L25" i="104"/>
  <c r="J25" i="104"/>
  <c r="H25" i="104"/>
  <c r="D25" i="104"/>
  <c r="Z21" i="104"/>
  <c r="X21" i="104"/>
  <c r="V21" i="104"/>
  <c r="N21" i="104"/>
  <c r="L21" i="104"/>
  <c r="B21" i="104"/>
  <c r="Z20" i="104"/>
  <c r="X20" i="104"/>
  <c r="N20" i="104"/>
  <c r="L20" i="104"/>
  <c r="J20" i="104"/>
  <c r="F20" i="104"/>
  <c r="B20" i="104"/>
  <c r="X19" i="104"/>
  <c r="Z19" i="104" s="1"/>
  <c r="L19" i="104"/>
  <c r="N19" i="104" s="1"/>
  <c r="B19" i="104"/>
  <c r="X18" i="104"/>
  <c r="Z18" i="104" s="1"/>
  <c r="T18" i="104"/>
  <c r="R18" i="104"/>
  <c r="P18" i="104"/>
  <c r="H18" i="104"/>
  <c r="D18" i="104"/>
  <c r="Z16" i="104"/>
  <c r="X16" i="104"/>
  <c r="P16" i="104"/>
  <c r="N16" i="104"/>
  <c r="L16" i="104"/>
  <c r="D16" i="104"/>
  <c r="D12" i="104" s="1"/>
  <c r="F76" i="104" s="1"/>
  <c r="B16" i="104"/>
  <c r="Z15" i="104"/>
  <c r="P15" i="104"/>
  <c r="X15" i="104" s="1"/>
  <c r="N15" i="104"/>
  <c r="D15" i="104"/>
  <c r="L15" i="104" s="1"/>
  <c r="B15" i="104"/>
  <c r="P14" i="104"/>
  <c r="X14" i="104" s="1"/>
  <c r="Z14" i="104" s="1"/>
  <c r="N14" i="104"/>
  <c r="L14" i="104"/>
  <c r="D14" i="104"/>
  <c r="B14" i="104"/>
  <c r="Z13" i="104"/>
  <c r="P13" i="104"/>
  <c r="P12" i="104" s="1"/>
  <c r="R60" i="104" s="1"/>
  <c r="N13" i="104"/>
  <c r="L13" i="104"/>
  <c r="D13" i="104"/>
  <c r="B13" i="104"/>
  <c r="T12" i="104"/>
  <c r="V43" i="104" s="1"/>
  <c r="H12" i="104"/>
  <c r="J75" i="104" s="1"/>
  <c r="D6" i="104"/>
  <c r="D4" i="104"/>
  <c r="J70" i="103"/>
  <c r="F67" i="103"/>
  <c r="Z65" i="103"/>
  <c r="X65" i="103"/>
  <c r="N65" i="103"/>
  <c r="L65" i="103"/>
  <c r="V63" i="103"/>
  <c r="V61" i="103"/>
  <c r="T61" i="103"/>
  <c r="Z61" i="103" s="1"/>
  <c r="R61" i="103"/>
  <c r="P61" i="103"/>
  <c r="X61" i="103" s="1"/>
  <c r="H61" i="103"/>
  <c r="N61" i="103" s="1"/>
  <c r="D61" i="103"/>
  <c r="X59" i="103"/>
  <c r="Z59" i="103" s="1"/>
  <c r="V59" i="103"/>
  <c r="R59" i="103"/>
  <c r="N59" i="103"/>
  <c r="L59" i="103"/>
  <c r="B59" i="103"/>
  <c r="T58" i="103"/>
  <c r="P58" i="103"/>
  <c r="X58" i="103" s="1"/>
  <c r="Z58" i="103" s="1"/>
  <c r="N58" i="103"/>
  <c r="L58" i="103"/>
  <c r="H58" i="103"/>
  <c r="D58" i="103"/>
  <c r="B58" i="103"/>
  <c r="Z57" i="103"/>
  <c r="X57" i="103"/>
  <c r="L57" i="103"/>
  <c r="N57" i="103" s="1"/>
  <c r="J57" i="103"/>
  <c r="B57" i="103"/>
  <c r="X56" i="103"/>
  <c r="T56" i="103"/>
  <c r="Z56" i="103" s="1"/>
  <c r="P56" i="103"/>
  <c r="J56" i="103"/>
  <c r="H56" i="103"/>
  <c r="D56" i="103"/>
  <c r="B56" i="103"/>
  <c r="Z55" i="103"/>
  <c r="X55" i="103"/>
  <c r="L55" i="103"/>
  <c r="N55" i="103" s="1"/>
  <c r="J55" i="103"/>
  <c r="F55" i="103"/>
  <c r="B55" i="103"/>
  <c r="T54" i="103"/>
  <c r="P54" i="103"/>
  <c r="H54" i="103"/>
  <c r="F54" i="103"/>
  <c r="D54" i="103"/>
  <c r="L54" i="103" s="1"/>
  <c r="B54" i="103"/>
  <c r="Z53" i="103"/>
  <c r="X53" i="103"/>
  <c r="N53" i="103"/>
  <c r="L53" i="103"/>
  <c r="B53" i="103"/>
  <c r="Z52" i="103"/>
  <c r="X52" i="103"/>
  <c r="L52" i="103"/>
  <c r="N52" i="103" s="1"/>
  <c r="B52" i="103"/>
  <c r="X51" i="103"/>
  <c r="Z51" i="103" s="1"/>
  <c r="V51" i="103"/>
  <c r="R51" i="103"/>
  <c r="N51" i="103"/>
  <c r="L51" i="103"/>
  <c r="B51" i="103"/>
  <c r="T50" i="103"/>
  <c r="Z50" i="103" s="1"/>
  <c r="P50" i="103"/>
  <c r="X50" i="103" s="1"/>
  <c r="N50" i="103"/>
  <c r="L50" i="103"/>
  <c r="H50" i="103"/>
  <c r="D50" i="103"/>
  <c r="B50" i="103"/>
  <c r="Z49" i="103"/>
  <c r="X49" i="103"/>
  <c r="N49" i="103"/>
  <c r="L49" i="103"/>
  <c r="J49" i="103"/>
  <c r="B49" i="103"/>
  <c r="X48" i="103"/>
  <c r="T48" i="103"/>
  <c r="Z48" i="103" s="1"/>
  <c r="P48" i="103"/>
  <c r="J48" i="103"/>
  <c r="H48" i="103"/>
  <c r="N48" i="103" s="1"/>
  <c r="D48" i="103"/>
  <c r="B48" i="103"/>
  <c r="Z47" i="103"/>
  <c r="X47" i="103"/>
  <c r="L47" i="103"/>
  <c r="N47" i="103" s="1"/>
  <c r="J47" i="103"/>
  <c r="F47" i="103"/>
  <c r="B47" i="103"/>
  <c r="T46" i="103"/>
  <c r="P46" i="103"/>
  <c r="H46" i="103"/>
  <c r="F46" i="103"/>
  <c r="D46" i="103"/>
  <c r="L46" i="103" s="1"/>
  <c r="B46" i="103"/>
  <c r="Z45" i="103"/>
  <c r="X45" i="103"/>
  <c r="L45" i="103"/>
  <c r="N45" i="103" s="1"/>
  <c r="B45" i="103"/>
  <c r="X44" i="103"/>
  <c r="Z44" i="103" s="1"/>
  <c r="T44" i="103"/>
  <c r="P44" i="103"/>
  <c r="H44" i="103"/>
  <c r="D44" i="103"/>
  <c r="L44" i="103" s="1"/>
  <c r="B44" i="103"/>
  <c r="Z43" i="103"/>
  <c r="X43" i="103"/>
  <c r="N43" i="103"/>
  <c r="L43" i="103"/>
  <c r="B43" i="103"/>
  <c r="V42" i="103"/>
  <c r="T42" i="103"/>
  <c r="P42" i="103"/>
  <c r="L42" i="103"/>
  <c r="H42" i="103"/>
  <c r="N42" i="103" s="1"/>
  <c r="D42" i="103"/>
  <c r="B42" i="103"/>
  <c r="Z41" i="103"/>
  <c r="X41" i="103"/>
  <c r="V41" i="103"/>
  <c r="N41" i="103"/>
  <c r="L41" i="103"/>
  <c r="B41" i="103"/>
  <c r="T40" i="103"/>
  <c r="P40" i="103"/>
  <c r="H40" i="103"/>
  <c r="D40" i="103"/>
  <c r="B40" i="103"/>
  <c r="Z39" i="103"/>
  <c r="X39" i="103"/>
  <c r="V39" i="103"/>
  <c r="R39" i="103"/>
  <c r="N39" i="103"/>
  <c r="L39" i="103"/>
  <c r="B39" i="103"/>
  <c r="Z38" i="103"/>
  <c r="X38" i="103"/>
  <c r="N38" i="103"/>
  <c r="L38" i="103"/>
  <c r="J38" i="103"/>
  <c r="F38" i="103"/>
  <c r="B38" i="103"/>
  <c r="Z37" i="103"/>
  <c r="X37" i="103"/>
  <c r="V37" i="103"/>
  <c r="N37" i="103"/>
  <c r="L37" i="103"/>
  <c r="B37" i="103"/>
  <c r="Z36" i="103"/>
  <c r="X36" i="103"/>
  <c r="N36" i="103"/>
  <c r="L36" i="103"/>
  <c r="B36" i="103"/>
  <c r="Z35" i="103"/>
  <c r="X35" i="103"/>
  <c r="V35" i="103"/>
  <c r="N35" i="103"/>
  <c r="L35" i="103"/>
  <c r="B35" i="103"/>
  <c r="Z34" i="103"/>
  <c r="X34" i="103"/>
  <c r="N34" i="103"/>
  <c r="L34" i="103"/>
  <c r="J34" i="103"/>
  <c r="F34" i="103"/>
  <c r="B34" i="103"/>
  <c r="Z33" i="103"/>
  <c r="X33" i="103"/>
  <c r="V33" i="103"/>
  <c r="N33" i="103"/>
  <c r="L33" i="103"/>
  <c r="B33" i="103"/>
  <c r="Z32" i="103"/>
  <c r="X32" i="103"/>
  <c r="V32" i="103"/>
  <c r="N32" i="103"/>
  <c r="L32" i="103"/>
  <c r="B32" i="103"/>
  <c r="X31" i="103"/>
  <c r="Z31" i="103" s="1"/>
  <c r="V31" i="103"/>
  <c r="R31" i="103"/>
  <c r="N31" i="103"/>
  <c r="L31" i="103"/>
  <c r="B31" i="103"/>
  <c r="Z30" i="103"/>
  <c r="X30" i="103"/>
  <c r="N30" i="103"/>
  <c r="L30" i="103"/>
  <c r="J30" i="103"/>
  <c r="F30" i="103"/>
  <c r="B30" i="103"/>
  <c r="V29" i="103"/>
  <c r="T29" i="103"/>
  <c r="P29" i="103"/>
  <c r="X29" i="103" s="1"/>
  <c r="Z29" i="103" s="1"/>
  <c r="J29" i="103"/>
  <c r="H29" i="103"/>
  <c r="F29" i="103"/>
  <c r="D29" i="103"/>
  <c r="L29" i="103" s="1"/>
  <c r="B29" i="103"/>
  <c r="Z28" i="103"/>
  <c r="X28" i="103"/>
  <c r="N28" i="103"/>
  <c r="L28" i="103"/>
  <c r="F28" i="103"/>
  <c r="B28" i="103"/>
  <c r="Z27" i="103"/>
  <c r="X27" i="103"/>
  <c r="N27" i="103"/>
  <c r="L27" i="103"/>
  <c r="B27" i="103"/>
  <c r="X26" i="103"/>
  <c r="Z26" i="103" s="1"/>
  <c r="V26" i="103"/>
  <c r="R26" i="103"/>
  <c r="N26" i="103"/>
  <c r="L26" i="103"/>
  <c r="F26" i="103"/>
  <c r="B26" i="103"/>
  <c r="Z25" i="103"/>
  <c r="X25" i="103"/>
  <c r="N25" i="103"/>
  <c r="L25" i="103"/>
  <c r="J25" i="103"/>
  <c r="F25" i="103"/>
  <c r="B25" i="103"/>
  <c r="X24" i="103"/>
  <c r="Z24" i="103" s="1"/>
  <c r="N24" i="103"/>
  <c r="L24" i="103"/>
  <c r="F24" i="103"/>
  <c r="B24" i="103"/>
  <c r="Z23" i="103"/>
  <c r="X23" i="103"/>
  <c r="V23" i="103"/>
  <c r="N23" i="103"/>
  <c r="L23" i="103"/>
  <c r="B23" i="103"/>
  <c r="X22" i="103"/>
  <c r="Z22" i="103" s="1"/>
  <c r="V22" i="103"/>
  <c r="N22" i="103"/>
  <c r="L22" i="103"/>
  <c r="F22" i="103"/>
  <c r="B22" i="103"/>
  <c r="X21" i="103"/>
  <c r="Z21" i="103" s="1"/>
  <c r="L21" i="103"/>
  <c r="N21" i="103" s="1"/>
  <c r="J21" i="103"/>
  <c r="F21" i="103"/>
  <c r="B21" i="103"/>
  <c r="X20" i="103"/>
  <c r="Z20" i="103" s="1"/>
  <c r="V20" i="103"/>
  <c r="N20" i="103"/>
  <c r="L20" i="103"/>
  <c r="F20" i="103"/>
  <c r="B20" i="103"/>
  <c r="Z19" i="103"/>
  <c r="X19" i="103"/>
  <c r="V19" i="103"/>
  <c r="T19" i="103"/>
  <c r="P19" i="103"/>
  <c r="H19" i="103"/>
  <c r="N19" i="103" s="1"/>
  <c r="F19" i="103"/>
  <c r="D19" i="103"/>
  <c r="L19" i="103" s="1"/>
  <c r="B19" i="103"/>
  <c r="T18" i="103"/>
  <c r="P18" i="103"/>
  <c r="X18" i="103" s="1"/>
  <c r="H18" i="103"/>
  <c r="F18" i="103"/>
  <c r="D18" i="103"/>
  <c r="H16" i="103"/>
  <c r="F16" i="103"/>
  <c r="D16" i="103"/>
  <c r="T14" i="103"/>
  <c r="P14" i="103"/>
  <c r="H14" i="103"/>
  <c r="N14" i="103" s="1"/>
  <c r="F14" i="103"/>
  <c r="D14" i="103"/>
  <c r="L14" i="103" s="1"/>
  <c r="Z12" i="103"/>
  <c r="T12" i="103"/>
  <c r="V52" i="103" s="1"/>
  <c r="P12" i="103"/>
  <c r="L12" i="103"/>
  <c r="H12" i="103"/>
  <c r="J58" i="103" s="1"/>
  <c r="D12" i="103"/>
  <c r="F70" i="103" s="1"/>
  <c r="D6" i="103"/>
  <c r="D4" i="103"/>
  <c r="Z93" i="102"/>
  <c r="X93" i="102"/>
  <c r="L93" i="102"/>
  <c r="N93" i="102" s="1"/>
  <c r="P89" i="102"/>
  <c r="X89" i="102" s="1"/>
  <c r="Z89" i="102" s="1"/>
  <c r="D89" i="102"/>
  <c r="B89" i="102"/>
  <c r="T88" i="102"/>
  <c r="P88" i="102"/>
  <c r="X88" i="102" s="1"/>
  <c r="Z88" i="102" s="1"/>
  <c r="H88" i="102"/>
  <c r="Z86" i="102"/>
  <c r="X86" i="102"/>
  <c r="N86" i="102"/>
  <c r="L86" i="102"/>
  <c r="B86" i="102"/>
  <c r="X85" i="102"/>
  <c r="T85" i="102"/>
  <c r="P85" i="102"/>
  <c r="L85" i="102"/>
  <c r="H85" i="102"/>
  <c r="N85" i="102" s="1"/>
  <c r="D85" i="102"/>
  <c r="B85" i="102"/>
  <c r="Z84" i="102"/>
  <c r="X84" i="102"/>
  <c r="N84" i="102"/>
  <c r="L84" i="102"/>
  <c r="J84" i="102"/>
  <c r="B84" i="102"/>
  <c r="T83" i="102"/>
  <c r="P83" i="102"/>
  <c r="H83" i="102"/>
  <c r="N83" i="102" s="1"/>
  <c r="D83" i="102"/>
  <c r="L83" i="102" s="1"/>
  <c r="B83" i="102"/>
  <c r="Z82" i="102"/>
  <c r="X82" i="102"/>
  <c r="N82" i="102"/>
  <c r="L82" i="102"/>
  <c r="B82" i="102"/>
  <c r="Z81" i="102"/>
  <c r="X81" i="102"/>
  <c r="L81" i="102"/>
  <c r="N81" i="102" s="1"/>
  <c r="B81" i="102"/>
  <c r="T80" i="102"/>
  <c r="P80" i="102"/>
  <c r="H80" i="102"/>
  <c r="D80" i="102"/>
  <c r="L80" i="102" s="1"/>
  <c r="N80" i="102" s="1"/>
  <c r="B80" i="102"/>
  <c r="X79" i="102"/>
  <c r="Z79" i="102" s="1"/>
  <c r="N79" i="102"/>
  <c r="L79" i="102"/>
  <c r="B79" i="102"/>
  <c r="Z78" i="102"/>
  <c r="X78" i="102"/>
  <c r="N78" i="102"/>
  <c r="L78" i="102"/>
  <c r="J78" i="102"/>
  <c r="B78" i="102"/>
  <c r="X77" i="102"/>
  <c r="Z77" i="102" s="1"/>
  <c r="L77" i="102"/>
  <c r="N77" i="102" s="1"/>
  <c r="B77" i="102"/>
  <c r="Z76" i="102"/>
  <c r="X76" i="102"/>
  <c r="N76" i="102"/>
  <c r="L76" i="102"/>
  <c r="B76" i="102"/>
  <c r="X75" i="102"/>
  <c r="Z75" i="102" s="1"/>
  <c r="V75" i="102"/>
  <c r="N75" i="102"/>
  <c r="L75" i="102"/>
  <c r="B75" i="102"/>
  <c r="Z74" i="102"/>
  <c r="X74" i="102"/>
  <c r="N74" i="102"/>
  <c r="L74" i="102"/>
  <c r="J74" i="102"/>
  <c r="B74" i="102"/>
  <c r="Z73" i="102"/>
  <c r="X73" i="102"/>
  <c r="N73" i="102"/>
  <c r="L73" i="102"/>
  <c r="B73" i="102"/>
  <c r="Z72" i="102"/>
  <c r="X72" i="102"/>
  <c r="T72" i="102"/>
  <c r="P72" i="102"/>
  <c r="H72" i="102"/>
  <c r="D72" i="102"/>
  <c r="L72" i="102" s="1"/>
  <c r="N72" i="102" s="1"/>
  <c r="B72" i="102"/>
  <c r="X71" i="102"/>
  <c r="Z71" i="102" s="1"/>
  <c r="L71" i="102"/>
  <c r="N71" i="102" s="1"/>
  <c r="B71" i="102"/>
  <c r="X70" i="102"/>
  <c r="Z70" i="102" s="1"/>
  <c r="N70" i="102"/>
  <c r="L70" i="102"/>
  <c r="J70" i="102"/>
  <c r="B70" i="102"/>
  <c r="T69" i="102"/>
  <c r="P69" i="102"/>
  <c r="X69" i="102" s="1"/>
  <c r="H69" i="102"/>
  <c r="D69" i="102"/>
  <c r="B69" i="102"/>
  <c r="Z68" i="102"/>
  <c r="X68" i="102"/>
  <c r="N68" i="102"/>
  <c r="L68" i="102"/>
  <c r="B68" i="102"/>
  <c r="X67" i="102"/>
  <c r="Z67" i="102" s="1"/>
  <c r="L67" i="102"/>
  <c r="N67" i="102" s="1"/>
  <c r="B67" i="102"/>
  <c r="T66" i="102"/>
  <c r="P66" i="102"/>
  <c r="X66" i="102" s="1"/>
  <c r="Z66" i="102" s="1"/>
  <c r="H66" i="102"/>
  <c r="D66" i="102"/>
  <c r="B66" i="102"/>
  <c r="X65" i="102"/>
  <c r="Z65" i="102" s="1"/>
  <c r="N65" i="102"/>
  <c r="L65" i="102"/>
  <c r="B65" i="102"/>
  <c r="Z64" i="102"/>
  <c r="X64" i="102"/>
  <c r="N64" i="102"/>
  <c r="L64" i="102"/>
  <c r="B64" i="102"/>
  <c r="Z63" i="102"/>
  <c r="X63" i="102"/>
  <c r="N63" i="102"/>
  <c r="L63" i="102"/>
  <c r="B63" i="102"/>
  <c r="T62" i="102"/>
  <c r="P62" i="102"/>
  <c r="X62" i="102" s="1"/>
  <c r="Z62" i="102" s="1"/>
  <c r="N62" i="102"/>
  <c r="L62" i="102"/>
  <c r="H62" i="102"/>
  <c r="D62" i="102"/>
  <c r="B62" i="102"/>
  <c r="X61" i="102"/>
  <c r="Z61" i="102" s="1"/>
  <c r="L61" i="102"/>
  <c r="N61" i="102" s="1"/>
  <c r="B61" i="102"/>
  <c r="Z60" i="102"/>
  <c r="X60" i="102"/>
  <c r="T60" i="102"/>
  <c r="P60" i="102"/>
  <c r="L60" i="102"/>
  <c r="N60" i="102" s="1"/>
  <c r="J60" i="102"/>
  <c r="H60" i="102"/>
  <c r="D60" i="102"/>
  <c r="B60" i="102"/>
  <c r="Z59" i="102"/>
  <c r="X59" i="102"/>
  <c r="N59" i="102"/>
  <c r="L59" i="102"/>
  <c r="B59" i="102"/>
  <c r="T58" i="102"/>
  <c r="Z58" i="102" s="1"/>
  <c r="P58" i="102"/>
  <c r="X58" i="102" s="1"/>
  <c r="H58" i="102"/>
  <c r="N58" i="102" s="1"/>
  <c r="D58" i="102"/>
  <c r="B58" i="102"/>
  <c r="Z57" i="102"/>
  <c r="X57" i="102"/>
  <c r="N57" i="102"/>
  <c r="L57" i="102"/>
  <c r="B57" i="102"/>
  <c r="Z56" i="102"/>
  <c r="X56" i="102"/>
  <c r="T56" i="102"/>
  <c r="P56" i="102"/>
  <c r="N56" i="102"/>
  <c r="H56" i="102"/>
  <c r="D56" i="102"/>
  <c r="L56" i="102" s="1"/>
  <c r="B56" i="102"/>
  <c r="Z55" i="102"/>
  <c r="X55" i="102"/>
  <c r="L55" i="102"/>
  <c r="N55" i="102" s="1"/>
  <c r="B55" i="102"/>
  <c r="X54" i="102"/>
  <c r="Z54" i="102" s="1"/>
  <c r="N54" i="102"/>
  <c r="L54" i="102"/>
  <c r="J54" i="102"/>
  <c r="B54" i="102"/>
  <c r="T53" i="102"/>
  <c r="P53" i="102"/>
  <c r="N53" i="102"/>
  <c r="L53" i="102"/>
  <c r="H53" i="102"/>
  <c r="D53" i="102"/>
  <c r="B53" i="102"/>
  <c r="X52" i="102"/>
  <c r="Z52" i="102" s="1"/>
  <c r="L52" i="102"/>
  <c r="N52" i="102" s="1"/>
  <c r="B52" i="102"/>
  <c r="X51" i="102"/>
  <c r="Z51" i="102" s="1"/>
  <c r="T51" i="102"/>
  <c r="P51" i="102"/>
  <c r="J51" i="102"/>
  <c r="H51" i="102"/>
  <c r="N51" i="102" s="1"/>
  <c r="D51" i="102"/>
  <c r="L51" i="102" s="1"/>
  <c r="B51" i="102"/>
  <c r="Z50" i="102"/>
  <c r="X50" i="102"/>
  <c r="L50" i="102"/>
  <c r="N50" i="102" s="1"/>
  <c r="B50" i="102"/>
  <c r="Z49" i="102"/>
  <c r="X49" i="102"/>
  <c r="T49" i="102"/>
  <c r="P49" i="102"/>
  <c r="H49" i="102"/>
  <c r="D49" i="102"/>
  <c r="L49" i="102" s="1"/>
  <c r="N49" i="102" s="1"/>
  <c r="B49" i="102"/>
  <c r="Z48" i="102"/>
  <c r="X48" i="102"/>
  <c r="L48" i="102"/>
  <c r="N48" i="102" s="1"/>
  <c r="B48" i="102"/>
  <c r="T47" i="102"/>
  <c r="Z47" i="102" s="1"/>
  <c r="P47" i="102"/>
  <c r="X47" i="102" s="1"/>
  <c r="J47" i="102"/>
  <c r="H47" i="102"/>
  <c r="D47" i="102"/>
  <c r="L47" i="102" s="1"/>
  <c r="N47" i="102" s="1"/>
  <c r="B47" i="102"/>
  <c r="Z46" i="102"/>
  <c r="X46" i="102"/>
  <c r="V46" i="102"/>
  <c r="N46" i="102"/>
  <c r="L46" i="102"/>
  <c r="B46" i="102"/>
  <c r="Z45" i="102"/>
  <c r="X45" i="102"/>
  <c r="N45" i="102"/>
  <c r="L45" i="102"/>
  <c r="B45" i="102"/>
  <c r="X44" i="102"/>
  <c r="Z44" i="102" s="1"/>
  <c r="L44" i="102"/>
  <c r="N44" i="102" s="1"/>
  <c r="B44" i="102"/>
  <c r="X43" i="102"/>
  <c r="Z43" i="102" s="1"/>
  <c r="N43" i="102"/>
  <c r="L43" i="102"/>
  <c r="B43" i="102"/>
  <c r="Z42" i="102"/>
  <c r="X42" i="102"/>
  <c r="V42" i="102"/>
  <c r="N42" i="102"/>
  <c r="L42" i="102"/>
  <c r="B42" i="102"/>
  <c r="Z41" i="102"/>
  <c r="X41" i="102"/>
  <c r="N41" i="102"/>
  <c r="L41" i="102"/>
  <c r="B41" i="102"/>
  <c r="X40" i="102"/>
  <c r="Z40" i="102" s="1"/>
  <c r="L40" i="102"/>
  <c r="N40" i="102" s="1"/>
  <c r="B40" i="102"/>
  <c r="Z39" i="102"/>
  <c r="X39" i="102"/>
  <c r="N39" i="102"/>
  <c r="L39" i="102"/>
  <c r="B39" i="102"/>
  <c r="X38" i="102"/>
  <c r="Z38" i="102" s="1"/>
  <c r="N38" i="102"/>
  <c r="L38" i="102"/>
  <c r="B38" i="102"/>
  <c r="Z37" i="102"/>
  <c r="X37" i="102"/>
  <c r="V37" i="102"/>
  <c r="N37" i="102"/>
  <c r="L37" i="102"/>
  <c r="B37" i="102"/>
  <c r="T36" i="102"/>
  <c r="P36" i="102"/>
  <c r="X36" i="102" s="1"/>
  <c r="Z36" i="102" s="1"/>
  <c r="L36" i="102"/>
  <c r="N36" i="102" s="1"/>
  <c r="J36" i="102"/>
  <c r="H36" i="102"/>
  <c r="D36" i="102"/>
  <c r="B36" i="102"/>
  <c r="Z35" i="102"/>
  <c r="X35" i="102"/>
  <c r="N35" i="102"/>
  <c r="L35" i="102"/>
  <c r="J35" i="102"/>
  <c r="B35" i="102"/>
  <c r="Z34" i="102"/>
  <c r="X34" i="102"/>
  <c r="L34" i="102"/>
  <c r="N34" i="102" s="1"/>
  <c r="J34" i="102"/>
  <c r="B34" i="102"/>
  <c r="Z33" i="102"/>
  <c r="X33" i="102"/>
  <c r="L33" i="102"/>
  <c r="N33" i="102" s="1"/>
  <c r="J33" i="102"/>
  <c r="B33" i="102"/>
  <c r="Z32" i="102"/>
  <c r="X32" i="102"/>
  <c r="N32" i="102"/>
  <c r="L32" i="102"/>
  <c r="B32" i="102"/>
  <c r="Z31" i="102"/>
  <c r="X31" i="102"/>
  <c r="N31" i="102"/>
  <c r="L31" i="102"/>
  <c r="J31" i="102"/>
  <c r="B31" i="102"/>
  <c r="Z30" i="102"/>
  <c r="X30" i="102"/>
  <c r="L30" i="102"/>
  <c r="N30" i="102" s="1"/>
  <c r="J30" i="102"/>
  <c r="B30" i="102"/>
  <c r="X29" i="102"/>
  <c r="Z29" i="102" s="1"/>
  <c r="L29" i="102"/>
  <c r="N29" i="102" s="1"/>
  <c r="J29" i="102"/>
  <c r="B29" i="102"/>
  <c r="X28" i="102"/>
  <c r="Z28" i="102" s="1"/>
  <c r="N28" i="102"/>
  <c r="L28" i="102"/>
  <c r="B28" i="102"/>
  <c r="Z27" i="102"/>
  <c r="X27" i="102"/>
  <c r="N27" i="102"/>
  <c r="L27" i="102"/>
  <c r="J27" i="102"/>
  <c r="B27" i="102"/>
  <c r="T26" i="102"/>
  <c r="P26" i="102"/>
  <c r="L26" i="102"/>
  <c r="H26" i="102"/>
  <c r="N26" i="102" s="1"/>
  <c r="D26" i="102"/>
  <c r="B26" i="102"/>
  <c r="T25" i="102"/>
  <c r="P25" i="102"/>
  <c r="X25" i="102" s="1"/>
  <c r="Z25" i="102" s="1"/>
  <c r="H25" i="102"/>
  <c r="J25" i="102" s="1"/>
  <c r="D25" i="102"/>
  <c r="H23" i="102"/>
  <c r="Z21" i="102"/>
  <c r="X21" i="102"/>
  <c r="V21" i="102"/>
  <c r="N21" i="102"/>
  <c r="L21" i="102"/>
  <c r="J21" i="102"/>
  <c r="B21" i="102"/>
  <c r="Z20" i="102"/>
  <c r="X20" i="102"/>
  <c r="N20" i="102"/>
  <c r="L20" i="102"/>
  <c r="B20" i="102"/>
  <c r="Z19" i="102"/>
  <c r="X19" i="102"/>
  <c r="V19" i="102"/>
  <c r="L19" i="102"/>
  <c r="N19" i="102" s="1"/>
  <c r="B19" i="102"/>
  <c r="T18" i="102"/>
  <c r="P18" i="102"/>
  <c r="J18" i="102"/>
  <c r="H18" i="102"/>
  <c r="D18" i="102"/>
  <c r="L18" i="102" s="1"/>
  <c r="N18" i="102" s="1"/>
  <c r="P16" i="102"/>
  <c r="X16" i="102" s="1"/>
  <c r="Z16" i="102" s="1"/>
  <c r="D16" i="102"/>
  <c r="B16" i="102"/>
  <c r="Z15" i="102"/>
  <c r="X15" i="102"/>
  <c r="P15" i="102"/>
  <c r="N15" i="102"/>
  <c r="L15" i="102"/>
  <c r="D15" i="102"/>
  <c r="B15" i="102"/>
  <c r="Z14" i="102"/>
  <c r="X14" i="102"/>
  <c r="P14" i="102"/>
  <c r="N14" i="102"/>
  <c r="L14" i="102"/>
  <c r="D14" i="102"/>
  <c r="B14" i="102"/>
  <c r="P13" i="102"/>
  <c r="D13" i="102"/>
  <c r="L13" i="102" s="1"/>
  <c r="N13" i="102" s="1"/>
  <c r="B13" i="102"/>
  <c r="T12" i="102"/>
  <c r="V25" i="102" s="1"/>
  <c r="H12" i="102"/>
  <c r="J48" i="102" s="1"/>
  <c r="D6" i="102"/>
  <c r="D4" i="102"/>
  <c r="J82" i="101"/>
  <c r="J79" i="101"/>
  <c r="Z77" i="101"/>
  <c r="X77" i="101"/>
  <c r="N77" i="101"/>
  <c r="L77" i="101"/>
  <c r="J77" i="101"/>
  <c r="J75" i="101"/>
  <c r="Z73" i="101"/>
  <c r="P73" i="101"/>
  <c r="X73" i="101" s="1"/>
  <c r="N73" i="101"/>
  <c r="L73" i="101"/>
  <c r="J73" i="101"/>
  <c r="D73" i="101"/>
  <c r="B73" i="101"/>
  <c r="Z72" i="101"/>
  <c r="T72" i="101"/>
  <c r="P72" i="101"/>
  <c r="X72" i="101" s="1"/>
  <c r="J72" i="101"/>
  <c r="H72" i="101"/>
  <c r="N72" i="101" s="1"/>
  <c r="D72" i="101"/>
  <c r="L72" i="101" s="1"/>
  <c r="Z70" i="101"/>
  <c r="X70" i="101"/>
  <c r="V70" i="101"/>
  <c r="N70" i="101"/>
  <c r="L70" i="101"/>
  <c r="J70" i="101"/>
  <c r="B70" i="101"/>
  <c r="Z69" i="101"/>
  <c r="X69" i="101"/>
  <c r="L69" i="101"/>
  <c r="N69" i="101" s="1"/>
  <c r="B69" i="101"/>
  <c r="T68" i="101"/>
  <c r="P68" i="101"/>
  <c r="J68" i="101"/>
  <c r="H68" i="101"/>
  <c r="D68" i="101"/>
  <c r="L68" i="101" s="1"/>
  <c r="N68" i="101" s="1"/>
  <c r="B68" i="101"/>
  <c r="Z67" i="101"/>
  <c r="X67" i="101"/>
  <c r="N67" i="101"/>
  <c r="L67" i="101"/>
  <c r="J67" i="101"/>
  <c r="B67" i="101"/>
  <c r="X66" i="101"/>
  <c r="Z66" i="101" s="1"/>
  <c r="V66" i="101"/>
  <c r="N66" i="101"/>
  <c r="L66" i="101"/>
  <c r="B66" i="101"/>
  <c r="Z65" i="101"/>
  <c r="X65" i="101"/>
  <c r="N65" i="101"/>
  <c r="L65" i="101"/>
  <c r="B65" i="101"/>
  <c r="Z64" i="101"/>
  <c r="X64" i="101"/>
  <c r="N64" i="101"/>
  <c r="L64" i="101"/>
  <c r="B64" i="101"/>
  <c r="X63" i="101"/>
  <c r="Z63" i="101" s="1"/>
  <c r="T63" i="101"/>
  <c r="P63" i="101"/>
  <c r="N63" i="101"/>
  <c r="L63" i="101"/>
  <c r="H63" i="101"/>
  <c r="D63" i="101"/>
  <c r="B63" i="101"/>
  <c r="X62" i="101"/>
  <c r="Z62" i="101" s="1"/>
  <c r="N62" i="101"/>
  <c r="L62" i="101"/>
  <c r="J62" i="101"/>
  <c r="B62" i="101"/>
  <c r="X61" i="101"/>
  <c r="Z61" i="101" s="1"/>
  <c r="T61" i="101"/>
  <c r="P61" i="101"/>
  <c r="J61" i="101"/>
  <c r="H61" i="101"/>
  <c r="L61" i="101" s="1"/>
  <c r="D61" i="101"/>
  <c r="B61" i="101"/>
  <c r="Z60" i="101"/>
  <c r="X60" i="101"/>
  <c r="N60" i="101"/>
  <c r="L60" i="101"/>
  <c r="B60" i="101"/>
  <c r="X59" i="101"/>
  <c r="Z59" i="101" s="1"/>
  <c r="N59" i="101"/>
  <c r="L59" i="101"/>
  <c r="J59" i="101"/>
  <c r="B59" i="101"/>
  <c r="X58" i="101"/>
  <c r="Z58" i="101" s="1"/>
  <c r="T58" i="101"/>
  <c r="P58" i="101"/>
  <c r="J58" i="101"/>
  <c r="H58" i="101"/>
  <c r="N58" i="101" s="1"/>
  <c r="D58" i="101"/>
  <c r="B58" i="101"/>
  <c r="Z57" i="101"/>
  <c r="X57" i="101"/>
  <c r="N57" i="101"/>
  <c r="L57" i="101"/>
  <c r="B57" i="101"/>
  <c r="Z56" i="101"/>
  <c r="X56" i="101"/>
  <c r="N56" i="101"/>
  <c r="L56" i="101"/>
  <c r="B56" i="101"/>
  <c r="X55" i="101"/>
  <c r="Z55" i="101" s="1"/>
  <c r="V55" i="101"/>
  <c r="T55" i="101"/>
  <c r="P55" i="101"/>
  <c r="N55" i="101"/>
  <c r="H55" i="101"/>
  <c r="D55" i="101"/>
  <c r="L55" i="101" s="1"/>
  <c r="B55" i="101"/>
  <c r="Z54" i="101"/>
  <c r="X54" i="101"/>
  <c r="N54" i="101"/>
  <c r="L54" i="101"/>
  <c r="J54" i="101"/>
  <c r="B54" i="101"/>
  <c r="T53" i="101"/>
  <c r="Z53" i="101" s="1"/>
  <c r="P53" i="101"/>
  <c r="J53" i="101"/>
  <c r="H53" i="101"/>
  <c r="L53" i="101" s="1"/>
  <c r="D53" i="101"/>
  <c r="B53" i="101"/>
  <c r="Z52" i="101"/>
  <c r="X52" i="101"/>
  <c r="N52" i="101"/>
  <c r="L52" i="101"/>
  <c r="B52" i="101"/>
  <c r="T51" i="101"/>
  <c r="P51" i="101"/>
  <c r="N51" i="101"/>
  <c r="J51" i="101"/>
  <c r="H51" i="101"/>
  <c r="D51" i="101"/>
  <c r="L51" i="101" s="1"/>
  <c r="B51" i="101"/>
  <c r="X50" i="101"/>
  <c r="Z50" i="101" s="1"/>
  <c r="V50" i="101"/>
  <c r="N50" i="101"/>
  <c r="L50" i="101"/>
  <c r="B50" i="101"/>
  <c r="X49" i="101"/>
  <c r="Z49" i="101" s="1"/>
  <c r="T49" i="101"/>
  <c r="P49" i="101"/>
  <c r="N49" i="101"/>
  <c r="L49" i="101"/>
  <c r="J49" i="101"/>
  <c r="H49" i="101"/>
  <c r="D49" i="101"/>
  <c r="B49" i="101"/>
  <c r="Z48" i="101"/>
  <c r="X48" i="101"/>
  <c r="N48" i="101"/>
  <c r="L48" i="101"/>
  <c r="J48" i="101"/>
  <c r="B48" i="101"/>
  <c r="T47" i="101"/>
  <c r="X47" i="101" s="1"/>
  <c r="P47" i="101"/>
  <c r="N47" i="101"/>
  <c r="L47" i="101"/>
  <c r="H47" i="101"/>
  <c r="D47" i="101"/>
  <c r="B47" i="101"/>
  <c r="X46" i="101"/>
  <c r="Z46" i="101" s="1"/>
  <c r="N46" i="101"/>
  <c r="L46" i="101"/>
  <c r="J46" i="101"/>
  <c r="B46" i="101"/>
  <c r="T45" i="101"/>
  <c r="P45" i="101"/>
  <c r="X45" i="101" s="1"/>
  <c r="Z45" i="101" s="1"/>
  <c r="J45" i="101"/>
  <c r="H45" i="101"/>
  <c r="N45" i="101" s="1"/>
  <c r="D45" i="101"/>
  <c r="L45" i="101" s="1"/>
  <c r="B45" i="101"/>
  <c r="Z44" i="101"/>
  <c r="X44" i="101"/>
  <c r="N44" i="101"/>
  <c r="L44" i="101"/>
  <c r="B44" i="101"/>
  <c r="Z43" i="101"/>
  <c r="X43" i="101"/>
  <c r="N43" i="101"/>
  <c r="L43" i="101"/>
  <c r="J43" i="101"/>
  <c r="B43" i="101"/>
  <c r="X42" i="101"/>
  <c r="Z42" i="101" s="1"/>
  <c r="N42" i="101"/>
  <c r="L42" i="101"/>
  <c r="B42" i="101"/>
  <c r="Z41" i="101"/>
  <c r="X41" i="101"/>
  <c r="N41" i="101"/>
  <c r="L41" i="101"/>
  <c r="B41" i="101"/>
  <c r="Z40" i="101"/>
  <c r="X40" i="101"/>
  <c r="N40" i="101"/>
  <c r="L40" i="101"/>
  <c r="B40" i="101"/>
  <c r="X39" i="101"/>
  <c r="Z39" i="101" s="1"/>
  <c r="N39" i="101"/>
  <c r="L39" i="101"/>
  <c r="J39" i="101"/>
  <c r="B39" i="101"/>
  <c r="Z38" i="101"/>
  <c r="X38" i="101"/>
  <c r="N38" i="101"/>
  <c r="L38" i="101"/>
  <c r="B38" i="101"/>
  <c r="Z37" i="101"/>
  <c r="X37" i="101"/>
  <c r="N37" i="101"/>
  <c r="L37" i="101"/>
  <c r="B37" i="101"/>
  <c r="Z36" i="101"/>
  <c r="X36" i="101"/>
  <c r="N36" i="101"/>
  <c r="L36" i="101"/>
  <c r="B36" i="101"/>
  <c r="Z35" i="101"/>
  <c r="X35" i="101"/>
  <c r="N35" i="101"/>
  <c r="L35" i="101"/>
  <c r="J35" i="101"/>
  <c r="B35" i="101"/>
  <c r="T34" i="101"/>
  <c r="R34" i="101"/>
  <c r="P34" i="101"/>
  <c r="X34" i="101" s="1"/>
  <c r="L34" i="101"/>
  <c r="H34" i="101"/>
  <c r="D34" i="101"/>
  <c r="B34" i="101"/>
  <c r="X33" i="101"/>
  <c r="Z33" i="101" s="1"/>
  <c r="N33" i="101"/>
  <c r="L33" i="101"/>
  <c r="J33" i="101"/>
  <c r="B33" i="101"/>
  <c r="Z32" i="101"/>
  <c r="X32" i="101"/>
  <c r="N32" i="101"/>
  <c r="L32" i="101"/>
  <c r="J32" i="101"/>
  <c r="B32" i="101"/>
  <c r="Z31" i="101"/>
  <c r="X31" i="101"/>
  <c r="V31" i="101"/>
  <c r="N31" i="101"/>
  <c r="L31" i="101"/>
  <c r="J31" i="101"/>
  <c r="B31" i="101"/>
  <c r="Z30" i="101"/>
  <c r="X30" i="101"/>
  <c r="N30" i="101"/>
  <c r="L30" i="101"/>
  <c r="J30" i="101"/>
  <c r="B30" i="101"/>
  <c r="Z29" i="101"/>
  <c r="X29" i="101"/>
  <c r="N29" i="101"/>
  <c r="L29" i="101"/>
  <c r="J29" i="101"/>
  <c r="B29" i="101"/>
  <c r="Z28" i="101"/>
  <c r="X28" i="101"/>
  <c r="N28" i="101"/>
  <c r="L28" i="101"/>
  <c r="J28" i="101"/>
  <c r="B28" i="101"/>
  <c r="Z27" i="101"/>
  <c r="X27" i="101"/>
  <c r="N27" i="101"/>
  <c r="L27" i="101"/>
  <c r="J27" i="101"/>
  <c r="B27" i="101"/>
  <c r="Z26" i="101"/>
  <c r="X26" i="101"/>
  <c r="N26" i="101"/>
  <c r="L26" i="101"/>
  <c r="J26" i="101"/>
  <c r="B26" i="101"/>
  <c r="X25" i="101"/>
  <c r="T25" i="101"/>
  <c r="R25" i="101"/>
  <c r="P25" i="101"/>
  <c r="N25" i="101"/>
  <c r="J25" i="101"/>
  <c r="H25" i="101"/>
  <c r="L25" i="101" s="1"/>
  <c r="D25" i="101"/>
  <c r="B25" i="101"/>
  <c r="T24" i="101"/>
  <c r="P24" i="101"/>
  <c r="X24" i="101" s="1"/>
  <c r="J24" i="101"/>
  <c r="H24" i="101"/>
  <c r="D24" i="101"/>
  <c r="L24" i="101" s="1"/>
  <c r="J22" i="101"/>
  <c r="Z20" i="101"/>
  <c r="X20" i="101"/>
  <c r="N20" i="101"/>
  <c r="L20" i="101"/>
  <c r="B20" i="101"/>
  <c r="Z19" i="101"/>
  <c r="X19" i="101"/>
  <c r="N19" i="101"/>
  <c r="L19" i="101"/>
  <c r="J19" i="101"/>
  <c r="B19" i="101"/>
  <c r="X18" i="101"/>
  <c r="Z18" i="101" s="1"/>
  <c r="N18" i="101"/>
  <c r="L18" i="101"/>
  <c r="J18" i="101"/>
  <c r="B18" i="101"/>
  <c r="T17" i="101"/>
  <c r="P17" i="101"/>
  <c r="X17" i="101" s="1"/>
  <c r="Z17" i="101" s="1"/>
  <c r="J17" i="101"/>
  <c r="H17" i="101"/>
  <c r="N17" i="101" s="1"/>
  <c r="D17" i="101"/>
  <c r="Z15" i="101"/>
  <c r="P15" i="101"/>
  <c r="X15" i="101" s="1"/>
  <c r="N15" i="101"/>
  <c r="D15" i="101"/>
  <c r="L15" i="101" s="1"/>
  <c r="B15" i="101"/>
  <c r="Z14" i="101"/>
  <c r="X14" i="101"/>
  <c r="P14" i="101"/>
  <c r="N14" i="101"/>
  <c r="L14" i="101"/>
  <c r="D14" i="101"/>
  <c r="D12" i="101" s="1"/>
  <c r="B14" i="101"/>
  <c r="P13" i="101"/>
  <c r="X13" i="101" s="1"/>
  <c r="Z13" i="101" s="1"/>
  <c r="N13" i="101"/>
  <c r="L13" i="101"/>
  <c r="D13" i="101"/>
  <c r="B13" i="101"/>
  <c r="T12" i="101"/>
  <c r="P12" i="101"/>
  <c r="N12" i="101"/>
  <c r="H12" i="101"/>
  <c r="J66" i="101" s="1"/>
  <c r="D6" i="101"/>
  <c r="D4" i="101"/>
  <c r="R60" i="100"/>
  <c r="F60" i="100"/>
  <c r="Z55" i="100"/>
  <c r="X55" i="100"/>
  <c r="N55" i="100"/>
  <c r="L55" i="100"/>
  <c r="X51" i="100"/>
  <c r="Z51" i="100" s="1"/>
  <c r="V51" i="100"/>
  <c r="P51" i="100"/>
  <c r="N51" i="100"/>
  <c r="L51" i="100"/>
  <c r="D51" i="100"/>
  <c r="D50" i="100" s="1"/>
  <c r="B51" i="100"/>
  <c r="T50" i="100"/>
  <c r="Z50" i="100" s="1"/>
  <c r="P50" i="100"/>
  <c r="X50" i="100" s="1"/>
  <c r="N50" i="100"/>
  <c r="H50" i="100"/>
  <c r="L50" i="100" s="1"/>
  <c r="F50" i="100"/>
  <c r="Z48" i="100"/>
  <c r="X48" i="100"/>
  <c r="N48" i="100"/>
  <c r="L48" i="100"/>
  <c r="F48" i="100"/>
  <c r="B48" i="100"/>
  <c r="T47" i="100"/>
  <c r="P47" i="100"/>
  <c r="N47" i="100"/>
  <c r="H47" i="100"/>
  <c r="D47" i="100"/>
  <c r="L47" i="100" s="1"/>
  <c r="B47" i="100"/>
  <c r="Z46" i="100"/>
  <c r="X46" i="100"/>
  <c r="N46" i="100"/>
  <c r="L46" i="100"/>
  <c r="B46" i="100"/>
  <c r="Z45" i="100"/>
  <c r="T45" i="100"/>
  <c r="P45" i="100"/>
  <c r="X45" i="100" s="1"/>
  <c r="H45" i="100"/>
  <c r="N45" i="100" s="1"/>
  <c r="D45" i="100"/>
  <c r="L45" i="100" s="1"/>
  <c r="B45" i="100"/>
  <c r="X44" i="100"/>
  <c r="Z44" i="100" s="1"/>
  <c r="N44" i="100"/>
  <c r="L44" i="100"/>
  <c r="B44" i="100"/>
  <c r="T43" i="100"/>
  <c r="R43" i="100"/>
  <c r="P43" i="100"/>
  <c r="X43" i="100" s="1"/>
  <c r="L43" i="100"/>
  <c r="H43" i="100"/>
  <c r="N43" i="100" s="1"/>
  <c r="F43" i="100"/>
  <c r="D43" i="100"/>
  <c r="B43" i="100"/>
  <c r="X42" i="100"/>
  <c r="Z42" i="100" s="1"/>
  <c r="N42" i="100"/>
  <c r="L42" i="100"/>
  <c r="J42" i="100"/>
  <c r="B42" i="100"/>
  <c r="T41" i="100"/>
  <c r="R41" i="100"/>
  <c r="P41" i="100"/>
  <c r="N41" i="100"/>
  <c r="H41" i="100"/>
  <c r="D41" i="100"/>
  <c r="L41" i="100" s="1"/>
  <c r="B41" i="100"/>
  <c r="Z40" i="100"/>
  <c r="X40" i="100"/>
  <c r="V40" i="100"/>
  <c r="R40" i="100"/>
  <c r="N40" i="100"/>
  <c r="L40" i="100"/>
  <c r="B40" i="100"/>
  <c r="Z39" i="100"/>
  <c r="X39" i="100"/>
  <c r="N39" i="100"/>
  <c r="L39" i="100"/>
  <c r="J39" i="100"/>
  <c r="B39" i="100"/>
  <c r="Z38" i="100"/>
  <c r="X38" i="100"/>
  <c r="N38" i="100"/>
  <c r="L38" i="100"/>
  <c r="B38" i="100"/>
  <c r="Z37" i="100"/>
  <c r="X37" i="100"/>
  <c r="R37" i="100"/>
  <c r="N37" i="100"/>
  <c r="L37" i="100"/>
  <c r="F37" i="100"/>
  <c r="B37" i="100"/>
  <c r="Z36" i="100"/>
  <c r="X36" i="100"/>
  <c r="N36" i="100"/>
  <c r="L36" i="100"/>
  <c r="B36" i="100"/>
  <c r="Z35" i="100"/>
  <c r="X35" i="100"/>
  <c r="N35" i="100"/>
  <c r="L35" i="100"/>
  <c r="B35" i="100"/>
  <c r="Z34" i="100"/>
  <c r="X34" i="100"/>
  <c r="N34" i="100"/>
  <c r="L34" i="100"/>
  <c r="B34" i="100"/>
  <c r="Z33" i="100"/>
  <c r="X33" i="100"/>
  <c r="V33" i="100"/>
  <c r="N33" i="100"/>
  <c r="L33" i="100"/>
  <c r="B33" i="100"/>
  <c r="Z32" i="100"/>
  <c r="X32" i="100"/>
  <c r="V32" i="100"/>
  <c r="R32" i="100"/>
  <c r="N32" i="100"/>
  <c r="L32" i="100"/>
  <c r="J32" i="100"/>
  <c r="B32" i="100"/>
  <c r="X31" i="100"/>
  <c r="Z31" i="100" s="1"/>
  <c r="R31" i="100"/>
  <c r="L31" i="100"/>
  <c r="N31" i="100" s="1"/>
  <c r="J31" i="100"/>
  <c r="F31" i="100"/>
  <c r="B31" i="100"/>
  <c r="Z30" i="100"/>
  <c r="T30" i="100"/>
  <c r="R30" i="100"/>
  <c r="P30" i="100"/>
  <c r="X30" i="100" s="1"/>
  <c r="H30" i="100"/>
  <c r="D30" i="100"/>
  <c r="L30" i="100" s="1"/>
  <c r="N30" i="100" s="1"/>
  <c r="B30" i="100"/>
  <c r="X29" i="100"/>
  <c r="Z29" i="100" s="1"/>
  <c r="R29" i="100"/>
  <c r="L29" i="100"/>
  <c r="N29" i="100" s="1"/>
  <c r="F29" i="100"/>
  <c r="B29" i="100"/>
  <c r="Z28" i="100"/>
  <c r="X28" i="100"/>
  <c r="N28" i="100"/>
  <c r="L28" i="100"/>
  <c r="J28" i="100"/>
  <c r="F28" i="100"/>
  <c r="B28" i="100"/>
  <c r="X27" i="100"/>
  <c r="Z27" i="100" s="1"/>
  <c r="V27" i="100"/>
  <c r="R27" i="100"/>
  <c r="L27" i="100"/>
  <c r="N27" i="100" s="1"/>
  <c r="B27" i="100"/>
  <c r="Z26" i="100"/>
  <c r="X26" i="100"/>
  <c r="N26" i="100"/>
  <c r="L26" i="100"/>
  <c r="J26" i="100"/>
  <c r="F26" i="100"/>
  <c r="B26" i="100"/>
  <c r="X25" i="100"/>
  <c r="Z25" i="100" s="1"/>
  <c r="R25" i="100"/>
  <c r="L25" i="100"/>
  <c r="N25" i="100" s="1"/>
  <c r="B25" i="100"/>
  <c r="X24" i="100"/>
  <c r="Z24" i="100" s="1"/>
  <c r="V24" i="100"/>
  <c r="N24" i="100"/>
  <c r="L24" i="100"/>
  <c r="J24" i="100"/>
  <c r="B24" i="100"/>
  <c r="X23" i="100"/>
  <c r="Z23" i="100" s="1"/>
  <c r="R23" i="100"/>
  <c r="L23" i="100"/>
  <c r="N23" i="100" s="1"/>
  <c r="F23" i="100"/>
  <c r="B23" i="100"/>
  <c r="Z22" i="100"/>
  <c r="X22" i="100"/>
  <c r="V22" i="100"/>
  <c r="L22" i="100"/>
  <c r="N22" i="100" s="1"/>
  <c r="B22" i="100"/>
  <c r="X21" i="100"/>
  <c r="Z21" i="100" s="1"/>
  <c r="R21" i="100"/>
  <c r="N21" i="100"/>
  <c r="L21" i="100"/>
  <c r="F21" i="100"/>
  <c r="B21" i="100"/>
  <c r="T20" i="100"/>
  <c r="R20" i="100"/>
  <c r="P20" i="100"/>
  <c r="X20" i="100" s="1"/>
  <c r="Z20" i="100" s="1"/>
  <c r="J20" i="100"/>
  <c r="H20" i="100"/>
  <c r="F20" i="100"/>
  <c r="D20" i="100"/>
  <c r="L20" i="100" s="1"/>
  <c r="B20" i="100"/>
  <c r="T19" i="100"/>
  <c r="R19" i="100"/>
  <c r="P19" i="100"/>
  <c r="X19" i="100" s="1"/>
  <c r="L19" i="100"/>
  <c r="J19" i="100"/>
  <c r="H19" i="100"/>
  <c r="F19" i="100"/>
  <c r="D19" i="100"/>
  <c r="R17" i="100"/>
  <c r="P17" i="100"/>
  <c r="J17" i="100"/>
  <c r="H17" i="100"/>
  <c r="F17" i="100"/>
  <c r="Z15" i="100"/>
  <c r="X15" i="100"/>
  <c r="R15" i="100"/>
  <c r="N15" i="100"/>
  <c r="L15" i="100"/>
  <c r="J15" i="100"/>
  <c r="F15" i="100"/>
  <c r="B15" i="100"/>
  <c r="Z14" i="100"/>
  <c r="X14" i="100"/>
  <c r="T14" i="100"/>
  <c r="R14" i="100"/>
  <c r="P14" i="100"/>
  <c r="J14" i="100"/>
  <c r="H14" i="100"/>
  <c r="N14" i="100" s="1"/>
  <c r="F14" i="100"/>
  <c r="D14" i="100"/>
  <c r="Z12" i="100"/>
  <c r="X12" i="100"/>
  <c r="T12" i="100"/>
  <c r="V44" i="100" s="1"/>
  <c r="P12" i="100"/>
  <c r="R57" i="100" s="1"/>
  <c r="N12" i="100"/>
  <c r="H12" i="100"/>
  <c r="J53" i="100" s="1"/>
  <c r="D12" i="100"/>
  <c r="F57" i="100" s="1"/>
  <c r="D6" i="100"/>
  <c r="D4" i="100"/>
  <c r="V50" i="99"/>
  <c r="V47" i="99"/>
  <c r="Z45" i="99"/>
  <c r="X45" i="99"/>
  <c r="V45" i="99"/>
  <c r="N45" i="99"/>
  <c r="L45" i="99"/>
  <c r="T41" i="99"/>
  <c r="Z41" i="99" s="1"/>
  <c r="P41" i="99"/>
  <c r="X41" i="99" s="1"/>
  <c r="N41" i="99"/>
  <c r="L41" i="99"/>
  <c r="J41" i="99"/>
  <c r="H41" i="99"/>
  <c r="D41" i="99"/>
  <c r="Z39" i="99"/>
  <c r="X39" i="99"/>
  <c r="N39" i="99"/>
  <c r="L39" i="99"/>
  <c r="J39" i="99"/>
  <c r="F39" i="99"/>
  <c r="B39" i="99"/>
  <c r="T38" i="99"/>
  <c r="Z38" i="99" s="1"/>
  <c r="P38" i="99"/>
  <c r="X38" i="99" s="1"/>
  <c r="J38" i="99"/>
  <c r="H38" i="99"/>
  <c r="D38" i="99"/>
  <c r="B38" i="99"/>
  <c r="Z37" i="99"/>
  <c r="X37" i="99"/>
  <c r="N37" i="99"/>
  <c r="L37" i="99"/>
  <c r="J37" i="99"/>
  <c r="B37" i="99"/>
  <c r="Z36" i="99"/>
  <c r="X36" i="99"/>
  <c r="T36" i="99"/>
  <c r="P36" i="99"/>
  <c r="H36" i="99"/>
  <c r="N36" i="99" s="1"/>
  <c r="D36" i="99"/>
  <c r="L36" i="99" s="1"/>
  <c r="B36" i="99"/>
  <c r="Z35" i="99"/>
  <c r="X35" i="99"/>
  <c r="N35" i="99"/>
  <c r="L35" i="99"/>
  <c r="B35" i="99"/>
  <c r="Z34" i="99"/>
  <c r="X34" i="99"/>
  <c r="V34" i="99"/>
  <c r="T34" i="99"/>
  <c r="P34" i="99"/>
  <c r="H34" i="99"/>
  <c r="N34" i="99" s="1"/>
  <c r="D34" i="99"/>
  <c r="L34" i="99" s="1"/>
  <c r="B34" i="99"/>
  <c r="Z33" i="99"/>
  <c r="X33" i="99"/>
  <c r="V33" i="99"/>
  <c r="N33" i="99"/>
  <c r="L33" i="99"/>
  <c r="B33" i="99"/>
  <c r="Z32" i="99"/>
  <c r="X32" i="99"/>
  <c r="V32" i="99"/>
  <c r="N32" i="99"/>
  <c r="L32" i="99"/>
  <c r="B32" i="99"/>
  <c r="Z31" i="99"/>
  <c r="X31" i="99"/>
  <c r="N31" i="99"/>
  <c r="L31" i="99"/>
  <c r="B31" i="99"/>
  <c r="Z30" i="99"/>
  <c r="X30" i="99"/>
  <c r="N30" i="99"/>
  <c r="L30" i="99"/>
  <c r="F30" i="99"/>
  <c r="B30" i="99"/>
  <c r="Z29" i="99"/>
  <c r="X29" i="99"/>
  <c r="V29" i="99"/>
  <c r="T29" i="99"/>
  <c r="P29" i="99"/>
  <c r="H29" i="99"/>
  <c r="N29" i="99" s="1"/>
  <c r="D29" i="99"/>
  <c r="L29" i="99" s="1"/>
  <c r="B29" i="99"/>
  <c r="Z28" i="99"/>
  <c r="X28" i="99"/>
  <c r="N28" i="99"/>
  <c r="L28" i="99"/>
  <c r="B28" i="99"/>
  <c r="Z27" i="99"/>
  <c r="X27" i="99"/>
  <c r="V27" i="99"/>
  <c r="N27" i="99"/>
  <c r="L27" i="99"/>
  <c r="B27" i="99"/>
  <c r="Z26" i="99"/>
  <c r="X26" i="99"/>
  <c r="N26" i="99"/>
  <c r="L26" i="99"/>
  <c r="J26" i="99"/>
  <c r="B26" i="99"/>
  <c r="Z25" i="99"/>
  <c r="X25" i="99"/>
  <c r="N25" i="99"/>
  <c r="L25" i="99"/>
  <c r="F25" i="99"/>
  <c r="B25" i="99"/>
  <c r="Z24" i="99"/>
  <c r="X24" i="99"/>
  <c r="N24" i="99"/>
  <c r="L24" i="99"/>
  <c r="B24" i="99"/>
  <c r="Z23" i="99"/>
  <c r="X23" i="99"/>
  <c r="V23" i="99"/>
  <c r="R23" i="99"/>
  <c r="N23" i="99"/>
  <c r="L23" i="99"/>
  <c r="B23" i="99"/>
  <c r="Z22" i="99"/>
  <c r="X22" i="99"/>
  <c r="R22" i="99"/>
  <c r="N22" i="99"/>
  <c r="L22" i="99"/>
  <c r="B22" i="99"/>
  <c r="Z21" i="99"/>
  <c r="T21" i="99"/>
  <c r="P21" i="99"/>
  <c r="X21" i="99" s="1"/>
  <c r="J21" i="99"/>
  <c r="H21" i="99"/>
  <c r="N21" i="99" s="1"/>
  <c r="D21" i="99"/>
  <c r="B21" i="99"/>
  <c r="T20" i="99"/>
  <c r="Z20" i="99" s="1"/>
  <c r="P20" i="99"/>
  <c r="X20" i="99" s="1"/>
  <c r="N20" i="99"/>
  <c r="J20" i="99"/>
  <c r="H20" i="99"/>
  <c r="L20" i="99" s="1"/>
  <c r="D20" i="99"/>
  <c r="P18" i="99"/>
  <c r="T16" i="99"/>
  <c r="Z16" i="99" s="1"/>
  <c r="P16" i="99"/>
  <c r="X16" i="99" s="1"/>
  <c r="N16" i="99"/>
  <c r="J16" i="99"/>
  <c r="H16" i="99"/>
  <c r="L16" i="99" s="1"/>
  <c r="D16" i="99"/>
  <c r="Z14" i="99"/>
  <c r="X14" i="99"/>
  <c r="P14" i="99"/>
  <c r="N14" i="99"/>
  <c r="D14" i="99"/>
  <c r="L14" i="99" s="1"/>
  <c r="B14" i="99"/>
  <c r="Z13" i="99"/>
  <c r="X13" i="99"/>
  <c r="P13" i="99"/>
  <c r="P12" i="99" s="1"/>
  <c r="N13" i="99"/>
  <c r="L13" i="99"/>
  <c r="D13" i="99"/>
  <c r="B13" i="99"/>
  <c r="T12" i="99"/>
  <c r="V36" i="99" s="1"/>
  <c r="H12" i="99"/>
  <c r="J25" i="99" s="1"/>
  <c r="D12" i="99"/>
  <c r="F37" i="99" s="1"/>
  <c r="D6" i="99"/>
  <c r="D4" i="99"/>
  <c r="X93" i="98"/>
  <c r="Z93" i="98" s="1"/>
  <c r="L93" i="98"/>
  <c r="N93" i="98" s="1"/>
  <c r="J93" i="98"/>
  <c r="Z89" i="98"/>
  <c r="X89" i="98"/>
  <c r="T89" i="98"/>
  <c r="P89" i="98"/>
  <c r="H89" i="98"/>
  <c r="N89" i="98" s="1"/>
  <c r="D89" i="98"/>
  <c r="L89" i="98" s="1"/>
  <c r="Z87" i="98"/>
  <c r="X87" i="98"/>
  <c r="N87" i="98"/>
  <c r="L87" i="98"/>
  <c r="B87" i="98"/>
  <c r="T86" i="98"/>
  <c r="P86" i="98"/>
  <c r="N86" i="98"/>
  <c r="H86" i="98"/>
  <c r="D86" i="98"/>
  <c r="L86" i="98" s="1"/>
  <c r="B86" i="98"/>
  <c r="Z85" i="98"/>
  <c r="X85" i="98"/>
  <c r="N85" i="98"/>
  <c r="L85" i="98"/>
  <c r="B85" i="98"/>
  <c r="V84" i="98"/>
  <c r="T84" i="98"/>
  <c r="P84" i="98"/>
  <c r="X84" i="98" s="1"/>
  <c r="N84" i="98"/>
  <c r="H84" i="98"/>
  <c r="D84" i="98"/>
  <c r="L84" i="98" s="1"/>
  <c r="B84" i="98"/>
  <c r="X83" i="98"/>
  <c r="Z83" i="98" s="1"/>
  <c r="V83" i="98"/>
  <c r="L83" i="98"/>
  <c r="N83" i="98" s="1"/>
  <c r="B83" i="98"/>
  <c r="T82" i="98"/>
  <c r="Z82" i="98" s="1"/>
  <c r="P82" i="98"/>
  <c r="X82" i="98" s="1"/>
  <c r="N82" i="98"/>
  <c r="L82" i="98"/>
  <c r="H82" i="98"/>
  <c r="D82" i="98"/>
  <c r="B82" i="98"/>
  <c r="X81" i="98"/>
  <c r="Z81" i="98" s="1"/>
  <c r="N81" i="98"/>
  <c r="L81" i="98"/>
  <c r="J81" i="98"/>
  <c r="B81" i="98"/>
  <c r="Z80" i="98"/>
  <c r="X80" i="98"/>
  <c r="N80" i="98"/>
  <c r="L80" i="98"/>
  <c r="J80" i="98"/>
  <c r="B80" i="98"/>
  <c r="Z79" i="98"/>
  <c r="X79" i="98"/>
  <c r="N79" i="98"/>
  <c r="L79" i="98"/>
  <c r="B79" i="98"/>
  <c r="X78" i="98"/>
  <c r="Z78" i="98" s="1"/>
  <c r="V78" i="98"/>
  <c r="N78" i="98"/>
  <c r="L78" i="98"/>
  <c r="B78" i="98"/>
  <c r="X77" i="98"/>
  <c r="Z77" i="98" s="1"/>
  <c r="N77" i="98"/>
  <c r="L77" i="98"/>
  <c r="B77" i="98"/>
  <c r="Z76" i="98"/>
  <c r="X76" i="98"/>
  <c r="N76" i="98"/>
  <c r="L76" i="98"/>
  <c r="B76" i="98"/>
  <c r="Z75" i="98"/>
  <c r="X75" i="98"/>
  <c r="N75" i="98"/>
  <c r="L75" i="98"/>
  <c r="B75" i="98"/>
  <c r="Z74" i="98"/>
  <c r="V74" i="98"/>
  <c r="T74" i="98"/>
  <c r="X74" i="98" s="1"/>
  <c r="P74" i="98"/>
  <c r="H74" i="98"/>
  <c r="D74" i="98"/>
  <c r="L74" i="98" s="1"/>
  <c r="N74" i="98" s="1"/>
  <c r="B74" i="98"/>
  <c r="X73" i="98"/>
  <c r="Z73" i="98" s="1"/>
  <c r="V73" i="98"/>
  <c r="L73" i="98"/>
  <c r="N73" i="98" s="1"/>
  <c r="B73" i="98"/>
  <c r="Z72" i="98"/>
  <c r="X72" i="98"/>
  <c r="V72" i="98"/>
  <c r="T72" i="98"/>
  <c r="P72" i="98"/>
  <c r="H72" i="98"/>
  <c r="D72" i="98"/>
  <c r="L72" i="98" s="1"/>
  <c r="N72" i="98" s="1"/>
  <c r="B72" i="98"/>
  <c r="Z71" i="98"/>
  <c r="X71" i="98"/>
  <c r="V71" i="98"/>
  <c r="N71" i="98"/>
  <c r="L71" i="98"/>
  <c r="B71" i="98"/>
  <c r="Z70" i="98"/>
  <c r="X70" i="98"/>
  <c r="V70" i="98"/>
  <c r="L70" i="98"/>
  <c r="N70" i="98" s="1"/>
  <c r="B70" i="98"/>
  <c r="X69" i="98"/>
  <c r="Z69" i="98" s="1"/>
  <c r="L69" i="98"/>
  <c r="N69" i="98" s="1"/>
  <c r="B69" i="98"/>
  <c r="X68" i="98"/>
  <c r="Z68" i="98" s="1"/>
  <c r="T68" i="98"/>
  <c r="P68" i="98"/>
  <c r="H68" i="98"/>
  <c r="D68" i="98"/>
  <c r="B68" i="98"/>
  <c r="X67" i="98"/>
  <c r="Z67" i="98" s="1"/>
  <c r="L67" i="98"/>
  <c r="N67" i="98" s="1"/>
  <c r="B67" i="98"/>
  <c r="Z66" i="98"/>
  <c r="X66" i="98"/>
  <c r="V66" i="98"/>
  <c r="N66" i="98"/>
  <c r="L66" i="98"/>
  <c r="B66" i="98"/>
  <c r="Z65" i="98"/>
  <c r="X65" i="98"/>
  <c r="V65" i="98"/>
  <c r="N65" i="98"/>
  <c r="L65" i="98"/>
  <c r="B65" i="98"/>
  <c r="T64" i="98"/>
  <c r="P64" i="98"/>
  <c r="X64" i="98" s="1"/>
  <c r="Z64" i="98" s="1"/>
  <c r="H64" i="98"/>
  <c r="D64" i="98"/>
  <c r="B64" i="98"/>
  <c r="Z63" i="98"/>
  <c r="X63" i="98"/>
  <c r="N63" i="98"/>
  <c r="L63" i="98"/>
  <c r="B63" i="98"/>
  <c r="Z62" i="98"/>
  <c r="X62" i="98"/>
  <c r="N62" i="98"/>
  <c r="L62" i="98"/>
  <c r="J62" i="98"/>
  <c r="B62" i="98"/>
  <c r="T61" i="98"/>
  <c r="P61" i="98"/>
  <c r="H61" i="98"/>
  <c r="D61" i="98"/>
  <c r="B61" i="98"/>
  <c r="Z60" i="98"/>
  <c r="X60" i="98"/>
  <c r="V60" i="98"/>
  <c r="N60" i="98"/>
  <c r="L60" i="98"/>
  <c r="B60" i="98"/>
  <c r="X59" i="98"/>
  <c r="V59" i="98"/>
  <c r="T59" i="98"/>
  <c r="Z59" i="98" s="1"/>
  <c r="P59" i="98"/>
  <c r="H59" i="98"/>
  <c r="D59" i="98"/>
  <c r="L59" i="98" s="1"/>
  <c r="B59" i="98"/>
  <c r="X58" i="98"/>
  <c r="Z58" i="98" s="1"/>
  <c r="N58" i="98"/>
  <c r="L58" i="98"/>
  <c r="B58" i="98"/>
  <c r="X57" i="98"/>
  <c r="T57" i="98"/>
  <c r="P57" i="98"/>
  <c r="N57" i="98"/>
  <c r="L57" i="98"/>
  <c r="H57" i="98"/>
  <c r="D57" i="98"/>
  <c r="B57" i="98"/>
  <c r="Z56" i="98"/>
  <c r="X56" i="98"/>
  <c r="V56" i="98"/>
  <c r="N56" i="98"/>
  <c r="L56" i="98"/>
  <c r="J56" i="98"/>
  <c r="B56" i="98"/>
  <c r="X55" i="98"/>
  <c r="Z55" i="98" s="1"/>
  <c r="L55" i="98"/>
  <c r="N55" i="98" s="1"/>
  <c r="J55" i="98"/>
  <c r="B55" i="98"/>
  <c r="Z54" i="98"/>
  <c r="X54" i="98"/>
  <c r="N54" i="98"/>
  <c r="L54" i="98"/>
  <c r="B54" i="98"/>
  <c r="X53" i="98"/>
  <c r="V53" i="98"/>
  <c r="T53" i="98"/>
  <c r="Z53" i="98" s="1"/>
  <c r="P53" i="98"/>
  <c r="H53" i="98"/>
  <c r="D53" i="98"/>
  <c r="L53" i="98" s="1"/>
  <c r="B53" i="98"/>
  <c r="X52" i="98"/>
  <c r="Z52" i="98" s="1"/>
  <c r="N52" i="98"/>
  <c r="L52" i="98"/>
  <c r="B52" i="98"/>
  <c r="T51" i="98"/>
  <c r="P51" i="98"/>
  <c r="X51" i="98" s="1"/>
  <c r="H51" i="98"/>
  <c r="D51" i="98"/>
  <c r="L51" i="98" s="1"/>
  <c r="B51" i="98"/>
  <c r="X50" i="98"/>
  <c r="Z50" i="98" s="1"/>
  <c r="V50" i="98"/>
  <c r="N50" i="98"/>
  <c r="L50" i="98"/>
  <c r="B50" i="98"/>
  <c r="X49" i="98"/>
  <c r="V49" i="98"/>
  <c r="T49" i="98"/>
  <c r="P49" i="98"/>
  <c r="L49" i="98"/>
  <c r="N49" i="98" s="1"/>
  <c r="H49" i="98"/>
  <c r="D49" i="98"/>
  <c r="B49" i="98"/>
  <c r="X48" i="98"/>
  <c r="Z48" i="98" s="1"/>
  <c r="V48" i="98"/>
  <c r="L48" i="98"/>
  <c r="N48" i="98" s="1"/>
  <c r="B48" i="98"/>
  <c r="T47" i="98"/>
  <c r="P47" i="98"/>
  <c r="J47" i="98"/>
  <c r="H47" i="98"/>
  <c r="L47" i="98" s="1"/>
  <c r="D47" i="98"/>
  <c r="B47" i="98"/>
  <c r="Z46" i="98"/>
  <c r="X46" i="98"/>
  <c r="N46" i="98"/>
  <c r="L46" i="98"/>
  <c r="J46" i="98"/>
  <c r="B46" i="98"/>
  <c r="Z45" i="98"/>
  <c r="X45" i="98"/>
  <c r="N45" i="98"/>
  <c r="L45" i="98"/>
  <c r="B45" i="98"/>
  <c r="Z44" i="98"/>
  <c r="X44" i="98"/>
  <c r="V44" i="98"/>
  <c r="N44" i="98"/>
  <c r="L44" i="98"/>
  <c r="B44" i="98"/>
  <c r="Z43" i="98"/>
  <c r="X43" i="98"/>
  <c r="N43" i="98"/>
  <c r="L43" i="98"/>
  <c r="B43" i="98"/>
  <c r="Z42" i="98"/>
  <c r="X42" i="98"/>
  <c r="V42" i="98"/>
  <c r="N42" i="98"/>
  <c r="L42" i="98"/>
  <c r="B42" i="98"/>
  <c r="X41" i="98"/>
  <c r="Z41" i="98" s="1"/>
  <c r="L41" i="98"/>
  <c r="N41" i="98" s="1"/>
  <c r="B41" i="98"/>
  <c r="Z40" i="98"/>
  <c r="X40" i="98"/>
  <c r="V40" i="98"/>
  <c r="N40" i="98"/>
  <c r="L40" i="98"/>
  <c r="B40" i="98"/>
  <c r="Z39" i="98"/>
  <c r="X39" i="98"/>
  <c r="V39" i="98"/>
  <c r="N39" i="98"/>
  <c r="L39" i="98"/>
  <c r="B39" i="98"/>
  <c r="Z38" i="98"/>
  <c r="X38" i="98"/>
  <c r="L38" i="98"/>
  <c r="N38" i="98" s="1"/>
  <c r="J38" i="98"/>
  <c r="B38" i="98"/>
  <c r="Z37" i="98"/>
  <c r="X37" i="98"/>
  <c r="N37" i="98"/>
  <c r="L37" i="98"/>
  <c r="B37" i="98"/>
  <c r="X36" i="98"/>
  <c r="Z36" i="98" s="1"/>
  <c r="V36" i="98"/>
  <c r="T36" i="98"/>
  <c r="P36" i="98"/>
  <c r="J36" i="98"/>
  <c r="H36" i="98"/>
  <c r="D36" i="98"/>
  <c r="B36" i="98"/>
  <c r="X35" i="98"/>
  <c r="Z35" i="98" s="1"/>
  <c r="L35" i="98"/>
  <c r="N35" i="98" s="1"/>
  <c r="B35" i="98"/>
  <c r="X34" i="98"/>
  <c r="Z34" i="98" s="1"/>
  <c r="V34" i="98"/>
  <c r="N34" i="98"/>
  <c r="L34" i="98"/>
  <c r="B34" i="98"/>
  <c r="X33" i="98"/>
  <c r="Z33" i="98" s="1"/>
  <c r="V33" i="98"/>
  <c r="N33" i="98"/>
  <c r="L33" i="98"/>
  <c r="J33" i="98"/>
  <c r="B33" i="98"/>
  <c r="Z32" i="98"/>
  <c r="X32" i="98"/>
  <c r="N32" i="98"/>
  <c r="L32" i="98"/>
  <c r="J32" i="98"/>
  <c r="B32" i="98"/>
  <c r="X31" i="98"/>
  <c r="Z31" i="98" s="1"/>
  <c r="L31" i="98"/>
  <c r="N31" i="98" s="1"/>
  <c r="B31" i="98"/>
  <c r="X30" i="98"/>
  <c r="Z30" i="98" s="1"/>
  <c r="V30" i="98"/>
  <c r="N30" i="98"/>
  <c r="L30" i="98"/>
  <c r="B30" i="98"/>
  <c r="X29" i="98"/>
  <c r="Z29" i="98" s="1"/>
  <c r="V29" i="98"/>
  <c r="N29" i="98"/>
  <c r="L29" i="98"/>
  <c r="B29" i="98"/>
  <c r="Z28" i="98"/>
  <c r="X28" i="98"/>
  <c r="V28" i="98"/>
  <c r="L28" i="98"/>
  <c r="N28" i="98" s="1"/>
  <c r="J28" i="98"/>
  <c r="B28" i="98"/>
  <c r="X27" i="98"/>
  <c r="Z27" i="98" s="1"/>
  <c r="L27" i="98"/>
  <c r="N27" i="98" s="1"/>
  <c r="B27" i="98"/>
  <c r="T26" i="98"/>
  <c r="P26" i="98"/>
  <c r="H26" i="98"/>
  <c r="D26" i="98"/>
  <c r="L26" i="98" s="1"/>
  <c r="N26" i="98" s="1"/>
  <c r="B26" i="98"/>
  <c r="X25" i="98"/>
  <c r="T25" i="98"/>
  <c r="P25" i="98"/>
  <c r="H25" i="98"/>
  <c r="D25" i="98"/>
  <c r="L25" i="98" s="1"/>
  <c r="T23" i="98"/>
  <c r="Z21" i="98"/>
  <c r="X21" i="98"/>
  <c r="V21" i="98"/>
  <c r="N21" i="98"/>
  <c r="L21" i="98"/>
  <c r="B21" i="98"/>
  <c r="Z20" i="98"/>
  <c r="X20" i="98"/>
  <c r="V20" i="98"/>
  <c r="N20" i="98"/>
  <c r="L20" i="98"/>
  <c r="J20" i="98"/>
  <c r="B20" i="98"/>
  <c r="X19" i="98"/>
  <c r="Z19" i="98" s="1"/>
  <c r="V19" i="98"/>
  <c r="N19" i="98"/>
  <c r="L19" i="98"/>
  <c r="B19" i="98"/>
  <c r="V18" i="98"/>
  <c r="T18" i="98"/>
  <c r="P18" i="98"/>
  <c r="X18" i="98" s="1"/>
  <c r="Z18" i="98" s="1"/>
  <c r="H18" i="98"/>
  <c r="D18" i="98"/>
  <c r="L18" i="98" s="1"/>
  <c r="Z16" i="98"/>
  <c r="X16" i="98"/>
  <c r="P16" i="98"/>
  <c r="N16" i="98"/>
  <c r="D16" i="98"/>
  <c r="D12" i="98" s="1"/>
  <c r="F76" i="98" s="1"/>
  <c r="B16" i="98"/>
  <c r="P15" i="98"/>
  <c r="X15" i="98" s="1"/>
  <c r="Z15" i="98" s="1"/>
  <c r="L15" i="98"/>
  <c r="N15" i="98" s="1"/>
  <c r="D15" i="98"/>
  <c r="B15" i="98"/>
  <c r="Z14" i="98"/>
  <c r="X14" i="98"/>
  <c r="P14" i="98"/>
  <c r="N14" i="98"/>
  <c r="D14" i="98"/>
  <c r="L14" i="98" s="1"/>
  <c r="B14" i="98"/>
  <c r="P13" i="98"/>
  <c r="L13" i="98"/>
  <c r="N13" i="98" s="1"/>
  <c r="D13" i="98"/>
  <c r="B13" i="98"/>
  <c r="T12" i="98"/>
  <c r="V43" i="98" s="1"/>
  <c r="H12" i="98"/>
  <c r="J41" i="98" s="1"/>
  <c r="D6" i="98"/>
  <c r="D4" i="98"/>
  <c r="X101" i="96"/>
  <c r="Z101" i="96" s="1"/>
  <c r="L101" i="96"/>
  <c r="N101" i="96" s="1"/>
  <c r="Z97" i="96"/>
  <c r="X97" i="96"/>
  <c r="T97" i="96"/>
  <c r="P97" i="96"/>
  <c r="L97" i="96"/>
  <c r="H97" i="96"/>
  <c r="N97" i="96" s="1"/>
  <c r="D97" i="96"/>
  <c r="X95" i="96"/>
  <c r="Z95" i="96" s="1"/>
  <c r="L95" i="96"/>
  <c r="N95" i="96" s="1"/>
  <c r="B95" i="96"/>
  <c r="V94" i="96"/>
  <c r="T94" i="96"/>
  <c r="X94" i="96" s="1"/>
  <c r="P94" i="96"/>
  <c r="H94" i="96"/>
  <c r="N94" i="96" s="1"/>
  <c r="D94" i="96"/>
  <c r="L94" i="96" s="1"/>
  <c r="B94" i="96"/>
  <c r="Z93" i="96"/>
  <c r="X93" i="96"/>
  <c r="N93" i="96"/>
  <c r="L93" i="96"/>
  <c r="B93" i="96"/>
  <c r="Z92" i="96"/>
  <c r="X92" i="96"/>
  <c r="N92" i="96"/>
  <c r="L92" i="96"/>
  <c r="B92" i="96"/>
  <c r="T91" i="96"/>
  <c r="P91" i="96"/>
  <c r="H91" i="96"/>
  <c r="N91" i="96" s="1"/>
  <c r="D91" i="96"/>
  <c r="B91" i="96"/>
  <c r="Z90" i="96"/>
  <c r="X90" i="96"/>
  <c r="V90" i="96"/>
  <c r="N90" i="96"/>
  <c r="L90" i="96"/>
  <c r="B90" i="96"/>
  <c r="T89" i="96"/>
  <c r="Z89" i="96" s="1"/>
  <c r="P89" i="96"/>
  <c r="X89" i="96" s="1"/>
  <c r="H89" i="96"/>
  <c r="N89" i="96" s="1"/>
  <c r="D89" i="96"/>
  <c r="B89" i="96"/>
  <c r="Z88" i="96"/>
  <c r="X88" i="96"/>
  <c r="N88" i="96"/>
  <c r="L88" i="96"/>
  <c r="J88" i="96"/>
  <c r="B88" i="96"/>
  <c r="X87" i="96"/>
  <c r="Z87" i="96" s="1"/>
  <c r="T87" i="96"/>
  <c r="P87" i="96"/>
  <c r="H87" i="96"/>
  <c r="D87" i="96"/>
  <c r="L87" i="96" s="1"/>
  <c r="B87" i="96"/>
  <c r="Z86" i="96"/>
  <c r="X86" i="96"/>
  <c r="N86" i="96"/>
  <c r="L86" i="96"/>
  <c r="J86" i="96"/>
  <c r="B86" i="96"/>
  <c r="X85" i="96"/>
  <c r="Z85" i="96" s="1"/>
  <c r="N85" i="96"/>
  <c r="L85" i="96"/>
  <c r="B85" i="96"/>
  <c r="Z84" i="96"/>
  <c r="X84" i="96"/>
  <c r="V84" i="96"/>
  <c r="L84" i="96"/>
  <c r="N84" i="96" s="1"/>
  <c r="J84" i="96"/>
  <c r="B84" i="96"/>
  <c r="X83" i="96"/>
  <c r="Z83" i="96" s="1"/>
  <c r="L83" i="96"/>
  <c r="N83" i="96" s="1"/>
  <c r="B83" i="96"/>
  <c r="Z82" i="96"/>
  <c r="X82" i="96"/>
  <c r="L82" i="96"/>
  <c r="N82" i="96" s="1"/>
  <c r="B82" i="96"/>
  <c r="X81" i="96"/>
  <c r="Z81" i="96" s="1"/>
  <c r="V81" i="96"/>
  <c r="N81" i="96"/>
  <c r="L81" i="96"/>
  <c r="B81" i="96"/>
  <c r="Z80" i="96"/>
  <c r="X80" i="96"/>
  <c r="N80" i="96"/>
  <c r="L80" i="96"/>
  <c r="J80" i="96"/>
  <c r="B80" i="96"/>
  <c r="X79" i="96"/>
  <c r="Z79" i="96" s="1"/>
  <c r="N79" i="96"/>
  <c r="L79" i="96"/>
  <c r="B79" i="96"/>
  <c r="T78" i="96"/>
  <c r="P78" i="96"/>
  <c r="X78" i="96" s="1"/>
  <c r="Z78" i="96" s="1"/>
  <c r="N78" i="96"/>
  <c r="J78" i="96"/>
  <c r="H78" i="96"/>
  <c r="D78" i="96"/>
  <c r="L78" i="96" s="1"/>
  <c r="B78" i="96"/>
  <c r="X77" i="96"/>
  <c r="Z77" i="96" s="1"/>
  <c r="L77" i="96"/>
  <c r="N77" i="96" s="1"/>
  <c r="B77" i="96"/>
  <c r="X76" i="96"/>
  <c r="Z76" i="96" s="1"/>
  <c r="V76" i="96"/>
  <c r="T76" i="96"/>
  <c r="P76" i="96"/>
  <c r="L76" i="96"/>
  <c r="N76" i="96" s="1"/>
  <c r="H76" i="96"/>
  <c r="D76" i="96"/>
  <c r="B76" i="96"/>
  <c r="Z75" i="96"/>
  <c r="X75" i="96"/>
  <c r="L75" i="96"/>
  <c r="N75" i="96" s="1"/>
  <c r="B75" i="96"/>
  <c r="Z74" i="96"/>
  <c r="X74" i="96"/>
  <c r="N74" i="96"/>
  <c r="L74" i="96"/>
  <c r="B74" i="96"/>
  <c r="X73" i="96"/>
  <c r="Z73" i="96" s="1"/>
  <c r="L73" i="96"/>
  <c r="N73" i="96" s="1"/>
  <c r="B73" i="96"/>
  <c r="Z72" i="96"/>
  <c r="X72" i="96"/>
  <c r="N72" i="96"/>
  <c r="L72" i="96"/>
  <c r="B72" i="96"/>
  <c r="Z71" i="96"/>
  <c r="X71" i="96"/>
  <c r="L71" i="96"/>
  <c r="N71" i="96" s="1"/>
  <c r="B71" i="96"/>
  <c r="Z70" i="96"/>
  <c r="V70" i="96"/>
  <c r="T70" i="96"/>
  <c r="X70" i="96" s="1"/>
  <c r="P70" i="96"/>
  <c r="H70" i="96"/>
  <c r="D70" i="96"/>
  <c r="L70" i="96" s="1"/>
  <c r="B70" i="96"/>
  <c r="X69" i="96"/>
  <c r="Z69" i="96" s="1"/>
  <c r="V69" i="96"/>
  <c r="L69" i="96"/>
  <c r="N69" i="96" s="1"/>
  <c r="B69" i="96"/>
  <c r="Z68" i="96"/>
  <c r="X68" i="96"/>
  <c r="V68" i="96"/>
  <c r="N68" i="96"/>
  <c r="L68" i="96"/>
  <c r="B68" i="96"/>
  <c r="Z67" i="96"/>
  <c r="X67" i="96"/>
  <c r="N67" i="96"/>
  <c r="L67" i="96"/>
  <c r="B67" i="96"/>
  <c r="Z66" i="96"/>
  <c r="T66" i="96"/>
  <c r="P66" i="96"/>
  <c r="X66" i="96" s="1"/>
  <c r="H66" i="96"/>
  <c r="D66" i="96"/>
  <c r="L66" i="96" s="1"/>
  <c r="N66" i="96" s="1"/>
  <c r="B66" i="96"/>
  <c r="X65" i="96"/>
  <c r="Z65" i="96" s="1"/>
  <c r="L65" i="96"/>
  <c r="N65" i="96" s="1"/>
  <c r="B65" i="96"/>
  <c r="X64" i="96"/>
  <c r="Z64" i="96" s="1"/>
  <c r="T64" i="96"/>
  <c r="P64" i="96"/>
  <c r="L64" i="96"/>
  <c r="N64" i="96" s="1"/>
  <c r="J64" i="96"/>
  <c r="H64" i="96"/>
  <c r="D64" i="96"/>
  <c r="B64" i="96"/>
  <c r="Z63" i="96"/>
  <c r="X63" i="96"/>
  <c r="L63" i="96"/>
  <c r="N63" i="96" s="1"/>
  <c r="B63" i="96"/>
  <c r="T62" i="96"/>
  <c r="P62" i="96"/>
  <c r="H62" i="96"/>
  <c r="D62" i="96"/>
  <c r="L62" i="96" s="1"/>
  <c r="B62" i="96"/>
  <c r="X61" i="96"/>
  <c r="Z61" i="96" s="1"/>
  <c r="N61" i="96"/>
  <c r="L61" i="96"/>
  <c r="B61" i="96"/>
  <c r="Z60" i="96"/>
  <c r="V60" i="96"/>
  <c r="T60" i="96"/>
  <c r="P60" i="96"/>
  <c r="X60" i="96" s="1"/>
  <c r="N60" i="96"/>
  <c r="H60" i="96"/>
  <c r="D60" i="96"/>
  <c r="L60" i="96" s="1"/>
  <c r="B60" i="96"/>
  <c r="X59" i="96"/>
  <c r="Z59" i="96" s="1"/>
  <c r="L59" i="96"/>
  <c r="N59" i="96" s="1"/>
  <c r="B59" i="96"/>
  <c r="X58" i="96"/>
  <c r="Z58" i="96" s="1"/>
  <c r="T58" i="96"/>
  <c r="P58" i="96"/>
  <c r="N58" i="96"/>
  <c r="L58" i="96"/>
  <c r="J58" i="96"/>
  <c r="H58" i="96"/>
  <c r="D58" i="96"/>
  <c r="B58" i="96"/>
  <c r="Z57" i="96"/>
  <c r="X57" i="96"/>
  <c r="L57" i="96"/>
  <c r="N57" i="96" s="1"/>
  <c r="B57" i="96"/>
  <c r="T56" i="96"/>
  <c r="P56" i="96"/>
  <c r="X56" i="96" s="1"/>
  <c r="H56" i="96"/>
  <c r="L56" i="96" s="1"/>
  <c r="D56" i="96"/>
  <c r="B56" i="96"/>
  <c r="X55" i="96"/>
  <c r="Z55" i="96" s="1"/>
  <c r="L55" i="96"/>
  <c r="N55" i="96" s="1"/>
  <c r="B55" i="96"/>
  <c r="Z54" i="96"/>
  <c r="X54" i="96"/>
  <c r="L54" i="96"/>
  <c r="N54" i="96" s="1"/>
  <c r="B54" i="96"/>
  <c r="X53" i="96"/>
  <c r="Z53" i="96" s="1"/>
  <c r="L53" i="96"/>
  <c r="N53" i="96" s="1"/>
  <c r="B53" i="96"/>
  <c r="V52" i="96"/>
  <c r="T52" i="96"/>
  <c r="P52" i="96"/>
  <c r="X52" i="96" s="1"/>
  <c r="Z52" i="96" s="1"/>
  <c r="H52" i="96"/>
  <c r="D52" i="96"/>
  <c r="L52" i="96" s="1"/>
  <c r="N52" i="96" s="1"/>
  <c r="B52" i="96"/>
  <c r="X51" i="96"/>
  <c r="Z51" i="96" s="1"/>
  <c r="N51" i="96"/>
  <c r="L51" i="96"/>
  <c r="B51" i="96"/>
  <c r="X50" i="96"/>
  <c r="Z50" i="96" s="1"/>
  <c r="V50" i="96"/>
  <c r="T50" i="96"/>
  <c r="P50" i="96"/>
  <c r="N50" i="96"/>
  <c r="L50" i="96"/>
  <c r="H50" i="96"/>
  <c r="D50" i="96"/>
  <c r="B50" i="96"/>
  <c r="X49" i="96"/>
  <c r="Z49" i="96" s="1"/>
  <c r="L49" i="96"/>
  <c r="N49" i="96" s="1"/>
  <c r="B49" i="96"/>
  <c r="T48" i="96"/>
  <c r="P48" i="96"/>
  <c r="J48" i="96"/>
  <c r="H48" i="96"/>
  <c r="L48" i="96" s="1"/>
  <c r="D48" i="96"/>
  <c r="B48" i="96"/>
  <c r="X47" i="96"/>
  <c r="Z47" i="96" s="1"/>
  <c r="L47" i="96"/>
  <c r="N47" i="96" s="1"/>
  <c r="B47" i="96"/>
  <c r="T46" i="96"/>
  <c r="P46" i="96"/>
  <c r="X46" i="96" s="1"/>
  <c r="Z46" i="96" s="1"/>
  <c r="N46" i="96"/>
  <c r="J46" i="96"/>
  <c r="H46" i="96"/>
  <c r="D46" i="96"/>
  <c r="L46" i="96" s="1"/>
  <c r="B46" i="96"/>
  <c r="Z45" i="96"/>
  <c r="X45" i="96"/>
  <c r="N45" i="96"/>
  <c r="L45" i="96"/>
  <c r="B45" i="96"/>
  <c r="Z44" i="96"/>
  <c r="X44" i="96"/>
  <c r="V44" i="96"/>
  <c r="N44" i="96"/>
  <c r="L44" i="96"/>
  <c r="B44" i="96"/>
  <c r="X43" i="96"/>
  <c r="Z43" i="96" s="1"/>
  <c r="L43" i="96"/>
  <c r="N43" i="96" s="1"/>
  <c r="B43" i="96"/>
  <c r="X42" i="96"/>
  <c r="Z42" i="96" s="1"/>
  <c r="V42" i="96"/>
  <c r="N42" i="96"/>
  <c r="L42" i="96"/>
  <c r="B42" i="96"/>
  <c r="Z41" i="96"/>
  <c r="X41" i="96"/>
  <c r="N41" i="96"/>
  <c r="L41" i="96"/>
  <c r="B41" i="96"/>
  <c r="X40" i="96"/>
  <c r="Z40" i="96" s="1"/>
  <c r="N40" i="96"/>
  <c r="L40" i="96"/>
  <c r="B40" i="96"/>
  <c r="X39" i="96"/>
  <c r="Z39" i="96" s="1"/>
  <c r="N39" i="96"/>
  <c r="L39" i="96"/>
  <c r="B39" i="96"/>
  <c r="Z38" i="96"/>
  <c r="X38" i="96"/>
  <c r="N38" i="96"/>
  <c r="L38" i="96"/>
  <c r="B38" i="96"/>
  <c r="X37" i="96"/>
  <c r="Z37" i="96" s="1"/>
  <c r="N37" i="96"/>
  <c r="L37" i="96"/>
  <c r="B37" i="96"/>
  <c r="Z36" i="96"/>
  <c r="X36" i="96"/>
  <c r="N36" i="96"/>
  <c r="L36" i="96"/>
  <c r="B36" i="96"/>
  <c r="T35" i="96"/>
  <c r="P35" i="96"/>
  <c r="X35" i="96" s="1"/>
  <c r="H35" i="96"/>
  <c r="N35" i="96" s="1"/>
  <c r="D35" i="96"/>
  <c r="L35" i="96" s="1"/>
  <c r="B35" i="96"/>
  <c r="Z34" i="96"/>
  <c r="X34" i="96"/>
  <c r="N34" i="96"/>
  <c r="L34" i="96"/>
  <c r="B34" i="96"/>
  <c r="Z33" i="96"/>
  <c r="X33" i="96"/>
  <c r="L33" i="96"/>
  <c r="N33" i="96" s="1"/>
  <c r="B33" i="96"/>
  <c r="Z32" i="96"/>
  <c r="X32" i="96"/>
  <c r="N32" i="96"/>
  <c r="L32" i="96"/>
  <c r="J32" i="96"/>
  <c r="B32" i="96"/>
  <c r="Z31" i="96"/>
  <c r="X31" i="96"/>
  <c r="N31" i="96"/>
  <c r="L31" i="96"/>
  <c r="B31" i="96"/>
  <c r="Z30" i="96"/>
  <c r="X30" i="96"/>
  <c r="V30" i="96"/>
  <c r="N30" i="96"/>
  <c r="L30" i="96"/>
  <c r="B30" i="96"/>
  <c r="X29" i="96"/>
  <c r="Z29" i="96" s="1"/>
  <c r="L29" i="96"/>
  <c r="N29" i="96" s="1"/>
  <c r="B29" i="96"/>
  <c r="Z28" i="96"/>
  <c r="X28" i="96"/>
  <c r="N28" i="96"/>
  <c r="L28" i="96"/>
  <c r="B28" i="96"/>
  <c r="X27" i="96"/>
  <c r="Z27" i="96" s="1"/>
  <c r="N27" i="96"/>
  <c r="L27" i="96"/>
  <c r="J27" i="96"/>
  <c r="B27" i="96"/>
  <c r="Z26" i="96"/>
  <c r="X26" i="96"/>
  <c r="N26" i="96"/>
  <c r="L26" i="96"/>
  <c r="B26" i="96"/>
  <c r="T25" i="96"/>
  <c r="P25" i="96"/>
  <c r="N25" i="96"/>
  <c r="L25" i="96"/>
  <c r="H25" i="96"/>
  <c r="D25" i="96"/>
  <c r="B25" i="96"/>
  <c r="Z24" i="96"/>
  <c r="T24" i="96"/>
  <c r="P24" i="96"/>
  <c r="X24" i="96" s="1"/>
  <c r="H24" i="96"/>
  <c r="D24" i="96"/>
  <c r="L24" i="96" s="1"/>
  <c r="N24" i="96" s="1"/>
  <c r="Z20" i="96"/>
  <c r="X20" i="96"/>
  <c r="V20" i="96"/>
  <c r="N20" i="96"/>
  <c r="L20" i="96"/>
  <c r="J20" i="96"/>
  <c r="B20" i="96"/>
  <c r="Z19" i="96"/>
  <c r="X19" i="96"/>
  <c r="N19" i="96"/>
  <c r="L19" i="96"/>
  <c r="J19" i="96"/>
  <c r="B19" i="96"/>
  <c r="Z18" i="96"/>
  <c r="X18" i="96"/>
  <c r="N18" i="96"/>
  <c r="L18" i="96"/>
  <c r="J18" i="96"/>
  <c r="B18" i="96"/>
  <c r="X17" i="96"/>
  <c r="Z17" i="96" s="1"/>
  <c r="V17" i="96"/>
  <c r="T17" i="96"/>
  <c r="P17" i="96"/>
  <c r="H17" i="96"/>
  <c r="D17" i="96"/>
  <c r="L17" i="96" s="1"/>
  <c r="N17" i="96" s="1"/>
  <c r="Z15" i="96"/>
  <c r="P15" i="96"/>
  <c r="N15" i="96"/>
  <c r="D15" i="96"/>
  <c r="L15" i="96" s="1"/>
  <c r="B15" i="96"/>
  <c r="X14" i="96"/>
  <c r="Z14" i="96" s="1"/>
  <c r="P14" i="96"/>
  <c r="D14" i="96"/>
  <c r="L14" i="96" s="1"/>
  <c r="N14" i="96" s="1"/>
  <c r="B14" i="96"/>
  <c r="Z13" i="96"/>
  <c r="X13" i="96"/>
  <c r="P13" i="96"/>
  <c r="N13" i="96"/>
  <c r="L13" i="96"/>
  <c r="D13" i="96"/>
  <c r="B13" i="96"/>
  <c r="T12" i="96"/>
  <c r="V93" i="96" s="1"/>
  <c r="H12" i="96"/>
  <c r="D6" i="96"/>
  <c r="D4" i="96"/>
  <c r="Z88" i="95"/>
  <c r="X88" i="95"/>
  <c r="L88" i="95"/>
  <c r="N88" i="95" s="1"/>
  <c r="T86" i="95"/>
  <c r="T84" i="95"/>
  <c r="X84" i="95" s="1"/>
  <c r="P84" i="95"/>
  <c r="L84" i="95"/>
  <c r="H84" i="95"/>
  <c r="N84" i="95" s="1"/>
  <c r="D84" i="95"/>
  <c r="Z82" i="95"/>
  <c r="X82" i="95"/>
  <c r="V82" i="95"/>
  <c r="N82" i="95"/>
  <c r="L82" i="95"/>
  <c r="B82" i="95"/>
  <c r="T81" i="95"/>
  <c r="P81" i="95"/>
  <c r="X81" i="95" s="1"/>
  <c r="N81" i="95"/>
  <c r="L81" i="95"/>
  <c r="H81" i="95"/>
  <c r="D81" i="95"/>
  <c r="B81" i="95"/>
  <c r="Z80" i="95"/>
  <c r="X80" i="95"/>
  <c r="V80" i="95"/>
  <c r="L80" i="95"/>
  <c r="N80" i="95" s="1"/>
  <c r="B80" i="95"/>
  <c r="T79" i="95"/>
  <c r="P79" i="95"/>
  <c r="X79" i="95" s="1"/>
  <c r="Z79" i="95" s="1"/>
  <c r="J79" i="95"/>
  <c r="H79" i="95"/>
  <c r="D79" i="95"/>
  <c r="B79" i="95"/>
  <c r="Z78" i="95"/>
  <c r="X78" i="95"/>
  <c r="N78" i="95"/>
  <c r="L78" i="95"/>
  <c r="J78" i="95"/>
  <c r="B78" i="95"/>
  <c r="Z77" i="95"/>
  <c r="X77" i="95"/>
  <c r="N77" i="95"/>
  <c r="L77" i="95"/>
  <c r="B77" i="95"/>
  <c r="Z76" i="95"/>
  <c r="X76" i="95"/>
  <c r="V76" i="95"/>
  <c r="N76" i="95"/>
  <c r="L76" i="95"/>
  <c r="B76" i="95"/>
  <c r="X75" i="95"/>
  <c r="Z75" i="95" s="1"/>
  <c r="L75" i="95"/>
  <c r="N75" i="95" s="1"/>
  <c r="B75" i="95"/>
  <c r="X74" i="95"/>
  <c r="Z74" i="95" s="1"/>
  <c r="N74" i="95"/>
  <c r="L74" i="95"/>
  <c r="B74" i="95"/>
  <c r="X73" i="95"/>
  <c r="Z73" i="95" s="1"/>
  <c r="L73" i="95"/>
  <c r="N73" i="95" s="1"/>
  <c r="B73" i="95"/>
  <c r="Z72" i="95"/>
  <c r="X72" i="95"/>
  <c r="V72" i="95"/>
  <c r="N72" i="95"/>
  <c r="L72" i="95"/>
  <c r="B72" i="95"/>
  <c r="X71" i="95"/>
  <c r="T71" i="95"/>
  <c r="P71" i="95"/>
  <c r="H71" i="95"/>
  <c r="N71" i="95" s="1"/>
  <c r="D71" i="95"/>
  <c r="L71" i="95" s="1"/>
  <c r="B71" i="95"/>
  <c r="Z70" i="95"/>
  <c r="X70" i="95"/>
  <c r="V70" i="95"/>
  <c r="N70" i="95"/>
  <c r="L70" i="95"/>
  <c r="B70" i="95"/>
  <c r="T69" i="95"/>
  <c r="Z69" i="95" s="1"/>
  <c r="P69" i="95"/>
  <c r="N69" i="95"/>
  <c r="L69" i="95"/>
  <c r="H69" i="95"/>
  <c r="D69" i="95"/>
  <c r="B69" i="95"/>
  <c r="Z68" i="95"/>
  <c r="X68" i="95"/>
  <c r="V68" i="95"/>
  <c r="N68" i="95"/>
  <c r="L68" i="95"/>
  <c r="J68" i="95"/>
  <c r="B68" i="95"/>
  <c r="T67" i="95"/>
  <c r="P67" i="95"/>
  <c r="X67" i="95" s="1"/>
  <c r="Z67" i="95" s="1"/>
  <c r="L67" i="95"/>
  <c r="H67" i="95"/>
  <c r="D67" i="95"/>
  <c r="B67" i="95"/>
  <c r="X66" i="95"/>
  <c r="Z66" i="95" s="1"/>
  <c r="N66" i="95"/>
  <c r="L66" i="95"/>
  <c r="J66" i="95"/>
  <c r="B66" i="95"/>
  <c r="T65" i="95"/>
  <c r="P65" i="95"/>
  <c r="X65" i="95" s="1"/>
  <c r="H65" i="95"/>
  <c r="D65" i="95"/>
  <c r="L65" i="95" s="1"/>
  <c r="B65" i="95"/>
  <c r="X64" i="95"/>
  <c r="Z64" i="95" s="1"/>
  <c r="N64" i="95"/>
  <c r="L64" i="95"/>
  <c r="B64" i="95"/>
  <c r="Z63" i="95"/>
  <c r="X63" i="95"/>
  <c r="N63" i="95"/>
  <c r="L63" i="95"/>
  <c r="B63" i="95"/>
  <c r="T62" i="95"/>
  <c r="X62" i="95" s="1"/>
  <c r="P62" i="95"/>
  <c r="L62" i="95"/>
  <c r="H62" i="95"/>
  <c r="N62" i="95" s="1"/>
  <c r="D62" i="95"/>
  <c r="B62" i="95"/>
  <c r="X61" i="95"/>
  <c r="Z61" i="95" s="1"/>
  <c r="V61" i="95"/>
  <c r="L61" i="95"/>
  <c r="N61" i="95" s="1"/>
  <c r="B61" i="95"/>
  <c r="V60" i="95"/>
  <c r="T60" i="95"/>
  <c r="P60" i="95"/>
  <c r="X60" i="95" s="1"/>
  <c r="N60" i="95"/>
  <c r="H60" i="95"/>
  <c r="D60" i="95"/>
  <c r="L60" i="95" s="1"/>
  <c r="B60" i="95"/>
  <c r="Z59" i="95"/>
  <c r="X59" i="95"/>
  <c r="N59" i="95"/>
  <c r="L59" i="95"/>
  <c r="B59" i="95"/>
  <c r="T58" i="95"/>
  <c r="Z58" i="95" s="1"/>
  <c r="P58" i="95"/>
  <c r="X58" i="95" s="1"/>
  <c r="N58" i="95"/>
  <c r="L58" i="95"/>
  <c r="H58" i="95"/>
  <c r="D58" i="95"/>
  <c r="B58" i="95"/>
  <c r="X57" i="95"/>
  <c r="Z57" i="95" s="1"/>
  <c r="N57" i="95"/>
  <c r="L57" i="95"/>
  <c r="B57" i="95"/>
  <c r="X56" i="95"/>
  <c r="T56" i="95"/>
  <c r="Z56" i="95" s="1"/>
  <c r="P56" i="95"/>
  <c r="N56" i="95"/>
  <c r="H56" i="95"/>
  <c r="L56" i="95" s="1"/>
  <c r="D56" i="95"/>
  <c r="B56" i="95"/>
  <c r="Z55" i="95"/>
  <c r="X55" i="95"/>
  <c r="L55" i="95"/>
  <c r="N55" i="95" s="1"/>
  <c r="B55" i="95"/>
  <c r="Z54" i="95"/>
  <c r="X54" i="95"/>
  <c r="L54" i="95"/>
  <c r="N54" i="95" s="1"/>
  <c r="B54" i="95"/>
  <c r="T53" i="95"/>
  <c r="P53" i="95"/>
  <c r="H53" i="95"/>
  <c r="D53" i="95"/>
  <c r="L53" i="95" s="1"/>
  <c r="N53" i="95" s="1"/>
  <c r="B53" i="95"/>
  <c r="X52" i="95"/>
  <c r="Z52" i="95" s="1"/>
  <c r="V52" i="95"/>
  <c r="L52" i="95"/>
  <c r="N52" i="95" s="1"/>
  <c r="B52" i="95"/>
  <c r="X51" i="95"/>
  <c r="T51" i="95"/>
  <c r="P51" i="95"/>
  <c r="H51" i="95"/>
  <c r="N51" i="95" s="1"/>
  <c r="D51" i="95"/>
  <c r="L51" i="95" s="1"/>
  <c r="B51" i="95"/>
  <c r="Z50" i="95"/>
  <c r="X50" i="95"/>
  <c r="V50" i="95"/>
  <c r="N50" i="95"/>
  <c r="L50" i="95"/>
  <c r="B50" i="95"/>
  <c r="T49" i="95"/>
  <c r="P49" i="95"/>
  <c r="N49" i="95"/>
  <c r="L49" i="95"/>
  <c r="H49" i="95"/>
  <c r="D49" i="95"/>
  <c r="B49" i="95"/>
  <c r="Z48" i="95"/>
  <c r="X48" i="95"/>
  <c r="V48" i="95"/>
  <c r="N48" i="95"/>
  <c r="L48" i="95"/>
  <c r="J48" i="95"/>
  <c r="B48" i="95"/>
  <c r="T47" i="95"/>
  <c r="P47" i="95"/>
  <c r="X47" i="95" s="1"/>
  <c r="Z47" i="95" s="1"/>
  <c r="L47" i="95"/>
  <c r="H47" i="95"/>
  <c r="D47" i="95"/>
  <c r="B47" i="95"/>
  <c r="Z46" i="95"/>
  <c r="X46" i="95"/>
  <c r="N46" i="95"/>
  <c r="L46" i="95"/>
  <c r="B46" i="95"/>
  <c r="Z45" i="95"/>
  <c r="X45" i="95"/>
  <c r="N45" i="95"/>
  <c r="L45" i="95"/>
  <c r="B45" i="95"/>
  <c r="Z44" i="95"/>
  <c r="X44" i="95"/>
  <c r="V44" i="95"/>
  <c r="L44" i="95"/>
  <c r="N44" i="95" s="1"/>
  <c r="B44" i="95"/>
  <c r="X43" i="95"/>
  <c r="Z43" i="95" s="1"/>
  <c r="N43" i="95"/>
  <c r="L43" i="95"/>
  <c r="B43" i="95"/>
  <c r="Z42" i="95"/>
  <c r="X42" i="95"/>
  <c r="N42" i="95"/>
  <c r="L42" i="95"/>
  <c r="J42" i="95"/>
  <c r="B42" i="95"/>
  <c r="Z41" i="95"/>
  <c r="X41" i="95"/>
  <c r="N41" i="95"/>
  <c r="L41" i="95"/>
  <c r="B41" i="95"/>
  <c r="X40" i="95"/>
  <c r="Z40" i="95" s="1"/>
  <c r="V40" i="95"/>
  <c r="L40" i="95"/>
  <c r="N40" i="95" s="1"/>
  <c r="B40" i="95"/>
  <c r="Z39" i="95"/>
  <c r="X39" i="95"/>
  <c r="N39" i="95"/>
  <c r="L39" i="95"/>
  <c r="B39" i="95"/>
  <c r="X38" i="95"/>
  <c r="Z38" i="95" s="1"/>
  <c r="N38" i="95"/>
  <c r="L38" i="95"/>
  <c r="B38" i="95"/>
  <c r="Z37" i="95"/>
  <c r="X37" i="95"/>
  <c r="V37" i="95"/>
  <c r="N37" i="95"/>
  <c r="L37" i="95"/>
  <c r="B37" i="95"/>
  <c r="X36" i="95"/>
  <c r="Z36" i="95" s="1"/>
  <c r="V36" i="95"/>
  <c r="T36" i="95"/>
  <c r="P36" i="95"/>
  <c r="H36" i="95"/>
  <c r="D36" i="95"/>
  <c r="L36" i="95" s="1"/>
  <c r="N36" i="95" s="1"/>
  <c r="B36" i="95"/>
  <c r="Z35" i="95"/>
  <c r="X35" i="95"/>
  <c r="N35" i="95"/>
  <c r="L35" i="95"/>
  <c r="B35" i="95"/>
  <c r="Z34" i="95"/>
  <c r="X34" i="95"/>
  <c r="V34" i="95"/>
  <c r="N34" i="95"/>
  <c r="L34" i="95"/>
  <c r="B34" i="95"/>
  <c r="X33" i="95"/>
  <c r="Z33" i="95" s="1"/>
  <c r="L33" i="95"/>
  <c r="N33" i="95" s="1"/>
  <c r="B33" i="95"/>
  <c r="Z32" i="95"/>
  <c r="X32" i="95"/>
  <c r="N32" i="95"/>
  <c r="L32" i="95"/>
  <c r="J32" i="95"/>
  <c r="B32" i="95"/>
  <c r="Z31" i="95"/>
  <c r="X31" i="95"/>
  <c r="N31" i="95"/>
  <c r="L31" i="95"/>
  <c r="B31" i="95"/>
  <c r="Z30" i="95"/>
  <c r="X30" i="95"/>
  <c r="V30" i="95"/>
  <c r="N30" i="95"/>
  <c r="L30" i="95"/>
  <c r="B30" i="95"/>
  <c r="X29" i="95"/>
  <c r="Z29" i="95" s="1"/>
  <c r="L29" i="95"/>
  <c r="N29" i="95" s="1"/>
  <c r="B29" i="95"/>
  <c r="X28" i="95"/>
  <c r="Z28" i="95" s="1"/>
  <c r="N28" i="95"/>
  <c r="L28" i="95"/>
  <c r="J28" i="95"/>
  <c r="B28" i="95"/>
  <c r="X27" i="95"/>
  <c r="Z27" i="95" s="1"/>
  <c r="N27" i="95"/>
  <c r="L27" i="95"/>
  <c r="B27" i="95"/>
  <c r="T26" i="95"/>
  <c r="P26" i="95"/>
  <c r="L26" i="95"/>
  <c r="H26" i="95"/>
  <c r="N26" i="95" s="1"/>
  <c r="D26" i="95"/>
  <c r="B26" i="95"/>
  <c r="V25" i="95"/>
  <c r="T25" i="95"/>
  <c r="P25" i="95"/>
  <c r="H25" i="95"/>
  <c r="D25" i="95"/>
  <c r="L25" i="95" s="1"/>
  <c r="N25" i="95" s="1"/>
  <c r="V23" i="95"/>
  <c r="T23" i="95"/>
  <c r="Z21" i="95"/>
  <c r="X21" i="95"/>
  <c r="V21" i="95"/>
  <c r="N21" i="95"/>
  <c r="L21" i="95"/>
  <c r="B21" i="95"/>
  <c r="Z20" i="95"/>
  <c r="X20" i="95"/>
  <c r="V20" i="95"/>
  <c r="N20" i="95"/>
  <c r="L20" i="95"/>
  <c r="B20" i="95"/>
  <c r="Z19" i="95"/>
  <c r="X19" i="95"/>
  <c r="L19" i="95"/>
  <c r="N19" i="95" s="1"/>
  <c r="B19" i="95"/>
  <c r="Z18" i="95"/>
  <c r="T18" i="95"/>
  <c r="P18" i="95"/>
  <c r="X18" i="95" s="1"/>
  <c r="J18" i="95"/>
  <c r="H18" i="95"/>
  <c r="N18" i="95" s="1"/>
  <c r="D18" i="95"/>
  <c r="L18" i="95" s="1"/>
  <c r="Z16" i="95"/>
  <c r="P16" i="95"/>
  <c r="X16" i="95" s="1"/>
  <c r="N16" i="95"/>
  <c r="D16" i="95"/>
  <c r="L16" i="95" s="1"/>
  <c r="B16" i="95"/>
  <c r="X15" i="95"/>
  <c r="Z15" i="95" s="1"/>
  <c r="P15" i="95"/>
  <c r="D15" i="95"/>
  <c r="B15" i="95"/>
  <c r="Z14" i="95"/>
  <c r="X14" i="95"/>
  <c r="P14" i="95"/>
  <c r="N14" i="95"/>
  <c r="L14" i="95"/>
  <c r="D14" i="95"/>
  <c r="B14" i="95"/>
  <c r="P13" i="95"/>
  <c r="D13" i="95"/>
  <c r="L13" i="95" s="1"/>
  <c r="N13" i="95" s="1"/>
  <c r="B13" i="95"/>
  <c r="T12" i="95"/>
  <c r="V63" i="95" s="1"/>
  <c r="H12" i="95"/>
  <c r="J80" i="95" s="1"/>
  <c r="D6" i="95"/>
  <c r="D4" i="95"/>
  <c r="X81" i="94"/>
  <c r="Z81" i="94" s="1"/>
  <c r="N81" i="94"/>
  <c r="L81" i="94"/>
  <c r="J81" i="94"/>
  <c r="Z77" i="94"/>
  <c r="X77" i="94"/>
  <c r="V77" i="94"/>
  <c r="P77" i="94"/>
  <c r="N77" i="94"/>
  <c r="L77" i="94"/>
  <c r="D77" i="94"/>
  <c r="B77" i="94"/>
  <c r="X76" i="94"/>
  <c r="T76" i="94"/>
  <c r="P76" i="94"/>
  <c r="N76" i="94"/>
  <c r="H76" i="94"/>
  <c r="D76" i="94"/>
  <c r="L76" i="94" s="1"/>
  <c r="X74" i="94"/>
  <c r="Z74" i="94" s="1"/>
  <c r="V74" i="94"/>
  <c r="N74" i="94"/>
  <c r="L74" i="94"/>
  <c r="B74" i="94"/>
  <c r="V73" i="94"/>
  <c r="T73" i="94"/>
  <c r="Z73" i="94" s="1"/>
  <c r="P73" i="94"/>
  <c r="X73" i="94" s="1"/>
  <c r="N73" i="94"/>
  <c r="H73" i="94"/>
  <c r="D73" i="94"/>
  <c r="L73" i="94" s="1"/>
  <c r="B73" i="94"/>
  <c r="X72" i="94"/>
  <c r="Z72" i="94" s="1"/>
  <c r="L72" i="94"/>
  <c r="N72" i="94" s="1"/>
  <c r="B72" i="94"/>
  <c r="X71" i="94"/>
  <c r="Z71" i="94" s="1"/>
  <c r="N71" i="94"/>
  <c r="L71" i="94"/>
  <c r="J71" i="94"/>
  <c r="B71" i="94"/>
  <c r="T70" i="94"/>
  <c r="Z70" i="94" s="1"/>
  <c r="P70" i="94"/>
  <c r="X70" i="94" s="1"/>
  <c r="L70" i="94"/>
  <c r="H70" i="94"/>
  <c r="D70" i="94"/>
  <c r="B70" i="94"/>
  <c r="X69" i="94"/>
  <c r="Z69" i="94" s="1"/>
  <c r="N69" i="94"/>
  <c r="L69" i="94"/>
  <c r="J69" i="94"/>
  <c r="B69" i="94"/>
  <c r="Z68" i="94"/>
  <c r="X68" i="94"/>
  <c r="N68" i="94"/>
  <c r="L68" i="94"/>
  <c r="B68" i="94"/>
  <c r="Z67" i="94"/>
  <c r="X67" i="94"/>
  <c r="V67" i="94"/>
  <c r="N67" i="94"/>
  <c r="L67" i="94"/>
  <c r="B67" i="94"/>
  <c r="X66" i="94"/>
  <c r="Z66" i="94" s="1"/>
  <c r="N66" i="94"/>
  <c r="L66" i="94"/>
  <c r="J66" i="94"/>
  <c r="B66" i="94"/>
  <c r="X65" i="94"/>
  <c r="Z65" i="94" s="1"/>
  <c r="N65" i="94"/>
  <c r="L65" i="94"/>
  <c r="J65" i="94"/>
  <c r="B65" i="94"/>
  <c r="Z64" i="94"/>
  <c r="X64" i="94"/>
  <c r="N64" i="94"/>
  <c r="L64" i="94"/>
  <c r="B64" i="94"/>
  <c r="V63" i="94"/>
  <c r="T63" i="94"/>
  <c r="X63" i="94" s="1"/>
  <c r="P63" i="94"/>
  <c r="L63" i="94"/>
  <c r="H63" i="94"/>
  <c r="N63" i="94" s="1"/>
  <c r="D63" i="94"/>
  <c r="B63" i="94"/>
  <c r="X62" i="94"/>
  <c r="Z62" i="94" s="1"/>
  <c r="V62" i="94"/>
  <c r="N62" i="94"/>
  <c r="L62" i="94"/>
  <c r="B62" i="94"/>
  <c r="V61" i="94"/>
  <c r="T61" i="94"/>
  <c r="P61" i="94"/>
  <c r="X61" i="94" s="1"/>
  <c r="N61" i="94"/>
  <c r="H61" i="94"/>
  <c r="D61" i="94"/>
  <c r="L61" i="94" s="1"/>
  <c r="B61" i="94"/>
  <c r="Z60" i="94"/>
  <c r="X60" i="94"/>
  <c r="N60" i="94"/>
  <c r="L60" i="94"/>
  <c r="B60" i="94"/>
  <c r="Z59" i="94"/>
  <c r="X59" i="94"/>
  <c r="N59" i="94"/>
  <c r="L59" i="94"/>
  <c r="J59" i="94"/>
  <c r="B59" i="94"/>
  <c r="Z58" i="94"/>
  <c r="X58" i="94"/>
  <c r="N58" i="94"/>
  <c r="L58" i="94"/>
  <c r="B58" i="94"/>
  <c r="Z57" i="94"/>
  <c r="X57" i="94"/>
  <c r="V57" i="94"/>
  <c r="T57" i="94"/>
  <c r="P57" i="94"/>
  <c r="N57" i="94"/>
  <c r="H57" i="94"/>
  <c r="D57" i="94"/>
  <c r="L57" i="94" s="1"/>
  <c r="B57" i="94"/>
  <c r="Z56" i="94"/>
  <c r="X56" i="94"/>
  <c r="N56" i="94"/>
  <c r="L56" i="94"/>
  <c r="B56" i="94"/>
  <c r="T55" i="94"/>
  <c r="P55" i="94"/>
  <c r="L55" i="94"/>
  <c r="H55" i="94"/>
  <c r="N55" i="94" s="1"/>
  <c r="D55" i="94"/>
  <c r="B55" i="94"/>
  <c r="X54" i="94"/>
  <c r="Z54" i="94" s="1"/>
  <c r="V54" i="94"/>
  <c r="L54" i="94"/>
  <c r="N54" i="94" s="1"/>
  <c r="J54" i="94"/>
  <c r="B54" i="94"/>
  <c r="V53" i="94"/>
  <c r="T53" i="94"/>
  <c r="Z53" i="94" s="1"/>
  <c r="P53" i="94"/>
  <c r="X53" i="94" s="1"/>
  <c r="H53" i="94"/>
  <c r="D53" i="94"/>
  <c r="L53" i="94" s="1"/>
  <c r="N53" i="94" s="1"/>
  <c r="B53" i="94"/>
  <c r="X52" i="94"/>
  <c r="Z52" i="94" s="1"/>
  <c r="L52" i="94"/>
  <c r="N52" i="94" s="1"/>
  <c r="B52" i="94"/>
  <c r="T51" i="94"/>
  <c r="Z51" i="94" s="1"/>
  <c r="P51" i="94"/>
  <c r="X51" i="94" s="1"/>
  <c r="L51" i="94"/>
  <c r="N51" i="94" s="1"/>
  <c r="J51" i="94"/>
  <c r="H51" i="94"/>
  <c r="D51" i="94"/>
  <c r="B51" i="94"/>
  <c r="X50" i="94"/>
  <c r="Z50" i="94" s="1"/>
  <c r="L50" i="94"/>
  <c r="N50" i="94" s="1"/>
  <c r="J50" i="94"/>
  <c r="B50" i="94"/>
  <c r="X49" i="94"/>
  <c r="T49" i="94"/>
  <c r="Z49" i="94" s="1"/>
  <c r="P49" i="94"/>
  <c r="H49" i="94"/>
  <c r="L49" i="94" s="1"/>
  <c r="D49" i="94"/>
  <c r="B49" i="94"/>
  <c r="Z48" i="94"/>
  <c r="X48" i="94"/>
  <c r="L48" i="94"/>
  <c r="N48" i="94" s="1"/>
  <c r="J48" i="94"/>
  <c r="B48" i="94"/>
  <c r="T47" i="94"/>
  <c r="P47" i="94"/>
  <c r="X47" i="94" s="1"/>
  <c r="Z47" i="94" s="1"/>
  <c r="J47" i="94"/>
  <c r="H47" i="94"/>
  <c r="N47" i="94" s="1"/>
  <c r="D47" i="94"/>
  <c r="L47" i="94" s="1"/>
  <c r="B47" i="94"/>
  <c r="Z46" i="94"/>
  <c r="X46" i="94"/>
  <c r="N46" i="94"/>
  <c r="L46" i="94"/>
  <c r="B46" i="94"/>
  <c r="Z45" i="94"/>
  <c r="X45" i="94"/>
  <c r="V45" i="94"/>
  <c r="N45" i="94"/>
  <c r="L45" i="94"/>
  <c r="B45" i="94"/>
  <c r="X44" i="94"/>
  <c r="Z44" i="94" s="1"/>
  <c r="L44" i="94"/>
  <c r="N44" i="94" s="1"/>
  <c r="B44" i="94"/>
  <c r="X43" i="94"/>
  <c r="Z43" i="94" s="1"/>
  <c r="N43" i="94"/>
  <c r="L43" i="94"/>
  <c r="J43" i="94"/>
  <c r="B43" i="94"/>
  <c r="Z42" i="94"/>
  <c r="X42" i="94"/>
  <c r="N42" i="94"/>
  <c r="L42" i="94"/>
  <c r="B42" i="94"/>
  <c r="X41" i="94"/>
  <c r="Z41" i="94" s="1"/>
  <c r="V41" i="94"/>
  <c r="L41" i="94"/>
  <c r="N41" i="94" s="1"/>
  <c r="B41" i="94"/>
  <c r="X40" i="94"/>
  <c r="Z40" i="94" s="1"/>
  <c r="N40" i="94"/>
  <c r="L40" i="94"/>
  <c r="B40" i="94"/>
  <c r="Z39" i="94"/>
  <c r="X39" i="94"/>
  <c r="N39" i="94"/>
  <c r="L39" i="94"/>
  <c r="J39" i="94"/>
  <c r="B39" i="94"/>
  <c r="X38" i="94"/>
  <c r="Z38" i="94" s="1"/>
  <c r="L38" i="94"/>
  <c r="N38" i="94" s="1"/>
  <c r="B38" i="94"/>
  <c r="Z37" i="94"/>
  <c r="X37" i="94"/>
  <c r="V37" i="94"/>
  <c r="N37" i="94"/>
  <c r="L37" i="94"/>
  <c r="B37" i="94"/>
  <c r="X36" i="94"/>
  <c r="T36" i="94"/>
  <c r="P36" i="94"/>
  <c r="J36" i="94"/>
  <c r="H36" i="94"/>
  <c r="D36" i="94"/>
  <c r="L36" i="94" s="1"/>
  <c r="B36" i="94"/>
  <c r="Z35" i="94"/>
  <c r="X35" i="94"/>
  <c r="V35" i="94"/>
  <c r="N35" i="94"/>
  <c r="L35" i="94"/>
  <c r="B35" i="94"/>
  <c r="X34" i="94"/>
  <c r="Z34" i="94" s="1"/>
  <c r="L34" i="94"/>
  <c r="N34" i="94" s="1"/>
  <c r="J34" i="94"/>
  <c r="B34" i="94"/>
  <c r="X33" i="94"/>
  <c r="Z33" i="94" s="1"/>
  <c r="N33" i="94"/>
  <c r="L33" i="94"/>
  <c r="J33" i="94"/>
  <c r="B33" i="94"/>
  <c r="Z32" i="94"/>
  <c r="X32" i="94"/>
  <c r="N32" i="94"/>
  <c r="L32" i="94"/>
  <c r="B32" i="94"/>
  <c r="Z31" i="94"/>
  <c r="X31" i="94"/>
  <c r="V31" i="94"/>
  <c r="N31" i="94"/>
  <c r="L31" i="94"/>
  <c r="B31" i="94"/>
  <c r="X30" i="94"/>
  <c r="Z30" i="94" s="1"/>
  <c r="L30" i="94"/>
  <c r="N30" i="94" s="1"/>
  <c r="J30" i="94"/>
  <c r="B30" i="94"/>
  <c r="X29" i="94"/>
  <c r="Z29" i="94" s="1"/>
  <c r="N29" i="94"/>
  <c r="L29" i="94"/>
  <c r="J29" i="94"/>
  <c r="B29" i="94"/>
  <c r="X28" i="94"/>
  <c r="Z28" i="94" s="1"/>
  <c r="N28" i="94"/>
  <c r="L28" i="94"/>
  <c r="B28" i="94"/>
  <c r="Z27" i="94"/>
  <c r="X27" i="94"/>
  <c r="V27" i="94"/>
  <c r="N27" i="94"/>
  <c r="L27" i="94"/>
  <c r="B27" i="94"/>
  <c r="T26" i="94"/>
  <c r="P26" i="94"/>
  <c r="X26" i="94" s="1"/>
  <c r="L26" i="94"/>
  <c r="N26" i="94" s="1"/>
  <c r="H26" i="94"/>
  <c r="D26" i="94"/>
  <c r="B26" i="94"/>
  <c r="V25" i="94"/>
  <c r="T25" i="94"/>
  <c r="P25" i="94"/>
  <c r="X25" i="94" s="1"/>
  <c r="H25" i="94"/>
  <c r="D25" i="94"/>
  <c r="L25" i="94" s="1"/>
  <c r="N25" i="94" s="1"/>
  <c r="H23" i="94"/>
  <c r="H79" i="94" s="1"/>
  <c r="Z21" i="94"/>
  <c r="X21" i="94"/>
  <c r="V21" i="94"/>
  <c r="N21" i="94"/>
  <c r="L21" i="94"/>
  <c r="J21" i="94"/>
  <c r="B21" i="94"/>
  <c r="Z20" i="94"/>
  <c r="X20" i="94"/>
  <c r="N20" i="94"/>
  <c r="L20" i="94"/>
  <c r="J20" i="94"/>
  <c r="B20" i="94"/>
  <c r="Z19" i="94"/>
  <c r="X19" i="94"/>
  <c r="L19" i="94"/>
  <c r="N19" i="94" s="1"/>
  <c r="J19" i="94"/>
  <c r="B19" i="94"/>
  <c r="X18" i="94"/>
  <c r="V18" i="94"/>
  <c r="T18" i="94"/>
  <c r="P18" i="94"/>
  <c r="H18" i="94"/>
  <c r="J18" i="94" s="1"/>
  <c r="D18" i="94"/>
  <c r="L18" i="94" s="1"/>
  <c r="N18" i="94" s="1"/>
  <c r="Z16" i="94"/>
  <c r="X16" i="94"/>
  <c r="P16" i="94"/>
  <c r="N16" i="94"/>
  <c r="D16" i="94"/>
  <c r="L16" i="94" s="1"/>
  <c r="B16" i="94"/>
  <c r="P15" i="94"/>
  <c r="X15" i="94" s="1"/>
  <c r="Z15" i="94" s="1"/>
  <c r="L15" i="94"/>
  <c r="N15" i="94" s="1"/>
  <c r="D15" i="94"/>
  <c r="B15" i="94"/>
  <c r="Z14" i="94"/>
  <c r="X14" i="94"/>
  <c r="P14" i="94"/>
  <c r="N14" i="94"/>
  <c r="L14" i="94"/>
  <c r="D14" i="94"/>
  <c r="B14" i="94"/>
  <c r="P13" i="94"/>
  <c r="D13" i="94"/>
  <c r="B13" i="94"/>
  <c r="T12" i="94"/>
  <c r="V68" i="94" s="1"/>
  <c r="H12" i="94"/>
  <c r="J72" i="94" s="1"/>
  <c r="D6" i="94"/>
  <c r="D4" i="94"/>
  <c r="Z85" i="93"/>
  <c r="X85" i="93"/>
  <c r="N85" i="93"/>
  <c r="L85" i="93"/>
  <c r="T81" i="93"/>
  <c r="P81" i="93"/>
  <c r="H81" i="93"/>
  <c r="N81" i="93" s="1"/>
  <c r="D81" i="93"/>
  <c r="L81" i="93" s="1"/>
  <c r="X79" i="93"/>
  <c r="Z79" i="93" s="1"/>
  <c r="N79" i="93"/>
  <c r="L79" i="93"/>
  <c r="B79" i="93"/>
  <c r="T78" i="93"/>
  <c r="P78" i="93"/>
  <c r="X78" i="93" s="1"/>
  <c r="Z78" i="93" s="1"/>
  <c r="N78" i="93"/>
  <c r="L78" i="93"/>
  <c r="H78" i="93"/>
  <c r="D78" i="93"/>
  <c r="B78" i="93"/>
  <c r="X77" i="93"/>
  <c r="Z77" i="93" s="1"/>
  <c r="L77" i="93"/>
  <c r="N77" i="93" s="1"/>
  <c r="J77" i="93"/>
  <c r="B77" i="93"/>
  <c r="X76" i="93"/>
  <c r="T76" i="93"/>
  <c r="Z76" i="93" s="1"/>
  <c r="P76" i="93"/>
  <c r="H76" i="93"/>
  <c r="L76" i="93" s="1"/>
  <c r="D76" i="93"/>
  <c r="B76" i="93"/>
  <c r="Z75" i="93"/>
  <c r="X75" i="93"/>
  <c r="L75" i="93"/>
  <c r="N75" i="93" s="1"/>
  <c r="B75" i="93"/>
  <c r="Z74" i="93"/>
  <c r="X74" i="93"/>
  <c r="L74" i="93"/>
  <c r="N74" i="93" s="1"/>
  <c r="B74" i="93"/>
  <c r="X73" i="93"/>
  <c r="Z73" i="93" s="1"/>
  <c r="V73" i="93"/>
  <c r="L73" i="93"/>
  <c r="N73" i="93" s="1"/>
  <c r="B73" i="93"/>
  <c r="Z72" i="93"/>
  <c r="X72" i="93"/>
  <c r="V72" i="93"/>
  <c r="N72" i="93"/>
  <c r="L72" i="93"/>
  <c r="B72" i="93"/>
  <c r="Z71" i="93"/>
  <c r="X71" i="93"/>
  <c r="L71" i="93"/>
  <c r="N71" i="93" s="1"/>
  <c r="B71" i="93"/>
  <c r="Z70" i="93"/>
  <c r="X70" i="93"/>
  <c r="L70" i="93"/>
  <c r="N70" i="93" s="1"/>
  <c r="B70" i="93"/>
  <c r="T69" i="93"/>
  <c r="P69" i="93"/>
  <c r="H69" i="93"/>
  <c r="D69" i="93"/>
  <c r="L69" i="93" s="1"/>
  <c r="N69" i="93" s="1"/>
  <c r="B69" i="93"/>
  <c r="X68" i="93"/>
  <c r="Z68" i="93" s="1"/>
  <c r="V68" i="93"/>
  <c r="L68" i="93"/>
  <c r="N68" i="93" s="1"/>
  <c r="B68" i="93"/>
  <c r="X67" i="93"/>
  <c r="Z67" i="93" s="1"/>
  <c r="N67" i="93"/>
  <c r="L67" i="93"/>
  <c r="B67" i="93"/>
  <c r="X66" i="93"/>
  <c r="Z66" i="93" s="1"/>
  <c r="N66" i="93"/>
  <c r="L66" i="93"/>
  <c r="J66" i="93"/>
  <c r="B66" i="93"/>
  <c r="T65" i="93"/>
  <c r="Z65" i="93" s="1"/>
  <c r="P65" i="93"/>
  <c r="X65" i="93" s="1"/>
  <c r="H65" i="93"/>
  <c r="D65" i="93"/>
  <c r="L65" i="93" s="1"/>
  <c r="B65" i="93"/>
  <c r="X64" i="93"/>
  <c r="Z64" i="93" s="1"/>
  <c r="N64" i="93"/>
  <c r="L64" i="93"/>
  <c r="B64" i="93"/>
  <c r="Z63" i="93"/>
  <c r="X63" i="93"/>
  <c r="T63" i="93"/>
  <c r="P63" i="93"/>
  <c r="H63" i="93"/>
  <c r="D63" i="93"/>
  <c r="L63" i="93" s="1"/>
  <c r="B63" i="93"/>
  <c r="Z62" i="93"/>
  <c r="X62" i="93"/>
  <c r="L62" i="93"/>
  <c r="N62" i="93" s="1"/>
  <c r="B62" i="93"/>
  <c r="X61" i="93"/>
  <c r="Z61" i="93" s="1"/>
  <c r="V61" i="93"/>
  <c r="N61" i="93"/>
  <c r="L61" i="93"/>
  <c r="B61" i="93"/>
  <c r="V60" i="93"/>
  <c r="T60" i="93"/>
  <c r="P60" i="93"/>
  <c r="X60" i="93" s="1"/>
  <c r="N60" i="93"/>
  <c r="H60" i="93"/>
  <c r="D60" i="93"/>
  <c r="L60" i="93" s="1"/>
  <c r="B60" i="93"/>
  <c r="X59" i="93"/>
  <c r="Z59" i="93" s="1"/>
  <c r="N59" i="93"/>
  <c r="L59" i="93"/>
  <c r="B59" i="93"/>
  <c r="T58" i="93"/>
  <c r="P58" i="93"/>
  <c r="X58" i="93" s="1"/>
  <c r="Z58" i="93" s="1"/>
  <c r="N58" i="93"/>
  <c r="L58" i="93"/>
  <c r="H58" i="93"/>
  <c r="D58" i="93"/>
  <c r="B58" i="93"/>
  <c r="X57" i="93"/>
  <c r="Z57" i="93" s="1"/>
  <c r="L57" i="93"/>
  <c r="N57" i="93" s="1"/>
  <c r="B57" i="93"/>
  <c r="X56" i="93"/>
  <c r="T56" i="93"/>
  <c r="Z56" i="93" s="1"/>
  <c r="P56" i="93"/>
  <c r="N56" i="93"/>
  <c r="H56" i="93"/>
  <c r="L56" i="93" s="1"/>
  <c r="D56" i="93"/>
  <c r="B56" i="93"/>
  <c r="Z55" i="93"/>
  <c r="X55" i="93"/>
  <c r="L55" i="93"/>
  <c r="N55" i="93" s="1"/>
  <c r="B55" i="93"/>
  <c r="Z54" i="93"/>
  <c r="X54" i="93"/>
  <c r="L54" i="93"/>
  <c r="N54" i="93" s="1"/>
  <c r="B54" i="93"/>
  <c r="X53" i="93"/>
  <c r="Z53" i="93" s="1"/>
  <c r="V53" i="93"/>
  <c r="L53" i="93"/>
  <c r="N53" i="93" s="1"/>
  <c r="B53" i="93"/>
  <c r="V52" i="93"/>
  <c r="T52" i="93"/>
  <c r="Z52" i="93" s="1"/>
  <c r="P52" i="93"/>
  <c r="X52" i="93" s="1"/>
  <c r="N52" i="93"/>
  <c r="H52" i="93"/>
  <c r="D52" i="93"/>
  <c r="L52" i="93" s="1"/>
  <c r="B52" i="93"/>
  <c r="X51" i="93"/>
  <c r="Z51" i="93" s="1"/>
  <c r="L51" i="93"/>
  <c r="N51" i="93" s="1"/>
  <c r="B51" i="93"/>
  <c r="T50" i="93"/>
  <c r="P50" i="93"/>
  <c r="X50" i="93" s="1"/>
  <c r="Z50" i="93" s="1"/>
  <c r="H50" i="93"/>
  <c r="D50" i="93"/>
  <c r="L50" i="93" s="1"/>
  <c r="N50" i="93" s="1"/>
  <c r="B50" i="93"/>
  <c r="Z49" i="93"/>
  <c r="X49" i="93"/>
  <c r="L49" i="93"/>
  <c r="N49" i="93" s="1"/>
  <c r="B49" i="93"/>
  <c r="X48" i="93"/>
  <c r="T48" i="93"/>
  <c r="P48" i="93"/>
  <c r="N48" i="93"/>
  <c r="J48" i="93"/>
  <c r="H48" i="93"/>
  <c r="L48" i="93" s="1"/>
  <c r="D48" i="93"/>
  <c r="B48" i="93"/>
  <c r="Z47" i="93"/>
  <c r="X47" i="93"/>
  <c r="L47" i="93"/>
  <c r="N47" i="93" s="1"/>
  <c r="B47" i="93"/>
  <c r="T46" i="93"/>
  <c r="P46" i="93"/>
  <c r="X46" i="93" s="1"/>
  <c r="Z46" i="93" s="1"/>
  <c r="H46" i="93"/>
  <c r="D46" i="93"/>
  <c r="L46" i="93" s="1"/>
  <c r="B46" i="93"/>
  <c r="Z45" i="93"/>
  <c r="X45" i="93"/>
  <c r="V45" i="93"/>
  <c r="N45" i="93"/>
  <c r="L45" i="93"/>
  <c r="B45" i="93"/>
  <c r="Z44" i="93"/>
  <c r="X44" i="93"/>
  <c r="V44" i="93"/>
  <c r="N44" i="93"/>
  <c r="L44" i="93"/>
  <c r="B44" i="93"/>
  <c r="Z43" i="93"/>
  <c r="X43" i="93"/>
  <c r="V43" i="93"/>
  <c r="N43" i="93"/>
  <c r="L43" i="93"/>
  <c r="B43" i="93"/>
  <c r="Z42" i="93"/>
  <c r="X42" i="93"/>
  <c r="N42" i="93"/>
  <c r="L42" i="93"/>
  <c r="B42" i="93"/>
  <c r="Z41" i="93"/>
  <c r="X41" i="93"/>
  <c r="V41" i="93"/>
  <c r="N41" i="93"/>
  <c r="L41" i="93"/>
  <c r="B41" i="93"/>
  <c r="Z40" i="93"/>
  <c r="X40" i="93"/>
  <c r="V40" i="93"/>
  <c r="N40" i="93"/>
  <c r="L40" i="93"/>
  <c r="B40" i="93"/>
  <c r="X39" i="93"/>
  <c r="Z39" i="93" s="1"/>
  <c r="V39" i="93"/>
  <c r="L39" i="93"/>
  <c r="N39" i="93" s="1"/>
  <c r="B39" i="93"/>
  <c r="Z38" i="93"/>
  <c r="X38" i="93"/>
  <c r="N38" i="93"/>
  <c r="L38" i="93"/>
  <c r="B38" i="93"/>
  <c r="X37" i="93"/>
  <c r="Z37" i="93" s="1"/>
  <c r="V37" i="93"/>
  <c r="L37" i="93"/>
  <c r="N37" i="93" s="1"/>
  <c r="B37" i="93"/>
  <c r="Z36" i="93"/>
  <c r="X36" i="93"/>
  <c r="V36" i="93"/>
  <c r="N36" i="93"/>
  <c r="L36" i="93"/>
  <c r="B36" i="93"/>
  <c r="T35" i="93"/>
  <c r="P35" i="93"/>
  <c r="X35" i="93" s="1"/>
  <c r="J35" i="93"/>
  <c r="H35" i="93"/>
  <c r="N35" i="93" s="1"/>
  <c r="D35" i="93"/>
  <c r="L35" i="93" s="1"/>
  <c r="B35" i="93"/>
  <c r="Z34" i="93"/>
  <c r="X34" i="93"/>
  <c r="V34" i="93"/>
  <c r="N34" i="93"/>
  <c r="L34" i="93"/>
  <c r="B34" i="93"/>
  <c r="X33" i="93"/>
  <c r="Z33" i="93" s="1"/>
  <c r="L33" i="93"/>
  <c r="N33" i="93" s="1"/>
  <c r="B33" i="93"/>
  <c r="X32" i="93"/>
  <c r="Z32" i="93" s="1"/>
  <c r="N32" i="93"/>
  <c r="L32" i="93"/>
  <c r="B32" i="93"/>
  <c r="Z31" i="93"/>
  <c r="X31" i="93"/>
  <c r="N31" i="93"/>
  <c r="L31" i="93"/>
  <c r="B31" i="93"/>
  <c r="X30" i="93"/>
  <c r="Z30" i="93" s="1"/>
  <c r="V30" i="93"/>
  <c r="N30" i="93"/>
  <c r="L30" i="93"/>
  <c r="B30" i="93"/>
  <c r="X29" i="93"/>
  <c r="Z29" i="93" s="1"/>
  <c r="L29" i="93"/>
  <c r="N29" i="93" s="1"/>
  <c r="B29" i="93"/>
  <c r="X28" i="93"/>
  <c r="Z28" i="93" s="1"/>
  <c r="N28" i="93"/>
  <c r="L28" i="93"/>
  <c r="J28" i="93"/>
  <c r="B28" i="93"/>
  <c r="Z27" i="93"/>
  <c r="X27" i="93"/>
  <c r="N27" i="93"/>
  <c r="L27" i="93"/>
  <c r="B27" i="93"/>
  <c r="X26" i="93"/>
  <c r="Z26" i="93" s="1"/>
  <c r="V26" i="93"/>
  <c r="N26" i="93"/>
  <c r="L26" i="93"/>
  <c r="B26" i="93"/>
  <c r="T25" i="93"/>
  <c r="P25" i="93"/>
  <c r="N25" i="93"/>
  <c r="L25" i="93"/>
  <c r="H25" i="93"/>
  <c r="D25" i="93"/>
  <c r="B25" i="93"/>
  <c r="V24" i="93"/>
  <c r="T24" i="93"/>
  <c r="P24" i="93"/>
  <c r="X24" i="93" s="1"/>
  <c r="H24" i="93"/>
  <c r="D24" i="93"/>
  <c r="L24" i="93" s="1"/>
  <c r="N24" i="93" s="1"/>
  <c r="T22" i="93"/>
  <c r="H22" i="93"/>
  <c r="Z20" i="93"/>
  <c r="X20" i="93"/>
  <c r="V20" i="93"/>
  <c r="N20" i="93"/>
  <c r="L20" i="93"/>
  <c r="J20" i="93"/>
  <c r="B20" i="93"/>
  <c r="Z19" i="93"/>
  <c r="X19" i="93"/>
  <c r="V19" i="93"/>
  <c r="L19" i="93"/>
  <c r="N19" i="93" s="1"/>
  <c r="B19" i="93"/>
  <c r="T18" i="93"/>
  <c r="P18" i="93"/>
  <c r="J18" i="93"/>
  <c r="H18" i="93"/>
  <c r="D18" i="93"/>
  <c r="L18" i="93" s="1"/>
  <c r="Z16" i="93"/>
  <c r="P16" i="93"/>
  <c r="X16" i="93" s="1"/>
  <c r="N16" i="93"/>
  <c r="D16" i="93"/>
  <c r="L16" i="93" s="1"/>
  <c r="B16" i="93"/>
  <c r="P15" i="93"/>
  <c r="X15" i="93" s="1"/>
  <c r="Z15" i="93" s="1"/>
  <c r="L15" i="93"/>
  <c r="N15" i="93" s="1"/>
  <c r="D15" i="93"/>
  <c r="B15" i="93"/>
  <c r="Z14" i="93"/>
  <c r="X14" i="93"/>
  <c r="P14" i="93"/>
  <c r="N14" i="93"/>
  <c r="L14" i="93"/>
  <c r="D14" i="93"/>
  <c r="B14" i="93"/>
  <c r="P13" i="93"/>
  <c r="D13" i="93"/>
  <c r="L13" i="93" s="1"/>
  <c r="N13" i="93" s="1"/>
  <c r="B13" i="93"/>
  <c r="T12" i="93"/>
  <c r="H12" i="93"/>
  <c r="J76" i="93" s="1"/>
  <c r="D6" i="93"/>
  <c r="D4" i="93"/>
  <c r="F97" i="92"/>
  <c r="Z95" i="92"/>
  <c r="X95" i="92"/>
  <c r="N95" i="92"/>
  <c r="L95" i="92"/>
  <c r="V93" i="92"/>
  <c r="F93" i="92"/>
  <c r="Z91" i="92"/>
  <c r="X91" i="92"/>
  <c r="P91" i="92"/>
  <c r="N91" i="92"/>
  <c r="L91" i="92"/>
  <c r="D91" i="92"/>
  <c r="B91" i="92"/>
  <c r="Z90" i="92"/>
  <c r="X90" i="92"/>
  <c r="P90" i="92"/>
  <c r="D90" i="92"/>
  <c r="D89" i="92" s="1"/>
  <c r="B90" i="92"/>
  <c r="T89" i="92"/>
  <c r="P89" i="92"/>
  <c r="L89" i="92"/>
  <c r="H89" i="92"/>
  <c r="Z87" i="92"/>
  <c r="X87" i="92"/>
  <c r="V87" i="92"/>
  <c r="N87" i="92"/>
  <c r="L87" i="92"/>
  <c r="F87" i="92"/>
  <c r="B87" i="92"/>
  <c r="T86" i="92"/>
  <c r="P86" i="92"/>
  <c r="X86" i="92" s="1"/>
  <c r="L86" i="92"/>
  <c r="N86" i="92" s="1"/>
  <c r="H86" i="92"/>
  <c r="F86" i="92"/>
  <c r="D86" i="92"/>
  <c r="B86" i="92"/>
  <c r="Z85" i="92"/>
  <c r="X85" i="92"/>
  <c r="N85" i="92"/>
  <c r="L85" i="92"/>
  <c r="B85" i="92"/>
  <c r="Z84" i="92"/>
  <c r="X84" i="92"/>
  <c r="R84" i="92"/>
  <c r="N84" i="92"/>
  <c r="L84" i="92"/>
  <c r="B84" i="92"/>
  <c r="Z83" i="92"/>
  <c r="X83" i="92"/>
  <c r="R83" i="92"/>
  <c r="N83" i="92"/>
  <c r="L83" i="92"/>
  <c r="B83" i="92"/>
  <c r="T82" i="92"/>
  <c r="P82" i="92"/>
  <c r="N82" i="92"/>
  <c r="J82" i="92"/>
  <c r="H82" i="92"/>
  <c r="D82" i="92"/>
  <c r="L82" i="92" s="1"/>
  <c r="B82" i="92"/>
  <c r="Z81" i="92"/>
  <c r="X81" i="92"/>
  <c r="L81" i="92"/>
  <c r="N81" i="92" s="1"/>
  <c r="B81" i="92"/>
  <c r="V80" i="92"/>
  <c r="T80" i="92"/>
  <c r="R80" i="92"/>
  <c r="P80" i="92"/>
  <c r="X80" i="92" s="1"/>
  <c r="J80" i="92"/>
  <c r="H80" i="92"/>
  <c r="D80" i="92"/>
  <c r="L80" i="92" s="1"/>
  <c r="B80" i="92"/>
  <c r="X79" i="92"/>
  <c r="Z79" i="92" s="1"/>
  <c r="R79" i="92"/>
  <c r="N79" i="92"/>
  <c r="L79" i="92"/>
  <c r="B79" i="92"/>
  <c r="T78" i="92"/>
  <c r="P78" i="92"/>
  <c r="X78" i="92" s="1"/>
  <c r="H78" i="92"/>
  <c r="D78" i="92"/>
  <c r="L78" i="92" s="1"/>
  <c r="N78" i="92" s="1"/>
  <c r="B78" i="92"/>
  <c r="Z77" i="92"/>
  <c r="X77" i="92"/>
  <c r="N77" i="92"/>
  <c r="L77" i="92"/>
  <c r="B77" i="92"/>
  <c r="Z76" i="92"/>
  <c r="X76" i="92"/>
  <c r="V76" i="92"/>
  <c r="L76" i="92"/>
  <c r="N76" i="92" s="1"/>
  <c r="B76" i="92"/>
  <c r="Z75" i="92"/>
  <c r="X75" i="92"/>
  <c r="L75" i="92"/>
  <c r="N75" i="92" s="1"/>
  <c r="B75" i="92"/>
  <c r="X74" i="92"/>
  <c r="Z74" i="92" s="1"/>
  <c r="L74" i="92"/>
  <c r="N74" i="92" s="1"/>
  <c r="B74" i="92"/>
  <c r="Z73" i="92"/>
  <c r="X73" i="92"/>
  <c r="R73" i="92"/>
  <c r="N73" i="92"/>
  <c r="L73" i="92"/>
  <c r="B73" i="92"/>
  <c r="Z72" i="92"/>
  <c r="X72" i="92"/>
  <c r="L72" i="92"/>
  <c r="N72" i="92" s="1"/>
  <c r="J72" i="92"/>
  <c r="B72" i="92"/>
  <c r="Z71" i="92"/>
  <c r="X71" i="92"/>
  <c r="N71" i="92"/>
  <c r="L71" i="92"/>
  <c r="B71" i="92"/>
  <c r="T70" i="92"/>
  <c r="P70" i="92"/>
  <c r="H70" i="92"/>
  <c r="D70" i="92"/>
  <c r="L70" i="92" s="1"/>
  <c r="N70" i="92" s="1"/>
  <c r="B70" i="92"/>
  <c r="Z69" i="92"/>
  <c r="X69" i="92"/>
  <c r="V69" i="92"/>
  <c r="L69" i="92"/>
  <c r="N69" i="92" s="1"/>
  <c r="F69" i="92"/>
  <c r="B69" i="92"/>
  <c r="X68" i="92"/>
  <c r="Z68" i="92" s="1"/>
  <c r="L68" i="92"/>
  <c r="N68" i="92" s="1"/>
  <c r="B68" i="92"/>
  <c r="X67" i="92"/>
  <c r="Z67" i="92" s="1"/>
  <c r="N67" i="92"/>
  <c r="L67" i="92"/>
  <c r="B67" i="92"/>
  <c r="X66" i="92"/>
  <c r="Z66" i="92" s="1"/>
  <c r="N66" i="92"/>
  <c r="L66" i="92"/>
  <c r="B66" i="92"/>
  <c r="X65" i="92"/>
  <c r="Z65" i="92" s="1"/>
  <c r="N65" i="92"/>
  <c r="L65" i="92"/>
  <c r="B65" i="92"/>
  <c r="X64" i="92"/>
  <c r="T64" i="92"/>
  <c r="P64" i="92"/>
  <c r="L64" i="92"/>
  <c r="H64" i="92"/>
  <c r="D64" i="92"/>
  <c r="B64" i="92"/>
  <c r="X63" i="92"/>
  <c r="Z63" i="92" s="1"/>
  <c r="R63" i="92"/>
  <c r="N63" i="92"/>
  <c r="L63" i="92"/>
  <c r="B63" i="92"/>
  <c r="Z62" i="92"/>
  <c r="X62" i="92"/>
  <c r="V62" i="92"/>
  <c r="N62" i="92"/>
  <c r="L62" i="92"/>
  <c r="B62" i="92"/>
  <c r="Z61" i="92"/>
  <c r="X61" i="92"/>
  <c r="N61" i="92"/>
  <c r="L61" i="92"/>
  <c r="F61" i="92"/>
  <c r="B61" i="92"/>
  <c r="Z60" i="92"/>
  <c r="T60" i="92"/>
  <c r="P60" i="92"/>
  <c r="X60" i="92" s="1"/>
  <c r="H60" i="92"/>
  <c r="F60" i="92"/>
  <c r="D60" i="92"/>
  <c r="L60" i="92" s="1"/>
  <c r="N60" i="92" s="1"/>
  <c r="B60" i="92"/>
  <c r="Z59" i="92"/>
  <c r="X59" i="92"/>
  <c r="N59" i="92"/>
  <c r="L59" i="92"/>
  <c r="F59" i="92"/>
  <c r="B59" i="92"/>
  <c r="Z58" i="92"/>
  <c r="X58" i="92"/>
  <c r="V58" i="92"/>
  <c r="T58" i="92"/>
  <c r="P58" i="92"/>
  <c r="N58" i="92"/>
  <c r="H58" i="92"/>
  <c r="L58" i="92" s="1"/>
  <c r="F58" i="92"/>
  <c r="D58" i="92"/>
  <c r="B58" i="92"/>
  <c r="X57" i="92"/>
  <c r="Z57" i="92" s="1"/>
  <c r="N57" i="92"/>
  <c r="L57" i="92"/>
  <c r="B57" i="92"/>
  <c r="V56" i="92"/>
  <c r="T56" i="92"/>
  <c r="R56" i="92"/>
  <c r="P56" i="92"/>
  <c r="X56" i="92" s="1"/>
  <c r="Z56" i="92" s="1"/>
  <c r="L56" i="92"/>
  <c r="H56" i="92"/>
  <c r="N56" i="92" s="1"/>
  <c r="D56" i="92"/>
  <c r="B56" i="92"/>
  <c r="X55" i="92"/>
  <c r="Z55" i="92" s="1"/>
  <c r="R55" i="92"/>
  <c r="N55" i="92"/>
  <c r="L55" i="92"/>
  <c r="B55" i="92"/>
  <c r="V54" i="92"/>
  <c r="T54" i="92"/>
  <c r="R54" i="92"/>
  <c r="P54" i="92"/>
  <c r="X54" i="92" s="1"/>
  <c r="Z54" i="92" s="1"/>
  <c r="N54" i="92"/>
  <c r="H54" i="92"/>
  <c r="D54" i="92"/>
  <c r="L54" i="92" s="1"/>
  <c r="B54" i="92"/>
  <c r="X53" i="92"/>
  <c r="Z53" i="92" s="1"/>
  <c r="R53" i="92"/>
  <c r="L53" i="92"/>
  <c r="N53" i="92" s="1"/>
  <c r="B53" i="92"/>
  <c r="T52" i="92"/>
  <c r="R52" i="92"/>
  <c r="P52" i="92"/>
  <c r="X52" i="92" s="1"/>
  <c r="N52" i="92"/>
  <c r="L52" i="92"/>
  <c r="J52" i="92"/>
  <c r="H52" i="92"/>
  <c r="D52" i="92"/>
  <c r="B52" i="92"/>
  <c r="X51" i="92"/>
  <c r="Z51" i="92" s="1"/>
  <c r="R51" i="92"/>
  <c r="L51" i="92"/>
  <c r="N51" i="92" s="1"/>
  <c r="F51" i="92"/>
  <c r="B51" i="92"/>
  <c r="X50" i="92"/>
  <c r="T50" i="92"/>
  <c r="Z50" i="92" s="1"/>
  <c r="P50" i="92"/>
  <c r="N50" i="92"/>
  <c r="H50" i="92"/>
  <c r="F50" i="92"/>
  <c r="D50" i="92"/>
  <c r="L50" i="92" s="1"/>
  <c r="B50" i="92"/>
  <c r="Z49" i="92"/>
  <c r="X49" i="92"/>
  <c r="L49" i="92"/>
  <c r="N49" i="92" s="1"/>
  <c r="F49" i="92"/>
  <c r="B49" i="92"/>
  <c r="T48" i="92"/>
  <c r="X48" i="92" s="1"/>
  <c r="Z48" i="92" s="1"/>
  <c r="P48" i="92"/>
  <c r="H48" i="92"/>
  <c r="F48" i="92"/>
  <c r="D48" i="92"/>
  <c r="L48" i="92" s="1"/>
  <c r="N48" i="92" s="1"/>
  <c r="B48" i="92"/>
  <c r="X47" i="92"/>
  <c r="Z47" i="92" s="1"/>
  <c r="L47" i="92"/>
  <c r="N47" i="92" s="1"/>
  <c r="F47" i="92"/>
  <c r="B47" i="92"/>
  <c r="Z46" i="92"/>
  <c r="X46" i="92"/>
  <c r="V46" i="92"/>
  <c r="L46" i="92"/>
  <c r="N46" i="92" s="1"/>
  <c r="B46" i="92"/>
  <c r="X45" i="92"/>
  <c r="Z45" i="92" s="1"/>
  <c r="R45" i="92"/>
  <c r="L45" i="92"/>
  <c r="N45" i="92" s="1"/>
  <c r="B45" i="92"/>
  <c r="Z44" i="92"/>
  <c r="X44" i="92"/>
  <c r="N44" i="92"/>
  <c r="L44" i="92"/>
  <c r="J44" i="92"/>
  <c r="B44" i="92"/>
  <c r="T43" i="92"/>
  <c r="Z43" i="92" s="1"/>
  <c r="P43" i="92"/>
  <c r="X43" i="92" s="1"/>
  <c r="H43" i="92"/>
  <c r="D43" i="92"/>
  <c r="L43" i="92" s="1"/>
  <c r="B43" i="92"/>
  <c r="X42" i="92"/>
  <c r="Z42" i="92" s="1"/>
  <c r="N42" i="92"/>
  <c r="L42" i="92"/>
  <c r="B42" i="92"/>
  <c r="X41" i="92"/>
  <c r="Z41" i="92" s="1"/>
  <c r="T41" i="92"/>
  <c r="P41" i="92"/>
  <c r="H41" i="92"/>
  <c r="D41" i="92"/>
  <c r="B41" i="92"/>
  <c r="Z40" i="92"/>
  <c r="X40" i="92"/>
  <c r="N40" i="92"/>
  <c r="L40" i="92"/>
  <c r="B40" i="92"/>
  <c r="Z39" i="92"/>
  <c r="X39" i="92"/>
  <c r="V39" i="92"/>
  <c r="R39" i="92"/>
  <c r="N39" i="92"/>
  <c r="L39" i="92"/>
  <c r="B39" i="92"/>
  <c r="X38" i="92"/>
  <c r="Z38" i="92" s="1"/>
  <c r="V38" i="92"/>
  <c r="N38" i="92"/>
  <c r="L38" i="92"/>
  <c r="B38" i="92"/>
  <c r="Z37" i="92"/>
  <c r="X37" i="92"/>
  <c r="N37" i="92"/>
  <c r="L37" i="92"/>
  <c r="F37" i="92"/>
  <c r="B37" i="92"/>
  <c r="Z36" i="92"/>
  <c r="X36" i="92"/>
  <c r="N36" i="92"/>
  <c r="L36" i="92"/>
  <c r="B36" i="92"/>
  <c r="X35" i="92"/>
  <c r="Z35" i="92" s="1"/>
  <c r="V35" i="92"/>
  <c r="R35" i="92"/>
  <c r="L35" i="92"/>
  <c r="N35" i="92" s="1"/>
  <c r="B35" i="92"/>
  <c r="X34" i="92"/>
  <c r="Z34" i="92" s="1"/>
  <c r="V34" i="92"/>
  <c r="N34" i="92"/>
  <c r="L34" i="92"/>
  <c r="B34" i="92"/>
  <c r="Z33" i="92"/>
  <c r="X33" i="92"/>
  <c r="N33" i="92"/>
  <c r="L33" i="92"/>
  <c r="F33" i="92"/>
  <c r="B33" i="92"/>
  <c r="Z32" i="92"/>
  <c r="X32" i="92"/>
  <c r="L32" i="92"/>
  <c r="N32" i="92" s="1"/>
  <c r="B32" i="92"/>
  <c r="X31" i="92"/>
  <c r="Z31" i="92" s="1"/>
  <c r="V31" i="92"/>
  <c r="R31" i="92"/>
  <c r="L31" i="92"/>
  <c r="N31" i="92" s="1"/>
  <c r="B31" i="92"/>
  <c r="V30" i="92"/>
  <c r="T30" i="92"/>
  <c r="R30" i="92"/>
  <c r="P30" i="92"/>
  <c r="X30" i="92" s="1"/>
  <c r="H30" i="92"/>
  <c r="D30" i="92"/>
  <c r="L30" i="92" s="1"/>
  <c r="N30" i="92" s="1"/>
  <c r="B30" i="92"/>
  <c r="X29" i="92"/>
  <c r="Z29" i="92" s="1"/>
  <c r="R29" i="92"/>
  <c r="L29" i="92"/>
  <c r="N29" i="92" s="1"/>
  <c r="B29" i="92"/>
  <c r="X28" i="92"/>
  <c r="Z28" i="92" s="1"/>
  <c r="N28" i="92"/>
  <c r="L28" i="92"/>
  <c r="F28" i="92"/>
  <c r="B28" i="92"/>
  <c r="Z27" i="92"/>
  <c r="X27" i="92"/>
  <c r="N27" i="92"/>
  <c r="L27" i="92"/>
  <c r="F27" i="92"/>
  <c r="B27" i="92"/>
  <c r="Z26" i="92"/>
  <c r="X26" i="92"/>
  <c r="V26" i="92"/>
  <c r="N26" i="92"/>
  <c r="L26" i="92"/>
  <c r="B26" i="92"/>
  <c r="Z25" i="92"/>
  <c r="X25" i="92"/>
  <c r="R25" i="92"/>
  <c r="N25" i="92"/>
  <c r="L25" i="92"/>
  <c r="B25" i="92"/>
  <c r="X24" i="92"/>
  <c r="Z24" i="92" s="1"/>
  <c r="N24" i="92"/>
  <c r="L24" i="92"/>
  <c r="F24" i="92"/>
  <c r="B24" i="92"/>
  <c r="X23" i="92"/>
  <c r="Z23" i="92" s="1"/>
  <c r="L23" i="92"/>
  <c r="N23" i="92" s="1"/>
  <c r="F23" i="92"/>
  <c r="B23" i="92"/>
  <c r="Z22" i="92"/>
  <c r="X22" i="92"/>
  <c r="V22" i="92"/>
  <c r="L22" i="92"/>
  <c r="N22" i="92" s="1"/>
  <c r="B22" i="92"/>
  <c r="X21" i="92"/>
  <c r="Z21" i="92" s="1"/>
  <c r="R21" i="92"/>
  <c r="L21" i="92"/>
  <c r="N21" i="92" s="1"/>
  <c r="B21" i="92"/>
  <c r="X20" i="92"/>
  <c r="Z20" i="92" s="1"/>
  <c r="N20" i="92"/>
  <c r="L20" i="92"/>
  <c r="J20" i="92"/>
  <c r="F20" i="92"/>
  <c r="B20" i="92"/>
  <c r="V19" i="92"/>
  <c r="T19" i="92"/>
  <c r="Z19" i="92" s="1"/>
  <c r="P19" i="92"/>
  <c r="X19" i="92" s="1"/>
  <c r="L19" i="92"/>
  <c r="H19" i="92"/>
  <c r="F19" i="92"/>
  <c r="D19" i="92"/>
  <c r="B19" i="92"/>
  <c r="T18" i="92"/>
  <c r="P18" i="92"/>
  <c r="X18" i="92" s="1"/>
  <c r="N18" i="92"/>
  <c r="H18" i="92"/>
  <c r="F18" i="92"/>
  <c r="D18" i="92"/>
  <c r="L18" i="92" s="1"/>
  <c r="F16" i="92"/>
  <c r="T14" i="92"/>
  <c r="Z14" i="92" s="1"/>
  <c r="P14" i="92"/>
  <c r="X14" i="92" s="1"/>
  <c r="N14" i="92"/>
  <c r="J14" i="92"/>
  <c r="H14" i="92"/>
  <c r="F14" i="92"/>
  <c r="D14" i="92"/>
  <c r="D16" i="92" s="1"/>
  <c r="T12" i="92"/>
  <c r="V72" i="92" s="1"/>
  <c r="P12" i="92"/>
  <c r="R75" i="92" s="1"/>
  <c r="H12" i="92"/>
  <c r="J97" i="92" s="1"/>
  <c r="D12" i="92"/>
  <c r="F79" i="92" s="1"/>
  <c r="D6" i="92"/>
  <c r="D4" i="92"/>
  <c r="Z87" i="89"/>
  <c r="X87" i="89"/>
  <c r="L87" i="89"/>
  <c r="N87" i="89" s="1"/>
  <c r="Z83" i="89"/>
  <c r="V83" i="89"/>
  <c r="T83" i="89"/>
  <c r="P83" i="89"/>
  <c r="X83" i="89" s="1"/>
  <c r="L83" i="89"/>
  <c r="H83" i="89"/>
  <c r="N83" i="89" s="1"/>
  <c r="D83" i="89"/>
  <c r="Z81" i="89"/>
  <c r="X81" i="89"/>
  <c r="V81" i="89"/>
  <c r="N81" i="89"/>
  <c r="L81" i="89"/>
  <c r="B81" i="89"/>
  <c r="T80" i="89"/>
  <c r="P80" i="89"/>
  <c r="N80" i="89"/>
  <c r="L80" i="89"/>
  <c r="H80" i="89"/>
  <c r="D80" i="89"/>
  <c r="B80" i="89"/>
  <c r="X79" i="89"/>
  <c r="Z79" i="89" s="1"/>
  <c r="N79" i="89"/>
  <c r="L79" i="89"/>
  <c r="J79" i="89"/>
  <c r="B79" i="89"/>
  <c r="T78" i="89"/>
  <c r="P78" i="89"/>
  <c r="X78" i="89" s="1"/>
  <c r="Z78" i="89" s="1"/>
  <c r="H78" i="89"/>
  <c r="D78" i="89"/>
  <c r="B78" i="89"/>
  <c r="X77" i="89"/>
  <c r="Z77" i="89" s="1"/>
  <c r="N77" i="89"/>
  <c r="L77" i="89"/>
  <c r="J77" i="89"/>
  <c r="B77" i="89"/>
  <c r="X76" i="89"/>
  <c r="Z76" i="89" s="1"/>
  <c r="N76" i="89"/>
  <c r="L76" i="89"/>
  <c r="B76" i="89"/>
  <c r="Z75" i="89"/>
  <c r="T75" i="89"/>
  <c r="P75" i="89"/>
  <c r="X75" i="89" s="1"/>
  <c r="L75" i="89"/>
  <c r="N75" i="89" s="1"/>
  <c r="H75" i="89"/>
  <c r="D75" i="89"/>
  <c r="B75" i="89"/>
  <c r="X74" i="89"/>
  <c r="Z74" i="89" s="1"/>
  <c r="N74" i="89"/>
  <c r="L74" i="89"/>
  <c r="B74" i="89"/>
  <c r="Z73" i="89"/>
  <c r="X73" i="89"/>
  <c r="V73" i="89"/>
  <c r="N73" i="89"/>
  <c r="L73" i="89"/>
  <c r="B73" i="89"/>
  <c r="Z72" i="89"/>
  <c r="X72" i="89"/>
  <c r="R72" i="89"/>
  <c r="L72" i="89"/>
  <c r="N72" i="89" s="1"/>
  <c r="B72" i="89"/>
  <c r="Z71" i="89"/>
  <c r="X71" i="89"/>
  <c r="N71" i="89"/>
  <c r="L71" i="89"/>
  <c r="J71" i="89"/>
  <c r="B71" i="89"/>
  <c r="X70" i="89"/>
  <c r="Z70" i="89" s="1"/>
  <c r="N70" i="89"/>
  <c r="L70" i="89"/>
  <c r="B70" i="89"/>
  <c r="Z69" i="89"/>
  <c r="X69" i="89"/>
  <c r="V69" i="89"/>
  <c r="N69" i="89"/>
  <c r="L69" i="89"/>
  <c r="B69" i="89"/>
  <c r="T68" i="89"/>
  <c r="P68" i="89"/>
  <c r="X68" i="89" s="1"/>
  <c r="L68" i="89"/>
  <c r="N68" i="89" s="1"/>
  <c r="H68" i="89"/>
  <c r="D68" i="89"/>
  <c r="B68" i="89"/>
  <c r="X67" i="89"/>
  <c r="Z67" i="89" s="1"/>
  <c r="V67" i="89"/>
  <c r="N67" i="89"/>
  <c r="L67" i="89"/>
  <c r="J67" i="89"/>
  <c r="B67" i="89"/>
  <c r="Z66" i="89"/>
  <c r="X66" i="89"/>
  <c r="L66" i="89"/>
  <c r="N66" i="89" s="1"/>
  <c r="B66" i="89"/>
  <c r="Z65" i="89"/>
  <c r="X65" i="89"/>
  <c r="N65" i="89"/>
  <c r="L65" i="89"/>
  <c r="B65" i="89"/>
  <c r="T64" i="89"/>
  <c r="P64" i="89"/>
  <c r="H64" i="89"/>
  <c r="D64" i="89"/>
  <c r="L64" i="89" s="1"/>
  <c r="N64" i="89" s="1"/>
  <c r="B64" i="89"/>
  <c r="Z63" i="89"/>
  <c r="X63" i="89"/>
  <c r="V63" i="89"/>
  <c r="N63" i="89"/>
  <c r="L63" i="89"/>
  <c r="B63" i="89"/>
  <c r="Z62" i="89"/>
  <c r="X62" i="89"/>
  <c r="N62" i="89"/>
  <c r="L62" i="89"/>
  <c r="B62" i="89"/>
  <c r="Z61" i="89"/>
  <c r="X61" i="89"/>
  <c r="N61" i="89"/>
  <c r="L61" i="89"/>
  <c r="J61" i="89"/>
  <c r="B61" i="89"/>
  <c r="V60" i="89"/>
  <c r="T60" i="89"/>
  <c r="P60" i="89"/>
  <c r="H60" i="89"/>
  <c r="D60" i="89"/>
  <c r="B60" i="89"/>
  <c r="Z59" i="89"/>
  <c r="X59" i="89"/>
  <c r="N59" i="89"/>
  <c r="L59" i="89"/>
  <c r="B59" i="89"/>
  <c r="Z58" i="89"/>
  <c r="X58" i="89"/>
  <c r="T58" i="89"/>
  <c r="P58" i="89"/>
  <c r="H58" i="89"/>
  <c r="N58" i="89" s="1"/>
  <c r="D58" i="89"/>
  <c r="B58" i="89"/>
  <c r="Z57" i="89"/>
  <c r="X57" i="89"/>
  <c r="N57" i="89"/>
  <c r="L57" i="89"/>
  <c r="B57" i="89"/>
  <c r="T56" i="89"/>
  <c r="P56" i="89"/>
  <c r="N56" i="89"/>
  <c r="H56" i="89"/>
  <c r="D56" i="89"/>
  <c r="L56" i="89" s="1"/>
  <c r="B56" i="89"/>
  <c r="Z55" i="89"/>
  <c r="X55" i="89"/>
  <c r="V55" i="89"/>
  <c r="L55" i="89"/>
  <c r="N55" i="89" s="1"/>
  <c r="B55" i="89"/>
  <c r="X54" i="89"/>
  <c r="Z54" i="89" s="1"/>
  <c r="L54" i="89"/>
  <c r="N54" i="89" s="1"/>
  <c r="B54" i="89"/>
  <c r="T53" i="89"/>
  <c r="P53" i="89"/>
  <c r="X53" i="89" s="1"/>
  <c r="Z53" i="89" s="1"/>
  <c r="J53" i="89"/>
  <c r="H53" i="89"/>
  <c r="D53" i="89"/>
  <c r="L53" i="89" s="1"/>
  <c r="N53" i="89" s="1"/>
  <c r="B53" i="89"/>
  <c r="X52" i="89"/>
  <c r="Z52" i="89" s="1"/>
  <c r="L52" i="89"/>
  <c r="N52" i="89" s="1"/>
  <c r="J52" i="89"/>
  <c r="B52" i="89"/>
  <c r="X51" i="89"/>
  <c r="Z51" i="89" s="1"/>
  <c r="T51" i="89"/>
  <c r="P51" i="89"/>
  <c r="J51" i="89"/>
  <c r="H51" i="89"/>
  <c r="D51" i="89"/>
  <c r="B51" i="89"/>
  <c r="Z50" i="89"/>
  <c r="X50" i="89"/>
  <c r="L50" i="89"/>
  <c r="N50" i="89" s="1"/>
  <c r="B50" i="89"/>
  <c r="T49" i="89"/>
  <c r="P49" i="89"/>
  <c r="X49" i="89" s="1"/>
  <c r="Z49" i="89" s="1"/>
  <c r="J49" i="89"/>
  <c r="H49" i="89"/>
  <c r="D49" i="89"/>
  <c r="L49" i="89" s="1"/>
  <c r="B49" i="89"/>
  <c r="X48" i="89"/>
  <c r="Z48" i="89" s="1"/>
  <c r="N48" i="89"/>
  <c r="L48" i="89"/>
  <c r="B48" i="89"/>
  <c r="Z47" i="89"/>
  <c r="V47" i="89"/>
  <c r="T47" i="89"/>
  <c r="P47" i="89"/>
  <c r="X47" i="89" s="1"/>
  <c r="H47" i="89"/>
  <c r="D47" i="89"/>
  <c r="L47" i="89" s="1"/>
  <c r="N47" i="89" s="1"/>
  <c r="B47" i="89"/>
  <c r="Z46" i="89"/>
  <c r="X46" i="89"/>
  <c r="N46" i="89"/>
  <c r="L46" i="89"/>
  <c r="B46" i="89"/>
  <c r="Z45" i="89"/>
  <c r="X45" i="89"/>
  <c r="V45" i="89"/>
  <c r="N45" i="89"/>
  <c r="L45" i="89"/>
  <c r="B45" i="89"/>
  <c r="Z44" i="89"/>
  <c r="X44" i="89"/>
  <c r="R44" i="89"/>
  <c r="L44" i="89"/>
  <c r="N44" i="89" s="1"/>
  <c r="J44" i="89"/>
  <c r="B44" i="89"/>
  <c r="Z43" i="89"/>
  <c r="X43" i="89"/>
  <c r="N43" i="89"/>
  <c r="L43" i="89"/>
  <c r="B43" i="89"/>
  <c r="Z42" i="89"/>
  <c r="X42" i="89"/>
  <c r="N42" i="89"/>
  <c r="L42" i="89"/>
  <c r="B42" i="89"/>
  <c r="Z41" i="89"/>
  <c r="X41" i="89"/>
  <c r="V41" i="89"/>
  <c r="N41" i="89"/>
  <c r="L41" i="89"/>
  <c r="B41" i="89"/>
  <c r="Z40" i="89"/>
  <c r="X40" i="89"/>
  <c r="R40" i="89"/>
  <c r="L40" i="89"/>
  <c r="N40" i="89" s="1"/>
  <c r="J40" i="89"/>
  <c r="B40" i="89"/>
  <c r="Z39" i="89"/>
  <c r="X39" i="89"/>
  <c r="N39" i="89"/>
  <c r="L39" i="89"/>
  <c r="B39" i="89"/>
  <c r="Z38" i="89"/>
  <c r="X38" i="89"/>
  <c r="N38" i="89"/>
  <c r="L38" i="89"/>
  <c r="B38" i="89"/>
  <c r="Z37" i="89"/>
  <c r="X37" i="89"/>
  <c r="V37" i="89"/>
  <c r="N37" i="89"/>
  <c r="L37" i="89"/>
  <c r="B37" i="89"/>
  <c r="T36" i="89"/>
  <c r="P36" i="89"/>
  <c r="N36" i="89"/>
  <c r="L36" i="89"/>
  <c r="H36" i="89"/>
  <c r="D36" i="89"/>
  <c r="B36" i="89"/>
  <c r="X35" i="89"/>
  <c r="Z35" i="89" s="1"/>
  <c r="N35" i="89"/>
  <c r="L35" i="89"/>
  <c r="J35" i="89"/>
  <c r="B35" i="89"/>
  <c r="Z34" i="89"/>
  <c r="X34" i="89"/>
  <c r="L34" i="89"/>
  <c r="N34" i="89" s="1"/>
  <c r="B34" i="89"/>
  <c r="Z33" i="89"/>
  <c r="X33" i="89"/>
  <c r="N33" i="89"/>
  <c r="L33" i="89"/>
  <c r="B33" i="89"/>
  <c r="Z32" i="89"/>
  <c r="X32" i="89"/>
  <c r="V32" i="89"/>
  <c r="N32" i="89"/>
  <c r="L32" i="89"/>
  <c r="B32" i="89"/>
  <c r="X31" i="89"/>
  <c r="Z31" i="89" s="1"/>
  <c r="V31" i="89"/>
  <c r="N31" i="89"/>
  <c r="L31" i="89"/>
  <c r="J31" i="89"/>
  <c r="B31" i="89"/>
  <c r="Z30" i="89"/>
  <c r="X30" i="89"/>
  <c r="L30" i="89"/>
  <c r="N30" i="89" s="1"/>
  <c r="B30" i="89"/>
  <c r="Z29" i="89"/>
  <c r="X29" i="89"/>
  <c r="V29" i="89"/>
  <c r="R29" i="89"/>
  <c r="N29" i="89"/>
  <c r="L29" i="89"/>
  <c r="B29" i="89"/>
  <c r="X28" i="89"/>
  <c r="Z28" i="89" s="1"/>
  <c r="L28" i="89"/>
  <c r="N28" i="89" s="1"/>
  <c r="B28" i="89"/>
  <c r="X27" i="89"/>
  <c r="Z27" i="89" s="1"/>
  <c r="N27" i="89"/>
  <c r="L27" i="89"/>
  <c r="J27" i="89"/>
  <c r="B27" i="89"/>
  <c r="V26" i="89"/>
  <c r="T26" i="89"/>
  <c r="P26" i="89"/>
  <c r="X26" i="89" s="1"/>
  <c r="Z26" i="89" s="1"/>
  <c r="J26" i="89"/>
  <c r="H26" i="89"/>
  <c r="D26" i="89"/>
  <c r="L26" i="89" s="1"/>
  <c r="B26" i="89"/>
  <c r="X25" i="89"/>
  <c r="T25" i="89"/>
  <c r="Z25" i="89" s="1"/>
  <c r="R25" i="89"/>
  <c r="P25" i="89"/>
  <c r="N25" i="89"/>
  <c r="J25" i="89"/>
  <c r="H25" i="89"/>
  <c r="D25" i="89"/>
  <c r="L25" i="89" s="1"/>
  <c r="P23" i="89"/>
  <c r="H23" i="89"/>
  <c r="Z21" i="89"/>
  <c r="X21" i="89"/>
  <c r="N21" i="89"/>
  <c r="L21" i="89"/>
  <c r="J21" i="89"/>
  <c r="B21" i="89"/>
  <c r="Z20" i="89"/>
  <c r="X20" i="89"/>
  <c r="V20" i="89"/>
  <c r="N20" i="89"/>
  <c r="L20" i="89"/>
  <c r="B20" i="89"/>
  <c r="Z19" i="89"/>
  <c r="X19" i="89"/>
  <c r="V19" i="89"/>
  <c r="N19" i="89"/>
  <c r="L19" i="89"/>
  <c r="J19" i="89"/>
  <c r="B19" i="89"/>
  <c r="T18" i="89"/>
  <c r="P18" i="89"/>
  <c r="L18" i="89"/>
  <c r="J18" i="89"/>
  <c r="H18" i="89"/>
  <c r="D18" i="89"/>
  <c r="Z16" i="89"/>
  <c r="X16" i="89"/>
  <c r="P16" i="89"/>
  <c r="N16" i="89"/>
  <c r="D16" i="89"/>
  <c r="L16" i="89" s="1"/>
  <c r="B16" i="89"/>
  <c r="Z15" i="89"/>
  <c r="X15" i="89"/>
  <c r="P15" i="89"/>
  <c r="L15" i="89"/>
  <c r="N15" i="89" s="1"/>
  <c r="D15" i="89"/>
  <c r="B15" i="89"/>
  <c r="Z14" i="89"/>
  <c r="X14" i="89"/>
  <c r="P14" i="89"/>
  <c r="N14" i="89"/>
  <c r="D14" i="89"/>
  <c r="B14" i="89"/>
  <c r="P13" i="89"/>
  <c r="X13" i="89" s="1"/>
  <c r="Z13" i="89" s="1"/>
  <c r="L13" i="89"/>
  <c r="N13" i="89" s="1"/>
  <c r="D13" i="89"/>
  <c r="B13" i="89"/>
  <c r="T12" i="89"/>
  <c r="P12" i="89"/>
  <c r="H12" i="89"/>
  <c r="J59" i="89" s="1"/>
  <c r="D6" i="89"/>
  <c r="D4" i="89"/>
  <c r="X97" i="88"/>
  <c r="Z97" i="88" s="1"/>
  <c r="R97" i="88"/>
  <c r="L97" i="88"/>
  <c r="N97" i="88" s="1"/>
  <c r="T93" i="88"/>
  <c r="Z93" i="88" s="1"/>
  <c r="P93" i="88"/>
  <c r="X93" i="88" s="1"/>
  <c r="L93" i="88"/>
  <c r="H93" i="88"/>
  <c r="N93" i="88" s="1"/>
  <c r="D93" i="88"/>
  <c r="X91" i="88"/>
  <c r="Z91" i="88" s="1"/>
  <c r="L91" i="88"/>
  <c r="N91" i="88" s="1"/>
  <c r="F91" i="88"/>
  <c r="B91" i="88"/>
  <c r="Z90" i="88"/>
  <c r="X90" i="88"/>
  <c r="T90" i="88"/>
  <c r="P90" i="88"/>
  <c r="J90" i="88"/>
  <c r="H90" i="88"/>
  <c r="L90" i="88" s="1"/>
  <c r="N90" i="88" s="1"/>
  <c r="F90" i="88"/>
  <c r="D90" i="88"/>
  <c r="B90" i="88"/>
  <c r="Z89" i="88"/>
  <c r="X89" i="88"/>
  <c r="N89" i="88"/>
  <c r="L89" i="88"/>
  <c r="F89" i="88"/>
  <c r="B89" i="88"/>
  <c r="Z88" i="88"/>
  <c r="V88" i="88"/>
  <c r="T88" i="88"/>
  <c r="P88" i="88"/>
  <c r="X88" i="88" s="1"/>
  <c r="N88" i="88"/>
  <c r="H88" i="88"/>
  <c r="F88" i="88"/>
  <c r="D88" i="88"/>
  <c r="L88" i="88" s="1"/>
  <c r="B88" i="88"/>
  <c r="X87" i="88"/>
  <c r="Z87" i="88" s="1"/>
  <c r="L87" i="88"/>
  <c r="N87" i="88" s="1"/>
  <c r="B87" i="88"/>
  <c r="Z86" i="88"/>
  <c r="V86" i="88"/>
  <c r="T86" i="88"/>
  <c r="P86" i="88"/>
  <c r="X86" i="88" s="1"/>
  <c r="H86" i="88"/>
  <c r="D86" i="88"/>
  <c r="L86" i="88" s="1"/>
  <c r="N86" i="88" s="1"/>
  <c r="B86" i="88"/>
  <c r="Z85" i="88"/>
  <c r="X85" i="88"/>
  <c r="R85" i="88"/>
  <c r="N85" i="88"/>
  <c r="L85" i="88"/>
  <c r="B85" i="88"/>
  <c r="Z84" i="88"/>
  <c r="X84" i="88"/>
  <c r="N84" i="88"/>
  <c r="L84" i="88"/>
  <c r="J84" i="88"/>
  <c r="B84" i="88"/>
  <c r="X83" i="88"/>
  <c r="Z83" i="88" s="1"/>
  <c r="N83" i="88"/>
  <c r="L83" i="88"/>
  <c r="F83" i="88"/>
  <c r="B83" i="88"/>
  <c r="Z82" i="88"/>
  <c r="X82" i="88"/>
  <c r="N82" i="88"/>
  <c r="L82" i="88"/>
  <c r="B82" i="88"/>
  <c r="X81" i="88"/>
  <c r="Z81" i="88" s="1"/>
  <c r="N81" i="88"/>
  <c r="L81" i="88"/>
  <c r="B81" i="88"/>
  <c r="Z80" i="88"/>
  <c r="X80" i="88"/>
  <c r="V80" i="88"/>
  <c r="N80" i="88"/>
  <c r="L80" i="88"/>
  <c r="J80" i="88"/>
  <c r="B80" i="88"/>
  <c r="X79" i="88"/>
  <c r="Z79" i="88" s="1"/>
  <c r="L79" i="88"/>
  <c r="N79" i="88" s="1"/>
  <c r="F79" i="88"/>
  <c r="B79" i="88"/>
  <c r="Z78" i="88"/>
  <c r="X78" i="88"/>
  <c r="N78" i="88"/>
  <c r="L78" i="88"/>
  <c r="B78" i="88"/>
  <c r="X77" i="88"/>
  <c r="Z77" i="88" s="1"/>
  <c r="R77" i="88"/>
  <c r="N77" i="88"/>
  <c r="L77" i="88"/>
  <c r="B77" i="88"/>
  <c r="T76" i="88"/>
  <c r="X76" i="88" s="1"/>
  <c r="Z76" i="88" s="1"/>
  <c r="R76" i="88"/>
  <c r="P76" i="88"/>
  <c r="N76" i="88"/>
  <c r="L76" i="88"/>
  <c r="H76" i="88"/>
  <c r="D76" i="88"/>
  <c r="B76" i="88"/>
  <c r="Z75" i="88"/>
  <c r="X75" i="88"/>
  <c r="N75" i="88"/>
  <c r="L75" i="88"/>
  <c r="B75" i="88"/>
  <c r="Z74" i="88"/>
  <c r="T74" i="88"/>
  <c r="R74" i="88"/>
  <c r="P74" i="88"/>
  <c r="X74" i="88" s="1"/>
  <c r="N74" i="88"/>
  <c r="J74" i="88"/>
  <c r="H74" i="88"/>
  <c r="D74" i="88"/>
  <c r="L74" i="88" s="1"/>
  <c r="B74" i="88"/>
  <c r="X73" i="88"/>
  <c r="Z73" i="88" s="1"/>
  <c r="R73" i="88"/>
  <c r="L73" i="88"/>
  <c r="N73" i="88" s="1"/>
  <c r="F73" i="88"/>
  <c r="B73" i="88"/>
  <c r="Z72" i="88"/>
  <c r="X72" i="88"/>
  <c r="N72" i="88"/>
  <c r="L72" i="88"/>
  <c r="B72" i="88"/>
  <c r="X71" i="88"/>
  <c r="Z71" i="88" s="1"/>
  <c r="L71" i="88"/>
  <c r="N71" i="88" s="1"/>
  <c r="B71" i="88"/>
  <c r="Z70" i="88"/>
  <c r="V70" i="88"/>
  <c r="T70" i="88"/>
  <c r="R70" i="88"/>
  <c r="P70" i="88"/>
  <c r="X70" i="88" s="1"/>
  <c r="H70" i="88"/>
  <c r="D70" i="88"/>
  <c r="L70" i="88" s="1"/>
  <c r="N70" i="88" s="1"/>
  <c r="B70" i="88"/>
  <c r="X69" i="88"/>
  <c r="Z69" i="88" s="1"/>
  <c r="N69" i="88"/>
  <c r="L69" i="88"/>
  <c r="B69" i="88"/>
  <c r="V68" i="88"/>
  <c r="T68" i="88"/>
  <c r="X68" i="88" s="1"/>
  <c r="Z68" i="88" s="1"/>
  <c r="R68" i="88"/>
  <c r="P68" i="88"/>
  <c r="N68" i="88"/>
  <c r="L68" i="88"/>
  <c r="H68" i="88"/>
  <c r="D68" i="88"/>
  <c r="B68" i="88"/>
  <c r="X67" i="88"/>
  <c r="Z67" i="88" s="1"/>
  <c r="R67" i="88"/>
  <c r="L67" i="88"/>
  <c r="N67" i="88" s="1"/>
  <c r="B67" i="88"/>
  <c r="Z66" i="88"/>
  <c r="X66" i="88"/>
  <c r="N66" i="88"/>
  <c r="L66" i="88"/>
  <c r="J66" i="88"/>
  <c r="B66" i="88"/>
  <c r="Z65" i="88"/>
  <c r="X65" i="88"/>
  <c r="N65" i="88"/>
  <c r="L65" i="88"/>
  <c r="F65" i="88"/>
  <c r="B65" i="88"/>
  <c r="Z64" i="88"/>
  <c r="V64" i="88"/>
  <c r="T64" i="88"/>
  <c r="P64" i="88"/>
  <c r="X64" i="88" s="1"/>
  <c r="H64" i="88"/>
  <c r="F64" i="88"/>
  <c r="D64" i="88"/>
  <c r="L64" i="88" s="1"/>
  <c r="N64" i="88" s="1"/>
  <c r="B64" i="88"/>
  <c r="X63" i="88"/>
  <c r="Z63" i="88" s="1"/>
  <c r="L63" i="88"/>
  <c r="N63" i="88" s="1"/>
  <c r="F63" i="88"/>
  <c r="B63" i="88"/>
  <c r="Z62" i="88"/>
  <c r="V62" i="88"/>
  <c r="T62" i="88"/>
  <c r="P62" i="88"/>
  <c r="X62" i="88" s="1"/>
  <c r="H62" i="88"/>
  <c r="F62" i="88"/>
  <c r="D62" i="88"/>
  <c r="L62" i="88" s="1"/>
  <c r="N62" i="88" s="1"/>
  <c r="B62" i="88"/>
  <c r="X61" i="88"/>
  <c r="Z61" i="88" s="1"/>
  <c r="R61" i="88"/>
  <c r="N61" i="88"/>
  <c r="L61" i="88"/>
  <c r="B61" i="88"/>
  <c r="T60" i="88"/>
  <c r="X60" i="88" s="1"/>
  <c r="Z60" i="88" s="1"/>
  <c r="R60" i="88"/>
  <c r="P60" i="88"/>
  <c r="N60" i="88"/>
  <c r="L60" i="88"/>
  <c r="H60" i="88"/>
  <c r="D60" i="88"/>
  <c r="B60" i="88"/>
  <c r="X59" i="88"/>
  <c r="Z59" i="88" s="1"/>
  <c r="R59" i="88"/>
  <c r="L59" i="88"/>
  <c r="N59" i="88" s="1"/>
  <c r="B59" i="88"/>
  <c r="T58" i="88"/>
  <c r="R58" i="88"/>
  <c r="P58" i="88"/>
  <c r="X58" i="88" s="1"/>
  <c r="Z58" i="88" s="1"/>
  <c r="N58" i="88"/>
  <c r="H58" i="88"/>
  <c r="D58" i="88"/>
  <c r="L58" i="88" s="1"/>
  <c r="B58" i="88"/>
  <c r="X57" i="88"/>
  <c r="Z57" i="88" s="1"/>
  <c r="R57" i="88"/>
  <c r="L57" i="88"/>
  <c r="N57" i="88" s="1"/>
  <c r="F57" i="88"/>
  <c r="B57" i="88"/>
  <c r="T56" i="88"/>
  <c r="P56" i="88"/>
  <c r="X56" i="88" s="1"/>
  <c r="Z56" i="88" s="1"/>
  <c r="H56" i="88"/>
  <c r="F56" i="88"/>
  <c r="D56" i="88"/>
  <c r="L56" i="88" s="1"/>
  <c r="N56" i="88" s="1"/>
  <c r="B56" i="88"/>
  <c r="X55" i="88"/>
  <c r="Z55" i="88" s="1"/>
  <c r="L55" i="88"/>
  <c r="N55" i="88" s="1"/>
  <c r="F55" i="88"/>
  <c r="B55" i="88"/>
  <c r="Z54" i="88"/>
  <c r="X54" i="88"/>
  <c r="N54" i="88"/>
  <c r="L54" i="88"/>
  <c r="B54" i="88"/>
  <c r="X53" i="88"/>
  <c r="Z53" i="88" s="1"/>
  <c r="R53" i="88"/>
  <c r="N53" i="88"/>
  <c r="L53" i="88"/>
  <c r="B53" i="88"/>
  <c r="T52" i="88"/>
  <c r="X52" i="88" s="1"/>
  <c r="Z52" i="88" s="1"/>
  <c r="R52" i="88"/>
  <c r="P52" i="88"/>
  <c r="N52" i="88"/>
  <c r="L52" i="88"/>
  <c r="H52" i="88"/>
  <c r="D52" i="88"/>
  <c r="B52" i="88"/>
  <c r="Z51" i="88"/>
  <c r="X51" i="88"/>
  <c r="R51" i="88"/>
  <c r="N51" i="88"/>
  <c r="L51" i="88"/>
  <c r="B51" i="88"/>
  <c r="Z50" i="88"/>
  <c r="T50" i="88"/>
  <c r="P50" i="88"/>
  <c r="X50" i="88" s="1"/>
  <c r="N50" i="88"/>
  <c r="J50" i="88"/>
  <c r="H50" i="88"/>
  <c r="D50" i="88"/>
  <c r="L50" i="88" s="1"/>
  <c r="B50" i="88"/>
  <c r="X49" i="88"/>
  <c r="Z49" i="88" s="1"/>
  <c r="L49" i="88"/>
  <c r="N49" i="88" s="1"/>
  <c r="F49" i="88"/>
  <c r="B49" i="88"/>
  <c r="T48" i="88"/>
  <c r="P48" i="88"/>
  <c r="X48" i="88" s="1"/>
  <c r="Z48" i="88" s="1"/>
  <c r="J48" i="88"/>
  <c r="H48" i="88"/>
  <c r="F48" i="88"/>
  <c r="D48" i="88"/>
  <c r="L48" i="88" s="1"/>
  <c r="N48" i="88" s="1"/>
  <c r="B48" i="88"/>
  <c r="X47" i="88"/>
  <c r="Z47" i="88" s="1"/>
  <c r="L47" i="88"/>
  <c r="N47" i="88" s="1"/>
  <c r="F47" i="88"/>
  <c r="B47" i="88"/>
  <c r="Z46" i="88"/>
  <c r="X46" i="88"/>
  <c r="T46" i="88"/>
  <c r="P46" i="88"/>
  <c r="J46" i="88"/>
  <c r="H46" i="88"/>
  <c r="L46" i="88" s="1"/>
  <c r="N46" i="88" s="1"/>
  <c r="F46" i="88"/>
  <c r="D46" i="88"/>
  <c r="B46" i="88"/>
  <c r="Z45" i="88"/>
  <c r="X45" i="88"/>
  <c r="N45" i="88"/>
  <c r="L45" i="88"/>
  <c r="F45" i="88"/>
  <c r="B45" i="88"/>
  <c r="Z44" i="88"/>
  <c r="X44" i="88"/>
  <c r="V44" i="88"/>
  <c r="N44" i="88"/>
  <c r="L44" i="88"/>
  <c r="B44" i="88"/>
  <c r="X43" i="88"/>
  <c r="Z43" i="88" s="1"/>
  <c r="L43" i="88"/>
  <c r="N43" i="88" s="1"/>
  <c r="B43" i="88"/>
  <c r="Z42" i="88"/>
  <c r="X42" i="88"/>
  <c r="N42" i="88"/>
  <c r="L42" i="88"/>
  <c r="J42" i="88"/>
  <c r="B42" i="88"/>
  <c r="Z41" i="88"/>
  <c r="X41" i="88"/>
  <c r="N41" i="88"/>
  <c r="L41" i="88"/>
  <c r="F41" i="88"/>
  <c r="B41" i="88"/>
  <c r="Z40" i="88"/>
  <c r="X40" i="88"/>
  <c r="V40" i="88"/>
  <c r="N40" i="88"/>
  <c r="L40" i="88"/>
  <c r="B40" i="88"/>
  <c r="Z39" i="88"/>
  <c r="X39" i="88"/>
  <c r="R39" i="88"/>
  <c r="N39" i="88"/>
  <c r="L39" i="88"/>
  <c r="B39" i="88"/>
  <c r="Z38" i="88"/>
  <c r="X38" i="88"/>
  <c r="N38" i="88"/>
  <c r="L38" i="88"/>
  <c r="J38" i="88"/>
  <c r="B38" i="88"/>
  <c r="Z37" i="88"/>
  <c r="X37" i="88"/>
  <c r="L37" i="88"/>
  <c r="N37" i="88" s="1"/>
  <c r="F37" i="88"/>
  <c r="B37" i="88"/>
  <c r="Z36" i="88"/>
  <c r="X36" i="88"/>
  <c r="V36" i="88"/>
  <c r="N36" i="88"/>
  <c r="L36" i="88"/>
  <c r="B36" i="88"/>
  <c r="X35" i="88"/>
  <c r="T35" i="88"/>
  <c r="P35" i="88"/>
  <c r="H35" i="88"/>
  <c r="D35" i="88"/>
  <c r="L35" i="88" s="1"/>
  <c r="N35" i="88" s="1"/>
  <c r="B35" i="88"/>
  <c r="Z34" i="88"/>
  <c r="X34" i="88"/>
  <c r="V34" i="88"/>
  <c r="N34" i="88"/>
  <c r="L34" i="88"/>
  <c r="B34" i="88"/>
  <c r="X33" i="88"/>
  <c r="Z33" i="88" s="1"/>
  <c r="L33" i="88"/>
  <c r="N33" i="88" s="1"/>
  <c r="F33" i="88"/>
  <c r="B33" i="88"/>
  <c r="Z32" i="88"/>
  <c r="X32" i="88"/>
  <c r="N32" i="88"/>
  <c r="L32" i="88"/>
  <c r="J32" i="88"/>
  <c r="B32" i="88"/>
  <c r="X31" i="88"/>
  <c r="Z31" i="88" s="1"/>
  <c r="N31" i="88"/>
  <c r="L31" i="88"/>
  <c r="F31" i="88"/>
  <c r="B31" i="88"/>
  <c r="Z30" i="88"/>
  <c r="X30" i="88"/>
  <c r="N30" i="88"/>
  <c r="L30" i="88"/>
  <c r="B30" i="88"/>
  <c r="X29" i="88"/>
  <c r="Z29" i="88" s="1"/>
  <c r="R29" i="88"/>
  <c r="L29" i="88"/>
  <c r="N29" i="88" s="1"/>
  <c r="F29" i="88"/>
  <c r="B29" i="88"/>
  <c r="Z28" i="88"/>
  <c r="X28" i="88"/>
  <c r="N28" i="88"/>
  <c r="L28" i="88"/>
  <c r="J28" i="88"/>
  <c r="B28" i="88"/>
  <c r="X27" i="88"/>
  <c r="Z27" i="88" s="1"/>
  <c r="L27" i="88"/>
  <c r="N27" i="88" s="1"/>
  <c r="F27" i="88"/>
  <c r="B27" i="88"/>
  <c r="Z26" i="88"/>
  <c r="X26" i="88"/>
  <c r="V26" i="88"/>
  <c r="N26" i="88"/>
  <c r="L26" i="88"/>
  <c r="B26" i="88"/>
  <c r="T25" i="88"/>
  <c r="P25" i="88"/>
  <c r="X25" i="88" s="1"/>
  <c r="L25" i="88"/>
  <c r="H25" i="88"/>
  <c r="N25" i="88" s="1"/>
  <c r="D25" i="88"/>
  <c r="B25" i="88"/>
  <c r="V24" i="88"/>
  <c r="T24" i="88"/>
  <c r="R24" i="88"/>
  <c r="P24" i="88"/>
  <c r="X24" i="88" s="1"/>
  <c r="Z24" i="88" s="1"/>
  <c r="N24" i="88"/>
  <c r="L24" i="88"/>
  <c r="H24" i="88"/>
  <c r="D24" i="88"/>
  <c r="Z20" i="88"/>
  <c r="X20" i="88"/>
  <c r="V20" i="88"/>
  <c r="N20" i="88"/>
  <c r="L20" i="88"/>
  <c r="J20" i="88"/>
  <c r="B20" i="88"/>
  <c r="Z19" i="88"/>
  <c r="X19" i="88"/>
  <c r="N19" i="88"/>
  <c r="L19" i="88"/>
  <c r="F19" i="88"/>
  <c r="B19" i="88"/>
  <c r="Z18" i="88"/>
  <c r="X18" i="88"/>
  <c r="N18" i="88"/>
  <c r="L18" i="88"/>
  <c r="B18" i="88"/>
  <c r="T17" i="88"/>
  <c r="P17" i="88"/>
  <c r="H17" i="88"/>
  <c r="N17" i="88" s="1"/>
  <c r="D17" i="88"/>
  <c r="L17" i="88" s="1"/>
  <c r="Z15" i="88"/>
  <c r="X15" i="88"/>
  <c r="P15" i="88"/>
  <c r="N15" i="88"/>
  <c r="L15" i="88"/>
  <c r="D15" i="88"/>
  <c r="B15" i="88"/>
  <c r="Z14" i="88"/>
  <c r="P14" i="88"/>
  <c r="X14" i="88" s="1"/>
  <c r="N14" i="88"/>
  <c r="L14" i="88"/>
  <c r="D14" i="88"/>
  <c r="B14" i="88"/>
  <c r="X13" i="88"/>
  <c r="Z13" i="88" s="1"/>
  <c r="P13" i="88"/>
  <c r="P12" i="88" s="1"/>
  <c r="R62" i="88" s="1"/>
  <c r="D13" i="88"/>
  <c r="L13" i="88" s="1"/>
  <c r="N13" i="88" s="1"/>
  <c r="B13" i="88"/>
  <c r="T12" i="88"/>
  <c r="V30" i="88" s="1"/>
  <c r="H12" i="88"/>
  <c r="D12" i="88"/>
  <c r="D6" i="88"/>
  <c r="D4" i="88"/>
  <c r="Z34" i="86"/>
  <c r="X34" i="86"/>
  <c r="N34" i="86"/>
  <c r="L34" i="86"/>
  <c r="J34" i="86"/>
  <c r="Z30" i="86"/>
  <c r="T30" i="86"/>
  <c r="P30" i="86"/>
  <c r="X30" i="86" s="1"/>
  <c r="N30" i="86"/>
  <c r="L30" i="86"/>
  <c r="H30" i="86"/>
  <c r="D30" i="86"/>
  <c r="Z28" i="86"/>
  <c r="X28" i="86"/>
  <c r="N28" i="86"/>
  <c r="L28" i="86"/>
  <c r="J28" i="86"/>
  <c r="B28" i="86"/>
  <c r="T27" i="86"/>
  <c r="Z27" i="86" s="1"/>
  <c r="P27" i="86"/>
  <c r="X27" i="86" s="1"/>
  <c r="H27" i="86"/>
  <c r="N27" i="86" s="1"/>
  <c r="D27" i="86"/>
  <c r="B27" i="86"/>
  <c r="Z26" i="86"/>
  <c r="X26" i="86"/>
  <c r="N26" i="86"/>
  <c r="L26" i="86"/>
  <c r="J26" i="86"/>
  <c r="B26" i="86"/>
  <c r="Z25" i="86"/>
  <c r="T25" i="86"/>
  <c r="P25" i="86"/>
  <c r="X25" i="86" s="1"/>
  <c r="H25" i="86"/>
  <c r="D25" i="86"/>
  <c r="B25" i="86"/>
  <c r="Z24" i="86"/>
  <c r="X24" i="86"/>
  <c r="N24" i="86"/>
  <c r="L24" i="86"/>
  <c r="J24" i="86"/>
  <c r="B24" i="86"/>
  <c r="X23" i="86"/>
  <c r="T23" i="86"/>
  <c r="Z23" i="86" s="1"/>
  <c r="P23" i="86"/>
  <c r="H23" i="86"/>
  <c r="D23" i="86"/>
  <c r="B23" i="86"/>
  <c r="Z22" i="86"/>
  <c r="X22" i="86"/>
  <c r="T22" i="86"/>
  <c r="P22" i="86"/>
  <c r="J22" i="86"/>
  <c r="H22" i="86"/>
  <c r="F22" i="86"/>
  <c r="D22" i="86"/>
  <c r="L22" i="86" s="1"/>
  <c r="N22" i="86" s="1"/>
  <c r="J20" i="86"/>
  <c r="H20" i="86"/>
  <c r="H32" i="86" s="1"/>
  <c r="H36" i="86" s="1"/>
  <c r="Z18" i="86"/>
  <c r="X18" i="86"/>
  <c r="N18" i="86"/>
  <c r="L18" i="86"/>
  <c r="J18" i="86"/>
  <c r="B18" i="86"/>
  <c r="X17" i="86"/>
  <c r="Z17" i="86" s="1"/>
  <c r="N17" i="86"/>
  <c r="L17" i="86"/>
  <c r="B17" i="86"/>
  <c r="T16" i="86"/>
  <c r="P16" i="86"/>
  <c r="X16" i="86" s="1"/>
  <c r="Z16" i="86" s="1"/>
  <c r="N16" i="86"/>
  <c r="L16" i="86"/>
  <c r="H16" i="86"/>
  <c r="D16" i="86"/>
  <c r="Z14" i="86"/>
  <c r="P14" i="86"/>
  <c r="X14" i="86" s="1"/>
  <c r="N14" i="86"/>
  <c r="L14" i="86"/>
  <c r="D14" i="86"/>
  <c r="B14" i="86"/>
  <c r="Z13" i="86"/>
  <c r="X13" i="86"/>
  <c r="P13" i="86"/>
  <c r="D13" i="86"/>
  <c r="D12" i="86" s="1"/>
  <c r="B13" i="86"/>
  <c r="T12" i="86"/>
  <c r="H12" i="86"/>
  <c r="J32" i="86" s="1"/>
  <c r="D6" i="86"/>
  <c r="D4" i="86"/>
  <c r="Z128" i="85"/>
  <c r="X128" i="85"/>
  <c r="V128" i="85"/>
  <c r="N128" i="85"/>
  <c r="L128" i="85"/>
  <c r="Z124" i="85"/>
  <c r="T124" i="85"/>
  <c r="X124" i="85" s="1"/>
  <c r="P124" i="85"/>
  <c r="N124" i="85"/>
  <c r="J124" i="85"/>
  <c r="H124" i="85"/>
  <c r="D124" i="85"/>
  <c r="L124" i="85" s="1"/>
  <c r="Z122" i="85"/>
  <c r="X122" i="85"/>
  <c r="N122" i="85"/>
  <c r="L122" i="85"/>
  <c r="B122" i="85"/>
  <c r="X121" i="85"/>
  <c r="T121" i="85"/>
  <c r="Z121" i="85" s="1"/>
  <c r="P121" i="85"/>
  <c r="H121" i="85"/>
  <c r="D121" i="85"/>
  <c r="B121" i="85"/>
  <c r="Z120" i="85"/>
  <c r="X120" i="85"/>
  <c r="N120" i="85"/>
  <c r="L120" i="85"/>
  <c r="B120" i="85"/>
  <c r="T119" i="85"/>
  <c r="P119" i="85"/>
  <c r="H119" i="85"/>
  <c r="D119" i="85"/>
  <c r="L119" i="85" s="1"/>
  <c r="B119" i="85"/>
  <c r="Z118" i="85"/>
  <c r="X118" i="85"/>
  <c r="N118" i="85"/>
  <c r="L118" i="85"/>
  <c r="B118" i="85"/>
  <c r="T117" i="85"/>
  <c r="Z117" i="85" s="1"/>
  <c r="P117" i="85"/>
  <c r="X117" i="85" s="1"/>
  <c r="N117" i="85"/>
  <c r="H117" i="85"/>
  <c r="D117" i="85"/>
  <c r="L117" i="85" s="1"/>
  <c r="B117" i="85"/>
  <c r="Z116" i="85"/>
  <c r="X116" i="85"/>
  <c r="N116" i="85"/>
  <c r="L116" i="85"/>
  <c r="B116" i="85"/>
  <c r="X115" i="85"/>
  <c r="Z115" i="85" s="1"/>
  <c r="L115" i="85"/>
  <c r="N115" i="85" s="1"/>
  <c r="B115" i="85"/>
  <c r="T114" i="85"/>
  <c r="X114" i="85" s="1"/>
  <c r="Z114" i="85" s="1"/>
  <c r="P114" i="85"/>
  <c r="N114" i="85"/>
  <c r="H114" i="85"/>
  <c r="D114" i="85"/>
  <c r="L114" i="85" s="1"/>
  <c r="B114" i="85"/>
  <c r="Z113" i="85"/>
  <c r="X113" i="85"/>
  <c r="N113" i="85"/>
  <c r="L113" i="85"/>
  <c r="B113" i="85"/>
  <c r="Z112" i="85"/>
  <c r="X112" i="85"/>
  <c r="N112" i="85"/>
  <c r="L112" i="85"/>
  <c r="B112" i="85"/>
  <c r="X111" i="85"/>
  <c r="Z111" i="85" s="1"/>
  <c r="N111" i="85"/>
  <c r="L111" i="85"/>
  <c r="B111" i="85"/>
  <c r="Z110" i="85"/>
  <c r="X110" i="85"/>
  <c r="V110" i="85"/>
  <c r="N110" i="85"/>
  <c r="L110" i="85"/>
  <c r="B110" i="85"/>
  <c r="X109" i="85"/>
  <c r="Z109" i="85" s="1"/>
  <c r="L109" i="85"/>
  <c r="N109" i="85" s="1"/>
  <c r="B109" i="85"/>
  <c r="Z108" i="85"/>
  <c r="X108" i="85"/>
  <c r="T108" i="85"/>
  <c r="P108" i="85"/>
  <c r="H108" i="85"/>
  <c r="D108" i="85"/>
  <c r="L108" i="85" s="1"/>
  <c r="N108" i="85" s="1"/>
  <c r="B108" i="85"/>
  <c r="Z107" i="85"/>
  <c r="X107" i="85"/>
  <c r="L107" i="85"/>
  <c r="N107" i="85" s="1"/>
  <c r="B107" i="85"/>
  <c r="Z106" i="85"/>
  <c r="X106" i="85"/>
  <c r="N106" i="85"/>
  <c r="L106" i="85"/>
  <c r="B106" i="85"/>
  <c r="X105" i="85"/>
  <c r="T105" i="85"/>
  <c r="P105" i="85"/>
  <c r="H105" i="85"/>
  <c r="D105" i="85"/>
  <c r="L105" i="85" s="1"/>
  <c r="N105" i="85" s="1"/>
  <c r="B105" i="85"/>
  <c r="Z104" i="85"/>
  <c r="X104" i="85"/>
  <c r="N104" i="85"/>
  <c r="L104" i="85"/>
  <c r="B104" i="85"/>
  <c r="X103" i="85"/>
  <c r="Z103" i="85" s="1"/>
  <c r="L103" i="85"/>
  <c r="N103" i="85" s="1"/>
  <c r="B103" i="85"/>
  <c r="Z102" i="85"/>
  <c r="X102" i="85"/>
  <c r="N102" i="85"/>
  <c r="L102" i="85"/>
  <c r="J102" i="85"/>
  <c r="B102" i="85"/>
  <c r="X101" i="85"/>
  <c r="T101" i="85"/>
  <c r="P101" i="85"/>
  <c r="H101" i="85"/>
  <c r="D101" i="85"/>
  <c r="B101" i="85"/>
  <c r="Z100" i="85"/>
  <c r="X100" i="85"/>
  <c r="N100" i="85"/>
  <c r="L100" i="85"/>
  <c r="J100" i="85"/>
  <c r="B100" i="85"/>
  <c r="X99" i="85"/>
  <c r="Z99" i="85" s="1"/>
  <c r="N99" i="85"/>
  <c r="L99" i="85"/>
  <c r="B99" i="85"/>
  <c r="T98" i="85"/>
  <c r="P98" i="85"/>
  <c r="X98" i="85" s="1"/>
  <c r="Z98" i="85" s="1"/>
  <c r="N98" i="85"/>
  <c r="L98" i="85"/>
  <c r="H98" i="85"/>
  <c r="D98" i="85"/>
  <c r="B98" i="85"/>
  <c r="X97" i="85"/>
  <c r="Z97" i="85" s="1"/>
  <c r="L97" i="85"/>
  <c r="N97" i="85" s="1"/>
  <c r="B97" i="85"/>
  <c r="T96" i="85"/>
  <c r="P96" i="85"/>
  <c r="X96" i="85" s="1"/>
  <c r="Z96" i="85" s="1"/>
  <c r="N96" i="85"/>
  <c r="H96" i="85"/>
  <c r="D96" i="85"/>
  <c r="L96" i="85" s="1"/>
  <c r="B96" i="85"/>
  <c r="X95" i="85"/>
  <c r="Z95" i="85" s="1"/>
  <c r="N95" i="85"/>
  <c r="L95" i="85"/>
  <c r="B95" i="85"/>
  <c r="T94" i="85"/>
  <c r="P94" i="85"/>
  <c r="N94" i="85"/>
  <c r="H94" i="85"/>
  <c r="D94" i="85"/>
  <c r="L94" i="85" s="1"/>
  <c r="B94" i="85"/>
  <c r="X93" i="85"/>
  <c r="Z93" i="85" s="1"/>
  <c r="L93" i="85"/>
  <c r="N93" i="85" s="1"/>
  <c r="B93" i="85"/>
  <c r="Z92" i="85"/>
  <c r="X92" i="85"/>
  <c r="T92" i="85"/>
  <c r="P92" i="85"/>
  <c r="H92" i="85"/>
  <c r="D92" i="85"/>
  <c r="L92" i="85" s="1"/>
  <c r="N92" i="85" s="1"/>
  <c r="B92" i="85"/>
  <c r="Z91" i="85"/>
  <c r="X91" i="85"/>
  <c r="L91" i="85"/>
  <c r="N91" i="85" s="1"/>
  <c r="B91" i="85"/>
  <c r="T90" i="85"/>
  <c r="X90" i="85" s="1"/>
  <c r="Z90" i="85" s="1"/>
  <c r="P90" i="85"/>
  <c r="H90" i="85"/>
  <c r="D90" i="85"/>
  <c r="L90" i="85" s="1"/>
  <c r="N90" i="85" s="1"/>
  <c r="B90" i="85"/>
  <c r="X89" i="85"/>
  <c r="Z89" i="85" s="1"/>
  <c r="L89" i="85"/>
  <c r="N89" i="85" s="1"/>
  <c r="B89" i="85"/>
  <c r="V88" i="85"/>
  <c r="T88" i="85"/>
  <c r="P88" i="85"/>
  <c r="X88" i="85" s="1"/>
  <c r="Z88" i="85" s="1"/>
  <c r="H88" i="85"/>
  <c r="D88" i="85"/>
  <c r="B88" i="85"/>
  <c r="X87" i="85"/>
  <c r="Z87" i="85" s="1"/>
  <c r="N87" i="85"/>
  <c r="L87" i="85"/>
  <c r="B87" i="85"/>
  <c r="T86" i="85"/>
  <c r="P86" i="85"/>
  <c r="X86" i="85" s="1"/>
  <c r="Z86" i="85" s="1"/>
  <c r="N86" i="85"/>
  <c r="L86" i="85"/>
  <c r="H86" i="85"/>
  <c r="D86" i="85"/>
  <c r="B86" i="85"/>
  <c r="X85" i="85"/>
  <c r="Z85" i="85" s="1"/>
  <c r="L85" i="85"/>
  <c r="N85" i="85" s="1"/>
  <c r="B85" i="85"/>
  <c r="T84" i="85"/>
  <c r="P84" i="85"/>
  <c r="X84" i="85" s="1"/>
  <c r="Z84" i="85" s="1"/>
  <c r="N84" i="85"/>
  <c r="H84" i="85"/>
  <c r="D84" i="85"/>
  <c r="L84" i="85" s="1"/>
  <c r="B84" i="85"/>
  <c r="X83" i="85"/>
  <c r="Z83" i="85" s="1"/>
  <c r="L83" i="85"/>
  <c r="N83" i="85" s="1"/>
  <c r="B83" i="85"/>
  <c r="T82" i="85"/>
  <c r="P82" i="85"/>
  <c r="H82" i="85"/>
  <c r="D82" i="85"/>
  <c r="L82" i="85" s="1"/>
  <c r="N82" i="85" s="1"/>
  <c r="B82" i="85"/>
  <c r="X81" i="85"/>
  <c r="Z81" i="85" s="1"/>
  <c r="L81" i="85"/>
  <c r="N81" i="85" s="1"/>
  <c r="B81" i="85"/>
  <c r="Z80" i="85"/>
  <c r="X80" i="85"/>
  <c r="T80" i="85"/>
  <c r="P80" i="85"/>
  <c r="H80" i="85"/>
  <c r="D80" i="85"/>
  <c r="L80" i="85" s="1"/>
  <c r="N80" i="85" s="1"/>
  <c r="B80" i="85"/>
  <c r="Z79" i="85"/>
  <c r="X79" i="85"/>
  <c r="L79" i="85"/>
  <c r="N79" i="85" s="1"/>
  <c r="B79" i="85"/>
  <c r="Z78" i="85"/>
  <c r="X78" i="85"/>
  <c r="V78" i="85"/>
  <c r="N78" i="85"/>
  <c r="L78" i="85"/>
  <c r="B78" i="85"/>
  <c r="T77" i="85"/>
  <c r="P77" i="85"/>
  <c r="X77" i="85" s="1"/>
  <c r="H77" i="85"/>
  <c r="D77" i="85"/>
  <c r="L77" i="85" s="1"/>
  <c r="N77" i="85" s="1"/>
  <c r="B77" i="85"/>
  <c r="Z76" i="85"/>
  <c r="X76" i="85"/>
  <c r="V76" i="85"/>
  <c r="N76" i="85"/>
  <c r="L76" i="85"/>
  <c r="B76" i="85"/>
  <c r="T75" i="85"/>
  <c r="P75" i="85"/>
  <c r="X75" i="85" s="1"/>
  <c r="L75" i="85"/>
  <c r="H75" i="85"/>
  <c r="D75" i="85"/>
  <c r="B75" i="85"/>
  <c r="Z74" i="85"/>
  <c r="X74" i="85"/>
  <c r="N74" i="85"/>
  <c r="L74" i="85"/>
  <c r="J74" i="85"/>
  <c r="B74" i="85"/>
  <c r="Z73" i="85"/>
  <c r="X73" i="85"/>
  <c r="N73" i="85"/>
  <c r="L73" i="85"/>
  <c r="B73" i="85"/>
  <c r="Z72" i="85"/>
  <c r="X72" i="85"/>
  <c r="N72" i="85"/>
  <c r="L72" i="85"/>
  <c r="J72" i="85"/>
  <c r="B72" i="85"/>
  <c r="X71" i="85"/>
  <c r="Z71" i="85" s="1"/>
  <c r="N71" i="85"/>
  <c r="L71" i="85"/>
  <c r="B71" i="85"/>
  <c r="Z70" i="85"/>
  <c r="X70" i="85"/>
  <c r="N70" i="85"/>
  <c r="L70" i="85"/>
  <c r="J70" i="85"/>
  <c r="B70" i="85"/>
  <c r="Z69" i="85"/>
  <c r="X69" i="85"/>
  <c r="N69" i="85"/>
  <c r="L69" i="85"/>
  <c r="B69" i="85"/>
  <c r="Z68" i="85"/>
  <c r="X68" i="85"/>
  <c r="N68" i="85"/>
  <c r="L68" i="85"/>
  <c r="J68" i="85"/>
  <c r="B68" i="85"/>
  <c r="Z67" i="85"/>
  <c r="X67" i="85"/>
  <c r="N67" i="85"/>
  <c r="L67" i="85"/>
  <c r="B67" i="85"/>
  <c r="Z66" i="85"/>
  <c r="X66" i="85"/>
  <c r="V66" i="85"/>
  <c r="N66" i="85"/>
  <c r="L66" i="85"/>
  <c r="B66" i="85"/>
  <c r="Z65" i="85"/>
  <c r="X65" i="85"/>
  <c r="N65" i="85"/>
  <c r="L65" i="85"/>
  <c r="B65" i="85"/>
  <c r="Z64" i="85"/>
  <c r="X64" i="85"/>
  <c r="T64" i="85"/>
  <c r="P64" i="85"/>
  <c r="H64" i="85"/>
  <c r="D64" i="85"/>
  <c r="L64" i="85" s="1"/>
  <c r="N64" i="85" s="1"/>
  <c r="B64" i="85"/>
  <c r="Z63" i="85"/>
  <c r="X63" i="85"/>
  <c r="N63" i="85"/>
  <c r="L63" i="85"/>
  <c r="B63" i="85"/>
  <c r="Z62" i="85"/>
  <c r="X62" i="85"/>
  <c r="N62" i="85"/>
  <c r="L62" i="85"/>
  <c r="B62" i="85"/>
  <c r="X61" i="85"/>
  <c r="Z61" i="85" s="1"/>
  <c r="L61" i="85"/>
  <c r="N61" i="85" s="1"/>
  <c r="B61" i="85"/>
  <c r="Z60" i="85"/>
  <c r="X60" i="85"/>
  <c r="N60" i="85"/>
  <c r="L60" i="85"/>
  <c r="B60" i="85"/>
  <c r="Z59" i="85"/>
  <c r="X59" i="85"/>
  <c r="L59" i="85"/>
  <c r="N59" i="85" s="1"/>
  <c r="B59" i="85"/>
  <c r="Z58" i="85"/>
  <c r="X58" i="85"/>
  <c r="N58" i="85"/>
  <c r="L58" i="85"/>
  <c r="B58" i="85"/>
  <c r="X57" i="85"/>
  <c r="Z57" i="85" s="1"/>
  <c r="L57" i="85"/>
  <c r="N57" i="85" s="1"/>
  <c r="B57" i="85"/>
  <c r="X56" i="85"/>
  <c r="Z56" i="85" s="1"/>
  <c r="V56" i="85"/>
  <c r="N56" i="85"/>
  <c r="L56" i="85"/>
  <c r="B56" i="85"/>
  <c r="Z55" i="85"/>
  <c r="X55" i="85"/>
  <c r="L55" i="85"/>
  <c r="N55" i="85" s="1"/>
  <c r="B55" i="85"/>
  <c r="V54" i="85"/>
  <c r="T54" i="85"/>
  <c r="X54" i="85" s="1"/>
  <c r="Z54" i="85" s="1"/>
  <c r="P54" i="85"/>
  <c r="H54" i="85"/>
  <c r="D54" i="85"/>
  <c r="L54" i="85" s="1"/>
  <c r="N54" i="85" s="1"/>
  <c r="B54" i="85"/>
  <c r="X53" i="85"/>
  <c r="T53" i="85"/>
  <c r="P53" i="85"/>
  <c r="H53" i="85"/>
  <c r="D53" i="85"/>
  <c r="L53" i="85" s="1"/>
  <c r="Z49" i="85"/>
  <c r="X49" i="85"/>
  <c r="N49" i="85"/>
  <c r="L49" i="85"/>
  <c r="B49" i="85"/>
  <c r="Z48" i="85"/>
  <c r="X48" i="85"/>
  <c r="V48" i="85"/>
  <c r="N48" i="85"/>
  <c r="L48" i="85"/>
  <c r="B48" i="85"/>
  <c r="Z47" i="85"/>
  <c r="X47" i="85"/>
  <c r="N47" i="85"/>
  <c r="L47" i="85"/>
  <c r="B47" i="85"/>
  <c r="Z46" i="85"/>
  <c r="X46" i="85"/>
  <c r="N46" i="85"/>
  <c r="L46" i="85"/>
  <c r="B46" i="85"/>
  <c r="Z45" i="85"/>
  <c r="X45" i="85"/>
  <c r="N45" i="85"/>
  <c r="L45" i="85"/>
  <c r="B45" i="85"/>
  <c r="Z44" i="85"/>
  <c r="X44" i="85"/>
  <c r="N44" i="85"/>
  <c r="L44" i="85"/>
  <c r="B44" i="85"/>
  <c r="Z43" i="85"/>
  <c r="X43" i="85"/>
  <c r="N43" i="85"/>
  <c r="L43" i="85"/>
  <c r="B43" i="85"/>
  <c r="Z42" i="85"/>
  <c r="X42" i="85"/>
  <c r="N42" i="85"/>
  <c r="L42" i="85"/>
  <c r="B42" i="85"/>
  <c r="Z41" i="85"/>
  <c r="X41" i="85"/>
  <c r="N41" i="85"/>
  <c r="L41" i="85"/>
  <c r="B41" i="85"/>
  <c r="Z40" i="85"/>
  <c r="X40" i="85"/>
  <c r="N40" i="85"/>
  <c r="L40" i="85"/>
  <c r="B40" i="85"/>
  <c r="Z39" i="85"/>
  <c r="X39" i="85"/>
  <c r="N39" i="85"/>
  <c r="L39" i="85"/>
  <c r="B39" i="85"/>
  <c r="Z38" i="85"/>
  <c r="X38" i="85"/>
  <c r="N38" i="85"/>
  <c r="L38" i="85"/>
  <c r="B38" i="85"/>
  <c r="Z37" i="85"/>
  <c r="X37" i="85"/>
  <c r="V37" i="85"/>
  <c r="N37" i="85"/>
  <c r="L37" i="85"/>
  <c r="B37" i="85"/>
  <c r="Z36" i="85"/>
  <c r="X36" i="85"/>
  <c r="V36" i="85"/>
  <c r="N36" i="85"/>
  <c r="L36" i="85"/>
  <c r="B36" i="85"/>
  <c r="X35" i="85"/>
  <c r="Z35" i="85" s="1"/>
  <c r="L35" i="85"/>
  <c r="N35" i="85" s="1"/>
  <c r="B35" i="85"/>
  <c r="T34" i="85"/>
  <c r="P34" i="85"/>
  <c r="X34" i="85" s="1"/>
  <c r="Z34" i="85" s="1"/>
  <c r="H34" i="85"/>
  <c r="D34" i="85"/>
  <c r="L34" i="85" s="1"/>
  <c r="N34" i="85" s="1"/>
  <c r="Z32" i="85"/>
  <c r="P32" i="85"/>
  <c r="X32" i="85" s="1"/>
  <c r="N32" i="85"/>
  <c r="L32" i="85"/>
  <c r="D32" i="85"/>
  <c r="B32" i="85"/>
  <c r="Z31" i="85"/>
  <c r="X31" i="85"/>
  <c r="P31" i="85"/>
  <c r="N31" i="85"/>
  <c r="L31" i="85"/>
  <c r="D31" i="85"/>
  <c r="B31" i="85"/>
  <c r="Z30" i="85"/>
  <c r="P30" i="85"/>
  <c r="X30" i="85" s="1"/>
  <c r="N30" i="85"/>
  <c r="L30" i="85"/>
  <c r="D30" i="85"/>
  <c r="B30" i="85"/>
  <c r="Z29" i="85"/>
  <c r="P29" i="85"/>
  <c r="X29" i="85" s="1"/>
  <c r="N29" i="85"/>
  <c r="D29" i="85"/>
  <c r="L29" i="85" s="1"/>
  <c r="B29" i="85"/>
  <c r="Z28" i="85"/>
  <c r="P28" i="85"/>
  <c r="X28" i="85" s="1"/>
  <c r="N28" i="85"/>
  <c r="L28" i="85"/>
  <c r="D28" i="85"/>
  <c r="B28" i="85"/>
  <c r="Z27" i="85"/>
  <c r="X27" i="85"/>
  <c r="P27" i="85"/>
  <c r="N27" i="85"/>
  <c r="D27" i="85"/>
  <c r="L27" i="85" s="1"/>
  <c r="B27" i="85"/>
  <c r="Z26" i="85"/>
  <c r="P26" i="85"/>
  <c r="X26" i="85" s="1"/>
  <c r="N26" i="85"/>
  <c r="D26" i="85"/>
  <c r="L26" i="85" s="1"/>
  <c r="B26" i="85"/>
  <c r="Z25" i="85"/>
  <c r="X25" i="85"/>
  <c r="P25" i="85"/>
  <c r="N25" i="85"/>
  <c r="D25" i="85"/>
  <c r="L25" i="85" s="1"/>
  <c r="B25" i="85"/>
  <c r="Z24" i="85"/>
  <c r="P24" i="85"/>
  <c r="X24" i="85" s="1"/>
  <c r="N24" i="85"/>
  <c r="L24" i="85"/>
  <c r="D24" i="85"/>
  <c r="B24" i="85"/>
  <c r="Z23" i="85"/>
  <c r="X23" i="85"/>
  <c r="P23" i="85"/>
  <c r="N23" i="85"/>
  <c r="L23" i="85"/>
  <c r="D23" i="85"/>
  <c r="B23" i="85"/>
  <c r="Z22" i="85"/>
  <c r="X22" i="85"/>
  <c r="P22" i="85"/>
  <c r="N22" i="85"/>
  <c r="L22" i="85"/>
  <c r="D22" i="85"/>
  <c r="B22" i="85"/>
  <c r="Z21" i="85"/>
  <c r="P21" i="85"/>
  <c r="X21" i="85" s="1"/>
  <c r="N21" i="85"/>
  <c r="D21" i="85"/>
  <c r="L21" i="85" s="1"/>
  <c r="B21" i="85"/>
  <c r="Z20" i="85"/>
  <c r="P20" i="85"/>
  <c r="X20" i="85" s="1"/>
  <c r="N20" i="85"/>
  <c r="L20" i="85"/>
  <c r="D20" i="85"/>
  <c r="B20" i="85"/>
  <c r="Z19" i="85"/>
  <c r="X19" i="85"/>
  <c r="P19" i="85"/>
  <c r="N19" i="85"/>
  <c r="L19" i="85"/>
  <c r="D19" i="85"/>
  <c r="B19" i="85"/>
  <c r="Z18" i="85"/>
  <c r="P18" i="85"/>
  <c r="X18" i="85" s="1"/>
  <c r="N18" i="85"/>
  <c r="L18" i="85"/>
  <c r="D18" i="85"/>
  <c r="B18" i="85"/>
  <c r="Z17" i="85"/>
  <c r="P17" i="85"/>
  <c r="X17" i="85" s="1"/>
  <c r="N17" i="85"/>
  <c r="D17" i="85"/>
  <c r="L17" i="85" s="1"/>
  <c r="B17" i="85"/>
  <c r="Z16" i="85"/>
  <c r="P16" i="85"/>
  <c r="X16" i="85" s="1"/>
  <c r="N16" i="85"/>
  <c r="L16" i="85"/>
  <c r="D16" i="85"/>
  <c r="B16" i="85"/>
  <c r="Z15" i="85"/>
  <c r="X15" i="85"/>
  <c r="P15" i="85"/>
  <c r="N15" i="85"/>
  <c r="D15" i="85"/>
  <c r="L15" i="85" s="1"/>
  <c r="B15" i="85"/>
  <c r="Z14" i="85"/>
  <c r="X14" i="85"/>
  <c r="P14" i="85"/>
  <c r="N14" i="85"/>
  <c r="D14" i="85"/>
  <c r="L14" i="85" s="1"/>
  <c r="B14" i="85"/>
  <c r="X13" i="85"/>
  <c r="Z13" i="85" s="1"/>
  <c r="P13" i="85"/>
  <c r="D13" i="85"/>
  <c r="B13" i="85"/>
  <c r="T12" i="85"/>
  <c r="V90" i="85" s="1"/>
  <c r="H12" i="85"/>
  <c r="J38" i="85" s="1"/>
  <c r="D6" i="85"/>
  <c r="D4" i="85"/>
  <c r="Z98" i="84"/>
  <c r="X98" i="84"/>
  <c r="L98" i="84"/>
  <c r="N98" i="84" s="1"/>
  <c r="Z94" i="84"/>
  <c r="T94" i="84"/>
  <c r="P94" i="84"/>
  <c r="X94" i="84" s="1"/>
  <c r="H94" i="84"/>
  <c r="N94" i="84" s="1"/>
  <c r="D94" i="84"/>
  <c r="L94" i="84" s="1"/>
  <c r="Z92" i="84"/>
  <c r="X92" i="84"/>
  <c r="L92" i="84"/>
  <c r="N92" i="84" s="1"/>
  <c r="B92" i="84"/>
  <c r="T91" i="84"/>
  <c r="P91" i="84"/>
  <c r="X91" i="84" s="1"/>
  <c r="L91" i="84"/>
  <c r="J91" i="84"/>
  <c r="H91" i="84"/>
  <c r="D91" i="84"/>
  <c r="B91" i="84"/>
  <c r="Z90" i="84"/>
  <c r="X90" i="84"/>
  <c r="N90" i="84"/>
  <c r="L90" i="84"/>
  <c r="B90" i="84"/>
  <c r="X89" i="84"/>
  <c r="T89" i="84"/>
  <c r="P89" i="84"/>
  <c r="L89" i="84"/>
  <c r="H89" i="84"/>
  <c r="N89" i="84" s="1"/>
  <c r="D89" i="84"/>
  <c r="B89" i="84"/>
  <c r="X88" i="84"/>
  <c r="Z88" i="84" s="1"/>
  <c r="N88" i="84"/>
  <c r="L88" i="84"/>
  <c r="B88" i="84"/>
  <c r="T87" i="84"/>
  <c r="Z87" i="84" s="1"/>
  <c r="P87" i="84"/>
  <c r="X87" i="84" s="1"/>
  <c r="H87" i="84"/>
  <c r="N87" i="84" s="1"/>
  <c r="D87" i="84"/>
  <c r="B87" i="84"/>
  <c r="Z86" i="84"/>
  <c r="X86" i="84"/>
  <c r="N86" i="84"/>
  <c r="L86" i="84"/>
  <c r="B86" i="84"/>
  <c r="T85" i="84"/>
  <c r="P85" i="84"/>
  <c r="H85" i="84"/>
  <c r="D85" i="84"/>
  <c r="L85" i="84" s="1"/>
  <c r="N85" i="84" s="1"/>
  <c r="B85" i="84"/>
  <c r="Z84" i="84"/>
  <c r="X84" i="84"/>
  <c r="N84" i="84"/>
  <c r="L84" i="84"/>
  <c r="J84" i="84"/>
  <c r="B84" i="84"/>
  <c r="Z83" i="84"/>
  <c r="X83" i="84"/>
  <c r="N83" i="84"/>
  <c r="L83" i="84"/>
  <c r="B83" i="84"/>
  <c r="Z82" i="84"/>
  <c r="X82" i="84"/>
  <c r="V82" i="84"/>
  <c r="N82" i="84"/>
  <c r="L82" i="84"/>
  <c r="B82" i="84"/>
  <c r="Z81" i="84"/>
  <c r="X81" i="84"/>
  <c r="N81" i="84"/>
  <c r="L81" i="84"/>
  <c r="B81" i="84"/>
  <c r="Z80" i="84"/>
  <c r="X80" i="84"/>
  <c r="N80" i="84"/>
  <c r="L80" i="84"/>
  <c r="B80" i="84"/>
  <c r="X79" i="84"/>
  <c r="Z79" i="84" s="1"/>
  <c r="L79" i="84"/>
  <c r="N79" i="84" s="1"/>
  <c r="B79" i="84"/>
  <c r="Z78" i="84"/>
  <c r="X78" i="84"/>
  <c r="N78" i="84"/>
  <c r="L78" i="84"/>
  <c r="J78" i="84"/>
  <c r="B78" i="84"/>
  <c r="V77" i="84"/>
  <c r="T77" i="84"/>
  <c r="P77" i="84"/>
  <c r="L77" i="84"/>
  <c r="H77" i="84"/>
  <c r="D77" i="84"/>
  <c r="B77" i="84"/>
  <c r="Z76" i="84"/>
  <c r="X76" i="84"/>
  <c r="N76" i="84"/>
  <c r="L76" i="84"/>
  <c r="J76" i="84"/>
  <c r="B76" i="84"/>
  <c r="T75" i="84"/>
  <c r="X75" i="84" s="1"/>
  <c r="Z75" i="84" s="1"/>
  <c r="P75" i="84"/>
  <c r="L75" i="84"/>
  <c r="H75" i="84"/>
  <c r="D75" i="84"/>
  <c r="B75" i="84"/>
  <c r="Z74" i="84"/>
  <c r="X74" i="84"/>
  <c r="N74" i="84"/>
  <c r="L74" i="84"/>
  <c r="B74" i="84"/>
  <c r="X73" i="84"/>
  <c r="Z73" i="84" s="1"/>
  <c r="L73" i="84"/>
  <c r="N73" i="84" s="1"/>
  <c r="J73" i="84"/>
  <c r="B73" i="84"/>
  <c r="Z72" i="84"/>
  <c r="X72" i="84"/>
  <c r="N72" i="84"/>
  <c r="L72" i="84"/>
  <c r="J72" i="84"/>
  <c r="B72" i="84"/>
  <c r="Z71" i="84"/>
  <c r="X71" i="84"/>
  <c r="N71" i="84"/>
  <c r="L71" i="84"/>
  <c r="B71" i="84"/>
  <c r="Z70" i="84"/>
  <c r="T70" i="84"/>
  <c r="P70" i="84"/>
  <c r="X70" i="84" s="1"/>
  <c r="H70" i="84"/>
  <c r="D70" i="84"/>
  <c r="L70" i="84" s="1"/>
  <c r="N70" i="84" s="1"/>
  <c r="B70" i="84"/>
  <c r="X69" i="84"/>
  <c r="Z69" i="84" s="1"/>
  <c r="L69" i="84"/>
  <c r="N69" i="84" s="1"/>
  <c r="B69" i="84"/>
  <c r="Z68" i="84"/>
  <c r="X68" i="84"/>
  <c r="V68" i="84"/>
  <c r="N68" i="84"/>
  <c r="L68" i="84"/>
  <c r="J68" i="84"/>
  <c r="B68" i="84"/>
  <c r="Z67" i="84"/>
  <c r="X67" i="84"/>
  <c r="N67" i="84"/>
  <c r="L67" i="84"/>
  <c r="B67" i="84"/>
  <c r="Z66" i="84"/>
  <c r="V66" i="84"/>
  <c r="T66" i="84"/>
  <c r="P66" i="84"/>
  <c r="X66" i="84" s="1"/>
  <c r="L66" i="84"/>
  <c r="N66" i="84" s="1"/>
  <c r="H66" i="84"/>
  <c r="D66" i="84"/>
  <c r="B66" i="84"/>
  <c r="X65" i="84"/>
  <c r="Z65" i="84" s="1"/>
  <c r="R65" i="84"/>
  <c r="L65" i="84"/>
  <c r="N65" i="84" s="1"/>
  <c r="J65" i="84"/>
  <c r="B65" i="84"/>
  <c r="Z64" i="84"/>
  <c r="X64" i="84"/>
  <c r="T64" i="84"/>
  <c r="P64" i="84"/>
  <c r="H64" i="84"/>
  <c r="L64" i="84" s="1"/>
  <c r="D64" i="84"/>
  <c r="B64" i="84"/>
  <c r="Z63" i="84"/>
  <c r="X63" i="84"/>
  <c r="L63" i="84"/>
  <c r="N63" i="84" s="1"/>
  <c r="B63" i="84"/>
  <c r="Z62" i="84"/>
  <c r="V62" i="84"/>
  <c r="T62" i="84"/>
  <c r="X62" i="84" s="1"/>
  <c r="P62" i="84"/>
  <c r="N62" i="84"/>
  <c r="H62" i="84"/>
  <c r="D62" i="84"/>
  <c r="L62" i="84" s="1"/>
  <c r="B62" i="84"/>
  <c r="X61" i="84"/>
  <c r="Z61" i="84" s="1"/>
  <c r="N61" i="84"/>
  <c r="L61" i="84"/>
  <c r="B61" i="84"/>
  <c r="T60" i="84"/>
  <c r="P60" i="84"/>
  <c r="X60" i="84" s="1"/>
  <c r="Z60" i="84" s="1"/>
  <c r="N60" i="84"/>
  <c r="J60" i="84"/>
  <c r="H60" i="84"/>
  <c r="D60" i="84"/>
  <c r="B60" i="84"/>
  <c r="X59" i="84"/>
  <c r="Z59" i="84" s="1"/>
  <c r="L59" i="84"/>
  <c r="N59" i="84" s="1"/>
  <c r="B59" i="84"/>
  <c r="Z58" i="84"/>
  <c r="X58" i="84"/>
  <c r="T58" i="84"/>
  <c r="P58" i="84"/>
  <c r="H58" i="84"/>
  <c r="D58" i="84"/>
  <c r="L58" i="84" s="1"/>
  <c r="N58" i="84" s="1"/>
  <c r="B58" i="84"/>
  <c r="Z57" i="84"/>
  <c r="X57" i="84"/>
  <c r="L57" i="84"/>
  <c r="N57" i="84" s="1"/>
  <c r="J57" i="84"/>
  <c r="B57" i="84"/>
  <c r="X56" i="84"/>
  <c r="T56" i="84"/>
  <c r="P56" i="84"/>
  <c r="N56" i="84"/>
  <c r="H56" i="84"/>
  <c r="D56" i="84"/>
  <c r="L56" i="84" s="1"/>
  <c r="B56" i="84"/>
  <c r="X55" i="84"/>
  <c r="Z55" i="84" s="1"/>
  <c r="V55" i="84"/>
  <c r="R55" i="84"/>
  <c r="N55" i="84"/>
  <c r="L55" i="84"/>
  <c r="B55" i="84"/>
  <c r="Z54" i="84"/>
  <c r="X54" i="84"/>
  <c r="L54" i="84"/>
  <c r="N54" i="84" s="1"/>
  <c r="J54" i="84"/>
  <c r="B54" i="84"/>
  <c r="X53" i="84"/>
  <c r="Z53" i="84" s="1"/>
  <c r="L53" i="84"/>
  <c r="N53" i="84" s="1"/>
  <c r="J53" i="84"/>
  <c r="B53" i="84"/>
  <c r="X52" i="84"/>
  <c r="Z52" i="84" s="1"/>
  <c r="T52" i="84"/>
  <c r="P52" i="84"/>
  <c r="N52" i="84"/>
  <c r="H52" i="84"/>
  <c r="D52" i="84"/>
  <c r="L52" i="84" s="1"/>
  <c r="B52" i="84"/>
  <c r="X51" i="84"/>
  <c r="Z51" i="84" s="1"/>
  <c r="R51" i="84"/>
  <c r="N51" i="84"/>
  <c r="L51" i="84"/>
  <c r="B51" i="84"/>
  <c r="T50" i="84"/>
  <c r="X50" i="84" s="1"/>
  <c r="Z50" i="84" s="1"/>
  <c r="P50" i="84"/>
  <c r="L50" i="84"/>
  <c r="N50" i="84" s="1"/>
  <c r="J50" i="84"/>
  <c r="H50" i="84"/>
  <c r="D50" i="84"/>
  <c r="B50" i="84"/>
  <c r="X49" i="84"/>
  <c r="Z49" i="84" s="1"/>
  <c r="L49" i="84"/>
  <c r="N49" i="84" s="1"/>
  <c r="J49" i="84"/>
  <c r="B49" i="84"/>
  <c r="T48" i="84"/>
  <c r="P48" i="84"/>
  <c r="X48" i="84" s="1"/>
  <c r="Z48" i="84" s="1"/>
  <c r="H48" i="84"/>
  <c r="N48" i="84" s="1"/>
  <c r="D48" i="84"/>
  <c r="L48" i="84" s="1"/>
  <c r="B48" i="84"/>
  <c r="Z47" i="84"/>
  <c r="X47" i="84"/>
  <c r="L47" i="84"/>
  <c r="N47" i="84" s="1"/>
  <c r="B47" i="84"/>
  <c r="V46" i="84"/>
  <c r="T46" i="84"/>
  <c r="P46" i="84"/>
  <c r="L46" i="84"/>
  <c r="N46" i="84" s="1"/>
  <c r="H46" i="84"/>
  <c r="D46" i="84"/>
  <c r="B46" i="84"/>
  <c r="Z45" i="84"/>
  <c r="X45" i="84"/>
  <c r="V45" i="84"/>
  <c r="R45" i="84"/>
  <c r="N45" i="84"/>
  <c r="L45" i="84"/>
  <c r="B45" i="84"/>
  <c r="Z44" i="84"/>
  <c r="X44" i="84"/>
  <c r="N44" i="84"/>
  <c r="L44" i="84"/>
  <c r="J44" i="84"/>
  <c r="B44" i="84"/>
  <c r="X43" i="84"/>
  <c r="Z43" i="84" s="1"/>
  <c r="L43" i="84"/>
  <c r="N43" i="84" s="1"/>
  <c r="B43" i="84"/>
  <c r="X42" i="84"/>
  <c r="Z42" i="84" s="1"/>
  <c r="N42" i="84"/>
  <c r="L42" i="84"/>
  <c r="B42" i="84"/>
  <c r="Z41" i="84"/>
  <c r="X41" i="84"/>
  <c r="N41" i="84"/>
  <c r="L41" i="84"/>
  <c r="J41" i="84"/>
  <c r="B41" i="84"/>
  <c r="X40" i="84"/>
  <c r="Z40" i="84" s="1"/>
  <c r="N40" i="84"/>
  <c r="L40" i="84"/>
  <c r="B40" i="84"/>
  <c r="Z39" i="84"/>
  <c r="X39" i="84"/>
  <c r="N39" i="84"/>
  <c r="L39" i="84"/>
  <c r="B39" i="84"/>
  <c r="Z38" i="84"/>
  <c r="X38" i="84"/>
  <c r="V38" i="84"/>
  <c r="N38" i="84"/>
  <c r="L38" i="84"/>
  <c r="B38" i="84"/>
  <c r="X37" i="84"/>
  <c r="Z37" i="84" s="1"/>
  <c r="L37" i="84"/>
  <c r="N37" i="84" s="1"/>
  <c r="J37" i="84"/>
  <c r="B37" i="84"/>
  <c r="Z36" i="84"/>
  <c r="X36" i="84"/>
  <c r="N36" i="84"/>
  <c r="L36" i="84"/>
  <c r="B36" i="84"/>
  <c r="X35" i="84"/>
  <c r="Z35" i="84" s="1"/>
  <c r="T35" i="84"/>
  <c r="P35" i="84"/>
  <c r="H35" i="84"/>
  <c r="D35" i="84"/>
  <c r="L35" i="84" s="1"/>
  <c r="B35" i="84"/>
  <c r="Z34" i="84"/>
  <c r="X34" i="84"/>
  <c r="N34" i="84"/>
  <c r="L34" i="84"/>
  <c r="J34" i="84"/>
  <c r="B34" i="84"/>
  <c r="X33" i="84"/>
  <c r="Z33" i="84" s="1"/>
  <c r="V33" i="84"/>
  <c r="N33" i="84"/>
  <c r="L33" i="84"/>
  <c r="B33" i="84"/>
  <c r="Z32" i="84"/>
  <c r="X32" i="84"/>
  <c r="N32" i="84"/>
  <c r="L32" i="84"/>
  <c r="J32" i="84"/>
  <c r="B32" i="84"/>
  <c r="Z31" i="84"/>
  <c r="X31" i="84"/>
  <c r="N31" i="84"/>
  <c r="L31" i="84"/>
  <c r="B31" i="84"/>
  <c r="Z30" i="84"/>
  <c r="X30" i="84"/>
  <c r="N30" i="84"/>
  <c r="L30" i="84"/>
  <c r="J30" i="84"/>
  <c r="B30" i="84"/>
  <c r="X29" i="84"/>
  <c r="Z29" i="84" s="1"/>
  <c r="V29" i="84"/>
  <c r="N29" i="84"/>
  <c r="L29" i="84"/>
  <c r="B29" i="84"/>
  <c r="Z28" i="84"/>
  <c r="X28" i="84"/>
  <c r="N28" i="84"/>
  <c r="L28" i="84"/>
  <c r="J28" i="84"/>
  <c r="B28" i="84"/>
  <c r="X27" i="84"/>
  <c r="Z27" i="84" s="1"/>
  <c r="L27" i="84"/>
  <c r="N27" i="84" s="1"/>
  <c r="B27" i="84"/>
  <c r="Z26" i="84"/>
  <c r="X26" i="84"/>
  <c r="N26" i="84"/>
  <c r="L26" i="84"/>
  <c r="J26" i="84"/>
  <c r="B26" i="84"/>
  <c r="T25" i="84"/>
  <c r="P25" i="84"/>
  <c r="H25" i="84"/>
  <c r="D25" i="84"/>
  <c r="B25" i="84"/>
  <c r="Z24" i="84"/>
  <c r="X24" i="84"/>
  <c r="V24" i="84"/>
  <c r="T24" i="84"/>
  <c r="P24" i="84"/>
  <c r="J24" i="84"/>
  <c r="H24" i="84"/>
  <c r="D24" i="84"/>
  <c r="L24" i="84" s="1"/>
  <c r="N24" i="84" s="1"/>
  <c r="T22" i="84"/>
  <c r="T96" i="84" s="1"/>
  <c r="Z20" i="84"/>
  <c r="X20" i="84"/>
  <c r="V20" i="84"/>
  <c r="N20" i="84"/>
  <c r="L20" i="84"/>
  <c r="B20" i="84"/>
  <c r="Z19" i="84"/>
  <c r="X19" i="84"/>
  <c r="N19" i="84"/>
  <c r="L19" i="84"/>
  <c r="J19" i="84"/>
  <c r="B19" i="84"/>
  <c r="Z18" i="84"/>
  <c r="X18" i="84"/>
  <c r="L18" i="84"/>
  <c r="N18" i="84" s="1"/>
  <c r="J18" i="84"/>
  <c r="B18" i="84"/>
  <c r="T17" i="84"/>
  <c r="P17" i="84"/>
  <c r="X17" i="84" s="1"/>
  <c r="Z17" i="84" s="1"/>
  <c r="H17" i="84"/>
  <c r="D17" i="84"/>
  <c r="Z15" i="84"/>
  <c r="P15" i="84"/>
  <c r="X15" i="84" s="1"/>
  <c r="N15" i="84"/>
  <c r="D15" i="84"/>
  <c r="L15" i="84" s="1"/>
  <c r="B15" i="84"/>
  <c r="Z14" i="84"/>
  <c r="P14" i="84"/>
  <c r="X14" i="84" s="1"/>
  <c r="N14" i="84"/>
  <c r="D14" i="84"/>
  <c r="L14" i="84" s="1"/>
  <c r="B14" i="84"/>
  <c r="X13" i="84"/>
  <c r="Z13" i="84" s="1"/>
  <c r="P13" i="84"/>
  <c r="D13" i="84"/>
  <c r="B13" i="84"/>
  <c r="T12" i="84"/>
  <c r="P12" i="84"/>
  <c r="H12" i="84"/>
  <c r="J98" i="84" s="1"/>
  <c r="D6" i="84"/>
  <c r="D4" i="84"/>
  <c r="X30" i="83"/>
  <c r="Z30" i="83" s="1"/>
  <c r="V30" i="83"/>
  <c r="L30" i="83"/>
  <c r="N30" i="83" s="1"/>
  <c r="Z26" i="83"/>
  <c r="V26" i="83"/>
  <c r="T26" i="83"/>
  <c r="P26" i="83"/>
  <c r="X26" i="83" s="1"/>
  <c r="N26" i="83"/>
  <c r="H26" i="83"/>
  <c r="L26" i="83" s="1"/>
  <c r="D26" i="83"/>
  <c r="Z24" i="83"/>
  <c r="T24" i="83"/>
  <c r="P24" i="83"/>
  <c r="X24" i="83" s="1"/>
  <c r="N24" i="83"/>
  <c r="L24" i="83"/>
  <c r="J24" i="83"/>
  <c r="H24" i="83"/>
  <c r="D24" i="83"/>
  <c r="Z20" i="83"/>
  <c r="X20" i="83"/>
  <c r="V20" i="83"/>
  <c r="N20" i="83"/>
  <c r="L20" i="83"/>
  <c r="J20" i="83"/>
  <c r="B20" i="83"/>
  <c r="Z19" i="83"/>
  <c r="X19" i="83"/>
  <c r="N19" i="83"/>
  <c r="L19" i="83"/>
  <c r="B19" i="83"/>
  <c r="X18" i="83"/>
  <c r="Z18" i="83" s="1"/>
  <c r="V18" i="83"/>
  <c r="L18" i="83"/>
  <c r="N18" i="83" s="1"/>
  <c r="B18" i="83"/>
  <c r="T17" i="83"/>
  <c r="P17" i="83"/>
  <c r="X17" i="83" s="1"/>
  <c r="N17" i="83"/>
  <c r="H17" i="83"/>
  <c r="D17" i="83"/>
  <c r="L17" i="83" s="1"/>
  <c r="P15" i="83"/>
  <c r="X15" i="83" s="1"/>
  <c r="Z15" i="83" s="1"/>
  <c r="D15" i="83"/>
  <c r="B15" i="83"/>
  <c r="Z14" i="83"/>
  <c r="P14" i="83"/>
  <c r="X14" i="83" s="1"/>
  <c r="N14" i="83"/>
  <c r="L14" i="83"/>
  <c r="D14" i="83"/>
  <c r="B14" i="83"/>
  <c r="Z13" i="83"/>
  <c r="P13" i="83"/>
  <c r="N13" i="83"/>
  <c r="L13" i="83"/>
  <c r="D13" i="83"/>
  <c r="B13" i="83"/>
  <c r="T12" i="83"/>
  <c r="V24" i="83" s="1"/>
  <c r="H12" i="83"/>
  <c r="D6" i="83"/>
  <c r="D4" i="83"/>
  <c r="X84" i="81"/>
  <c r="Z84" i="81" s="1"/>
  <c r="V84" i="81"/>
  <c r="L84" i="81"/>
  <c r="N84" i="81" s="1"/>
  <c r="Z80" i="81"/>
  <c r="V80" i="81"/>
  <c r="T80" i="81"/>
  <c r="P80" i="81"/>
  <c r="X80" i="81" s="1"/>
  <c r="N80" i="81"/>
  <c r="H80" i="81"/>
  <c r="L80" i="81" s="1"/>
  <c r="D80" i="81"/>
  <c r="Z78" i="81"/>
  <c r="X78" i="81"/>
  <c r="N78" i="81"/>
  <c r="L78" i="81"/>
  <c r="J78" i="81"/>
  <c r="B78" i="81"/>
  <c r="Z77" i="81"/>
  <c r="T77" i="81"/>
  <c r="P77" i="81"/>
  <c r="X77" i="81" s="1"/>
  <c r="H77" i="81"/>
  <c r="N77" i="81" s="1"/>
  <c r="D77" i="81"/>
  <c r="B77" i="81"/>
  <c r="X76" i="81"/>
  <c r="Z76" i="81" s="1"/>
  <c r="N76" i="81"/>
  <c r="L76" i="81"/>
  <c r="B76" i="81"/>
  <c r="Z75" i="81"/>
  <c r="X75" i="81"/>
  <c r="T75" i="81"/>
  <c r="P75" i="81"/>
  <c r="L75" i="81"/>
  <c r="H75" i="81"/>
  <c r="D75" i="81"/>
  <c r="B75" i="81"/>
  <c r="X74" i="81"/>
  <c r="Z74" i="81" s="1"/>
  <c r="N74" i="81"/>
  <c r="L74" i="81"/>
  <c r="B74" i="81"/>
  <c r="Z73" i="81"/>
  <c r="X73" i="81"/>
  <c r="N73" i="81"/>
  <c r="L73" i="81"/>
  <c r="B73" i="81"/>
  <c r="Z72" i="81"/>
  <c r="X72" i="81"/>
  <c r="N72" i="81"/>
  <c r="L72" i="81"/>
  <c r="B72" i="81"/>
  <c r="Z71" i="81"/>
  <c r="X71" i="81"/>
  <c r="N71" i="81"/>
  <c r="L71" i="81"/>
  <c r="B71" i="81"/>
  <c r="Z70" i="81"/>
  <c r="X70" i="81"/>
  <c r="N70" i="81"/>
  <c r="L70" i="81"/>
  <c r="J70" i="81"/>
  <c r="B70" i="81"/>
  <c r="T69" i="81"/>
  <c r="P69" i="81"/>
  <c r="H69" i="81"/>
  <c r="D69" i="81"/>
  <c r="B69" i="81"/>
  <c r="Z68" i="81"/>
  <c r="X68" i="81"/>
  <c r="N68" i="81"/>
  <c r="L68" i="81"/>
  <c r="B68" i="81"/>
  <c r="Z67" i="81"/>
  <c r="X67" i="81"/>
  <c r="N67" i="81"/>
  <c r="L67" i="81"/>
  <c r="B67" i="81"/>
  <c r="Z66" i="81"/>
  <c r="X66" i="81"/>
  <c r="N66" i="81"/>
  <c r="L66" i="81"/>
  <c r="J66" i="81"/>
  <c r="F66" i="81"/>
  <c r="B66" i="81"/>
  <c r="Z65" i="81"/>
  <c r="T65" i="81"/>
  <c r="P65" i="81"/>
  <c r="X65" i="81" s="1"/>
  <c r="H65" i="81"/>
  <c r="N65" i="81" s="1"/>
  <c r="D65" i="81"/>
  <c r="L65" i="81" s="1"/>
  <c r="B65" i="81"/>
  <c r="X64" i="81"/>
  <c r="Z64" i="81" s="1"/>
  <c r="N64" i="81"/>
  <c r="L64" i="81"/>
  <c r="B64" i="81"/>
  <c r="Z63" i="81"/>
  <c r="X63" i="81"/>
  <c r="N63" i="81"/>
  <c r="L63" i="81"/>
  <c r="B63" i="81"/>
  <c r="Z62" i="81"/>
  <c r="X62" i="81"/>
  <c r="N62" i="81"/>
  <c r="L62" i="81"/>
  <c r="B62" i="81"/>
  <c r="T61" i="81"/>
  <c r="P61" i="81"/>
  <c r="X61" i="81" s="1"/>
  <c r="N61" i="81"/>
  <c r="L61" i="81"/>
  <c r="H61" i="81"/>
  <c r="D61" i="81"/>
  <c r="B61" i="81"/>
  <c r="Z60" i="81"/>
  <c r="X60" i="81"/>
  <c r="N60" i="81"/>
  <c r="L60" i="81"/>
  <c r="B60" i="81"/>
  <c r="T59" i="81"/>
  <c r="P59" i="81"/>
  <c r="H59" i="81"/>
  <c r="D59" i="81"/>
  <c r="B59" i="81"/>
  <c r="Z58" i="81"/>
  <c r="X58" i="81"/>
  <c r="L58" i="81"/>
  <c r="N58" i="81" s="1"/>
  <c r="B58" i="81"/>
  <c r="T57" i="81"/>
  <c r="P57" i="81"/>
  <c r="X57" i="81" s="1"/>
  <c r="H57" i="81"/>
  <c r="D57" i="81"/>
  <c r="B57" i="81"/>
  <c r="Z56" i="81"/>
  <c r="X56" i="81"/>
  <c r="N56" i="81"/>
  <c r="L56" i="81"/>
  <c r="B56" i="81"/>
  <c r="Z55" i="81"/>
  <c r="X55" i="81"/>
  <c r="V55" i="81"/>
  <c r="T55" i="81"/>
  <c r="P55" i="81"/>
  <c r="H55" i="81"/>
  <c r="N55" i="81" s="1"/>
  <c r="D55" i="81"/>
  <c r="L55" i="81" s="1"/>
  <c r="B55" i="81"/>
  <c r="X54" i="81"/>
  <c r="Z54" i="81" s="1"/>
  <c r="N54" i="81"/>
  <c r="L54" i="81"/>
  <c r="J54" i="81"/>
  <c r="B54" i="81"/>
  <c r="X53" i="81"/>
  <c r="Z53" i="81" s="1"/>
  <c r="N53" i="81"/>
  <c r="L53" i="81"/>
  <c r="B53" i="81"/>
  <c r="T52" i="81"/>
  <c r="P52" i="81"/>
  <c r="X52" i="81" s="1"/>
  <c r="Z52" i="81" s="1"/>
  <c r="N52" i="81"/>
  <c r="L52" i="81"/>
  <c r="H52" i="81"/>
  <c r="D52" i="81"/>
  <c r="B52" i="81"/>
  <c r="X51" i="81"/>
  <c r="Z51" i="81" s="1"/>
  <c r="L51" i="81"/>
  <c r="N51" i="81" s="1"/>
  <c r="J51" i="81"/>
  <c r="B51" i="81"/>
  <c r="Z50" i="81"/>
  <c r="T50" i="81"/>
  <c r="P50" i="81"/>
  <c r="X50" i="81" s="1"/>
  <c r="L50" i="81"/>
  <c r="N50" i="81" s="1"/>
  <c r="J50" i="81"/>
  <c r="H50" i="81"/>
  <c r="D50" i="81"/>
  <c r="B50" i="81"/>
  <c r="Z49" i="81"/>
  <c r="X49" i="81"/>
  <c r="N49" i="81"/>
  <c r="L49" i="81"/>
  <c r="B49" i="81"/>
  <c r="X48" i="81"/>
  <c r="T48" i="81"/>
  <c r="Z48" i="81" s="1"/>
  <c r="P48" i="81"/>
  <c r="H48" i="81"/>
  <c r="N48" i="81" s="1"/>
  <c r="D48" i="81"/>
  <c r="B48" i="81"/>
  <c r="Z47" i="81"/>
  <c r="X47" i="81"/>
  <c r="N47" i="81"/>
  <c r="L47" i="81"/>
  <c r="B47" i="81"/>
  <c r="Z46" i="81"/>
  <c r="X46" i="81"/>
  <c r="T46" i="81"/>
  <c r="P46" i="81"/>
  <c r="N46" i="81"/>
  <c r="H46" i="81"/>
  <c r="D46" i="81"/>
  <c r="L46" i="81" s="1"/>
  <c r="B46" i="81"/>
  <c r="Z45" i="81"/>
  <c r="X45" i="81"/>
  <c r="V45" i="81"/>
  <c r="N45" i="81"/>
  <c r="L45" i="81"/>
  <c r="B45" i="81"/>
  <c r="Z44" i="81"/>
  <c r="X44" i="81"/>
  <c r="N44" i="81"/>
  <c r="L44" i="81"/>
  <c r="B44" i="81"/>
  <c r="X43" i="81"/>
  <c r="Z43" i="81" s="1"/>
  <c r="V43" i="81"/>
  <c r="L43" i="81"/>
  <c r="N43" i="81" s="1"/>
  <c r="B43" i="81"/>
  <c r="Z42" i="81"/>
  <c r="X42" i="81"/>
  <c r="N42" i="81"/>
  <c r="L42" i="81"/>
  <c r="J42" i="81"/>
  <c r="B42" i="81"/>
  <c r="Z41" i="81"/>
  <c r="X41" i="81"/>
  <c r="N41" i="81"/>
  <c r="L41" i="81"/>
  <c r="B41" i="81"/>
  <c r="Z40" i="81"/>
  <c r="X40" i="81"/>
  <c r="V40" i="81"/>
  <c r="N40" i="81"/>
  <c r="L40" i="81"/>
  <c r="B40" i="81"/>
  <c r="Z39" i="81"/>
  <c r="X39" i="81"/>
  <c r="N39" i="81"/>
  <c r="L39" i="81"/>
  <c r="J39" i="81"/>
  <c r="B39" i="81"/>
  <c r="Z38" i="81"/>
  <c r="X38" i="81"/>
  <c r="N38" i="81"/>
  <c r="L38" i="81"/>
  <c r="J38" i="81"/>
  <c r="B38" i="81"/>
  <c r="Z37" i="81"/>
  <c r="X37" i="81"/>
  <c r="V37" i="81"/>
  <c r="N37" i="81"/>
  <c r="L37" i="81"/>
  <c r="B37" i="81"/>
  <c r="X36" i="81"/>
  <c r="Z36" i="81" s="1"/>
  <c r="L36" i="81"/>
  <c r="N36" i="81" s="1"/>
  <c r="B36" i="81"/>
  <c r="X35" i="81"/>
  <c r="T35" i="81"/>
  <c r="P35" i="81"/>
  <c r="J35" i="81"/>
  <c r="H35" i="81"/>
  <c r="D35" i="81"/>
  <c r="B35" i="81"/>
  <c r="Z34" i="81"/>
  <c r="X34" i="81"/>
  <c r="V34" i="81"/>
  <c r="N34" i="81"/>
  <c r="L34" i="81"/>
  <c r="B34" i="81"/>
  <c r="X33" i="81"/>
  <c r="Z33" i="81" s="1"/>
  <c r="L33" i="81"/>
  <c r="N33" i="81" s="1"/>
  <c r="J33" i="81"/>
  <c r="B33" i="81"/>
  <c r="X32" i="81"/>
  <c r="Z32" i="81" s="1"/>
  <c r="L32" i="81"/>
  <c r="N32" i="81" s="1"/>
  <c r="J32" i="81"/>
  <c r="B32" i="81"/>
  <c r="Z31" i="81"/>
  <c r="X31" i="81"/>
  <c r="V31" i="81"/>
  <c r="N31" i="81"/>
  <c r="L31" i="81"/>
  <c r="B31" i="81"/>
  <c r="X30" i="81"/>
  <c r="Z30" i="81" s="1"/>
  <c r="L30" i="81"/>
  <c r="N30" i="81" s="1"/>
  <c r="B30" i="81"/>
  <c r="X29" i="81"/>
  <c r="Z29" i="81" s="1"/>
  <c r="V29" i="81"/>
  <c r="L29" i="81"/>
  <c r="N29" i="81" s="1"/>
  <c r="B29" i="81"/>
  <c r="X28" i="81"/>
  <c r="Z28" i="81" s="1"/>
  <c r="L28" i="81"/>
  <c r="N28" i="81" s="1"/>
  <c r="J28" i="81"/>
  <c r="B28" i="81"/>
  <c r="X27" i="81"/>
  <c r="Z27" i="81" s="1"/>
  <c r="N27" i="81"/>
  <c r="L27" i="81"/>
  <c r="B27" i="81"/>
  <c r="X26" i="81"/>
  <c r="Z26" i="81" s="1"/>
  <c r="N26" i="81"/>
  <c r="L26" i="81"/>
  <c r="B26" i="81"/>
  <c r="X25" i="81"/>
  <c r="T25" i="81"/>
  <c r="P25" i="81"/>
  <c r="L25" i="81"/>
  <c r="N25" i="81" s="1"/>
  <c r="J25" i="81"/>
  <c r="H25" i="81"/>
  <c r="D25" i="81"/>
  <c r="B25" i="81"/>
  <c r="T24" i="81"/>
  <c r="P24" i="81"/>
  <c r="X24" i="81" s="1"/>
  <c r="Z24" i="81" s="1"/>
  <c r="N24" i="81"/>
  <c r="L24" i="81"/>
  <c r="H24" i="81"/>
  <c r="D24" i="81"/>
  <c r="H22" i="81"/>
  <c r="H82" i="81" s="1"/>
  <c r="Z20" i="81"/>
  <c r="X20" i="81"/>
  <c r="V20" i="81"/>
  <c r="N20" i="81"/>
  <c r="L20" i="81"/>
  <c r="B20" i="81"/>
  <c r="Z19" i="81"/>
  <c r="X19" i="81"/>
  <c r="N19" i="81"/>
  <c r="L19" i="81"/>
  <c r="J19" i="81"/>
  <c r="B19" i="81"/>
  <c r="X18" i="81"/>
  <c r="Z18" i="81" s="1"/>
  <c r="V18" i="81"/>
  <c r="N18" i="81"/>
  <c r="L18" i="81"/>
  <c r="B18" i="81"/>
  <c r="T17" i="81"/>
  <c r="P17" i="81"/>
  <c r="X17" i="81" s="1"/>
  <c r="Z17" i="81" s="1"/>
  <c r="H17" i="81"/>
  <c r="D17" i="81"/>
  <c r="L17" i="81" s="1"/>
  <c r="N17" i="81" s="1"/>
  <c r="Z15" i="81"/>
  <c r="P15" i="81"/>
  <c r="X15" i="81" s="1"/>
  <c r="N15" i="81"/>
  <c r="L15" i="81"/>
  <c r="D15" i="81"/>
  <c r="B15" i="81"/>
  <c r="P14" i="81"/>
  <c r="X14" i="81" s="1"/>
  <c r="Z14" i="81" s="1"/>
  <c r="L14" i="81"/>
  <c r="N14" i="81" s="1"/>
  <c r="D14" i="81"/>
  <c r="B14" i="81"/>
  <c r="Z13" i="81"/>
  <c r="P13" i="81"/>
  <c r="N13" i="81"/>
  <c r="L13" i="81"/>
  <c r="D13" i="81"/>
  <c r="B13" i="81"/>
  <c r="T12" i="81"/>
  <c r="V35" i="81" s="1"/>
  <c r="H12" i="81"/>
  <c r="D12" i="81"/>
  <c r="F71" i="81" s="1"/>
  <c r="D6" i="81"/>
  <c r="D4" i="81"/>
  <c r="Z83" i="80"/>
  <c r="X83" i="80"/>
  <c r="N83" i="80"/>
  <c r="L83" i="80"/>
  <c r="X79" i="80"/>
  <c r="V79" i="80"/>
  <c r="T79" i="80"/>
  <c r="Z79" i="80" s="1"/>
  <c r="P79" i="80"/>
  <c r="H79" i="80"/>
  <c r="N79" i="80" s="1"/>
  <c r="D79" i="80"/>
  <c r="X77" i="80"/>
  <c r="Z77" i="80" s="1"/>
  <c r="V77" i="80"/>
  <c r="N77" i="80"/>
  <c r="L77" i="80"/>
  <c r="B77" i="80"/>
  <c r="T76" i="80"/>
  <c r="P76" i="80"/>
  <c r="X76" i="80" s="1"/>
  <c r="Z76" i="80" s="1"/>
  <c r="H76" i="80"/>
  <c r="D76" i="80"/>
  <c r="L76" i="80" s="1"/>
  <c r="N76" i="80" s="1"/>
  <c r="B76" i="80"/>
  <c r="X75" i="80"/>
  <c r="Z75" i="80" s="1"/>
  <c r="V75" i="80"/>
  <c r="N75" i="80"/>
  <c r="L75" i="80"/>
  <c r="B75" i="80"/>
  <c r="X74" i="80"/>
  <c r="Z74" i="80" s="1"/>
  <c r="V74" i="80"/>
  <c r="T74" i="80"/>
  <c r="P74" i="80"/>
  <c r="N74" i="80"/>
  <c r="L74" i="80"/>
  <c r="H74" i="80"/>
  <c r="D74" i="80"/>
  <c r="B74" i="80"/>
  <c r="Z73" i="80"/>
  <c r="X73" i="80"/>
  <c r="L73" i="80"/>
  <c r="N73" i="80" s="1"/>
  <c r="B73" i="80"/>
  <c r="Z72" i="80"/>
  <c r="X72" i="80"/>
  <c r="N72" i="80"/>
  <c r="L72" i="80"/>
  <c r="B72" i="80"/>
  <c r="Z71" i="80"/>
  <c r="X71" i="80"/>
  <c r="V71" i="80"/>
  <c r="N71" i="80"/>
  <c r="L71" i="80"/>
  <c r="B71" i="80"/>
  <c r="V70" i="80"/>
  <c r="T70" i="80"/>
  <c r="P70" i="80"/>
  <c r="H70" i="80"/>
  <c r="D70" i="80"/>
  <c r="B70" i="80"/>
  <c r="Z69" i="80"/>
  <c r="X69" i="80"/>
  <c r="V69" i="80"/>
  <c r="N69" i="80"/>
  <c r="L69" i="80"/>
  <c r="B69" i="80"/>
  <c r="Z68" i="80"/>
  <c r="X68" i="80"/>
  <c r="N68" i="80"/>
  <c r="L68" i="80"/>
  <c r="J68" i="80"/>
  <c r="B68" i="80"/>
  <c r="Z67" i="80"/>
  <c r="X67" i="80"/>
  <c r="V67" i="80"/>
  <c r="N67" i="80"/>
  <c r="L67" i="80"/>
  <c r="B67" i="80"/>
  <c r="Z66" i="80"/>
  <c r="T66" i="80"/>
  <c r="P66" i="80"/>
  <c r="X66" i="80" s="1"/>
  <c r="H66" i="80"/>
  <c r="D66" i="80"/>
  <c r="L66" i="80" s="1"/>
  <c r="N66" i="80" s="1"/>
  <c r="B66" i="80"/>
  <c r="Z65" i="80"/>
  <c r="X65" i="80"/>
  <c r="N65" i="80"/>
  <c r="L65" i="80"/>
  <c r="B65" i="80"/>
  <c r="Z64" i="80"/>
  <c r="X64" i="80"/>
  <c r="V64" i="80"/>
  <c r="N64" i="80"/>
  <c r="L64" i="80"/>
  <c r="B64" i="80"/>
  <c r="T63" i="80"/>
  <c r="P63" i="80"/>
  <c r="H63" i="80"/>
  <c r="D63" i="80"/>
  <c r="L63" i="80" s="1"/>
  <c r="N63" i="80" s="1"/>
  <c r="B63" i="80"/>
  <c r="Z62" i="80"/>
  <c r="X62" i="80"/>
  <c r="V62" i="80"/>
  <c r="N62" i="80"/>
  <c r="L62" i="80"/>
  <c r="B62" i="80"/>
  <c r="Z61" i="80"/>
  <c r="X61" i="80"/>
  <c r="N61" i="80"/>
  <c r="L61" i="80"/>
  <c r="J61" i="80"/>
  <c r="B61" i="80"/>
  <c r="Z60" i="80"/>
  <c r="X60" i="80"/>
  <c r="N60" i="80"/>
  <c r="L60" i="80"/>
  <c r="B60" i="80"/>
  <c r="Z59" i="80"/>
  <c r="X59" i="80"/>
  <c r="V59" i="80"/>
  <c r="T59" i="80"/>
  <c r="P59" i="80"/>
  <c r="N59" i="80"/>
  <c r="H59" i="80"/>
  <c r="D59" i="80"/>
  <c r="L59" i="80" s="1"/>
  <c r="B59" i="80"/>
  <c r="Z58" i="80"/>
  <c r="X58" i="80"/>
  <c r="N58" i="80"/>
  <c r="L58" i="80"/>
  <c r="B58" i="80"/>
  <c r="X57" i="80"/>
  <c r="V57" i="80"/>
  <c r="T57" i="80"/>
  <c r="Z57" i="80" s="1"/>
  <c r="P57" i="80"/>
  <c r="H57" i="80"/>
  <c r="N57" i="80" s="1"/>
  <c r="D57" i="80"/>
  <c r="B57" i="80"/>
  <c r="Z56" i="80"/>
  <c r="X56" i="80"/>
  <c r="V56" i="80"/>
  <c r="L56" i="80"/>
  <c r="N56" i="80" s="1"/>
  <c r="F56" i="80"/>
  <c r="B56" i="80"/>
  <c r="T55" i="80"/>
  <c r="P55" i="80"/>
  <c r="H55" i="80"/>
  <c r="D55" i="80"/>
  <c r="L55" i="80" s="1"/>
  <c r="N55" i="80" s="1"/>
  <c r="B55" i="80"/>
  <c r="Z54" i="80"/>
  <c r="X54" i="80"/>
  <c r="V54" i="80"/>
  <c r="N54" i="80"/>
  <c r="L54" i="80"/>
  <c r="B54" i="80"/>
  <c r="Z53" i="80"/>
  <c r="T53" i="80"/>
  <c r="P53" i="80"/>
  <c r="X53" i="80" s="1"/>
  <c r="N53" i="80"/>
  <c r="L53" i="80"/>
  <c r="H53" i="80"/>
  <c r="D53" i="80"/>
  <c r="B53" i="80"/>
  <c r="Z52" i="80"/>
  <c r="X52" i="80"/>
  <c r="L52" i="80"/>
  <c r="N52" i="80" s="1"/>
  <c r="B52" i="80"/>
  <c r="V51" i="80"/>
  <c r="T51" i="80"/>
  <c r="P51" i="80"/>
  <c r="L51" i="80"/>
  <c r="H51" i="80"/>
  <c r="D51" i="80"/>
  <c r="B51" i="80"/>
  <c r="X50" i="80"/>
  <c r="Z50" i="80" s="1"/>
  <c r="V50" i="80"/>
  <c r="L50" i="80"/>
  <c r="N50" i="80" s="1"/>
  <c r="B50" i="80"/>
  <c r="T49" i="80"/>
  <c r="P49" i="80"/>
  <c r="X49" i="80" s="1"/>
  <c r="Z49" i="80" s="1"/>
  <c r="H49" i="80"/>
  <c r="D49" i="80"/>
  <c r="L49" i="80" s="1"/>
  <c r="B49" i="80"/>
  <c r="Z48" i="80"/>
  <c r="X48" i="80"/>
  <c r="N48" i="80"/>
  <c r="L48" i="80"/>
  <c r="B48" i="80"/>
  <c r="Z47" i="80"/>
  <c r="X47" i="80"/>
  <c r="V47" i="80"/>
  <c r="T47" i="80"/>
  <c r="P47" i="80"/>
  <c r="N47" i="80"/>
  <c r="H47" i="80"/>
  <c r="D47" i="80"/>
  <c r="L47" i="80" s="1"/>
  <c r="B47" i="80"/>
  <c r="Z46" i="80"/>
  <c r="X46" i="80"/>
  <c r="N46" i="80"/>
  <c r="L46" i="80"/>
  <c r="B46" i="80"/>
  <c r="V45" i="80"/>
  <c r="T45" i="80"/>
  <c r="P45" i="80"/>
  <c r="J45" i="80"/>
  <c r="H45" i="80"/>
  <c r="N45" i="80" s="1"/>
  <c r="D45" i="80"/>
  <c r="B45" i="80"/>
  <c r="Z44" i="80"/>
  <c r="X44" i="80"/>
  <c r="V44" i="80"/>
  <c r="N44" i="80"/>
  <c r="L44" i="80"/>
  <c r="F44" i="80"/>
  <c r="B44" i="80"/>
  <c r="Z43" i="80"/>
  <c r="X43" i="80"/>
  <c r="V43" i="80"/>
  <c r="N43" i="80"/>
  <c r="L43" i="80"/>
  <c r="B43" i="80"/>
  <c r="X42" i="80"/>
  <c r="Z42" i="80" s="1"/>
  <c r="V42" i="80"/>
  <c r="L42" i="80"/>
  <c r="N42" i="80" s="1"/>
  <c r="J42" i="80"/>
  <c r="F42" i="80"/>
  <c r="B42" i="80"/>
  <c r="Z41" i="80"/>
  <c r="X41" i="80"/>
  <c r="N41" i="80"/>
  <c r="L41" i="80"/>
  <c r="B41" i="80"/>
  <c r="Z40" i="80"/>
  <c r="X40" i="80"/>
  <c r="V40" i="80"/>
  <c r="N40" i="80"/>
  <c r="L40" i="80"/>
  <c r="F40" i="80"/>
  <c r="B40" i="80"/>
  <c r="Z39" i="80"/>
  <c r="X39" i="80"/>
  <c r="V39" i="80"/>
  <c r="N39" i="80"/>
  <c r="L39" i="80"/>
  <c r="B39" i="80"/>
  <c r="Z38" i="80"/>
  <c r="X38" i="80"/>
  <c r="V38" i="80"/>
  <c r="N38" i="80"/>
  <c r="L38" i="80"/>
  <c r="J38" i="80"/>
  <c r="B38" i="80"/>
  <c r="Z37" i="80"/>
  <c r="X37" i="80"/>
  <c r="N37" i="80"/>
  <c r="L37" i="80"/>
  <c r="B37" i="80"/>
  <c r="Z36" i="80"/>
  <c r="X36" i="80"/>
  <c r="V36" i="80"/>
  <c r="N36" i="80"/>
  <c r="L36" i="80"/>
  <c r="B36" i="80"/>
  <c r="X35" i="80"/>
  <c r="Z35" i="80" s="1"/>
  <c r="V35" i="80"/>
  <c r="N35" i="80"/>
  <c r="L35" i="80"/>
  <c r="B35" i="80"/>
  <c r="X34" i="80"/>
  <c r="Z34" i="80" s="1"/>
  <c r="V34" i="80"/>
  <c r="T34" i="80"/>
  <c r="P34" i="80"/>
  <c r="N34" i="80"/>
  <c r="L34" i="80"/>
  <c r="H34" i="80"/>
  <c r="D34" i="80"/>
  <c r="B34" i="80"/>
  <c r="Z33" i="80"/>
  <c r="X33" i="80"/>
  <c r="L33" i="80"/>
  <c r="N33" i="80" s="1"/>
  <c r="J33" i="80"/>
  <c r="B33" i="80"/>
  <c r="X32" i="80"/>
  <c r="Z32" i="80" s="1"/>
  <c r="V32" i="80"/>
  <c r="N32" i="80"/>
  <c r="L32" i="80"/>
  <c r="B32" i="80"/>
  <c r="Z31" i="80"/>
  <c r="X31" i="80"/>
  <c r="V31" i="80"/>
  <c r="N31" i="80"/>
  <c r="L31" i="80"/>
  <c r="J31" i="80"/>
  <c r="B31" i="80"/>
  <c r="X30" i="80"/>
  <c r="Z30" i="80" s="1"/>
  <c r="V30" i="80"/>
  <c r="N30" i="80"/>
  <c r="L30" i="80"/>
  <c r="B30" i="80"/>
  <c r="Z29" i="80"/>
  <c r="X29" i="80"/>
  <c r="L29" i="80"/>
  <c r="N29" i="80" s="1"/>
  <c r="F29" i="80"/>
  <c r="B29" i="80"/>
  <c r="X28" i="80"/>
  <c r="Z28" i="80" s="1"/>
  <c r="V28" i="80"/>
  <c r="N28" i="80"/>
  <c r="L28" i="80"/>
  <c r="B28" i="80"/>
  <c r="X27" i="80"/>
  <c r="Z27" i="80" s="1"/>
  <c r="V27" i="80"/>
  <c r="L27" i="80"/>
  <c r="N27" i="80" s="1"/>
  <c r="J27" i="80"/>
  <c r="B27" i="80"/>
  <c r="X26" i="80"/>
  <c r="Z26" i="80" s="1"/>
  <c r="V26" i="80"/>
  <c r="N26" i="80"/>
  <c r="L26" i="80"/>
  <c r="B26" i="80"/>
  <c r="T25" i="80"/>
  <c r="P25" i="80"/>
  <c r="X25" i="80" s="1"/>
  <c r="Z25" i="80" s="1"/>
  <c r="L25" i="80"/>
  <c r="N25" i="80" s="1"/>
  <c r="H25" i="80"/>
  <c r="D25" i="80"/>
  <c r="B25" i="80"/>
  <c r="T24" i="80"/>
  <c r="P24" i="80"/>
  <c r="X24" i="80" s="1"/>
  <c r="Z24" i="80" s="1"/>
  <c r="H24" i="80"/>
  <c r="D24" i="80"/>
  <c r="L24" i="80" s="1"/>
  <c r="N24" i="80" s="1"/>
  <c r="Z20" i="80"/>
  <c r="X20" i="80"/>
  <c r="N20" i="80"/>
  <c r="L20" i="80"/>
  <c r="B20" i="80"/>
  <c r="Z19" i="80"/>
  <c r="X19" i="80"/>
  <c r="V19" i="80"/>
  <c r="N19" i="80"/>
  <c r="L19" i="80"/>
  <c r="B19" i="80"/>
  <c r="Z18" i="80"/>
  <c r="X18" i="80"/>
  <c r="L18" i="80"/>
  <c r="N18" i="80" s="1"/>
  <c r="B18" i="80"/>
  <c r="T17" i="80"/>
  <c r="P17" i="80"/>
  <c r="H17" i="80"/>
  <c r="D17" i="80"/>
  <c r="Z15" i="80"/>
  <c r="P15" i="80"/>
  <c r="X15" i="80" s="1"/>
  <c r="N15" i="80"/>
  <c r="L15" i="80"/>
  <c r="D15" i="80"/>
  <c r="B15" i="80"/>
  <c r="X14" i="80"/>
  <c r="Z14" i="80" s="1"/>
  <c r="P14" i="80"/>
  <c r="P12" i="80" s="1"/>
  <c r="D14" i="80"/>
  <c r="D12" i="80" s="1"/>
  <c r="B14" i="80"/>
  <c r="Z13" i="80"/>
  <c r="X13" i="80"/>
  <c r="P13" i="80"/>
  <c r="N13" i="80"/>
  <c r="L13" i="80"/>
  <c r="D13" i="80"/>
  <c r="B13" i="80"/>
  <c r="T12" i="80"/>
  <c r="V66" i="80" s="1"/>
  <c r="L12" i="80"/>
  <c r="N12" i="80" s="1"/>
  <c r="H12" i="80"/>
  <c r="D6" i="80"/>
  <c r="D4" i="80"/>
  <c r="V78" i="79"/>
  <c r="J78" i="79"/>
  <c r="V75" i="79"/>
  <c r="J75" i="79"/>
  <c r="Z73" i="79"/>
  <c r="X73" i="79"/>
  <c r="V73" i="79"/>
  <c r="N73" i="79"/>
  <c r="L73" i="79"/>
  <c r="J73" i="79"/>
  <c r="Z69" i="79"/>
  <c r="X69" i="79"/>
  <c r="P69" i="79"/>
  <c r="N69" i="79"/>
  <c r="L69" i="79"/>
  <c r="D69" i="79"/>
  <c r="B69" i="79"/>
  <c r="Z68" i="79"/>
  <c r="X68" i="79"/>
  <c r="V68" i="79"/>
  <c r="P68" i="79"/>
  <c r="L68" i="79"/>
  <c r="N68" i="79" s="1"/>
  <c r="J68" i="79"/>
  <c r="D68" i="79"/>
  <c r="B68" i="79"/>
  <c r="Z67" i="79"/>
  <c r="X67" i="79"/>
  <c r="V67" i="79"/>
  <c r="P67" i="79"/>
  <c r="N67" i="79"/>
  <c r="L67" i="79"/>
  <c r="J67" i="79"/>
  <c r="D67" i="79"/>
  <c r="B67" i="79"/>
  <c r="Z66" i="79"/>
  <c r="X66" i="79"/>
  <c r="V66" i="79"/>
  <c r="P66" i="79"/>
  <c r="N66" i="79"/>
  <c r="F66" i="79"/>
  <c r="D66" i="79"/>
  <c r="L66" i="79" s="1"/>
  <c r="B66" i="79"/>
  <c r="Z65" i="79"/>
  <c r="V65" i="79"/>
  <c r="P65" i="79"/>
  <c r="X65" i="79" s="1"/>
  <c r="N65" i="79"/>
  <c r="D65" i="79"/>
  <c r="B65" i="79"/>
  <c r="V64" i="79"/>
  <c r="T64" i="79"/>
  <c r="H64" i="79"/>
  <c r="Z62" i="79"/>
  <c r="X62" i="79"/>
  <c r="V62" i="79"/>
  <c r="R62" i="79"/>
  <c r="N62" i="79"/>
  <c r="L62" i="79"/>
  <c r="J62" i="79"/>
  <c r="B62" i="79"/>
  <c r="Z61" i="79"/>
  <c r="X61" i="79"/>
  <c r="V61" i="79"/>
  <c r="T61" i="79"/>
  <c r="P61" i="79"/>
  <c r="N61" i="79"/>
  <c r="L61" i="79"/>
  <c r="J61" i="79"/>
  <c r="H61" i="79"/>
  <c r="D61" i="79"/>
  <c r="B61" i="79"/>
  <c r="Z60" i="79"/>
  <c r="X60" i="79"/>
  <c r="L60" i="79"/>
  <c r="N60" i="79" s="1"/>
  <c r="J60" i="79"/>
  <c r="B60" i="79"/>
  <c r="Z59" i="79"/>
  <c r="X59" i="79"/>
  <c r="N59" i="79"/>
  <c r="L59" i="79"/>
  <c r="B59" i="79"/>
  <c r="X58" i="79"/>
  <c r="Z58" i="79" s="1"/>
  <c r="V58" i="79"/>
  <c r="T58" i="79"/>
  <c r="P58" i="79"/>
  <c r="N58" i="79"/>
  <c r="H58" i="79"/>
  <c r="D58" i="79"/>
  <c r="L58" i="79" s="1"/>
  <c r="B58" i="79"/>
  <c r="Z57" i="79"/>
  <c r="X57" i="79"/>
  <c r="L57" i="79"/>
  <c r="N57" i="79" s="1"/>
  <c r="J57" i="79"/>
  <c r="B57" i="79"/>
  <c r="X56" i="79"/>
  <c r="V56" i="79"/>
  <c r="T56" i="79"/>
  <c r="P56" i="79"/>
  <c r="J56" i="79"/>
  <c r="H56" i="79"/>
  <c r="D56" i="79"/>
  <c r="B56" i="79"/>
  <c r="X55" i="79"/>
  <c r="Z55" i="79" s="1"/>
  <c r="V55" i="79"/>
  <c r="L55" i="79"/>
  <c r="N55" i="79" s="1"/>
  <c r="B55" i="79"/>
  <c r="V54" i="79"/>
  <c r="T54" i="79"/>
  <c r="P54" i="79"/>
  <c r="H54" i="79"/>
  <c r="D54" i="79"/>
  <c r="L54" i="79" s="1"/>
  <c r="N54" i="79" s="1"/>
  <c r="B54" i="79"/>
  <c r="Z53" i="79"/>
  <c r="X53" i="79"/>
  <c r="V53" i="79"/>
  <c r="N53" i="79"/>
  <c r="L53" i="79"/>
  <c r="B53" i="79"/>
  <c r="Z52" i="79"/>
  <c r="X52" i="79"/>
  <c r="L52" i="79"/>
  <c r="N52" i="79" s="1"/>
  <c r="J52" i="79"/>
  <c r="B52" i="79"/>
  <c r="T51" i="79"/>
  <c r="P51" i="79"/>
  <c r="J51" i="79"/>
  <c r="H51" i="79"/>
  <c r="F51" i="79"/>
  <c r="D51" i="79"/>
  <c r="B51" i="79"/>
  <c r="Z50" i="79"/>
  <c r="X50" i="79"/>
  <c r="V50" i="79"/>
  <c r="N50" i="79"/>
  <c r="L50" i="79"/>
  <c r="J50" i="79"/>
  <c r="B50" i="79"/>
  <c r="T49" i="79"/>
  <c r="P49" i="79"/>
  <c r="X49" i="79" s="1"/>
  <c r="Z49" i="79" s="1"/>
  <c r="H49" i="79"/>
  <c r="F49" i="79"/>
  <c r="D49" i="79"/>
  <c r="L49" i="79" s="1"/>
  <c r="N49" i="79" s="1"/>
  <c r="B49" i="79"/>
  <c r="Z48" i="79"/>
  <c r="X48" i="79"/>
  <c r="N48" i="79"/>
  <c r="L48" i="79"/>
  <c r="B48" i="79"/>
  <c r="Z47" i="79"/>
  <c r="X47" i="79"/>
  <c r="V47" i="79"/>
  <c r="T47" i="79"/>
  <c r="P47" i="79"/>
  <c r="N47" i="79"/>
  <c r="L47" i="79"/>
  <c r="J47" i="79"/>
  <c r="H47" i="79"/>
  <c r="D47" i="79"/>
  <c r="B47" i="79"/>
  <c r="Z46" i="79"/>
  <c r="X46" i="79"/>
  <c r="V46" i="79"/>
  <c r="N46" i="79"/>
  <c r="L46" i="79"/>
  <c r="J46" i="79"/>
  <c r="B46" i="79"/>
  <c r="Z45" i="79"/>
  <c r="X45" i="79"/>
  <c r="V45" i="79"/>
  <c r="N45" i="79"/>
  <c r="L45" i="79"/>
  <c r="B45" i="79"/>
  <c r="Z44" i="79"/>
  <c r="X44" i="79"/>
  <c r="N44" i="79"/>
  <c r="L44" i="79"/>
  <c r="J44" i="79"/>
  <c r="B44" i="79"/>
  <c r="Z43" i="79"/>
  <c r="X43" i="79"/>
  <c r="N43" i="79"/>
  <c r="L43" i="79"/>
  <c r="B43" i="79"/>
  <c r="Z42" i="79"/>
  <c r="X42" i="79"/>
  <c r="V42" i="79"/>
  <c r="N42" i="79"/>
  <c r="L42" i="79"/>
  <c r="J42" i="79"/>
  <c r="B42" i="79"/>
  <c r="Z41" i="79"/>
  <c r="X41" i="79"/>
  <c r="V41" i="79"/>
  <c r="N41" i="79"/>
  <c r="L41" i="79"/>
  <c r="B41" i="79"/>
  <c r="Z40" i="79"/>
  <c r="X40" i="79"/>
  <c r="N40" i="79"/>
  <c r="L40" i="79"/>
  <c r="J40" i="79"/>
  <c r="F40" i="79"/>
  <c r="B40" i="79"/>
  <c r="Z39" i="79"/>
  <c r="X39" i="79"/>
  <c r="N39" i="79"/>
  <c r="L39" i="79"/>
  <c r="B39" i="79"/>
  <c r="Z38" i="79"/>
  <c r="X38" i="79"/>
  <c r="V38" i="79"/>
  <c r="N38" i="79"/>
  <c r="L38" i="79"/>
  <c r="J38" i="79"/>
  <c r="B38" i="79"/>
  <c r="Z37" i="79"/>
  <c r="X37" i="79"/>
  <c r="V37" i="79"/>
  <c r="N37" i="79"/>
  <c r="L37" i="79"/>
  <c r="B37" i="79"/>
  <c r="T36" i="79"/>
  <c r="P36" i="79"/>
  <c r="X36" i="79" s="1"/>
  <c r="Z36" i="79" s="1"/>
  <c r="N36" i="79"/>
  <c r="L36" i="79"/>
  <c r="J36" i="79"/>
  <c r="H36" i="79"/>
  <c r="D36" i="79"/>
  <c r="B36" i="79"/>
  <c r="Z35" i="79"/>
  <c r="X35" i="79"/>
  <c r="L35" i="79"/>
  <c r="N35" i="79" s="1"/>
  <c r="J35" i="79"/>
  <c r="B35" i="79"/>
  <c r="Z34" i="79"/>
  <c r="X34" i="79"/>
  <c r="V34" i="79"/>
  <c r="N34" i="79"/>
  <c r="L34" i="79"/>
  <c r="J34" i="79"/>
  <c r="F34" i="79"/>
  <c r="B34" i="79"/>
  <c r="Z33" i="79"/>
  <c r="X33" i="79"/>
  <c r="N33" i="79"/>
  <c r="L33" i="79"/>
  <c r="J33" i="79"/>
  <c r="B33" i="79"/>
  <c r="X32" i="79"/>
  <c r="Z32" i="79" s="1"/>
  <c r="V32" i="79"/>
  <c r="N32" i="79"/>
  <c r="L32" i="79"/>
  <c r="J32" i="79"/>
  <c r="B32" i="79"/>
  <c r="Z31" i="79"/>
  <c r="X31" i="79"/>
  <c r="N31" i="79"/>
  <c r="L31" i="79"/>
  <c r="J31" i="79"/>
  <c r="B31" i="79"/>
  <c r="Z30" i="79"/>
  <c r="X30" i="79"/>
  <c r="V30" i="79"/>
  <c r="N30" i="79"/>
  <c r="L30" i="79"/>
  <c r="J30" i="79"/>
  <c r="B30" i="79"/>
  <c r="Z29" i="79"/>
  <c r="X29" i="79"/>
  <c r="L29" i="79"/>
  <c r="N29" i="79" s="1"/>
  <c r="J29" i="79"/>
  <c r="B29" i="79"/>
  <c r="X28" i="79"/>
  <c r="Z28" i="79" s="1"/>
  <c r="V28" i="79"/>
  <c r="R28" i="79"/>
  <c r="N28" i="79"/>
  <c r="L28" i="79"/>
  <c r="J28" i="79"/>
  <c r="B28" i="79"/>
  <c r="T27" i="79"/>
  <c r="P27" i="79"/>
  <c r="X27" i="79" s="1"/>
  <c r="Z27" i="79" s="1"/>
  <c r="H27" i="79"/>
  <c r="D27" i="79"/>
  <c r="L27" i="79" s="1"/>
  <c r="N27" i="79" s="1"/>
  <c r="B27" i="79"/>
  <c r="V26" i="79"/>
  <c r="T26" i="79"/>
  <c r="P26" i="79"/>
  <c r="J26" i="79"/>
  <c r="H26" i="79"/>
  <c r="D26" i="79"/>
  <c r="L26" i="79" s="1"/>
  <c r="N26" i="79" s="1"/>
  <c r="V24" i="79"/>
  <c r="T24" i="79"/>
  <c r="J24" i="79"/>
  <c r="Z22" i="79"/>
  <c r="X22" i="79"/>
  <c r="V22" i="79"/>
  <c r="N22" i="79"/>
  <c r="L22" i="79"/>
  <c r="J22" i="79"/>
  <c r="B22" i="79"/>
  <c r="Z21" i="79"/>
  <c r="X21" i="79"/>
  <c r="V21" i="79"/>
  <c r="N21" i="79"/>
  <c r="L21" i="79"/>
  <c r="J21" i="79"/>
  <c r="B21" i="79"/>
  <c r="Z20" i="79"/>
  <c r="X20" i="79"/>
  <c r="N20" i="79"/>
  <c r="L20" i="79"/>
  <c r="B20" i="79"/>
  <c r="Z19" i="79"/>
  <c r="X19" i="79"/>
  <c r="V19" i="79"/>
  <c r="N19" i="79"/>
  <c r="L19" i="79"/>
  <c r="J19" i="79"/>
  <c r="F19" i="79"/>
  <c r="B19" i="79"/>
  <c r="Z18" i="79"/>
  <c r="X18" i="79"/>
  <c r="V18" i="79"/>
  <c r="N18" i="79"/>
  <c r="L18" i="79"/>
  <c r="J18" i="79"/>
  <c r="B18" i="79"/>
  <c r="Z17" i="79"/>
  <c r="X17" i="79"/>
  <c r="V17" i="79"/>
  <c r="T17" i="79"/>
  <c r="P17" i="79"/>
  <c r="N17" i="79"/>
  <c r="L17" i="79"/>
  <c r="J17" i="79"/>
  <c r="H17" i="79"/>
  <c r="H24" i="79" s="1"/>
  <c r="D17" i="79"/>
  <c r="Z15" i="79"/>
  <c r="X15" i="79"/>
  <c r="P15" i="79"/>
  <c r="N15" i="79"/>
  <c r="D15" i="79"/>
  <c r="L15" i="79" s="1"/>
  <c r="B15" i="79"/>
  <c r="Z14" i="79"/>
  <c r="X14" i="79"/>
  <c r="P14" i="79"/>
  <c r="P12" i="79" s="1"/>
  <c r="N14" i="79"/>
  <c r="D14" i="79"/>
  <c r="L14" i="79" s="1"/>
  <c r="B14" i="79"/>
  <c r="Z13" i="79"/>
  <c r="X13" i="79"/>
  <c r="P13" i="79"/>
  <c r="N13" i="79"/>
  <c r="L13" i="79"/>
  <c r="D13" i="79"/>
  <c r="D12" i="79" s="1"/>
  <c r="B13" i="79"/>
  <c r="Z12" i="79"/>
  <c r="T12" i="79"/>
  <c r="V71" i="79" s="1"/>
  <c r="N12" i="79"/>
  <c r="H12" i="79"/>
  <c r="J53" i="79" s="1"/>
  <c r="D6" i="79"/>
  <c r="D4" i="79"/>
  <c r="F29" i="78"/>
  <c r="F26" i="78"/>
  <c r="Z24" i="78"/>
  <c r="X24" i="78"/>
  <c r="N24" i="78"/>
  <c r="L24" i="78"/>
  <c r="J24" i="78"/>
  <c r="F24" i="78"/>
  <c r="F22" i="78"/>
  <c r="T20" i="78"/>
  <c r="Z20" i="78" s="1"/>
  <c r="R20" i="78"/>
  <c r="P20" i="78"/>
  <c r="N20" i="78"/>
  <c r="H20" i="78"/>
  <c r="F20" i="78"/>
  <c r="D20" i="78"/>
  <c r="L20" i="78" s="1"/>
  <c r="T18" i="78"/>
  <c r="Z18" i="78" s="1"/>
  <c r="P18" i="78"/>
  <c r="N18" i="78"/>
  <c r="H18" i="78"/>
  <c r="F18" i="78"/>
  <c r="D18" i="78"/>
  <c r="L18" i="78" s="1"/>
  <c r="T16" i="78"/>
  <c r="F16" i="78"/>
  <c r="T14" i="78"/>
  <c r="Z14" i="78" s="1"/>
  <c r="P14" i="78"/>
  <c r="X14" i="78" s="1"/>
  <c r="N14" i="78"/>
  <c r="H14" i="78"/>
  <c r="F14" i="78"/>
  <c r="D14" i="78"/>
  <c r="L14" i="78" s="1"/>
  <c r="T12" i="78"/>
  <c r="V29" i="78" s="1"/>
  <c r="P12" i="78"/>
  <c r="N12" i="78"/>
  <c r="L12" i="78"/>
  <c r="H12" i="78"/>
  <c r="J22" i="78" s="1"/>
  <c r="D12" i="78"/>
  <c r="D6" i="78"/>
  <c r="D4" i="78"/>
  <c r="Z111" i="77"/>
  <c r="X111" i="77"/>
  <c r="L111" i="77"/>
  <c r="N111" i="77" s="1"/>
  <c r="P107" i="77"/>
  <c r="X107" i="77" s="1"/>
  <c r="Z107" i="77" s="1"/>
  <c r="D107" i="77"/>
  <c r="B107" i="77"/>
  <c r="Z106" i="77"/>
  <c r="X106" i="77"/>
  <c r="P106" i="77"/>
  <c r="N106" i="77"/>
  <c r="L106" i="77"/>
  <c r="D106" i="77"/>
  <c r="B106" i="77"/>
  <c r="Z105" i="77"/>
  <c r="X105" i="77"/>
  <c r="P105" i="77"/>
  <c r="N105" i="77"/>
  <c r="L105" i="77"/>
  <c r="D105" i="77"/>
  <c r="B105" i="77"/>
  <c r="V104" i="77"/>
  <c r="T104" i="77"/>
  <c r="H104" i="77"/>
  <c r="Z102" i="77"/>
  <c r="X102" i="77"/>
  <c r="V102" i="77"/>
  <c r="N102" i="77"/>
  <c r="L102" i="77"/>
  <c r="B102" i="77"/>
  <c r="T101" i="77"/>
  <c r="P101" i="77"/>
  <c r="N101" i="77"/>
  <c r="H101" i="77"/>
  <c r="D101" i="77"/>
  <c r="L101" i="77" s="1"/>
  <c r="B101" i="77"/>
  <c r="X100" i="77"/>
  <c r="Z100" i="77" s="1"/>
  <c r="V100" i="77"/>
  <c r="N100" i="77"/>
  <c r="L100" i="77"/>
  <c r="B100" i="77"/>
  <c r="X99" i="77"/>
  <c r="Z99" i="77" s="1"/>
  <c r="T99" i="77"/>
  <c r="P99" i="77"/>
  <c r="N99" i="77"/>
  <c r="L99" i="77"/>
  <c r="H99" i="77"/>
  <c r="D99" i="77"/>
  <c r="B99" i="77"/>
  <c r="Z98" i="77"/>
  <c r="X98" i="77"/>
  <c r="N98" i="77"/>
  <c r="L98" i="77"/>
  <c r="J98" i="77"/>
  <c r="B98" i="77"/>
  <c r="X97" i="77"/>
  <c r="Z97" i="77" s="1"/>
  <c r="V97" i="77"/>
  <c r="N97" i="77"/>
  <c r="L97" i="77"/>
  <c r="B97" i="77"/>
  <c r="Z96" i="77"/>
  <c r="T96" i="77"/>
  <c r="P96" i="77"/>
  <c r="X96" i="77" s="1"/>
  <c r="H96" i="77"/>
  <c r="D96" i="77"/>
  <c r="L96" i="77" s="1"/>
  <c r="N96" i="77" s="1"/>
  <c r="B96" i="77"/>
  <c r="Z95" i="77"/>
  <c r="X95" i="77"/>
  <c r="N95" i="77"/>
  <c r="L95" i="77"/>
  <c r="B95" i="77"/>
  <c r="Z94" i="77"/>
  <c r="X94" i="77"/>
  <c r="V94" i="77"/>
  <c r="L94" i="77"/>
  <c r="N94" i="77" s="1"/>
  <c r="B94" i="77"/>
  <c r="T93" i="77"/>
  <c r="P93" i="77"/>
  <c r="H93" i="77"/>
  <c r="D93" i="77"/>
  <c r="L93" i="77" s="1"/>
  <c r="N93" i="77" s="1"/>
  <c r="B93" i="77"/>
  <c r="Z92" i="77"/>
  <c r="X92" i="77"/>
  <c r="V92" i="77"/>
  <c r="N92" i="77"/>
  <c r="L92" i="77"/>
  <c r="B92" i="77"/>
  <c r="Z91" i="77"/>
  <c r="T91" i="77"/>
  <c r="P91" i="77"/>
  <c r="X91" i="77" s="1"/>
  <c r="N91" i="77"/>
  <c r="L91" i="77"/>
  <c r="H91" i="77"/>
  <c r="D91" i="77"/>
  <c r="B91" i="77"/>
  <c r="Z90" i="77"/>
  <c r="X90" i="77"/>
  <c r="L90" i="77"/>
  <c r="N90" i="77" s="1"/>
  <c r="B90" i="77"/>
  <c r="V89" i="77"/>
  <c r="T89" i="77"/>
  <c r="P89" i="77"/>
  <c r="L89" i="77"/>
  <c r="H89" i="77"/>
  <c r="D89" i="77"/>
  <c r="B89" i="77"/>
  <c r="X88" i="77"/>
  <c r="Z88" i="77" s="1"/>
  <c r="V88" i="77"/>
  <c r="L88" i="77"/>
  <c r="N88" i="77" s="1"/>
  <c r="B88" i="77"/>
  <c r="T87" i="77"/>
  <c r="P87" i="77"/>
  <c r="X87" i="77" s="1"/>
  <c r="Z87" i="77" s="1"/>
  <c r="H87" i="77"/>
  <c r="D87" i="77"/>
  <c r="B87" i="77"/>
  <c r="X86" i="77"/>
  <c r="Z86" i="77" s="1"/>
  <c r="N86" i="77"/>
  <c r="L86" i="77"/>
  <c r="B86" i="77"/>
  <c r="X85" i="77"/>
  <c r="Z85" i="77" s="1"/>
  <c r="V85" i="77"/>
  <c r="T85" i="77"/>
  <c r="P85" i="77"/>
  <c r="H85" i="77"/>
  <c r="D85" i="77"/>
  <c r="L85" i="77" s="1"/>
  <c r="N85" i="77" s="1"/>
  <c r="B85" i="77"/>
  <c r="Z84" i="77"/>
  <c r="X84" i="77"/>
  <c r="N84" i="77"/>
  <c r="L84" i="77"/>
  <c r="J84" i="77"/>
  <c r="B84" i="77"/>
  <c r="X83" i="77"/>
  <c r="V83" i="77"/>
  <c r="T83" i="77"/>
  <c r="Z83" i="77" s="1"/>
  <c r="P83" i="77"/>
  <c r="H83" i="77"/>
  <c r="D83" i="77"/>
  <c r="B83" i="77"/>
  <c r="X82" i="77"/>
  <c r="Z82" i="77" s="1"/>
  <c r="V82" i="77"/>
  <c r="L82" i="77"/>
  <c r="N82" i="77" s="1"/>
  <c r="B82" i="77"/>
  <c r="T81" i="77"/>
  <c r="P81" i="77"/>
  <c r="X81" i="77" s="1"/>
  <c r="H81" i="77"/>
  <c r="D81" i="77"/>
  <c r="L81" i="77" s="1"/>
  <c r="N81" i="77" s="1"/>
  <c r="B81" i="77"/>
  <c r="Z80" i="77"/>
  <c r="X80" i="77"/>
  <c r="V80" i="77"/>
  <c r="N80" i="77"/>
  <c r="L80" i="77"/>
  <c r="B80" i="77"/>
  <c r="Z79" i="77"/>
  <c r="X79" i="77"/>
  <c r="N79" i="77"/>
  <c r="L79" i="77"/>
  <c r="B79" i="77"/>
  <c r="X78" i="77"/>
  <c r="Z78" i="77" s="1"/>
  <c r="N78" i="77"/>
  <c r="L78" i="77"/>
  <c r="B78" i="77"/>
  <c r="X77" i="77"/>
  <c r="Z77" i="77" s="1"/>
  <c r="V77" i="77"/>
  <c r="N77" i="77"/>
  <c r="L77" i="77"/>
  <c r="J77" i="77"/>
  <c r="B77" i="77"/>
  <c r="Z76" i="77"/>
  <c r="X76" i="77"/>
  <c r="V76" i="77"/>
  <c r="N76" i="77"/>
  <c r="L76" i="77"/>
  <c r="B76" i="77"/>
  <c r="Z75" i="77"/>
  <c r="X75" i="77"/>
  <c r="N75" i="77"/>
  <c r="L75" i="77"/>
  <c r="B75" i="77"/>
  <c r="X74" i="77"/>
  <c r="Z74" i="77" s="1"/>
  <c r="N74" i="77"/>
  <c r="L74" i="77"/>
  <c r="B74" i="77"/>
  <c r="Z73" i="77"/>
  <c r="X73" i="77"/>
  <c r="V73" i="77"/>
  <c r="N73" i="77"/>
  <c r="L73" i="77"/>
  <c r="B73" i="77"/>
  <c r="Z72" i="77"/>
  <c r="X72" i="77"/>
  <c r="V72" i="77"/>
  <c r="N72" i="77"/>
  <c r="L72" i="77"/>
  <c r="B72" i="77"/>
  <c r="Z71" i="77"/>
  <c r="X71" i="77"/>
  <c r="L71" i="77"/>
  <c r="N71" i="77" s="1"/>
  <c r="B71" i="77"/>
  <c r="T70" i="77"/>
  <c r="P70" i="77"/>
  <c r="H70" i="77"/>
  <c r="D70" i="77"/>
  <c r="B70" i="77"/>
  <c r="Z69" i="77"/>
  <c r="X69" i="77"/>
  <c r="V69" i="77"/>
  <c r="N69" i="77"/>
  <c r="L69" i="77"/>
  <c r="B69" i="77"/>
  <c r="Z68" i="77"/>
  <c r="X68" i="77"/>
  <c r="L68" i="77"/>
  <c r="N68" i="77" s="1"/>
  <c r="B68" i="77"/>
  <c r="X67" i="77"/>
  <c r="Z67" i="77" s="1"/>
  <c r="V67" i="77"/>
  <c r="N67" i="77"/>
  <c r="L67" i="77"/>
  <c r="B67" i="77"/>
  <c r="Z66" i="77"/>
  <c r="X66" i="77"/>
  <c r="N66" i="77"/>
  <c r="L66" i="77"/>
  <c r="B66" i="77"/>
  <c r="Z65" i="77"/>
  <c r="X65" i="77"/>
  <c r="V65" i="77"/>
  <c r="N65" i="77"/>
  <c r="L65" i="77"/>
  <c r="B65" i="77"/>
  <c r="Z64" i="77"/>
  <c r="X64" i="77"/>
  <c r="L64" i="77"/>
  <c r="N64" i="77" s="1"/>
  <c r="B64" i="77"/>
  <c r="X63" i="77"/>
  <c r="Z63" i="77" s="1"/>
  <c r="V63" i="77"/>
  <c r="N63" i="77"/>
  <c r="L63" i="77"/>
  <c r="B63" i="77"/>
  <c r="Z62" i="77"/>
  <c r="X62" i="77"/>
  <c r="L62" i="77"/>
  <c r="N62" i="77" s="1"/>
  <c r="B62" i="77"/>
  <c r="X61" i="77"/>
  <c r="Z61" i="77" s="1"/>
  <c r="V61" i="77"/>
  <c r="N61" i="77"/>
  <c r="L61" i="77"/>
  <c r="B61" i="77"/>
  <c r="Z60" i="77"/>
  <c r="X60" i="77"/>
  <c r="L60" i="77"/>
  <c r="N60" i="77" s="1"/>
  <c r="B60" i="77"/>
  <c r="T59" i="77"/>
  <c r="P59" i="77"/>
  <c r="H59" i="77"/>
  <c r="D59" i="77"/>
  <c r="B59" i="77"/>
  <c r="X58" i="77"/>
  <c r="Z58" i="77" s="1"/>
  <c r="V58" i="77"/>
  <c r="T58" i="77"/>
  <c r="P58" i="77"/>
  <c r="L58" i="77"/>
  <c r="N58" i="77" s="1"/>
  <c r="H58" i="77"/>
  <c r="D58" i="77"/>
  <c r="V56" i="77"/>
  <c r="T56" i="77"/>
  <c r="T109" i="77" s="1"/>
  <c r="Z54" i="77"/>
  <c r="X54" i="77"/>
  <c r="V54" i="77"/>
  <c r="N54" i="77"/>
  <c r="L54" i="77"/>
  <c r="B54" i="77"/>
  <c r="Z53" i="77"/>
  <c r="X53" i="77"/>
  <c r="V53" i="77"/>
  <c r="N53" i="77"/>
  <c r="L53" i="77"/>
  <c r="B53" i="77"/>
  <c r="Z52" i="77"/>
  <c r="X52" i="77"/>
  <c r="V52" i="77"/>
  <c r="N52" i="77"/>
  <c r="L52" i="77"/>
  <c r="J52" i="77"/>
  <c r="B52" i="77"/>
  <c r="Z51" i="77"/>
  <c r="X51" i="77"/>
  <c r="N51" i="77"/>
  <c r="L51" i="77"/>
  <c r="B51" i="77"/>
  <c r="Z50" i="77"/>
  <c r="X50" i="77"/>
  <c r="V50" i="77"/>
  <c r="N50" i="77"/>
  <c r="L50" i="77"/>
  <c r="B50" i="77"/>
  <c r="Z49" i="77"/>
  <c r="X49" i="77"/>
  <c r="V49" i="77"/>
  <c r="N49" i="77"/>
  <c r="L49" i="77"/>
  <c r="B49" i="77"/>
  <c r="Z48" i="77"/>
  <c r="X48" i="77"/>
  <c r="V48" i="77"/>
  <c r="N48" i="77"/>
  <c r="L48" i="77"/>
  <c r="B48" i="77"/>
  <c r="Z47" i="77"/>
  <c r="X47" i="77"/>
  <c r="N47" i="77"/>
  <c r="L47" i="77"/>
  <c r="B47" i="77"/>
  <c r="Z46" i="77"/>
  <c r="X46" i="77"/>
  <c r="V46" i="77"/>
  <c r="N46" i="77"/>
  <c r="L46" i="77"/>
  <c r="B46" i="77"/>
  <c r="Z45" i="77"/>
  <c r="X45" i="77"/>
  <c r="V45" i="77"/>
  <c r="N45" i="77"/>
  <c r="L45" i="77"/>
  <c r="B45" i="77"/>
  <c r="Z44" i="77"/>
  <c r="X44" i="77"/>
  <c r="V44" i="77"/>
  <c r="N44" i="77"/>
  <c r="L44" i="77"/>
  <c r="B44" i="77"/>
  <c r="Z43" i="77"/>
  <c r="X43" i="77"/>
  <c r="V43" i="77"/>
  <c r="N43" i="77"/>
  <c r="L43" i="77"/>
  <c r="B43" i="77"/>
  <c r="Z42" i="77"/>
  <c r="X42" i="77"/>
  <c r="V42" i="77"/>
  <c r="N42" i="77"/>
  <c r="L42" i="77"/>
  <c r="B42" i="77"/>
  <c r="Z41" i="77"/>
  <c r="X41" i="77"/>
  <c r="V41" i="77"/>
  <c r="N41" i="77"/>
  <c r="L41" i="77"/>
  <c r="B41" i="77"/>
  <c r="V40" i="77"/>
  <c r="T40" i="77"/>
  <c r="P40" i="77"/>
  <c r="X40" i="77" s="1"/>
  <c r="Z40" i="77" s="1"/>
  <c r="N40" i="77"/>
  <c r="L40" i="77"/>
  <c r="H40" i="77"/>
  <c r="D40" i="77"/>
  <c r="Z38" i="77"/>
  <c r="X38" i="77"/>
  <c r="P38" i="77"/>
  <c r="N38" i="77"/>
  <c r="D38" i="77"/>
  <c r="L38" i="77" s="1"/>
  <c r="B38" i="77"/>
  <c r="Z37" i="77"/>
  <c r="X37" i="77"/>
  <c r="P37" i="77"/>
  <c r="N37" i="77"/>
  <c r="D37" i="77"/>
  <c r="L37" i="77" s="1"/>
  <c r="B37" i="77"/>
  <c r="Z36" i="77"/>
  <c r="X36" i="77"/>
  <c r="P36" i="77"/>
  <c r="N36" i="77"/>
  <c r="D36" i="77"/>
  <c r="L36" i="77" s="1"/>
  <c r="B36" i="77"/>
  <c r="Z35" i="77"/>
  <c r="P35" i="77"/>
  <c r="X35" i="77" s="1"/>
  <c r="N35" i="77"/>
  <c r="L35" i="77"/>
  <c r="D35" i="77"/>
  <c r="B35" i="77"/>
  <c r="Z34" i="77"/>
  <c r="X34" i="77"/>
  <c r="P34" i="77"/>
  <c r="N34" i="77"/>
  <c r="D34" i="77"/>
  <c r="L34" i="77" s="1"/>
  <c r="B34" i="77"/>
  <c r="Z33" i="77"/>
  <c r="P33" i="77"/>
  <c r="X33" i="77" s="1"/>
  <c r="N33" i="77"/>
  <c r="L33" i="77"/>
  <c r="D33" i="77"/>
  <c r="B33" i="77"/>
  <c r="Z32" i="77"/>
  <c r="X32" i="77"/>
  <c r="P32" i="77"/>
  <c r="N32" i="77"/>
  <c r="D32" i="77"/>
  <c r="L32" i="77" s="1"/>
  <c r="B32" i="77"/>
  <c r="Z31" i="77"/>
  <c r="X31" i="77"/>
  <c r="P31" i="77"/>
  <c r="N31" i="77"/>
  <c r="D31" i="77"/>
  <c r="L31" i="77" s="1"/>
  <c r="B31" i="77"/>
  <c r="Z30" i="77"/>
  <c r="X30" i="77"/>
  <c r="P30" i="77"/>
  <c r="N30" i="77"/>
  <c r="D30" i="77"/>
  <c r="L30" i="77" s="1"/>
  <c r="B30" i="77"/>
  <c r="Z29" i="77"/>
  <c r="P29" i="77"/>
  <c r="X29" i="77" s="1"/>
  <c r="N29" i="77"/>
  <c r="D29" i="77"/>
  <c r="L29" i="77" s="1"/>
  <c r="B29" i="77"/>
  <c r="Z28" i="77"/>
  <c r="P28" i="77"/>
  <c r="X28" i="77" s="1"/>
  <c r="N28" i="77"/>
  <c r="L28" i="77"/>
  <c r="D28" i="77"/>
  <c r="B28" i="77"/>
  <c r="Z27" i="77"/>
  <c r="P27" i="77"/>
  <c r="X27" i="77" s="1"/>
  <c r="N27" i="77"/>
  <c r="L27" i="77"/>
  <c r="D27" i="77"/>
  <c r="B27" i="77"/>
  <c r="Z26" i="77"/>
  <c r="P26" i="77"/>
  <c r="X26" i="77" s="1"/>
  <c r="N26" i="77"/>
  <c r="D26" i="77"/>
  <c r="L26" i="77" s="1"/>
  <c r="B26" i="77"/>
  <c r="Z25" i="77"/>
  <c r="P25" i="77"/>
  <c r="X25" i="77" s="1"/>
  <c r="N25" i="77"/>
  <c r="D25" i="77"/>
  <c r="L25" i="77" s="1"/>
  <c r="B25" i="77"/>
  <c r="Z24" i="77"/>
  <c r="X24" i="77"/>
  <c r="P24" i="77"/>
  <c r="N24" i="77"/>
  <c r="L24" i="77"/>
  <c r="D24" i="77"/>
  <c r="B24" i="77"/>
  <c r="Z23" i="77"/>
  <c r="P23" i="77"/>
  <c r="X23" i="77" s="1"/>
  <c r="N23" i="77"/>
  <c r="L23" i="77"/>
  <c r="D23" i="77"/>
  <c r="B23" i="77"/>
  <c r="Z22" i="77"/>
  <c r="X22" i="77"/>
  <c r="P22" i="77"/>
  <c r="N22" i="77"/>
  <c r="D22" i="77"/>
  <c r="L22" i="77" s="1"/>
  <c r="B22" i="77"/>
  <c r="P21" i="77"/>
  <c r="X21" i="77" s="1"/>
  <c r="Z21" i="77" s="1"/>
  <c r="N21" i="77"/>
  <c r="L21" i="77"/>
  <c r="D21" i="77"/>
  <c r="B21" i="77"/>
  <c r="Z20" i="77"/>
  <c r="X20" i="77"/>
  <c r="P20" i="77"/>
  <c r="N20" i="77"/>
  <c r="D20" i="77"/>
  <c r="L20" i="77" s="1"/>
  <c r="B20" i="77"/>
  <c r="Z19" i="77"/>
  <c r="X19" i="77"/>
  <c r="P19" i="77"/>
  <c r="N19" i="77"/>
  <c r="L19" i="77"/>
  <c r="D19" i="77"/>
  <c r="B19" i="77"/>
  <c r="Z18" i="77"/>
  <c r="X18" i="77"/>
  <c r="P18" i="77"/>
  <c r="N18" i="77"/>
  <c r="D18" i="77"/>
  <c r="L18" i="77" s="1"/>
  <c r="B18" i="77"/>
  <c r="Z17" i="77"/>
  <c r="P17" i="77"/>
  <c r="X17" i="77" s="1"/>
  <c r="N17" i="77"/>
  <c r="L17" i="77"/>
  <c r="D17" i="77"/>
  <c r="B17" i="77"/>
  <c r="Z16" i="77"/>
  <c r="P16" i="77"/>
  <c r="X16" i="77" s="1"/>
  <c r="N16" i="77"/>
  <c r="L16" i="77"/>
  <c r="D16" i="77"/>
  <c r="B16" i="77"/>
  <c r="Z15" i="77"/>
  <c r="X15" i="77"/>
  <c r="P15" i="77"/>
  <c r="N15" i="77"/>
  <c r="L15" i="77"/>
  <c r="D15" i="77"/>
  <c r="B15" i="77"/>
  <c r="Z14" i="77"/>
  <c r="X14" i="77"/>
  <c r="P14" i="77"/>
  <c r="N14" i="77"/>
  <c r="D14" i="77"/>
  <c r="L14" i="77" s="1"/>
  <c r="B14" i="77"/>
  <c r="Z13" i="77"/>
  <c r="X13" i="77"/>
  <c r="P13" i="77"/>
  <c r="D13" i="77"/>
  <c r="L13" i="77" s="1"/>
  <c r="N13" i="77" s="1"/>
  <c r="B13" i="77"/>
  <c r="T12" i="77"/>
  <c r="V105" i="77" s="1"/>
  <c r="H12" i="77"/>
  <c r="D6" i="77"/>
  <c r="D4" i="77"/>
  <c r="X89" i="76"/>
  <c r="Z89" i="76" s="1"/>
  <c r="V89" i="76"/>
  <c r="L89" i="76"/>
  <c r="N89" i="76" s="1"/>
  <c r="X85" i="76"/>
  <c r="Z85" i="76" s="1"/>
  <c r="P85" i="76"/>
  <c r="D85" i="76"/>
  <c r="B85" i="76"/>
  <c r="Z84" i="76"/>
  <c r="X84" i="76"/>
  <c r="P84" i="76"/>
  <c r="N84" i="76"/>
  <c r="L84" i="76"/>
  <c r="D84" i="76"/>
  <c r="B84" i="76"/>
  <c r="V83" i="76"/>
  <c r="T83" i="76"/>
  <c r="P83" i="76"/>
  <c r="H83" i="76"/>
  <c r="Z81" i="76"/>
  <c r="X81" i="76"/>
  <c r="N81" i="76"/>
  <c r="L81" i="76"/>
  <c r="B81" i="76"/>
  <c r="T80" i="76"/>
  <c r="Z80" i="76" s="1"/>
  <c r="P80" i="76"/>
  <c r="X80" i="76" s="1"/>
  <c r="N80" i="76"/>
  <c r="H80" i="76"/>
  <c r="D80" i="76"/>
  <c r="L80" i="76" s="1"/>
  <c r="B80" i="76"/>
  <c r="Z79" i="76"/>
  <c r="X79" i="76"/>
  <c r="V79" i="76"/>
  <c r="N79" i="76"/>
  <c r="L79" i="76"/>
  <c r="B79" i="76"/>
  <c r="Z78" i="76"/>
  <c r="X78" i="76"/>
  <c r="N78" i="76"/>
  <c r="L78" i="76"/>
  <c r="J78" i="76"/>
  <c r="B78" i="76"/>
  <c r="T77" i="76"/>
  <c r="P77" i="76"/>
  <c r="L77" i="76"/>
  <c r="H77" i="76"/>
  <c r="D77" i="76"/>
  <c r="B77" i="76"/>
  <c r="X76" i="76"/>
  <c r="Z76" i="76" s="1"/>
  <c r="V76" i="76"/>
  <c r="N76" i="76"/>
  <c r="L76" i="76"/>
  <c r="B76" i="76"/>
  <c r="Z75" i="76"/>
  <c r="X75" i="76"/>
  <c r="N75" i="76"/>
  <c r="L75" i="76"/>
  <c r="J75" i="76"/>
  <c r="B75" i="76"/>
  <c r="X74" i="76"/>
  <c r="Z74" i="76" s="1"/>
  <c r="N74" i="76"/>
  <c r="L74" i="76"/>
  <c r="B74" i="76"/>
  <c r="Z73" i="76"/>
  <c r="X73" i="76"/>
  <c r="N73" i="76"/>
  <c r="L73" i="76"/>
  <c r="J73" i="76"/>
  <c r="B73" i="76"/>
  <c r="T72" i="76"/>
  <c r="P72" i="76"/>
  <c r="N72" i="76"/>
  <c r="L72" i="76"/>
  <c r="H72" i="76"/>
  <c r="D72" i="76"/>
  <c r="B72" i="76"/>
  <c r="Z71" i="76"/>
  <c r="X71" i="76"/>
  <c r="N71" i="76"/>
  <c r="L71" i="76"/>
  <c r="B71" i="76"/>
  <c r="Z70" i="76"/>
  <c r="X70" i="76"/>
  <c r="N70" i="76"/>
  <c r="L70" i="76"/>
  <c r="B70" i="76"/>
  <c r="V69" i="76"/>
  <c r="T69" i="76"/>
  <c r="P69" i="76"/>
  <c r="H69" i="76"/>
  <c r="D69" i="76"/>
  <c r="L69" i="76" s="1"/>
  <c r="N69" i="76" s="1"/>
  <c r="B69" i="76"/>
  <c r="X68" i="76"/>
  <c r="Z68" i="76" s="1"/>
  <c r="N68" i="76"/>
  <c r="L68" i="76"/>
  <c r="B68" i="76"/>
  <c r="V67" i="76"/>
  <c r="T67" i="76"/>
  <c r="P67" i="76"/>
  <c r="X67" i="76" s="1"/>
  <c r="J67" i="76"/>
  <c r="H67" i="76"/>
  <c r="D67" i="76"/>
  <c r="B67" i="76"/>
  <c r="X66" i="76"/>
  <c r="Z66" i="76" s="1"/>
  <c r="V66" i="76"/>
  <c r="N66" i="76"/>
  <c r="L66" i="76"/>
  <c r="B66" i="76"/>
  <c r="T65" i="76"/>
  <c r="P65" i="76"/>
  <c r="L65" i="76"/>
  <c r="H65" i="76"/>
  <c r="J65" i="76" s="1"/>
  <c r="D65" i="76"/>
  <c r="B65" i="76"/>
  <c r="Z64" i="76"/>
  <c r="X64" i="76"/>
  <c r="V64" i="76"/>
  <c r="L64" i="76"/>
  <c r="N64" i="76" s="1"/>
  <c r="J64" i="76"/>
  <c r="B64" i="76"/>
  <c r="V63" i="76"/>
  <c r="T63" i="76"/>
  <c r="P63" i="76"/>
  <c r="X63" i="76" s="1"/>
  <c r="Z63" i="76" s="1"/>
  <c r="H63" i="76"/>
  <c r="D63" i="76"/>
  <c r="B63" i="76"/>
  <c r="X62" i="76"/>
  <c r="Z62" i="76" s="1"/>
  <c r="N62" i="76"/>
  <c r="L62" i="76"/>
  <c r="B62" i="76"/>
  <c r="X61" i="76"/>
  <c r="V61" i="76"/>
  <c r="T61" i="76"/>
  <c r="P61" i="76"/>
  <c r="J61" i="76"/>
  <c r="H61" i="76"/>
  <c r="D61" i="76"/>
  <c r="L61" i="76" s="1"/>
  <c r="B61" i="76"/>
  <c r="X60" i="76"/>
  <c r="Z60" i="76" s="1"/>
  <c r="V60" i="76"/>
  <c r="N60" i="76"/>
  <c r="L60" i="76"/>
  <c r="B60" i="76"/>
  <c r="T59" i="76"/>
  <c r="P59" i="76"/>
  <c r="X59" i="76" s="1"/>
  <c r="Z59" i="76" s="1"/>
  <c r="H59" i="76"/>
  <c r="D59" i="76"/>
  <c r="B59" i="76"/>
  <c r="X58" i="76"/>
  <c r="Z58" i="76" s="1"/>
  <c r="V58" i="76"/>
  <c r="L58" i="76"/>
  <c r="N58" i="76" s="1"/>
  <c r="B58" i="76"/>
  <c r="X57" i="76"/>
  <c r="Z57" i="76" s="1"/>
  <c r="T57" i="76"/>
  <c r="P57" i="76"/>
  <c r="H57" i="76"/>
  <c r="D57" i="76"/>
  <c r="L57" i="76" s="1"/>
  <c r="N57" i="76" s="1"/>
  <c r="B57" i="76"/>
  <c r="Z56" i="76"/>
  <c r="X56" i="76"/>
  <c r="N56" i="76"/>
  <c r="L56" i="76"/>
  <c r="B56" i="76"/>
  <c r="T55" i="76"/>
  <c r="Z55" i="76" s="1"/>
  <c r="P55" i="76"/>
  <c r="X55" i="76" s="1"/>
  <c r="J55" i="76"/>
  <c r="H55" i="76"/>
  <c r="N55" i="76" s="1"/>
  <c r="D55" i="76"/>
  <c r="B55" i="76"/>
  <c r="X54" i="76"/>
  <c r="Z54" i="76" s="1"/>
  <c r="V54" i="76"/>
  <c r="N54" i="76"/>
  <c r="L54" i="76"/>
  <c r="B54" i="76"/>
  <c r="T53" i="76"/>
  <c r="P53" i="76"/>
  <c r="X53" i="76" s="1"/>
  <c r="Z53" i="76" s="1"/>
  <c r="N53" i="76"/>
  <c r="L53" i="76"/>
  <c r="J53" i="76"/>
  <c r="H53" i="76"/>
  <c r="D53" i="76"/>
  <c r="B53" i="76"/>
  <c r="Z52" i="76"/>
  <c r="X52" i="76"/>
  <c r="N52" i="76"/>
  <c r="L52" i="76"/>
  <c r="J52" i="76"/>
  <c r="B52" i="76"/>
  <c r="Z51" i="76"/>
  <c r="X51" i="76"/>
  <c r="N51" i="76"/>
  <c r="L51" i="76"/>
  <c r="B51" i="76"/>
  <c r="Z50" i="76"/>
  <c r="X50" i="76"/>
  <c r="N50" i="76"/>
  <c r="L50" i="76"/>
  <c r="B50" i="76"/>
  <c r="Z49" i="76"/>
  <c r="X49" i="76"/>
  <c r="V49" i="76"/>
  <c r="N49" i="76"/>
  <c r="L49" i="76"/>
  <c r="B49" i="76"/>
  <c r="Z48" i="76"/>
  <c r="X48" i="76"/>
  <c r="V48" i="76"/>
  <c r="N48" i="76"/>
  <c r="L48" i="76"/>
  <c r="J48" i="76"/>
  <c r="B48" i="76"/>
  <c r="Z47" i="76"/>
  <c r="X47" i="76"/>
  <c r="V47" i="76"/>
  <c r="N47" i="76"/>
  <c r="L47" i="76"/>
  <c r="B47" i="76"/>
  <c r="X46" i="76"/>
  <c r="Z46" i="76" s="1"/>
  <c r="V46" i="76"/>
  <c r="L46" i="76"/>
  <c r="N46" i="76" s="1"/>
  <c r="B46" i="76"/>
  <c r="Z45" i="76"/>
  <c r="X45" i="76"/>
  <c r="N45" i="76"/>
  <c r="L45" i="76"/>
  <c r="J45" i="76"/>
  <c r="B45" i="76"/>
  <c r="Z44" i="76"/>
  <c r="X44" i="76"/>
  <c r="V44" i="76"/>
  <c r="N44" i="76"/>
  <c r="L44" i="76"/>
  <c r="J44" i="76"/>
  <c r="B44" i="76"/>
  <c r="Z43" i="76"/>
  <c r="X43" i="76"/>
  <c r="L43" i="76"/>
  <c r="N43" i="76" s="1"/>
  <c r="B43" i="76"/>
  <c r="V42" i="76"/>
  <c r="T42" i="76"/>
  <c r="P42" i="76"/>
  <c r="J42" i="76"/>
  <c r="H42" i="76"/>
  <c r="N42" i="76" s="1"/>
  <c r="D42" i="76"/>
  <c r="L42" i="76" s="1"/>
  <c r="B42" i="76"/>
  <c r="X41" i="76"/>
  <c r="Z41" i="76" s="1"/>
  <c r="V41" i="76"/>
  <c r="N41" i="76"/>
  <c r="L41" i="76"/>
  <c r="B41" i="76"/>
  <c r="X40" i="76"/>
  <c r="Z40" i="76" s="1"/>
  <c r="V40" i="76"/>
  <c r="L40" i="76"/>
  <c r="N40" i="76" s="1"/>
  <c r="J40" i="76"/>
  <c r="B40" i="76"/>
  <c r="X39" i="76"/>
  <c r="Z39" i="76" s="1"/>
  <c r="L39" i="76"/>
  <c r="N39" i="76" s="1"/>
  <c r="B39" i="76"/>
  <c r="Z38" i="76"/>
  <c r="X38" i="76"/>
  <c r="V38" i="76"/>
  <c r="N38" i="76"/>
  <c r="L38" i="76"/>
  <c r="J38" i="76"/>
  <c r="B38" i="76"/>
  <c r="Z37" i="76"/>
  <c r="X37" i="76"/>
  <c r="L37" i="76"/>
  <c r="N37" i="76" s="1"/>
  <c r="J37" i="76"/>
  <c r="B37" i="76"/>
  <c r="Z36" i="76"/>
  <c r="X36" i="76"/>
  <c r="V36" i="76"/>
  <c r="N36" i="76"/>
  <c r="L36" i="76"/>
  <c r="J36" i="76"/>
  <c r="B36" i="76"/>
  <c r="Z35" i="76"/>
  <c r="X35" i="76"/>
  <c r="L35" i="76"/>
  <c r="N35" i="76" s="1"/>
  <c r="B35" i="76"/>
  <c r="Z34" i="76"/>
  <c r="X34" i="76"/>
  <c r="V34" i="76"/>
  <c r="L34" i="76"/>
  <c r="N34" i="76" s="1"/>
  <c r="J34" i="76"/>
  <c r="B34" i="76"/>
  <c r="Z33" i="76"/>
  <c r="X33" i="76"/>
  <c r="N33" i="76"/>
  <c r="L33" i="76"/>
  <c r="J33" i="76"/>
  <c r="B33" i="76"/>
  <c r="V32" i="76"/>
  <c r="T32" i="76"/>
  <c r="X32" i="76" s="1"/>
  <c r="Z32" i="76" s="1"/>
  <c r="P32" i="76"/>
  <c r="N32" i="76"/>
  <c r="L32" i="76"/>
  <c r="J32" i="76"/>
  <c r="H32" i="76"/>
  <c r="D32" i="76"/>
  <c r="B32" i="76"/>
  <c r="V31" i="76"/>
  <c r="T31" i="76"/>
  <c r="P31" i="76"/>
  <c r="X31" i="76" s="1"/>
  <c r="Z31" i="76" s="1"/>
  <c r="N31" i="76"/>
  <c r="L31" i="76"/>
  <c r="J31" i="76"/>
  <c r="H31" i="76"/>
  <c r="D31" i="76"/>
  <c r="Z27" i="76"/>
  <c r="V27" i="76"/>
  <c r="T27" i="76"/>
  <c r="P27" i="76"/>
  <c r="X27" i="76" s="1"/>
  <c r="N27" i="76"/>
  <c r="L27" i="76"/>
  <c r="J27" i="76"/>
  <c r="H27" i="76"/>
  <c r="D27" i="76"/>
  <c r="Z25" i="76"/>
  <c r="X25" i="76"/>
  <c r="P25" i="76"/>
  <c r="N25" i="76"/>
  <c r="D25" i="76"/>
  <c r="L25" i="76" s="1"/>
  <c r="B25" i="76"/>
  <c r="Z24" i="76"/>
  <c r="X24" i="76"/>
  <c r="P24" i="76"/>
  <c r="N24" i="76"/>
  <c r="L24" i="76"/>
  <c r="D24" i="76"/>
  <c r="B24" i="76"/>
  <c r="Z23" i="76"/>
  <c r="X23" i="76"/>
  <c r="P23" i="76"/>
  <c r="N23" i="76"/>
  <c r="L23" i="76"/>
  <c r="D23" i="76"/>
  <c r="B23" i="76"/>
  <c r="Z22" i="76"/>
  <c r="P22" i="76"/>
  <c r="X22" i="76" s="1"/>
  <c r="N22" i="76"/>
  <c r="L22" i="76"/>
  <c r="D22" i="76"/>
  <c r="B22" i="76"/>
  <c r="Z21" i="76"/>
  <c r="X21" i="76"/>
  <c r="P21" i="76"/>
  <c r="N21" i="76"/>
  <c r="L21" i="76"/>
  <c r="D21" i="76"/>
  <c r="B21" i="76"/>
  <c r="Z20" i="76"/>
  <c r="P20" i="76"/>
  <c r="X20" i="76" s="1"/>
  <c r="N20" i="76"/>
  <c r="L20" i="76"/>
  <c r="D20" i="76"/>
  <c r="B20" i="76"/>
  <c r="Z19" i="76"/>
  <c r="P19" i="76"/>
  <c r="X19" i="76" s="1"/>
  <c r="N19" i="76"/>
  <c r="D19" i="76"/>
  <c r="L19" i="76" s="1"/>
  <c r="B19" i="76"/>
  <c r="Z18" i="76"/>
  <c r="X18" i="76"/>
  <c r="P18" i="76"/>
  <c r="D18" i="76"/>
  <c r="L18" i="76" s="1"/>
  <c r="N18" i="76" s="1"/>
  <c r="B18" i="76"/>
  <c r="Z17" i="76"/>
  <c r="P17" i="76"/>
  <c r="X17" i="76" s="1"/>
  <c r="N17" i="76"/>
  <c r="D17" i="76"/>
  <c r="L17" i="76" s="1"/>
  <c r="B17" i="76"/>
  <c r="Z16" i="76"/>
  <c r="P16" i="76"/>
  <c r="X16" i="76" s="1"/>
  <c r="N16" i="76"/>
  <c r="D16" i="76"/>
  <c r="L16" i="76" s="1"/>
  <c r="B16" i="76"/>
  <c r="Z15" i="76"/>
  <c r="X15" i="76"/>
  <c r="P15" i="76"/>
  <c r="N15" i="76"/>
  <c r="L15" i="76"/>
  <c r="D15" i="76"/>
  <c r="B15" i="76"/>
  <c r="Z14" i="76"/>
  <c r="X14" i="76"/>
  <c r="P14" i="76"/>
  <c r="N14" i="76"/>
  <c r="D14" i="76"/>
  <c r="L14" i="76" s="1"/>
  <c r="B14" i="76"/>
  <c r="X13" i="76"/>
  <c r="Z13" i="76" s="1"/>
  <c r="P13" i="76"/>
  <c r="D13" i="76"/>
  <c r="B13" i="76"/>
  <c r="T12" i="76"/>
  <c r="V72" i="76" s="1"/>
  <c r="H12" i="76"/>
  <c r="J39" i="76" s="1"/>
  <c r="D6" i="76"/>
  <c r="D4" i="76"/>
  <c r="X123" i="75"/>
  <c r="Z123" i="75" s="1"/>
  <c r="V123" i="75"/>
  <c r="L123" i="75"/>
  <c r="N123" i="75" s="1"/>
  <c r="J123" i="75"/>
  <c r="P119" i="75"/>
  <c r="L119" i="75"/>
  <c r="N119" i="75" s="1"/>
  <c r="J119" i="75"/>
  <c r="D119" i="75"/>
  <c r="B119" i="75"/>
  <c r="X118" i="75"/>
  <c r="Z118" i="75" s="1"/>
  <c r="P118" i="75"/>
  <c r="L118" i="75"/>
  <c r="N118" i="75" s="1"/>
  <c r="J118" i="75"/>
  <c r="D118" i="75"/>
  <c r="B118" i="75"/>
  <c r="Z117" i="75"/>
  <c r="X117" i="75"/>
  <c r="V117" i="75"/>
  <c r="P117" i="75"/>
  <c r="J117" i="75"/>
  <c r="D117" i="75"/>
  <c r="B117" i="75"/>
  <c r="T116" i="75"/>
  <c r="J116" i="75"/>
  <c r="H116" i="75"/>
  <c r="X114" i="75"/>
  <c r="Z114" i="75" s="1"/>
  <c r="N114" i="75"/>
  <c r="L114" i="75"/>
  <c r="B114" i="75"/>
  <c r="Z113" i="75"/>
  <c r="X113" i="75"/>
  <c r="N113" i="75"/>
  <c r="L113" i="75"/>
  <c r="B113" i="75"/>
  <c r="X112" i="75"/>
  <c r="V112" i="75"/>
  <c r="T112" i="75"/>
  <c r="P112" i="75"/>
  <c r="L112" i="75"/>
  <c r="H112" i="75"/>
  <c r="N112" i="75" s="1"/>
  <c r="D112" i="75"/>
  <c r="B112" i="75"/>
  <c r="X111" i="75"/>
  <c r="Z111" i="75" s="1"/>
  <c r="V111" i="75"/>
  <c r="L111" i="75"/>
  <c r="N111" i="75" s="1"/>
  <c r="J111" i="75"/>
  <c r="B111" i="75"/>
  <c r="T110" i="75"/>
  <c r="P110" i="75"/>
  <c r="X110" i="75" s="1"/>
  <c r="H110" i="75"/>
  <c r="D110" i="75"/>
  <c r="B110" i="75"/>
  <c r="Z109" i="75"/>
  <c r="X109" i="75"/>
  <c r="V109" i="75"/>
  <c r="N109" i="75"/>
  <c r="L109" i="75"/>
  <c r="B109" i="75"/>
  <c r="T108" i="75"/>
  <c r="P108" i="75"/>
  <c r="X108" i="75" s="1"/>
  <c r="Z108" i="75" s="1"/>
  <c r="J108" i="75"/>
  <c r="H108" i="75"/>
  <c r="D108" i="75"/>
  <c r="L108" i="75" s="1"/>
  <c r="N108" i="75" s="1"/>
  <c r="B108" i="75"/>
  <c r="Z107" i="75"/>
  <c r="X107" i="75"/>
  <c r="L107" i="75"/>
  <c r="N107" i="75" s="1"/>
  <c r="J107" i="75"/>
  <c r="B107" i="75"/>
  <c r="Z106" i="75"/>
  <c r="X106" i="75"/>
  <c r="N106" i="75"/>
  <c r="L106" i="75"/>
  <c r="B106" i="75"/>
  <c r="Z105" i="75"/>
  <c r="X105" i="75"/>
  <c r="N105" i="75"/>
  <c r="L105" i="75"/>
  <c r="B105" i="75"/>
  <c r="X104" i="75"/>
  <c r="Z104" i="75" s="1"/>
  <c r="V104" i="75"/>
  <c r="N104" i="75"/>
  <c r="L104" i="75"/>
  <c r="B104" i="75"/>
  <c r="Z103" i="75"/>
  <c r="X103" i="75"/>
  <c r="L103" i="75"/>
  <c r="N103" i="75" s="1"/>
  <c r="J103" i="75"/>
  <c r="B103" i="75"/>
  <c r="X102" i="75"/>
  <c r="T102" i="75"/>
  <c r="Z102" i="75" s="1"/>
  <c r="P102" i="75"/>
  <c r="L102" i="75"/>
  <c r="H102" i="75"/>
  <c r="D102" i="75"/>
  <c r="B102" i="75"/>
  <c r="Z101" i="75"/>
  <c r="X101" i="75"/>
  <c r="V101" i="75"/>
  <c r="N101" i="75"/>
  <c r="L101" i="75"/>
  <c r="J101" i="75"/>
  <c r="B101" i="75"/>
  <c r="Z100" i="75"/>
  <c r="X100" i="75"/>
  <c r="N100" i="75"/>
  <c r="L100" i="75"/>
  <c r="B100" i="75"/>
  <c r="V99" i="75"/>
  <c r="T99" i="75"/>
  <c r="P99" i="75"/>
  <c r="N99" i="75"/>
  <c r="H99" i="75"/>
  <c r="L99" i="75" s="1"/>
  <c r="D99" i="75"/>
  <c r="B99" i="75"/>
  <c r="Z98" i="75"/>
  <c r="X98" i="75"/>
  <c r="V98" i="75"/>
  <c r="L98" i="75"/>
  <c r="N98" i="75" s="1"/>
  <c r="B98" i="75"/>
  <c r="Z97" i="75"/>
  <c r="X97" i="75"/>
  <c r="V97" i="75"/>
  <c r="N97" i="75"/>
  <c r="L97" i="75"/>
  <c r="B97" i="75"/>
  <c r="X96" i="75"/>
  <c r="Z96" i="75" s="1"/>
  <c r="L96" i="75"/>
  <c r="N96" i="75" s="1"/>
  <c r="J96" i="75"/>
  <c r="B96" i="75"/>
  <c r="V95" i="75"/>
  <c r="T95" i="75"/>
  <c r="P95" i="75"/>
  <c r="X95" i="75" s="1"/>
  <c r="H95" i="75"/>
  <c r="D95" i="75"/>
  <c r="L95" i="75" s="1"/>
  <c r="B95" i="75"/>
  <c r="X94" i="75"/>
  <c r="Z94" i="75" s="1"/>
  <c r="N94" i="75"/>
  <c r="L94" i="75"/>
  <c r="B94" i="75"/>
  <c r="X93" i="75"/>
  <c r="Z93" i="75" s="1"/>
  <c r="T93" i="75"/>
  <c r="P93" i="75"/>
  <c r="H93" i="75"/>
  <c r="D93" i="75"/>
  <c r="L93" i="75" s="1"/>
  <c r="N93" i="75" s="1"/>
  <c r="B93" i="75"/>
  <c r="Z92" i="75"/>
  <c r="X92" i="75"/>
  <c r="N92" i="75"/>
  <c r="L92" i="75"/>
  <c r="B92" i="75"/>
  <c r="T91" i="75"/>
  <c r="P91" i="75"/>
  <c r="N91" i="75"/>
  <c r="H91" i="75"/>
  <c r="L91" i="75" s="1"/>
  <c r="D91" i="75"/>
  <c r="B91" i="75"/>
  <c r="X90" i="75"/>
  <c r="Z90" i="75" s="1"/>
  <c r="V90" i="75"/>
  <c r="L90" i="75"/>
  <c r="N90" i="75" s="1"/>
  <c r="B90" i="75"/>
  <c r="T89" i="75"/>
  <c r="P89" i="75"/>
  <c r="J89" i="75"/>
  <c r="H89" i="75"/>
  <c r="D89" i="75"/>
  <c r="L89" i="75" s="1"/>
  <c r="B89" i="75"/>
  <c r="Z88" i="75"/>
  <c r="X88" i="75"/>
  <c r="V88" i="75"/>
  <c r="N88" i="75"/>
  <c r="L88" i="75"/>
  <c r="B88" i="75"/>
  <c r="Z87" i="75"/>
  <c r="T87" i="75"/>
  <c r="P87" i="75"/>
  <c r="X87" i="75" s="1"/>
  <c r="N87" i="75"/>
  <c r="L87" i="75"/>
  <c r="H87" i="75"/>
  <c r="D87" i="75"/>
  <c r="B87" i="75"/>
  <c r="Z86" i="75"/>
  <c r="X86" i="75"/>
  <c r="N86" i="75"/>
  <c r="L86" i="75"/>
  <c r="J86" i="75"/>
  <c r="B86" i="75"/>
  <c r="Z85" i="75"/>
  <c r="X85" i="75"/>
  <c r="V85" i="75"/>
  <c r="N85" i="75"/>
  <c r="L85" i="75"/>
  <c r="J85" i="75"/>
  <c r="B85" i="75"/>
  <c r="T84" i="75"/>
  <c r="P84" i="75"/>
  <c r="H84" i="75"/>
  <c r="D84" i="75"/>
  <c r="B84" i="75"/>
  <c r="X83" i="75"/>
  <c r="Z83" i="75" s="1"/>
  <c r="V83" i="75"/>
  <c r="N83" i="75"/>
  <c r="L83" i="75"/>
  <c r="B83" i="75"/>
  <c r="X82" i="75"/>
  <c r="Z82" i="75" s="1"/>
  <c r="V82" i="75"/>
  <c r="T82" i="75"/>
  <c r="P82" i="75"/>
  <c r="H82" i="75"/>
  <c r="D82" i="75"/>
  <c r="L82" i="75" s="1"/>
  <c r="N82" i="75" s="1"/>
  <c r="B82" i="75"/>
  <c r="Z81" i="75"/>
  <c r="X81" i="75"/>
  <c r="N81" i="75"/>
  <c r="L81" i="75"/>
  <c r="B81" i="75"/>
  <c r="X80" i="75"/>
  <c r="Z80" i="75" s="1"/>
  <c r="V80" i="75"/>
  <c r="N80" i="75"/>
  <c r="L80" i="75"/>
  <c r="B80" i="75"/>
  <c r="T79" i="75"/>
  <c r="P79" i="75"/>
  <c r="X79" i="75" s="1"/>
  <c r="Z79" i="75" s="1"/>
  <c r="L79" i="75"/>
  <c r="N79" i="75" s="1"/>
  <c r="H79" i="75"/>
  <c r="D79" i="75"/>
  <c r="B79" i="75"/>
  <c r="Z78" i="75"/>
  <c r="X78" i="75"/>
  <c r="N78" i="75"/>
  <c r="L78" i="75"/>
  <c r="J78" i="75"/>
  <c r="B78" i="75"/>
  <c r="V77" i="75"/>
  <c r="T77" i="75"/>
  <c r="X77" i="75" s="1"/>
  <c r="Z77" i="75" s="1"/>
  <c r="P77" i="75"/>
  <c r="H77" i="75"/>
  <c r="D77" i="75"/>
  <c r="B77" i="75"/>
  <c r="Z76" i="75"/>
  <c r="X76" i="75"/>
  <c r="N76" i="75"/>
  <c r="L76" i="75"/>
  <c r="J76" i="75"/>
  <c r="B76" i="75"/>
  <c r="Z75" i="75"/>
  <c r="X75" i="75"/>
  <c r="V75" i="75"/>
  <c r="N75" i="75"/>
  <c r="L75" i="75"/>
  <c r="B75" i="75"/>
  <c r="X74" i="75"/>
  <c r="Z74" i="75" s="1"/>
  <c r="V74" i="75"/>
  <c r="L74" i="75"/>
  <c r="N74" i="75" s="1"/>
  <c r="B74" i="75"/>
  <c r="Z73" i="75"/>
  <c r="X73" i="75"/>
  <c r="V73" i="75"/>
  <c r="N73" i="75"/>
  <c r="L73" i="75"/>
  <c r="B73" i="75"/>
  <c r="Z72" i="75"/>
  <c r="X72" i="75"/>
  <c r="N72" i="75"/>
  <c r="L72" i="75"/>
  <c r="J72" i="75"/>
  <c r="B72" i="75"/>
  <c r="Z71" i="75"/>
  <c r="X71" i="75"/>
  <c r="V71" i="75"/>
  <c r="N71" i="75"/>
  <c r="L71" i="75"/>
  <c r="B71" i="75"/>
  <c r="X70" i="75"/>
  <c r="Z70" i="75" s="1"/>
  <c r="V70" i="75"/>
  <c r="L70" i="75"/>
  <c r="N70" i="75" s="1"/>
  <c r="B70" i="75"/>
  <c r="Z69" i="75"/>
  <c r="X69" i="75"/>
  <c r="V69" i="75"/>
  <c r="N69" i="75"/>
  <c r="L69" i="75"/>
  <c r="B69" i="75"/>
  <c r="X68" i="75"/>
  <c r="Z68" i="75" s="1"/>
  <c r="L68" i="75"/>
  <c r="N68" i="75" s="1"/>
  <c r="J68" i="75"/>
  <c r="B68" i="75"/>
  <c r="Z67" i="75"/>
  <c r="X67" i="75"/>
  <c r="V67" i="75"/>
  <c r="N67" i="75"/>
  <c r="L67" i="75"/>
  <c r="B67" i="75"/>
  <c r="V66" i="75"/>
  <c r="T66" i="75"/>
  <c r="P66" i="75"/>
  <c r="X66" i="75" s="1"/>
  <c r="Z66" i="75" s="1"/>
  <c r="H66" i="75"/>
  <c r="D66" i="75"/>
  <c r="L66" i="75" s="1"/>
  <c r="N66" i="75" s="1"/>
  <c r="B66" i="75"/>
  <c r="Z65" i="75"/>
  <c r="X65" i="75"/>
  <c r="N65" i="75"/>
  <c r="L65" i="75"/>
  <c r="J65" i="75"/>
  <c r="B65" i="75"/>
  <c r="X64" i="75"/>
  <c r="Z64" i="75" s="1"/>
  <c r="V64" i="75"/>
  <c r="N64" i="75"/>
  <c r="L64" i="75"/>
  <c r="B64" i="75"/>
  <c r="Z63" i="75"/>
  <c r="X63" i="75"/>
  <c r="N63" i="75"/>
  <c r="L63" i="75"/>
  <c r="J63" i="75"/>
  <c r="B63" i="75"/>
  <c r="Z62" i="75"/>
  <c r="X62" i="75"/>
  <c r="N62" i="75"/>
  <c r="L62" i="75"/>
  <c r="B62" i="75"/>
  <c r="X61" i="75"/>
  <c r="Z61" i="75" s="1"/>
  <c r="N61" i="75"/>
  <c r="L61" i="75"/>
  <c r="J61" i="75"/>
  <c r="B61" i="75"/>
  <c r="X60" i="75"/>
  <c r="Z60" i="75" s="1"/>
  <c r="V60" i="75"/>
  <c r="N60" i="75"/>
  <c r="L60" i="75"/>
  <c r="B60" i="75"/>
  <c r="Z59" i="75"/>
  <c r="X59" i="75"/>
  <c r="L59" i="75"/>
  <c r="N59" i="75" s="1"/>
  <c r="J59" i="75"/>
  <c r="B59" i="75"/>
  <c r="X58" i="75"/>
  <c r="Z58" i="75" s="1"/>
  <c r="N58" i="75"/>
  <c r="L58" i="75"/>
  <c r="B58" i="75"/>
  <c r="Z57" i="75"/>
  <c r="X57" i="75"/>
  <c r="N57" i="75"/>
  <c r="L57" i="75"/>
  <c r="J57" i="75"/>
  <c r="B57" i="75"/>
  <c r="X56" i="75"/>
  <c r="V56" i="75"/>
  <c r="T56" i="75"/>
  <c r="P56" i="75"/>
  <c r="L56" i="75"/>
  <c r="H56" i="75"/>
  <c r="N56" i="75" s="1"/>
  <c r="D56" i="75"/>
  <c r="B56" i="75"/>
  <c r="Z55" i="75"/>
  <c r="X55" i="75"/>
  <c r="V55" i="75"/>
  <c r="T55" i="75"/>
  <c r="P55" i="75"/>
  <c r="J55" i="75"/>
  <c r="H55" i="75"/>
  <c r="L55" i="75" s="1"/>
  <c r="N55" i="75" s="1"/>
  <c r="D55" i="75"/>
  <c r="Z51" i="75"/>
  <c r="X51" i="75"/>
  <c r="V51" i="75"/>
  <c r="N51" i="75"/>
  <c r="L51" i="75"/>
  <c r="J51" i="75"/>
  <c r="B51" i="75"/>
  <c r="Z50" i="75"/>
  <c r="X50" i="75"/>
  <c r="N50" i="75"/>
  <c r="L50" i="75"/>
  <c r="J50" i="75"/>
  <c r="B50" i="75"/>
  <c r="Z49" i="75"/>
  <c r="X49" i="75"/>
  <c r="V49" i="75"/>
  <c r="N49" i="75"/>
  <c r="L49" i="75"/>
  <c r="J49" i="75"/>
  <c r="B49" i="75"/>
  <c r="Z48" i="75"/>
  <c r="X48" i="75"/>
  <c r="N48" i="75"/>
  <c r="L48" i="75"/>
  <c r="B48" i="75"/>
  <c r="Z47" i="75"/>
  <c r="X47" i="75"/>
  <c r="V47" i="75"/>
  <c r="N47" i="75"/>
  <c r="L47" i="75"/>
  <c r="J47" i="75"/>
  <c r="B47" i="75"/>
  <c r="Z46" i="75"/>
  <c r="X46" i="75"/>
  <c r="N46" i="75"/>
  <c r="L46" i="75"/>
  <c r="J46" i="75"/>
  <c r="B46" i="75"/>
  <c r="Z45" i="75"/>
  <c r="X45" i="75"/>
  <c r="V45" i="75"/>
  <c r="N45" i="75"/>
  <c r="L45" i="75"/>
  <c r="J45" i="75"/>
  <c r="B45" i="75"/>
  <c r="Z44" i="75"/>
  <c r="X44" i="75"/>
  <c r="N44" i="75"/>
  <c r="L44" i="75"/>
  <c r="B44" i="75"/>
  <c r="Z43" i="75"/>
  <c r="X43" i="75"/>
  <c r="V43" i="75"/>
  <c r="N43" i="75"/>
  <c r="L43" i="75"/>
  <c r="J43" i="75"/>
  <c r="B43" i="75"/>
  <c r="Z42" i="75"/>
  <c r="X42" i="75"/>
  <c r="N42" i="75"/>
  <c r="L42" i="75"/>
  <c r="J42" i="75"/>
  <c r="B42" i="75"/>
  <c r="Z41" i="75"/>
  <c r="X41" i="75"/>
  <c r="V41" i="75"/>
  <c r="N41" i="75"/>
  <c r="L41" i="75"/>
  <c r="J41" i="75"/>
  <c r="B41" i="75"/>
  <c r="Z40" i="75"/>
  <c r="X40" i="75"/>
  <c r="N40" i="75"/>
  <c r="L40" i="75"/>
  <c r="B40" i="75"/>
  <c r="Z39" i="75"/>
  <c r="X39" i="75"/>
  <c r="V39" i="75"/>
  <c r="N39" i="75"/>
  <c r="L39" i="75"/>
  <c r="J39" i="75"/>
  <c r="B39" i="75"/>
  <c r="Z38" i="75"/>
  <c r="X38" i="75"/>
  <c r="N38" i="75"/>
  <c r="L38" i="75"/>
  <c r="J38" i="75"/>
  <c r="B38" i="75"/>
  <c r="Z37" i="75"/>
  <c r="X37" i="75"/>
  <c r="V37" i="75"/>
  <c r="N37" i="75"/>
  <c r="L37" i="75"/>
  <c r="J37" i="75"/>
  <c r="B37" i="75"/>
  <c r="Z36" i="75"/>
  <c r="X36" i="75"/>
  <c r="L36" i="75"/>
  <c r="N36" i="75" s="1"/>
  <c r="B36" i="75"/>
  <c r="T35" i="75"/>
  <c r="X35" i="75" s="1"/>
  <c r="P35" i="75"/>
  <c r="N35" i="75"/>
  <c r="J35" i="75"/>
  <c r="H35" i="75"/>
  <c r="L35" i="75" s="1"/>
  <c r="D35" i="75"/>
  <c r="Z33" i="75"/>
  <c r="X33" i="75"/>
  <c r="P33" i="75"/>
  <c r="N33" i="75"/>
  <c r="D33" i="75"/>
  <c r="L33" i="75" s="1"/>
  <c r="B33" i="75"/>
  <c r="Z32" i="75"/>
  <c r="X32" i="75"/>
  <c r="P32" i="75"/>
  <c r="N32" i="75"/>
  <c r="D32" i="75"/>
  <c r="L32" i="75" s="1"/>
  <c r="B32" i="75"/>
  <c r="Z31" i="75"/>
  <c r="X31" i="75"/>
  <c r="P31" i="75"/>
  <c r="N31" i="75"/>
  <c r="L31" i="75"/>
  <c r="D31" i="75"/>
  <c r="B31" i="75"/>
  <c r="Z30" i="75"/>
  <c r="P30" i="75"/>
  <c r="X30" i="75" s="1"/>
  <c r="N30" i="75"/>
  <c r="L30" i="75"/>
  <c r="D30" i="75"/>
  <c r="B30" i="75"/>
  <c r="Z29" i="75"/>
  <c r="P29" i="75"/>
  <c r="X29" i="75" s="1"/>
  <c r="N29" i="75"/>
  <c r="L29" i="75"/>
  <c r="D29" i="75"/>
  <c r="B29" i="75"/>
  <c r="Z28" i="75"/>
  <c r="X28" i="75"/>
  <c r="P28" i="75"/>
  <c r="N28" i="75"/>
  <c r="L28" i="75"/>
  <c r="D28" i="75"/>
  <c r="B28" i="75"/>
  <c r="Z27" i="75"/>
  <c r="P27" i="75"/>
  <c r="X27" i="75" s="1"/>
  <c r="N27" i="75"/>
  <c r="D27" i="75"/>
  <c r="L27" i="75" s="1"/>
  <c r="B27" i="75"/>
  <c r="Z26" i="75"/>
  <c r="X26" i="75"/>
  <c r="P26" i="75"/>
  <c r="P12" i="75" s="1"/>
  <c r="N26" i="75"/>
  <c r="D26" i="75"/>
  <c r="L26" i="75" s="1"/>
  <c r="B26" i="75"/>
  <c r="Z25" i="75"/>
  <c r="X25" i="75"/>
  <c r="P25" i="75"/>
  <c r="N25" i="75"/>
  <c r="D25" i="75"/>
  <c r="L25" i="75" s="1"/>
  <c r="B25" i="75"/>
  <c r="Z24" i="75"/>
  <c r="P24" i="75"/>
  <c r="X24" i="75" s="1"/>
  <c r="N24" i="75"/>
  <c r="D24" i="75"/>
  <c r="L24" i="75" s="1"/>
  <c r="B24" i="75"/>
  <c r="Z23" i="75"/>
  <c r="P23" i="75"/>
  <c r="X23" i="75" s="1"/>
  <c r="N23" i="75"/>
  <c r="D23" i="75"/>
  <c r="L23" i="75" s="1"/>
  <c r="B23" i="75"/>
  <c r="Z22" i="75"/>
  <c r="X22" i="75"/>
  <c r="P22" i="75"/>
  <c r="N22" i="75"/>
  <c r="L22" i="75"/>
  <c r="D22" i="75"/>
  <c r="B22" i="75"/>
  <c r="Z21" i="75"/>
  <c r="X21" i="75"/>
  <c r="P21" i="75"/>
  <c r="N21" i="75"/>
  <c r="D21" i="75"/>
  <c r="L21" i="75" s="1"/>
  <c r="B21" i="75"/>
  <c r="Z20" i="75"/>
  <c r="X20" i="75"/>
  <c r="P20" i="75"/>
  <c r="N20" i="75"/>
  <c r="D20" i="75"/>
  <c r="L20" i="75" s="1"/>
  <c r="B20" i="75"/>
  <c r="Z19" i="75"/>
  <c r="X19" i="75"/>
  <c r="P19" i="75"/>
  <c r="N19" i="75"/>
  <c r="L19" i="75"/>
  <c r="D19" i="75"/>
  <c r="B19" i="75"/>
  <c r="Z18" i="75"/>
  <c r="P18" i="75"/>
  <c r="X18" i="75" s="1"/>
  <c r="N18" i="75"/>
  <c r="D18" i="75"/>
  <c r="L18" i="75" s="1"/>
  <c r="B18" i="75"/>
  <c r="Z17" i="75"/>
  <c r="P17" i="75"/>
  <c r="X17" i="75" s="1"/>
  <c r="N17" i="75"/>
  <c r="L17" i="75"/>
  <c r="D17" i="75"/>
  <c r="B17" i="75"/>
  <c r="Z16" i="75"/>
  <c r="X16" i="75"/>
  <c r="P16" i="75"/>
  <c r="N16" i="75"/>
  <c r="L16" i="75"/>
  <c r="D16" i="75"/>
  <c r="B16" i="75"/>
  <c r="Z15" i="75"/>
  <c r="P15" i="75"/>
  <c r="X15" i="75" s="1"/>
  <c r="N15" i="75"/>
  <c r="D15" i="75"/>
  <c r="L15" i="75" s="1"/>
  <c r="B15" i="75"/>
  <c r="Z14" i="75"/>
  <c r="X14" i="75"/>
  <c r="P14" i="75"/>
  <c r="N14" i="75"/>
  <c r="D14" i="75"/>
  <c r="L14" i="75" s="1"/>
  <c r="B14" i="75"/>
  <c r="Z13" i="75"/>
  <c r="X13" i="75"/>
  <c r="P13" i="75"/>
  <c r="L13" i="75"/>
  <c r="N13" i="75" s="1"/>
  <c r="D13" i="75"/>
  <c r="B13" i="75"/>
  <c r="T12" i="75"/>
  <c r="V113" i="75" s="1"/>
  <c r="H12" i="75"/>
  <c r="D6" i="75"/>
  <c r="D4" i="75"/>
  <c r="X97" i="74"/>
  <c r="Z97" i="74" s="1"/>
  <c r="V97" i="74"/>
  <c r="L97" i="74"/>
  <c r="N97" i="74" s="1"/>
  <c r="T93" i="74"/>
  <c r="Z93" i="74" s="1"/>
  <c r="P93" i="74"/>
  <c r="N93" i="74"/>
  <c r="H93" i="74"/>
  <c r="J93" i="74" s="1"/>
  <c r="D93" i="74"/>
  <c r="L93" i="74" s="1"/>
  <c r="Z91" i="74"/>
  <c r="X91" i="74"/>
  <c r="L91" i="74"/>
  <c r="N91" i="74" s="1"/>
  <c r="J91" i="74"/>
  <c r="B91" i="74"/>
  <c r="T90" i="74"/>
  <c r="X90" i="74" s="1"/>
  <c r="Z90" i="74" s="1"/>
  <c r="P90" i="74"/>
  <c r="N90" i="74"/>
  <c r="L90" i="74"/>
  <c r="J90" i="74"/>
  <c r="H90" i="74"/>
  <c r="D90" i="74"/>
  <c r="B90" i="74"/>
  <c r="Z89" i="74"/>
  <c r="X89" i="74"/>
  <c r="N89" i="74"/>
  <c r="L89" i="74"/>
  <c r="J89" i="74"/>
  <c r="B89" i="74"/>
  <c r="V88" i="74"/>
  <c r="T88" i="74"/>
  <c r="Z88" i="74" s="1"/>
  <c r="P88" i="74"/>
  <c r="X88" i="74" s="1"/>
  <c r="J88" i="74"/>
  <c r="H88" i="74"/>
  <c r="N88" i="74" s="1"/>
  <c r="D88" i="74"/>
  <c r="B88" i="74"/>
  <c r="Z87" i="74"/>
  <c r="X87" i="74"/>
  <c r="N87" i="74"/>
  <c r="L87" i="74"/>
  <c r="B87" i="74"/>
  <c r="Z86" i="74"/>
  <c r="X86" i="74"/>
  <c r="T86" i="74"/>
  <c r="P86" i="74"/>
  <c r="N86" i="74"/>
  <c r="H86" i="74"/>
  <c r="D86" i="74"/>
  <c r="L86" i="74" s="1"/>
  <c r="B86" i="74"/>
  <c r="Z85" i="74"/>
  <c r="X85" i="74"/>
  <c r="N85" i="74"/>
  <c r="L85" i="74"/>
  <c r="J85" i="74"/>
  <c r="B85" i="74"/>
  <c r="Z84" i="74"/>
  <c r="X84" i="74"/>
  <c r="V84" i="74"/>
  <c r="T84" i="74"/>
  <c r="P84" i="74"/>
  <c r="N84" i="74"/>
  <c r="J84" i="74"/>
  <c r="H84" i="74"/>
  <c r="L84" i="74" s="1"/>
  <c r="D84" i="74"/>
  <c r="B84" i="74"/>
  <c r="X83" i="74"/>
  <c r="Z83" i="74" s="1"/>
  <c r="V83" i="74"/>
  <c r="L83" i="74"/>
  <c r="N83" i="74" s="1"/>
  <c r="B83" i="74"/>
  <c r="T82" i="74"/>
  <c r="P82" i="74"/>
  <c r="X82" i="74" s="1"/>
  <c r="J82" i="74"/>
  <c r="H82" i="74"/>
  <c r="N82" i="74" s="1"/>
  <c r="D82" i="74"/>
  <c r="L82" i="74" s="1"/>
  <c r="B82" i="74"/>
  <c r="Z81" i="74"/>
  <c r="X81" i="74"/>
  <c r="V81" i="74"/>
  <c r="N81" i="74"/>
  <c r="L81" i="74"/>
  <c r="J81" i="74"/>
  <c r="B81" i="74"/>
  <c r="Z80" i="74"/>
  <c r="X80" i="74"/>
  <c r="N80" i="74"/>
  <c r="L80" i="74"/>
  <c r="J80" i="74"/>
  <c r="B80" i="74"/>
  <c r="T79" i="74"/>
  <c r="P79" i="74"/>
  <c r="L79" i="74"/>
  <c r="J79" i="74"/>
  <c r="H79" i="74"/>
  <c r="D79" i="74"/>
  <c r="B79" i="74"/>
  <c r="Z78" i="74"/>
  <c r="X78" i="74"/>
  <c r="L78" i="74"/>
  <c r="N78" i="74" s="1"/>
  <c r="J78" i="74"/>
  <c r="B78" i="74"/>
  <c r="Z77" i="74"/>
  <c r="T77" i="74"/>
  <c r="P77" i="74"/>
  <c r="X77" i="74" s="1"/>
  <c r="H77" i="74"/>
  <c r="D77" i="74"/>
  <c r="B77" i="74"/>
  <c r="Z76" i="74"/>
  <c r="X76" i="74"/>
  <c r="V76" i="74"/>
  <c r="N76" i="74"/>
  <c r="L76" i="74"/>
  <c r="B76" i="74"/>
  <c r="Z75" i="74"/>
  <c r="X75" i="74"/>
  <c r="V75" i="74"/>
  <c r="N75" i="74"/>
  <c r="L75" i="74"/>
  <c r="B75" i="74"/>
  <c r="X74" i="74"/>
  <c r="Z74" i="74" s="1"/>
  <c r="V74" i="74"/>
  <c r="L74" i="74"/>
  <c r="N74" i="74" s="1"/>
  <c r="B74" i="74"/>
  <c r="X73" i="74"/>
  <c r="Z73" i="74" s="1"/>
  <c r="N73" i="74"/>
  <c r="L73" i="74"/>
  <c r="J73" i="74"/>
  <c r="B73" i="74"/>
  <c r="Z72" i="74"/>
  <c r="X72" i="74"/>
  <c r="V72" i="74"/>
  <c r="N72" i="74"/>
  <c r="L72" i="74"/>
  <c r="B72" i="74"/>
  <c r="Z71" i="74"/>
  <c r="X71" i="74"/>
  <c r="V71" i="74"/>
  <c r="N71" i="74"/>
  <c r="L71" i="74"/>
  <c r="B71" i="74"/>
  <c r="Z70" i="74"/>
  <c r="X70" i="74"/>
  <c r="N70" i="74"/>
  <c r="L70" i="74"/>
  <c r="B70" i="74"/>
  <c r="Z69" i="74"/>
  <c r="X69" i="74"/>
  <c r="V69" i="74"/>
  <c r="N69" i="74"/>
  <c r="L69" i="74"/>
  <c r="J69" i="74"/>
  <c r="B69" i="74"/>
  <c r="Z68" i="74"/>
  <c r="X68" i="74"/>
  <c r="N68" i="74"/>
  <c r="L68" i="74"/>
  <c r="B68" i="74"/>
  <c r="Z67" i="74"/>
  <c r="X67" i="74"/>
  <c r="L67" i="74"/>
  <c r="N67" i="74" s="1"/>
  <c r="B67" i="74"/>
  <c r="V66" i="74"/>
  <c r="T66" i="74"/>
  <c r="P66" i="74"/>
  <c r="X66" i="74" s="1"/>
  <c r="J66" i="74"/>
  <c r="H66" i="74"/>
  <c r="N66" i="74" s="1"/>
  <c r="D66" i="74"/>
  <c r="L66" i="74" s="1"/>
  <c r="B66" i="74"/>
  <c r="X65" i="74"/>
  <c r="Z65" i="74" s="1"/>
  <c r="V65" i="74"/>
  <c r="N65" i="74"/>
  <c r="L65" i="74"/>
  <c r="J65" i="74"/>
  <c r="B65" i="74"/>
  <c r="Z64" i="74"/>
  <c r="X64" i="74"/>
  <c r="N64" i="74"/>
  <c r="L64" i="74"/>
  <c r="J64" i="74"/>
  <c r="B64" i="74"/>
  <c r="Z63" i="74"/>
  <c r="X63" i="74"/>
  <c r="N63" i="74"/>
  <c r="L63" i="74"/>
  <c r="B63" i="74"/>
  <c r="Z62" i="74"/>
  <c r="X62" i="74"/>
  <c r="N62" i="74"/>
  <c r="L62" i="74"/>
  <c r="J62" i="74"/>
  <c r="B62" i="74"/>
  <c r="X61" i="74"/>
  <c r="Z61" i="74" s="1"/>
  <c r="V61" i="74"/>
  <c r="N61" i="74"/>
  <c r="L61" i="74"/>
  <c r="J61" i="74"/>
  <c r="B61" i="74"/>
  <c r="Z60" i="74"/>
  <c r="X60" i="74"/>
  <c r="N60" i="74"/>
  <c r="L60" i="74"/>
  <c r="J60" i="74"/>
  <c r="B60" i="74"/>
  <c r="X59" i="74"/>
  <c r="Z59" i="74" s="1"/>
  <c r="N59" i="74"/>
  <c r="L59" i="74"/>
  <c r="B59" i="74"/>
  <c r="X58" i="74"/>
  <c r="Z58" i="74" s="1"/>
  <c r="N58" i="74"/>
  <c r="L58" i="74"/>
  <c r="J58" i="74"/>
  <c r="B58" i="74"/>
  <c r="X57" i="74"/>
  <c r="V57" i="74"/>
  <c r="T57" i="74"/>
  <c r="P57" i="74"/>
  <c r="H57" i="74"/>
  <c r="D57" i="74"/>
  <c r="B57" i="74"/>
  <c r="X56" i="74"/>
  <c r="Z56" i="74" s="1"/>
  <c r="V56" i="74"/>
  <c r="T56" i="74"/>
  <c r="P56" i="74"/>
  <c r="N56" i="74"/>
  <c r="J56" i="74"/>
  <c r="H56" i="74"/>
  <c r="L56" i="74" s="1"/>
  <c r="D56" i="74"/>
  <c r="Z52" i="74"/>
  <c r="X52" i="74"/>
  <c r="V52" i="74"/>
  <c r="N52" i="74"/>
  <c r="L52" i="74"/>
  <c r="J52" i="74"/>
  <c r="B52" i="74"/>
  <c r="Z51" i="74"/>
  <c r="X51" i="74"/>
  <c r="N51" i="74"/>
  <c r="L51" i="74"/>
  <c r="J51" i="74"/>
  <c r="B51" i="74"/>
  <c r="Z50" i="74"/>
  <c r="X50" i="74"/>
  <c r="N50" i="74"/>
  <c r="L50" i="74"/>
  <c r="J50" i="74"/>
  <c r="B50" i="74"/>
  <c r="Z49" i="74"/>
  <c r="X49" i="74"/>
  <c r="N49" i="74"/>
  <c r="L49" i="74"/>
  <c r="J49" i="74"/>
  <c r="B49" i="74"/>
  <c r="Z48" i="74"/>
  <c r="X48" i="74"/>
  <c r="V48" i="74"/>
  <c r="N48" i="74"/>
  <c r="L48" i="74"/>
  <c r="J48" i="74"/>
  <c r="B48" i="74"/>
  <c r="Z47" i="74"/>
  <c r="X47" i="74"/>
  <c r="N47" i="74"/>
  <c r="L47" i="74"/>
  <c r="J47" i="74"/>
  <c r="B47" i="74"/>
  <c r="Z46" i="74"/>
  <c r="X46" i="74"/>
  <c r="N46" i="74"/>
  <c r="L46" i="74"/>
  <c r="J46" i="74"/>
  <c r="B46" i="74"/>
  <c r="Z45" i="74"/>
  <c r="X45" i="74"/>
  <c r="N45" i="74"/>
  <c r="L45" i="74"/>
  <c r="J45" i="74"/>
  <c r="B45" i="74"/>
  <c r="Z44" i="74"/>
  <c r="X44" i="74"/>
  <c r="V44" i="74"/>
  <c r="N44" i="74"/>
  <c r="L44" i="74"/>
  <c r="J44" i="74"/>
  <c r="B44" i="74"/>
  <c r="Z43" i="74"/>
  <c r="X43" i="74"/>
  <c r="N43" i="74"/>
  <c r="L43" i="74"/>
  <c r="J43" i="74"/>
  <c r="B43" i="74"/>
  <c r="Z42" i="74"/>
  <c r="X42" i="74"/>
  <c r="V42" i="74"/>
  <c r="N42" i="74"/>
  <c r="L42" i="74"/>
  <c r="J42" i="74"/>
  <c r="B42" i="74"/>
  <c r="Z41" i="74"/>
  <c r="X41" i="74"/>
  <c r="N41" i="74"/>
  <c r="L41" i="74"/>
  <c r="J41" i="74"/>
  <c r="B41" i="74"/>
  <c r="Z40" i="74"/>
  <c r="X40" i="74"/>
  <c r="V40" i="74"/>
  <c r="N40" i="74"/>
  <c r="L40" i="74"/>
  <c r="J40" i="74"/>
  <c r="B40" i="74"/>
  <c r="Z39" i="74"/>
  <c r="X39" i="74"/>
  <c r="N39" i="74"/>
  <c r="L39" i="74"/>
  <c r="J39" i="74"/>
  <c r="B39" i="74"/>
  <c r="Z38" i="74"/>
  <c r="X38" i="74"/>
  <c r="V38" i="74"/>
  <c r="N38" i="74"/>
  <c r="L38" i="74"/>
  <c r="J38" i="74"/>
  <c r="B38" i="74"/>
  <c r="Z37" i="74"/>
  <c r="X37" i="74"/>
  <c r="V37" i="74"/>
  <c r="L37" i="74"/>
  <c r="N37" i="74" s="1"/>
  <c r="J37" i="74"/>
  <c r="B37" i="74"/>
  <c r="T36" i="74"/>
  <c r="T54" i="74" s="1"/>
  <c r="P36" i="74"/>
  <c r="X36" i="74" s="1"/>
  <c r="N36" i="74"/>
  <c r="J36" i="74"/>
  <c r="H36" i="74"/>
  <c r="L36" i="74" s="1"/>
  <c r="D36" i="74"/>
  <c r="Z34" i="74"/>
  <c r="X34" i="74"/>
  <c r="P34" i="74"/>
  <c r="N34" i="74"/>
  <c r="D34" i="74"/>
  <c r="L34" i="74" s="1"/>
  <c r="B34" i="74"/>
  <c r="Z33" i="74"/>
  <c r="P33" i="74"/>
  <c r="X33" i="74" s="1"/>
  <c r="N33" i="74"/>
  <c r="D33" i="74"/>
  <c r="L33" i="74" s="1"/>
  <c r="B33" i="74"/>
  <c r="Z32" i="74"/>
  <c r="X32" i="74"/>
  <c r="P32" i="74"/>
  <c r="N32" i="74"/>
  <c r="L32" i="74"/>
  <c r="D32" i="74"/>
  <c r="B32" i="74"/>
  <c r="Z31" i="74"/>
  <c r="P31" i="74"/>
  <c r="X31" i="74" s="1"/>
  <c r="N31" i="74"/>
  <c r="L31" i="74"/>
  <c r="D31" i="74"/>
  <c r="B31" i="74"/>
  <c r="Z30" i="74"/>
  <c r="P30" i="74"/>
  <c r="X30" i="74" s="1"/>
  <c r="N30" i="74"/>
  <c r="D30" i="74"/>
  <c r="L30" i="74" s="1"/>
  <c r="B30" i="74"/>
  <c r="Z29" i="74"/>
  <c r="X29" i="74"/>
  <c r="P29" i="74"/>
  <c r="N29" i="74"/>
  <c r="L29" i="74"/>
  <c r="D29" i="74"/>
  <c r="B29" i="74"/>
  <c r="Z28" i="74"/>
  <c r="P28" i="74"/>
  <c r="X28" i="74" s="1"/>
  <c r="N28" i="74"/>
  <c r="D28" i="74"/>
  <c r="L28" i="74" s="1"/>
  <c r="B28" i="74"/>
  <c r="Z27" i="74"/>
  <c r="X27" i="74"/>
  <c r="P27" i="74"/>
  <c r="N27" i="74"/>
  <c r="D27" i="74"/>
  <c r="L27" i="74" s="1"/>
  <c r="B27" i="74"/>
  <c r="Z26" i="74"/>
  <c r="X26" i="74"/>
  <c r="P26" i="74"/>
  <c r="N26" i="74"/>
  <c r="D26" i="74"/>
  <c r="L26" i="74" s="1"/>
  <c r="B26" i="74"/>
  <c r="Z25" i="74"/>
  <c r="P25" i="74"/>
  <c r="X25" i="74" s="1"/>
  <c r="N25" i="74"/>
  <c r="D25" i="74"/>
  <c r="L25" i="74" s="1"/>
  <c r="B25" i="74"/>
  <c r="Z24" i="74"/>
  <c r="P24" i="74"/>
  <c r="X24" i="74" s="1"/>
  <c r="N24" i="74"/>
  <c r="L24" i="74"/>
  <c r="D24" i="74"/>
  <c r="B24" i="74"/>
  <c r="Z23" i="74"/>
  <c r="X23" i="74"/>
  <c r="P23" i="74"/>
  <c r="N23" i="74"/>
  <c r="L23" i="74"/>
  <c r="D23" i="74"/>
  <c r="B23" i="74"/>
  <c r="Z22" i="74"/>
  <c r="P22" i="74"/>
  <c r="X22" i="74" s="1"/>
  <c r="N22" i="74"/>
  <c r="D22" i="74"/>
  <c r="L22" i="74" s="1"/>
  <c r="B22" i="74"/>
  <c r="X21" i="74"/>
  <c r="Z21" i="74" s="1"/>
  <c r="P21" i="74"/>
  <c r="D21" i="74"/>
  <c r="L21" i="74" s="1"/>
  <c r="N21" i="74" s="1"/>
  <c r="B21" i="74"/>
  <c r="Z20" i="74"/>
  <c r="X20" i="74"/>
  <c r="P20" i="74"/>
  <c r="N20" i="74"/>
  <c r="L20" i="74"/>
  <c r="D20" i="74"/>
  <c r="B20" i="74"/>
  <c r="Z19" i="74"/>
  <c r="P19" i="74"/>
  <c r="X19" i="74" s="1"/>
  <c r="N19" i="74"/>
  <c r="D19" i="74"/>
  <c r="L19" i="74" s="1"/>
  <c r="B19" i="74"/>
  <c r="Z18" i="74"/>
  <c r="P18" i="74"/>
  <c r="X18" i="74" s="1"/>
  <c r="N18" i="74"/>
  <c r="D18" i="74"/>
  <c r="L18" i="74" s="1"/>
  <c r="B18" i="74"/>
  <c r="Z17" i="74"/>
  <c r="P17" i="74"/>
  <c r="X17" i="74" s="1"/>
  <c r="N17" i="74"/>
  <c r="L17" i="74"/>
  <c r="D17" i="74"/>
  <c r="B17" i="74"/>
  <c r="Z16" i="74"/>
  <c r="P16" i="74"/>
  <c r="X16" i="74" s="1"/>
  <c r="N16" i="74"/>
  <c r="D16" i="74"/>
  <c r="L16" i="74" s="1"/>
  <c r="B16" i="74"/>
  <c r="Z15" i="74"/>
  <c r="P15" i="74"/>
  <c r="X15" i="74" s="1"/>
  <c r="N15" i="74"/>
  <c r="D15" i="74"/>
  <c r="L15" i="74" s="1"/>
  <c r="B15" i="74"/>
  <c r="Z14" i="74"/>
  <c r="X14" i="74"/>
  <c r="P14" i="74"/>
  <c r="N14" i="74"/>
  <c r="L14" i="74"/>
  <c r="D14" i="74"/>
  <c r="B14" i="74"/>
  <c r="P13" i="74"/>
  <c r="D13" i="74"/>
  <c r="L13" i="74" s="1"/>
  <c r="N13" i="74" s="1"/>
  <c r="B13" i="74"/>
  <c r="T12" i="74"/>
  <c r="V82" i="74" s="1"/>
  <c r="H12" i="74"/>
  <c r="J74" i="74" s="1"/>
  <c r="D6" i="74"/>
  <c r="D4" i="74"/>
  <c r="X86" i="73"/>
  <c r="Z86" i="73" s="1"/>
  <c r="L86" i="73"/>
  <c r="N86" i="73" s="1"/>
  <c r="J86" i="73"/>
  <c r="X82" i="73"/>
  <c r="V82" i="73"/>
  <c r="T82" i="73"/>
  <c r="Z82" i="73" s="1"/>
  <c r="P82" i="73"/>
  <c r="H82" i="73"/>
  <c r="D82" i="73"/>
  <c r="X80" i="73"/>
  <c r="Z80" i="73" s="1"/>
  <c r="N80" i="73"/>
  <c r="L80" i="73"/>
  <c r="B80" i="73"/>
  <c r="Z79" i="73"/>
  <c r="X79" i="73"/>
  <c r="T79" i="73"/>
  <c r="P79" i="73"/>
  <c r="N79" i="73"/>
  <c r="J79" i="73"/>
  <c r="H79" i="73"/>
  <c r="D79" i="73"/>
  <c r="L79" i="73" s="1"/>
  <c r="B79" i="73"/>
  <c r="Z78" i="73"/>
  <c r="X78" i="73"/>
  <c r="N78" i="73"/>
  <c r="L78" i="73"/>
  <c r="J78" i="73"/>
  <c r="B78" i="73"/>
  <c r="V77" i="73"/>
  <c r="T77" i="73"/>
  <c r="P77" i="73"/>
  <c r="H77" i="73"/>
  <c r="D77" i="73"/>
  <c r="B77" i="73"/>
  <c r="Z76" i="73"/>
  <c r="X76" i="73"/>
  <c r="V76" i="73"/>
  <c r="L76" i="73"/>
  <c r="N76" i="73" s="1"/>
  <c r="J76" i="73"/>
  <c r="B76" i="73"/>
  <c r="Z75" i="73"/>
  <c r="X75" i="73"/>
  <c r="N75" i="73"/>
  <c r="L75" i="73"/>
  <c r="J75" i="73"/>
  <c r="B75" i="73"/>
  <c r="Z74" i="73"/>
  <c r="X74" i="73"/>
  <c r="V74" i="73"/>
  <c r="N74" i="73"/>
  <c r="L74" i="73"/>
  <c r="J74" i="73"/>
  <c r="B74" i="73"/>
  <c r="Z73" i="73"/>
  <c r="X73" i="73"/>
  <c r="N73" i="73"/>
  <c r="L73" i="73"/>
  <c r="J73" i="73"/>
  <c r="B73" i="73"/>
  <c r="Z72" i="73"/>
  <c r="X72" i="73"/>
  <c r="V72" i="73"/>
  <c r="N72" i="73"/>
  <c r="L72" i="73"/>
  <c r="J72" i="73"/>
  <c r="B72" i="73"/>
  <c r="T71" i="73"/>
  <c r="P71" i="73"/>
  <c r="H71" i="73"/>
  <c r="D71" i="73"/>
  <c r="B71" i="73"/>
  <c r="Z70" i="73"/>
  <c r="X70" i="73"/>
  <c r="V70" i="73"/>
  <c r="N70" i="73"/>
  <c r="L70" i="73"/>
  <c r="B70" i="73"/>
  <c r="Z69" i="73"/>
  <c r="X69" i="73"/>
  <c r="T69" i="73"/>
  <c r="P69" i="73"/>
  <c r="N69" i="73"/>
  <c r="L69" i="73"/>
  <c r="J69" i="73"/>
  <c r="H69" i="73"/>
  <c r="D69" i="73"/>
  <c r="B69" i="73"/>
  <c r="X68" i="73"/>
  <c r="Z68" i="73" s="1"/>
  <c r="L68" i="73"/>
  <c r="N68" i="73" s="1"/>
  <c r="J68" i="73"/>
  <c r="B68" i="73"/>
  <c r="Z67" i="73"/>
  <c r="X67" i="73"/>
  <c r="N67" i="73"/>
  <c r="L67" i="73"/>
  <c r="B67" i="73"/>
  <c r="Z66" i="73"/>
  <c r="X66" i="73"/>
  <c r="N66" i="73"/>
  <c r="L66" i="73"/>
  <c r="J66" i="73"/>
  <c r="B66" i="73"/>
  <c r="T65" i="73"/>
  <c r="P65" i="73"/>
  <c r="H65" i="73"/>
  <c r="L65" i="73" s="1"/>
  <c r="N65" i="73" s="1"/>
  <c r="D65" i="73"/>
  <c r="B65" i="73"/>
  <c r="Z64" i="73"/>
  <c r="X64" i="73"/>
  <c r="L64" i="73"/>
  <c r="N64" i="73" s="1"/>
  <c r="J64" i="73"/>
  <c r="B64" i="73"/>
  <c r="T63" i="73"/>
  <c r="Z63" i="73" s="1"/>
  <c r="P63" i="73"/>
  <c r="X63" i="73" s="1"/>
  <c r="J63" i="73"/>
  <c r="H63" i="73"/>
  <c r="D63" i="73"/>
  <c r="B63" i="73"/>
  <c r="Z62" i="73"/>
  <c r="X62" i="73"/>
  <c r="V62" i="73"/>
  <c r="N62" i="73"/>
  <c r="L62" i="73"/>
  <c r="B62" i="73"/>
  <c r="Z61" i="73"/>
  <c r="T61" i="73"/>
  <c r="P61" i="73"/>
  <c r="X61" i="73" s="1"/>
  <c r="N61" i="73"/>
  <c r="L61" i="73"/>
  <c r="J61" i="73"/>
  <c r="H61" i="73"/>
  <c r="D61" i="73"/>
  <c r="B61" i="73"/>
  <c r="Z60" i="73"/>
  <c r="X60" i="73"/>
  <c r="N60" i="73"/>
  <c r="L60" i="73"/>
  <c r="J60" i="73"/>
  <c r="B60" i="73"/>
  <c r="T59" i="73"/>
  <c r="Z59" i="73" s="1"/>
  <c r="P59" i="73"/>
  <c r="L59" i="73"/>
  <c r="J59" i="73"/>
  <c r="H59" i="73"/>
  <c r="N59" i="73" s="1"/>
  <c r="D59" i="73"/>
  <c r="B59" i="73"/>
  <c r="Z58" i="73"/>
  <c r="X58" i="73"/>
  <c r="N58" i="73"/>
  <c r="L58" i="73"/>
  <c r="J58" i="73"/>
  <c r="B58" i="73"/>
  <c r="Z57" i="73"/>
  <c r="V57" i="73"/>
  <c r="T57" i="73"/>
  <c r="P57" i="73"/>
  <c r="X57" i="73" s="1"/>
  <c r="H57" i="73"/>
  <c r="N57" i="73" s="1"/>
  <c r="D57" i="73"/>
  <c r="L57" i="73" s="1"/>
  <c r="B57" i="73"/>
  <c r="X56" i="73"/>
  <c r="Z56" i="73" s="1"/>
  <c r="L56" i="73"/>
  <c r="N56" i="73" s="1"/>
  <c r="B56" i="73"/>
  <c r="X55" i="73"/>
  <c r="Z55" i="73" s="1"/>
  <c r="T55" i="73"/>
  <c r="P55" i="73"/>
  <c r="L55" i="73"/>
  <c r="N55" i="73" s="1"/>
  <c r="J55" i="73"/>
  <c r="H55" i="73"/>
  <c r="D55" i="73"/>
  <c r="B55" i="73"/>
  <c r="Z54" i="73"/>
  <c r="X54" i="73"/>
  <c r="N54" i="73"/>
  <c r="L54" i="73"/>
  <c r="J54" i="73"/>
  <c r="B54" i="73"/>
  <c r="X53" i="73"/>
  <c r="T53" i="73"/>
  <c r="P53" i="73"/>
  <c r="L53" i="73"/>
  <c r="N53" i="73" s="1"/>
  <c r="H53" i="73"/>
  <c r="D53" i="73"/>
  <c r="B53" i="73"/>
  <c r="Z52" i="73"/>
  <c r="X52" i="73"/>
  <c r="N52" i="73"/>
  <c r="L52" i="73"/>
  <c r="J52" i="73"/>
  <c r="B52" i="73"/>
  <c r="T51" i="73"/>
  <c r="Z51" i="73" s="1"/>
  <c r="P51" i="73"/>
  <c r="X51" i="73" s="1"/>
  <c r="N51" i="73"/>
  <c r="J51" i="73"/>
  <c r="H51" i="73"/>
  <c r="D51" i="73"/>
  <c r="B51" i="73"/>
  <c r="Z50" i="73"/>
  <c r="X50" i="73"/>
  <c r="V50" i="73"/>
  <c r="N50" i="73"/>
  <c r="L50" i="73"/>
  <c r="B50" i="73"/>
  <c r="Z49" i="73"/>
  <c r="T49" i="73"/>
  <c r="P49" i="73"/>
  <c r="X49" i="73" s="1"/>
  <c r="N49" i="73"/>
  <c r="L49" i="73"/>
  <c r="J49" i="73"/>
  <c r="H49" i="73"/>
  <c r="D49" i="73"/>
  <c r="B49" i="73"/>
  <c r="Z48" i="73"/>
  <c r="X48" i="73"/>
  <c r="N48" i="73"/>
  <c r="L48" i="73"/>
  <c r="J48" i="73"/>
  <c r="B48" i="73"/>
  <c r="Z47" i="73"/>
  <c r="X47" i="73"/>
  <c r="N47" i="73"/>
  <c r="L47" i="73"/>
  <c r="B47" i="73"/>
  <c r="X46" i="73"/>
  <c r="Z46" i="73" s="1"/>
  <c r="N46" i="73"/>
  <c r="L46" i="73"/>
  <c r="J46" i="73"/>
  <c r="B46" i="73"/>
  <c r="X45" i="73"/>
  <c r="Z45" i="73" s="1"/>
  <c r="V45" i="73"/>
  <c r="N45" i="73"/>
  <c r="L45" i="73"/>
  <c r="J45" i="73"/>
  <c r="B45" i="73"/>
  <c r="Z44" i="73"/>
  <c r="X44" i="73"/>
  <c r="N44" i="73"/>
  <c r="L44" i="73"/>
  <c r="J44" i="73"/>
  <c r="B44" i="73"/>
  <c r="Z43" i="73"/>
  <c r="X43" i="73"/>
  <c r="N43" i="73"/>
  <c r="L43" i="73"/>
  <c r="B43" i="73"/>
  <c r="X42" i="73"/>
  <c r="Z42" i="73" s="1"/>
  <c r="N42" i="73"/>
  <c r="L42" i="73"/>
  <c r="J42" i="73"/>
  <c r="B42" i="73"/>
  <c r="Z41" i="73"/>
  <c r="X41" i="73"/>
  <c r="V41" i="73"/>
  <c r="N41" i="73"/>
  <c r="L41" i="73"/>
  <c r="J41" i="73"/>
  <c r="B41" i="73"/>
  <c r="Z40" i="73"/>
  <c r="X40" i="73"/>
  <c r="N40" i="73"/>
  <c r="L40" i="73"/>
  <c r="J40" i="73"/>
  <c r="B40" i="73"/>
  <c r="X39" i="73"/>
  <c r="Z39" i="73" s="1"/>
  <c r="N39" i="73"/>
  <c r="L39" i="73"/>
  <c r="B39" i="73"/>
  <c r="X38" i="73"/>
  <c r="Z38" i="73" s="1"/>
  <c r="T38" i="73"/>
  <c r="P38" i="73"/>
  <c r="L38" i="73"/>
  <c r="N38" i="73" s="1"/>
  <c r="H38" i="73"/>
  <c r="D38" i="73"/>
  <c r="B38" i="73"/>
  <c r="Z37" i="73"/>
  <c r="X37" i="73"/>
  <c r="V37" i="73"/>
  <c r="N37" i="73"/>
  <c r="L37" i="73"/>
  <c r="J37" i="73"/>
  <c r="B37" i="73"/>
  <c r="X36" i="73"/>
  <c r="Z36" i="73" s="1"/>
  <c r="L36" i="73"/>
  <c r="N36" i="73" s="1"/>
  <c r="J36" i="73"/>
  <c r="B36" i="73"/>
  <c r="Z35" i="73"/>
  <c r="X35" i="73"/>
  <c r="L35" i="73"/>
  <c r="N35" i="73" s="1"/>
  <c r="J35" i="73"/>
  <c r="B35" i="73"/>
  <c r="Z34" i="73"/>
  <c r="X34" i="73"/>
  <c r="N34" i="73"/>
  <c r="L34" i="73"/>
  <c r="J34" i="73"/>
  <c r="B34" i="73"/>
  <c r="Z33" i="73"/>
  <c r="X33" i="73"/>
  <c r="V33" i="73"/>
  <c r="L33" i="73"/>
  <c r="N33" i="73" s="1"/>
  <c r="J33" i="73"/>
  <c r="B33" i="73"/>
  <c r="Z32" i="73"/>
  <c r="X32" i="73"/>
  <c r="V32" i="73"/>
  <c r="L32" i="73"/>
  <c r="N32" i="73" s="1"/>
  <c r="J32" i="73"/>
  <c r="B32" i="73"/>
  <c r="Z31" i="73"/>
  <c r="X31" i="73"/>
  <c r="L31" i="73"/>
  <c r="N31" i="73" s="1"/>
  <c r="J31" i="73"/>
  <c r="B31" i="73"/>
  <c r="Z30" i="73"/>
  <c r="X30" i="73"/>
  <c r="N30" i="73"/>
  <c r="L30" i="73"/>
  <c r="J30" i="73"/>
  <c r="B30" i="73"/>
  <c r="Z29" i="73"/>
  <c r="X29" i="73"/>
  <c r="L29" i="73"/>
  <c r="N29" i="73" s="1"/>
  <c r="J29" i="73"/>
  <c r="B29" i="73"/>
  <c r="X28" i="73"/>
  <c r="Z28" i="73" s="1"/>
  <c r="T28" i="73"/>
  <c r="P28" i="73"/>
  <c r="N28" i="73"/>
  <c r="J28" i="73"/>
  <c r="H28" i="73"/>
  <c r="L28" i="73" s="1"/>
  <c r="D28" i="73"/>
  <c r="B28" i="73"/>
  <c r="X27" i="73"/>
  <c r="Z27" i="73" s="1"/>
  <c r="T27" i="73"/>
  <c r="P27" i="73"/>
  <c r="J27" i="73"/>
  <c r="H27" i="73"/>
  <c r="D27" i="73"/>
  <c r="L27" i="73" s="1"/>
  <c r="N27" i="73" s="1"/>
  <c r="Z23" i="73"/>
  <c r="X23" i="73"/>
  <c r="V23" i="73"/>
  <c r="N23" i="73"/>
  <c r="L23" i="73"/>
  <c r="B23" i="73"/>
  <c r="Z22" i="73"/>
  <c r="X22" i="73"/>
  <c r="V22" i="73"/>
  <c r="N22" i="73"/>
  <c r="L22" i="73"/>
  <c r="B22" i="73"/>
  <c r="X21" i="73"/>
  <c r="Z21" i="73" s="1"/>
  <c r="V21" i="73"/>
  <c r="L21" i="73"/>
  <c r="N21" i="73" s="1"/>
  <c r="J21" i="73"/>
  <c r="B21" i="73"/>
  <c r="X20" i="73"/>
  <c r="T20" i="73"/>
  <c r="P20" i="73"/>
  <c r="J20" i="73"/>
  <c r="H20" i="73"/>
  <c r="D20" i="73"/>
  <c r="Z18" i="73"/>
  <c r="X18" i="73"/>
  <c r="P18" i="73"/>
  <c r="N18" i="73"/>
  <c r="D18" i="73"/>
  <c r="L18" i="73" s="1"/>
  <c r="B18" i="73"/>
  <c r="Z17" i="73"/>
  <c r="X17" i="73"/>
  <c r="P17" i="73"/>
  <c r="N17" i="73"/>
  <c r="L17" i="73"/>
  <c r="D17" i="73"/>
  <c r="B17" i="73"/>
  <c r="Z16" i="73"/>
  <c r="P16" i="73"/>
  <c r="X16" i="73" s="1"/>
  <c r="N16" i="73"/>
  <c r="L16" i="73"/>
  <c r="D16" i="73"/>
  <c r="B16" i="73"/>
  <c r="Z15" i="73"/>
  <c r="P15" i="73"/>
  <c r="X15" i="73" s="1"/>
  <c r="D15" i="73"/>
  <c r="L15" i="73" s="1"/>
  <c r="N15" i="73" s="1"/>
  <c r="B15" i="73"/>
  <c r="Z14" i="73"/>
  <c r="X14" i="73"/>
  <c r="P14" i="73"/>
  <c r="N14" i="73"/>
  <c r="D14" i="73"/>
  <c r="L14" i="73" s="1"/>
  <c r="B14" i="73"/>
  <c r="Z13" i="73"/>
  <c r="P13" i="73"/>
  <c r="X13" i="73" s="1"/>
  <c r="N13" i="73"/>
  <c r="D13" i="73"/>
  <c r="L13" i="73" s="1"/>
  <c r="B13" i="73"/>
  <c r="T12" i="73"/>
  <c r="V36" i="73" s="1"/>
  <c r="H12" i="73"/>
  <c r="D6" i="73"/>
  <c r="D4" i="73"/>
  <c r="X126" i="71"/>
  <c r="Z126" i="71" s="1"/>
  <c r="L126" i="71"/>
  <c r="N126" i="71" s="1"/>
  <c r="J126" i="71"/>
  <c r="V122" i="71"/>
  <c r="P122" i="71"/>
  <c r="X122" i="71" s="1"/>
  <c r="Z122" i="71" s="1"/>
  <c r="D122" i="71"/>
  <c r="B122" i="71"/>
  <c r="Z121" i="71"/>
  <c r="P121" i="71"/>
  <c r="X121" i="71" s="1"/>
  <c r="N121" i="71"/>
  <c r="L121" i="71"/>
  <c r="D121" i="71"/>
  <c r="B121" i="71"/>
  <c r="Z120" i="71"/>
  <c r="X120" i="71"/>
  <c r="P120" i="71"/>
  <c r="N120" i="71"/>
  <c r="L120" i="71"/>
  <c r="D120" i="71"/>
  <c r="B120" i="71"/>
  <c r="Z119" i="71"/>
  <c r="X119" i="71"/>
  <c r="V119" i="71"/>
  <c r="P119" i="71"/>
  <c r="N119" i="71"/>
  <c r="J119" i="71"/>
  <c r="D119" i="71"/>
  <c r="L119" i="71" s="1"/>
  <c r="B119" i="71"/>
  <c r="T118" i="71"/>
  <c r="H118" i="71"/>
  <c r="X116" i="71"/>
  <c r="Z116" i="71" s="1"/>
  <c r="N116" i="71"/>
  <c r="L116" i="71"/>
  <c r="B116" i="71"/>
  <c r="Z115" i="71"/>
  <c r="X115" i="71"/>
  <c r="N115" i="71"/>
  <c r="L115" i="71"/>
  <c r="B115" i="71"/>
  <c r="T114" i="71"/>
  <c r="P114" i="71"/>
  <c r="X114" i="71" s="1"/>
  <c r="N114" i="71"/>
  <c r="L114" i="71"/>
  <c r="H114" i="71"/>
  <c r="D114" i="71"/>
  <c r="B114" i="71"/>
  <c r="X113" i="71"/>
  <c r="Z113" i="71" s="1"/>
  <c r="V113" i="71"/>
  <c r="N113" i="71"/>
  <c r="L113" i="71"/>
  <c r="B113" i="71"/>
  <c r="V112" i="71"/>
  <c r="T112" i="71"/>
  <c r="P112" i="71"/>
  <c r="X112" i="71" s="1"/>
  <c r="Z112" i="71" s="1"/>
  <c r="L112" i="71"/>
  <c r="H112" i="71"/>
  <c r="N112" i="71" s="1"/>
  <c r="D112" i="71"/>
  <c r="B112" i="71"/>
  <c r="X111" i="71"/>
  <c r="Z111" i="71" s="1"/>
  <c r="N111" i="71"/>
  <c r="L111" i="71"/>
  <c r="B111" i="71"/>
  <c r="X110" i="71"/>
  <c r="Z110" i="71" s="1"/>
  <c r="V110" i="71"/>
  <c r="N110" i="71"/>
  <c r="L110" i="71"/>
  <c r="B110" i="71"/>
  <c r="T109" i="71"/>
  <c r="P109" i="71"/>
  <c r="X109" i="71" s="1"/>
  <c r="Z109" i="71" s="1"/>
  <c r="L109" i="71"/>
  <c r="N109" i="71" s="1"/>
  <c r="H109" i="71"/>
  <c r="D109" i="71"/>
  <c r="B109" i="71"/>
  <c r="X108" i="71"/>
  <c r="Z108" i="71" s="1"/>
  <c r="N108" i="71"/>
  <c r="L108" i="71"/>
  <c r="B108" i="71"/>
  <c r="Z107" i="71"/>
  <c r="X107" i="71"/>
  <c r="N107" i="71"/>
  <c r="L107" i="71"/>
  <c r="B107" i="71"/>
  <c r="Z106" i="71"/>
  <c r="X106" i="71"/>
  <c r="L106" i="71"/>
  <c r="N106" i="71" s="1"/>
  <c r="B106" i="71"/>
  <c r="X105" i="71"/>
  <c r="T105" i="71"/>
  <c r="P105" i="71"/>
  <c r="N105" i="71"/>
  <c r="L105" i="71"/>
  <c r="H105" i="71"/>
  <c r="D105" i="71"/>
  <c r="B105" i="71"/>
  <c r="Z104" i="71"/>
  <c r="X104" i="71"/>
  <c r="V104" i="71"/>
  <c r="L104" i="71"/>
  <c r="N104" i="71" s="1"/>
  <c r="B104" i="71"/>
  <c r="T103" i="71"/>
  <c r="P103" i="71"/>
  <c r="J103" i="71"/>
  <c r="H103" i="71"/>
  <c r="D103" i="71"/>
  <c r="L103" i="71" s="1"/>
  <c r="B103" i="71"/>
  <c r="X102" i="71"/>
  <c r="Z102" i="71" s="1"/>
  <c r="V102" i="71"/>
  <c r="N102" i="71"/>
  <c r="L102" i="71"/>
  <c r="B102" i="71"/>
  <c r="Z101" i="71"/>
  <c r="X101" i="71"/>
  <c r="L101" i="71"/>
  <c r="N101" i="71" s="1"/>
  <c r="B101" i="71"/>
  <c r="X100" i="71"/>
  <c r="T100" i="71"/>
  <c r="P100" i="71"/>
  <c r="J100" i="71"/>
  <c r="H100" i="71"/>
  <c r="D100" i="71"/>
  <c r="B100" i="71"/>
  <c r="Z99" i="71"/>
  <c r="X99" i="71"/>
  <c r="N99" i="71"/>
  <c r="L99" i="71"/>
  <c r="B99" i="71"/>
  <c r="T98" i="71"/>
  <c r="P98" i="71"/>
  <c r="L98" i="71"/>
  <c r="H98" i="71"/>
  <c r="N98" i="71" s="1"/>
  <c r="D98" i="71"/>
  <c r="B98" i="71"/>
  <c r="X97" i="71"/>
  <c r="Z97" i="71" s="1"/>
  <c r="V97" i="71"/>
  <c r="N97" i="71"/>
  <c r="L97" i="71"/>
  <c r="B97" i="71"/>
  <c r="V96" i="71"/>
  <c r="T96" i="71"/>
  <c r="P96" i="71"/>
  <c r="X96" i="71" s="1"/>
  <c r="Z96" i="71" s="1"/>
  <c r="L96" i="71"/>
  <c r="H96" i="71"/>
  <c r="N96" i="71" s="1"/>
  <c r="D96" i="71"/>
  <c r="B96" i="71"/>
  <c r="Z95" i="71"/>
  <c r="X95" i="71"/>
  <c r="N95" i="71"/>
  <c r="L95" i="71"/>
  <c r="B95" i="71"/>
  <c r="X94" i="71"/>
  <c r="Z94" i="71" s="1"/>
  <c r="V94" i="71"/>
  <c r="N94" i="71"/>
  <c r="L94" i="71"/>
  <c r="B94" i="71"/>
  <c r="T93" i="71"/>
  <c r="P93" i="71"/>
  <c r="X93" i="71" s="1"/>
  <c r="Z93" i="71" s="1"/>
  <c r="L93" i="71"/>
  <c r="N93" i="71" s="1"/>
  <c r="H93" i="71"/>
  <c r="D93" i="71"/>
  <c r="B93" i="71"/>
  <c r="X92" i="71"/>
  <c r="Z92" i="71" s="1"/>
  <c r="N92" i="71"/>
  <c r="L92" i="71"/>
  <c r="B92" i="71"/>
  <c r="Z91" i="71"/>
  <c r="X91" i="71"/>
  <c r="V91" i="71"/>
  <c r="T91" i="71"/>
  <c r="P91" i="71"/>
  <c r="L91" i="71"/>
  <c r="H91" i="71"/>
  <c r="D91" i="71"/>
  <c r="B91" i="71"/>
  <c r="X90" i="71"/>
  <c r="Z90" i="71" s="1"/>
  <c r="L90" i="71"/>
  <c r="N90" i="71" s="1"/>
  <c r="J90" i="71"/>
  <c r="B90" i="71"/>
  <c r="V89" i="71"/>
  <c r="T89" i="71"/>
  <c r="P89" i="71"/>
  <c r="X89" i="71" s="1"/>
  <c r="H89" i="71"/>
  <c r="D89" i="71"/>
  <c r="L89" i="71" s="1"/>
  <c r="B89" i="71"/>
  <c r="Z88" i="71"/>
  <c r="X88" i="71"/>
  <c r="N88" i="71"/>
  <c r="L88" i="71"/>
  <c r="B88" i="71"/>
  <c r="X87" i="71"/>
  <c r="Z87" i="71" s="1"/>
  <c r="N87" i="71"/>
  <c r="L87" i="71"/>
  <c r="B87" i="71"/>
  <c r="V86" i="71"/>
  <c r="T86" i="71"/>
  <c r="P86" i="71"/>
  <c r="L86" i="71"/>
  <c r="H86" i="71"/>
  <c r="N86" i="71" s="1"/>
  <c r="D86" i="71"/>
  <c r="B86" i="71"/>
  <c r="X85" i="71"/>
  <c r="Z85" i="71" s="1"/>
  <c r="L85" i="71"/>
  <c r="N85" i="71" s="1"/>
  <c r="J85" i="71"/>
  <c r="B85" i="71"/>
  <c r="X84" i="71"/>
  <c r="T84" i="71"/>
  <c r="Z84" i="71" s="1"/>
  <c r="P84" i="71"/>
  <c r="H84" i="71"/>
  <c r="D84" i="71"/>
  <c r="L84" i="71" s="1"/>
  <c r="B84" i="71"/>
  <c r="Z83" i="71"/>
  <c r="X83" i="71"/>
  <c r="N83" i="71"/>
  <c r="L83" i="71"/>
  <c r="B83" i="71"/>
  <c r="Z82" i="71"/>
  <c r="X82" i="71"/>
  <c r="N82" i="71"/>
  <c r="L82" i="71"/>
  <c r="J82" i="71"/>
  <c r="B82" i="71"/>
  <c r="X81" i="71"/>
  <c r="Z81" i="71" s="1"/>
  <c r="V81" i="71"/>
  <c r="N81" i="71"/>
  <c r="L81" i="71"/>
  <c r="B81" i="71"/>
  <c r="Z80" i="71"/>
  <c r="X80" i="71"/>
  <c r="V80" i="71"/>
  <c r="N80" i="71"/>
  <c r="L80" i="71"/>
  <c r="B80" i="71"/>
  <c r="Z79" i="71"/>
  <c r="X79" i="71"/>
  <c r="N79" i="71"/>
  <c r="L79" i="71"/>
  <c r="B79" i="71"/>
  <c r="X78" i="71"/>
  <c r="Z78" i="71" s="1"/>
  <c r="L78" i="71"/>
  <c r="N78" i="71" s="1"/>
  <c r="J78" i="71"/>
  <c r="B78" i="71"/>
  <c r="X77" i="71"/>
  <c r="Z77" i="71" s="1"/>
  <c r="V77" i="71"/>
  <c r="N77" i="71"/>
  <c r="L77" i="71"/>
  <c r="B77" i="71"/>
  <c r="Z76" i="71"/>
  <c r="X76" i="71"/>
  <c r="V76" i="71"/>
  <c r="N76" i="71"/>
  <c r="L76" i="71"/>
  <c r="B76" i="71"/>
  <c r="Z75" i="71"/>
  <c r="X75" i="71"/>
  <c r="L75" i="71"/>
  <c r="N75" i="71" s="1"/>
  <c r="B75" i="71"/>
  <c r="Z74" i="71"/>
  <c r="X74" i="71"/>
  <c r="N74" i="71"/>
  <c r="L74" i="71"/>
  <c r="J74" i="71"/>
  <c r="B74" i="71"/>
  <c r="V73" i="71"/>
  <c r="T73" i="71"/>
  <c r="P73" i="71"/>
  <c r="X73" i="71" s="1"/>
  <c r="H73" i="71"/>
  <c r="D73" i="71"/>
  <c r="L73" i="71" s="1"/>
  <c r="B73" i="71"/>
  <c r="X72" i="71"/>
  <c r="Z72" i="71" s="1"/>
  <c r="L72" i="71"/>
  <c r="N72" i="71" s="1"/>
  <c r="B72" i="71"/>
  <c r="X71" i="71"/>
  <c r="Z71" i="71" s="1"/>
  <c r="N71" i="71"/>
  <c r="L71" i="71"/>
  <c r="B71" i="71"/>
  <c r="X70" i="71"/>
  <c r="Z70" i="71" s="1"/>
  <c r="V70" i="71"/>
  <c r="N70" i="71"/>
  <c r="L70" i="71"/>
  <c r="B70" i="71"/>
  <c r="Z69" i="71"/>
  <c r="X69" i="71"/>
  <c r="N69" i="71"/>
  <c r="L69" i="71"/>
  <c r="B69" i="71"/>
  <c r="Z68" i="71"/>
  <c r="X68" i="71"/>
  <c r="N68" i="71"/>
  <c r="L68" i="71"/>
  <c r="B68" i="71"/>
  <c r="X67" i="71"/>
  <c r="Z67" i="71" s="1"/>
  <c r="N67" i="71"/>
  <c r="L67" i="71"/>
  <c r="B67" i="71"/>
  <c r="X66" i="71"/>
  <c r="Z66" i="71" s="1"/>
  <c r="V66" i="71"/>
  <c r="N66" i="71"/>
  <c r="L66" i="71"/>
  <c r="B66" i="71"/>
  <c r="Z65" i="71"/>
  <c r="X65" i="71"/>
  <c r="L65" i="71"/>
  <c r="N65" i="71" s="1"/>
  <c r="B65" i="71"/>
  <c r="X64" i="71"/>
  <c r="Z64" i="71" s="1"/>
  <c r="L64" i="71"/>
  <c r="N64" i="71" s="1"/>
  <c r="B64" i="71"/>
  <c r="X63" i="71"/>
  <c r="Z63" i="71" s="1"/>
  <c r="N63" i="71"/>
  <c r="L63" i="71"/>
  <c r="B63" i="71"/>
  <c r="V62" i="71"/>
  <c r="T62" i="71"/>
  <c r="P62" i="71"/>
  <c r="L62" i="71"/>
  <c r="H62" i="71"/>
  <c r="N62" i="71" s="1"/>
  <c r="D62" i="71"/>
  <c r="B62" i="71"/>
  <c r="X61" i="71"/>
  <c r="T61" i="71"/>
  <c r="Z61" i="71" s="1"/>
  <c r="P61" i="71"/>
  <c r="N61" i="71"/>
  <c r="L61" i="71"/>
  <c r="H61" i="71"/>
  <c r="D61" i="71"/>
  <c r="Z57" i="71"/>
  <c r="X57" i="71"/>
  <c r="N57" i="71"/>
  <c r="L57" i="71"/>
  <c r="J57" i="71"/>
  <c r="B57" i="71"/>
  <c r="Z56" i="71"/>
  <c r="X56" i="71"/>
  <c r="N56" i="71"/>
  <c r="L56" i="71"/>
  <c r="B56" i="71"/>
  <c r="Z55" i="71"/>
  <c r="X55" i="71"/>
  <c r="V55" i="71"/>
  <c r="N55" i="71"/>
  <c r="L55" i="71"/>
  <c r="B55" i="71"/>
  <c r="Z54" i="71"/>
  <c r="X54" i="71"/>
  <c r="N54" i="71"/>
  <c r="L54" i="71"/>
  <c r="B54" i="71"/>
  <c r="Z53" i="71"/>
  <c r="X53" i="71"/>
  <c r="N53" i="71"/>
  <c r="L53" i="71"/>
  <c r="J53" i="71"/>
  <c r="B53" i="71"/>
  <c r="Z52" i="71"/>
  <c r="X52" i="71"/>
  <c r="N52" i="71"/>
  <c r="L52" i="71"/>
  <c r="B52" i="71"/>
  <c r="Z51" i="71"/>
  <c r="X51" i="71"/>
  <c r="V51" i="71"/>
  <c r="N51" i="71"/>
  <c r="L51" i="71"/>
  <c r="B51" i="71"/>
  <c r="Z50" i="71"/>
  <c r="X50" i="71"/>
  <c r="N50" i="71"/>
  <c r="L50" i="71"/>
  <c r="B50" i="71"/>
  <c r="Z49" i="71"/>
  <c r="X49" i="71"/>
  <c r="N49" i="71"/>
  <c r="L49" i="71"/>
  <c r="J49" i="71"/>
  <c r="B49" i="71"/>
  <c r="Z48" i="71"/>
  <c r="X48" i="71"/>
  <c r="N48" i="71"/>
  <c r="L48" i="71"/>
  <c r="B48" i="71"/>
  <c r="Z47" i="71"/>
  <c r="X47" i="71"/>
  <c r="V47" i="71"/>
  <c r="N47" i="71"/>
  <c r="L47" i="71"/>
  <c r="B47" i="71"/>
  <c r="Z46" i="71"/>
  <c r="X46" i="71"/>
  <c r="N46" i="71"/>
  <c r="L46" i="71"/>
  <c r="B46" i="71"/>
  <c r="Z45" i="71"/>
  <c r="X45" i="71"/>
  <c r="N45" i="71"/>
  <c r="L45" i="71"/>
  <c r="J45" i="71"/>
  <c r="B45" i="71"/>
  <c r="Z44" i="71"/>
  <c r="X44" i="71"/>
  <c r="N44" i="71"/>
  <c r="L44" i="71"/>
  <c r="B44" i="71"/>
  <c r="Z43" i="71"/>
  <c r="X43" i="71"/>
  <c r="V43" i="71"/>
  <c r="N43" i="71"/>
  <c r="L43" i="71"/>
  <c r="B43" i="71"/>
  <c r="Z42" i="71"/>
  <c r="X42" i="71"/>
  <c r="L42" i="71"/>
  <c r="N42" i="71" s="1"/>
  <c r="B42" i="71"/>
  <c r="X41" i="71"/>
  <c r="T41" i="71"/>
  <c r="Z41" i="71" s="1"/>
  <c r="P41" i="71"/>
  <c r="N41" i="71"/>
  <c r="L41" i="71"/>
  <c r="H41" i="71"/>
  <c r="D41" i="71"/>
  <c r="Z39" i="71"/>
  <c r="X39" i="71"/>
  <c r="P39" i="71"/>
  <c r="N39" i="71"/>
  <c r="D39" i="71"/>
  <c r="L39" i="71" s="1"/>
  <c r="B39" i="71"/>
  <c r="Z38" i="71"/>
  <c r="X38" i="71"/>
  <c r="P38" i="71"/>
  <c r="N38" i="71"/>
  <c r="L38" i="71"/>
  <c r="D38" i="71"/>
  <c r="B38" i="71"/>
  <c r="Z37" i="71"/>
  <c r="X37" i="71"/>
  <c r="P37" i="71"/>
  <c r="N37" i="71"/>
  <c r="L37" i="71"/>
  <c r="D37" i="71"/>
  <c r="B37" i="71"/>
  <c r="Z36" i="71"/>
  <c r="X36" i="71"/>
  <c r="P36" i="71"/>
  <c r="N36" i="71"/>
  <c r="L36" i="71"/>
  <c r="D36" i="71"/>
  <c r="B36" i="71"/>
  <c r="Z35" i="71"/>
  <c r="P35" i="71"/>
  <c r="X35" i="71" s="1"/>
  <c r="N35" i="71"/>
  <c r="L35" i="71"/>
  <c r="D35" i="71"/>
  <c r="B35" i="71"/>
  <c r="Z34" i="71"/>
  <c r="P34" i="71"/>
  <c r="X34" i="71" s="1"/>
  <c r="N34" i="71"/>
  <c r="L34" i="71"/>
  <c r="D34" i="71"/>
  <c r="B34" i="71"/>
  <c r="Z33" i="71"/>
  <c r="P33" i="71"/>
  <c r="X33" i="71" s="1"/>
  <c r="N33" i="71"/>
  <c r="L33" i="71"/>
  <c r="D33" i="71"/>
  <c r="B33" i="71"/>
  <c r="Z32" i="71"/>
  <c r="P32" i="71"/>
  <c r="X32" i="71" s="1"/>
  <c r="N32" i="71"/>
  <c r="D32" i="71"/>
  <c r="L32" i="71" s="1"/>
  <c r="B32" i="71"/>
  <c r="Z31" i="71"/>
  <c r="P31" i="71"/>
  <c r="X31" i="71" s="1"/>
  <c r="N31" i="71"/>
  <c r="D31" i="71"/>
  <c r="L31" i="71" s="1"/>
  <c r="B31" i="71"/>
  <c r="Z30" i="71"/>
  <c r="P30" i="71"/>
  <c r="X30" i="71" s="1"/>
  <c r="N30" i="71"/>
  <c r="D30" i="71"/>
  <c r="L30" i="71" s="1"/>
  <c r="B30" i="71"/>
  <c r="Z29" i="71"/>
  <c r="X29" i="71"/>
  <c r="P29" i="71"/>
  <c r="N29" i="71"/>
  <c r="D29" i="71"/>
  <c r="L29" i="71" s="1"/>
  <c r="B29" i="71"/>
  <c r="Z28" i="71"/>
  <c r="X28" i="71"/>
  <c r="P28" i="71"/>
  <c r="N28" i="71"/>
  <c r="D28" i="71"/>
  <c r="L28" i="71" s="1"/>
  <c r="B28" i="71"/>
  <c r="Z27" i="71"/>
  <c r="X27" i="71"/>
  <c r="P27" i="71"/>
  <c r="N27" i="71"/>
  <c r="D27" i="71"/>
  <c r="L27" i="71" s="1"/>
  <c r="B27" i="71"/>
  <c r="Z26" i="71"/>
  <c r="X26" i="71"/>
  <c r="P26" i="71"/>
  <c r="N26" i="71"/>
  <c r="L26" i="71"/>
  <c r="D26" i="71"/>
  <c r="B26" i="71"/>
  <c r="Z25" i="71"/>
  <c r="X25" i="71"/>
  <c r="P25" i="71"/>
  <c r="N25" i="71"/>
  <c r="L25" i="71"/>
  <c r="D25" i="71"/>
  <c r="B25" i="71"/>
  <c r="Z24" i="71"/>
  <c r="X24" i="71"/>
  <c r="P24" i="71"/>
  <c r="N24" i="71"/>
  <c r="L24" i="71"/>
  <c r="D24" i="71"/>
  <c r="B24" i="71"/>
  <c r="Z23" i="71"/>
  <c r="P23" i="71"/>
  <c r="X23" i="71" s="1"/>
  <c r="N23" i="71"/>
  <c r="L23" i="71"/>
  <c r="D23" i="71"/>
  <c r="B23" i="71"/>
  <c r="Z22" i="71"/>
  <c r="P22" i="71"/>
  <c r="X22" i="71" s="1"/>
  <c r="N22" i="71"/>
  <c r="L22" i="71"/>
  <c r="D22" i="71"/>
  <c r="B22" i="71"/>
  <c r="P21" i="71"/>
  <c r="X21" i="71" s="1"/>
  <c r="Z21" i="71" s="1"/>
  <c r="L21" i="71"/>
  <c r="N21" i="71" s="1"/>
  <c r="D21" i="71"/>
  <c r="B21" i="71"/>
  <c r="Z20" i="71"/>
  <c r="P20" i="71"/>
  <c r="X20" i="71" s="1"/>
  <c r="N20" i="71"/>
  <c r="D20" i="71"/>
  <c r="L20" i="71" s="1"/>
  <c r="B20" i="71"/>
  <c r="Z19" i="71"/>
  <c r="P19" i="71"/>
  <c r="X19" i="71" s="1"/>
  <c r="N19" i="71"/>
  <c r="D19" i="71"/>
  <c r="L19" i="71" s="1"/>
  <c r="B19" i="71"/>
  <c r="Z18" i="71"/>
  <c r="P18" i="71"/>
  <c r="X18" i="71" s="1"/>
  <c r="N18" i="71"/>
  <c r="D18" i="71"/>
  <c r="L18" i="71" s="1"/>
  <c r="B18" i="71"/>
  <c r="Z17" i="71"/>
  <c r="X17" i="71"/>
  <c r="P17" i="71"/>
  <c r="N17" i="71"/>
  <c r="D17" i="71"/>
  <c r="L17" i="71" s="1"/>
  <c r="B17" i="71"/>
  <c r="Z16" i="71"/>
  <c r="X16" i="71"/>
  <c r="P16" i="71"/>
  <c r="N16" i="71"/>
  <c r="D16" i="71"/>
  <c r="L16" i="71" s="1"/>
  <c r="B16" i="71"/>
  <c r="Z15" i="71"/>
  <c r="X15" i="71"/>
  <c r="P15" i="71"/>
  <c r="N15" i="71"/>
  <c r="D15" i="71"/>
  <c r="L15" i="71" s="1"/>
  <c r="B15" i="71"/>
  <c r="Z14" i="71"/>
  <c r="X14" i="71"/>
  <c r="P14" i="71"/>
  <c r="N14" i="71"/>
  <c r="L14" i="71"/>
  <c r="D14" i="71"/>
  <c r="B14" i="71"/>
  <c r="Z13" i="71"/>
  <c r="X13" i="71"/>
  <c r="P13" i="71"/>
  <c r="N13" i="71"/>
  <c r="L13" i="71"/>
  <c r="D13" i="71"/>
  <c r="B13" i="71"/>
  <c r="T12" i="71"/>
  <c r="V121" i="71" s="1"/>
  <c r="H12" i="71"/>
  <c r="D6" i="71"/>
  <c r="D4" i="71"/>
  <c r="X79" i="70"/>
  <c r="Z79" i="70" s="1"/>
  <c r="N79" i="70"/>
  <c r="L79" i="70"/>
  <c r="J79" i="70"/>
  <c r="T75" i="70"/>
  <c r="Z75" i="70" s="1"/>
  <c r="P75" i="70"/>
  <c r="L75" i="70"/>
  <c r="H75" i="70"/>
  <c r="N75" i="70" s="1"/>
  <c r="D75" i="70"/>
  <c r="Z73" i="70"/>
  <c r="X73" i="70"/>
  <c r="R73" i="70"/>
  <c r="N73" i="70"/>
  <c r="L73" i="70"/>
  <c r="B73" i="70"/>
  <c r="X72" i="70"/>
  <c r="T72" i="70"/>
  <c r="P72" i="70"/>
  <c r="N72" i="70"/>
  <c r="J72" i="70"/>
  <c r="H72" i="70"/>
  <c r="D72" i="70"/>
  <c r="L72" i="70" s="1"/>
  <c r="B72" i="70"/>
  <c r="Z71" i="70"/>
  <c r="X71" i="70"/>
  <c r="L71" i="70"/>
  <c r="N71" i="70" s="1"/>
  <c r="B71" i="70"/>
  <c r="T70" i="70"/>
  <c r="P70" i="70"/>
  <c r="J70" i="70"/>
  <c r="H70" i="70"/>
  <c r="D70" i="70"/>
  <c r="L70" i="70" s="1"/>
  <c r="B70" i="70"/>
  <c r="Z69" i="70"/>
  <c r="X69" i="70"/>
  <c r="V69" i="70"/>
  <c r="N69" i="70"/>
  <c r="L69" i="70"/>
  <c r="B69" i="70"/>
  <c r="Z68" i="70"/>
  <c r="X68" i="70"/>
  <c r="N68" i="70"/>
  <c r="L68" i="70"/>
  <c r="B68" i="70"/>
  <c r="Z67" i="70"/>
  <c r="X67" i="70"/>
  <c r="N67" i="70"/>
  <c r="L67" i="70"/>
  <c r="B67" i="70"/>
  <c r="X66" i="70"/>
  <c r="Z66" i="70" s="1"/>
  <c r="T66" i="70"/>
  <c r="R66" i="70"/>
  <c r="P66" i="70"/>
  <c r="H66" i="70"/>
  <c r="D66" i="70"/>
  <c r="L66" i="70" s="1"/>
  <c r="N66" i="70" s="1"/>
  <c r="B66" i="70"/>
  <c r="Z65" i="70"/>
  <c r="X65" i="70"/>
  <c r="R65" i="70"/>
  <c r="N65" i="70"/>
  <c r="L65" i="70"/>
  <c r="B65" i="70"/>
  <c r="Z64" i="70"/>
  <c r="X64" i="70"/>
  <c r="R64" i="70"/>
  <c r="N64" i="70"/>
  <c r="L64" i="70"/>
  <c r="J64" i="70"/>
  <c r="B64" i="70"/>
  <c r="X63" i="70"/>
  <c r="Z63" i="70" s="1"/>
  <c r="N63" i="70"/>
  <c r="L63" i="70"/>
  <c r="J63" i="70"/>
  <c r="B63" i="70"/>
  <c r="T62" i="70"/>
  <c r="P62" i="70"/>
  <c r="X62" i="70" s="1"/>
  <c r="Z62" i="70" s="1"/>
  <c r="L62" i="70"/>
  <c r="H62" i="70"/>
  <c r="N62" i="70" s="1"/>
  <c r="D62" i="70"/>
  <c r="B62" i="70"/>
  <c r="X61" i="70"/>
  <c r="Z61" i="70" s="1"/>
  <c r="N61" i="70"/>
  <c r="L61" i="70"/>
  <c r="J61" i="70"/>
  <c r="B61" i="70"/>
  <c r="Z60" i="70"/>
  <c r="X60" i="70"/>
  <c r="V60" i="70"/>
  <c r="N60" i="70"/>
  <c r="L60" i="70"/>
  <c r="B60" i="70"/>
  <c r="T59" i="70"/>
  <c r="P59" i="70"/>
  <c r="X59" i="70" s="1"/>
  <c r="Z59" i="70" s="1"/>
  <c r="L59" i="70"/>
  <c r="H59" i="70"/>
  <c r="N59" i="70" s="1"/>
  <c r="D59" i="70"/>
  <c r="B59" i="70"/>
  <c r="X58" i="70"/>
  <c r="Z58" i="70" s="1"/>
  <c r="N58" i="70"/>
  <c r="L58" i="70"/>
  <c r="J58" i="70"/>
  <c r="B58" i="70"/>
  <c r="Z57" i="70"/>
  <c r="X57" i="70"/>
  <c r="V57" i="70"/>
  <c r="T57" i="70"/>
  <c r="R57" i="70"/>
  <c r="P57" i="70"/>
  <c r="L57" i="70"/>
  <c r="H57" i="70"/>
  <c r="D57" i="70"/>
  <c r="B57" i="70"/>
  <c r="Z56" i="70"/>
  <c r="X56" i="70"/>
  <c r="R56" i="70"/>
  <c r="N56" i="70"/>
  <c r="L56" i="70"/>
  <c r="J56" i="70"/>
  <c r="B56" i="70"/>
  <c r="X55" i="70"/>
  <c r="T55" i="70"/>
  <c r="Z55" i="70" s="1"/>
  <c r="R55" i="70"/>
  <c r="P55" i="70"/>
  <c r="H55" i="70"/>
  <c r="N55" i="70" s="1"/>
  <c r="D55" i="70"/>
  <c r="L55" i="70" s="1"/>
  <c r="B55" i="70"/>
  <c r="Z54" i="70"/>
  <c r="X54" i="70"/>
  <c r="R54" i="70"/>
  <c r="L54" i="70"/>
  <c r="N54" i="70" s="1"/>
  <c r="B54" i="70"/>
  <c r="Z53" i="70"/>
  <c r="X53" i="70"/>
  <c r="N53" i="70"/>
  <c r="L53" i="70"/>
  <c r="J53" i="70"/>
  <c r="B53" i="70"/>
  <c r="V52" i="70"/>
  <c r="T52" i="70"/>
  <c r="R52" i="70"/>
  <c r="P52" i="70"/>
  <c r="X52" i="70" s="1"/>
  <c r="H52" i="70"/>
  <c r="D52" i="70"/>
  <c r="B52" i="70"/>
  <c r="X51" i="70"/>
  <c r="Z51" i="70" s="1"/>
  <c r="R51" i="70"/>
  <c r="L51" i="70"/>
  <c r="N51" i="70" s="1"/>
  <c r="B51" i="70"/>
  <c r="X50" i="70"/>
  <c r="Z50" i="70" s="1"/>
  <c r="T50" i="70"/>
  <c r="R50" i="70"/>
  <c r="P50" i="70"/>
  <c r="H50" i="70"/>
  <c r="D50" i="70"/>
  <c r="L50" i="70" s="1"/>
  <c r="N50" i="70" s="1"/>
  <c r="B50" i="70"/>
  <c r="Z49" i="70"/>
  <c r="X49" i="70"/>
  <c r="R49" i="70"/>
  <c r="N49" i="70"/>
  <c r="L49" i="70"/>
  <c r="B49" i="70"/>
  <c r="T48" i="70"/>
  <c r="P48" i="70"/>
  <c r="N48" i="70"/>
  <c r="J48" i="70"/>
  <c r="H48" i="70"/>
  <c r="D48" i="70"/>
  <c r="L48" i="70" s="1"/>
  <c r="B48" i="70"/>
  <c r="Z47" i="70"/>
  <c r="X47" i="70"/>
  <c r="N47" i="70"/>
  <c r="L47" i="70"/>
  <c r="B47" i="70"/>
  <c r="T46" i="70"/>
  <c r="Z46" i="70" s="1"/>
  <c r="P46" i="70"/>
  <c r="X46" i="70" s="1"/>
  <c r="J46" i="70"/>
  <c r="H46" i="70"/>
  <c r="N46" i="70" s="1"/>
  <c r="D46" i="70"/>
  <c r="L46" i="70" s="1"/>
  <c r="B46" i="70"/>
  <c r="Z45" i="70"/>
  <c r="X45" i="70"/>
  <c r="N45" i="70"/>
  <c r="L45" i="70"/>
  <c r="F45" i="70"/>
  <c r="B45" i="70"/>
  <c r="Z44" i="70"/>
  <c r="X44" i="70"/>
  <c r="N44" i="70"/>
  <c r="L44" i="70"/>
  <c r="F44" i="70"/>
  <c r="B44" i="70"/>
  <c r="X43" i="70"/>
  <c r="Z43" i="70" s="1"/>
  <c r="R43" i="70"/>
  <c r="L43" i="70"/>
  <c r="N43" i="70" s="1"/>
  <c r="B43" i="70"/>
  <c r="X42" i="70"/>
  <c r="Z42" i="70" s="1"/>
  <c r="N42" i="70"/>
  <c r="L42" i="70"/>
  <c r="J42" i="70"/>
  <c r="B42" i="70"/>
  <c r="Z41" i="70"/>
  <c r="X41" i="70"/>
  <c r="N41" i="70"/>
  <c r="L41" i="70"/>
  <c r="B41" i="70"/>
  <c r="Z40" i="70"/>
  <c r="X40" i="70"/>
  <c r="N40" i="70"/>
  <c r="L40" i="70"/>
  <c r="B40" i="70"/>
  <c r="Z39" i="70"/>
  <c r="X39" i="70"/>
  <c r="R39" i="70"/>
  <c r="N39" i="70"/>
  <c r="L39" i="70"/>
  <c r="B39" i="70"/>
  <c r="Z38" i="70"/>
  <c r="X38" i="70"/>
  <c r="N38" i="70"/>
  <c r="L38" i="70"/>
  <c r="J38" i="70"/>
  <c r="B38" i="70"/>
  <c r="Z37" i="70"/>
  <c r="X37" i="70"/>
  <c r="V37" i="70"/>
  <c r="N37" i="70"/>
  <c r="L37" i="70"/>
  <c r="F37" i="70"/>
  <c r="B37" i="70"/>
  <c r="Z36" i="70"/>
  <c r="X36" i="70"/>
  <c r="L36" i="70"/>
  <c r="N36" i="70" s="1"/>
  <c r="B36" i="70"/>
  <c r="X35" i="70"/>
  <c r="T35" i="70"/>
  <c r="P35" i="70"/>
  <c r="J35" i="70"/>
  <c r="H35" i="70"/>
  <c r="F35" i="70"/>
  <c r="D35" i="70"/>
  <c r="L35" i="70" s="1"/>
  <c r="B35" i="70"/>
  <c r="Z34" i="70"/>
  <c r="X34" i="70"/>
  <c r="N34" i="70"/>
  <c r="L34" i="70"/>
  <c r="B34" i="70"/>
  <c r="Z33" i="70"/>
  <c r="X33" i="70"/>
  <c r="R33" i="70"/>
  <c r="L33" i="70"/>
  <c r="N33" i="70" s="1"/>
  <c r="B33" i="70"/>
  <c r="X32" i="70"/>
  <c r="Z32" i="70" s="1"/>
  <c r="R32" i="70"/>
  <c r="N32" i="70"/>
  <c r="L32" i="70"/>
  <c r="J32" i="70"/>
  <c r="B32" i="70"/>
  <c r="Z31" i="70"/>
  <c r="X31" i="70"/>
  <c r="N31" i="70"/>
  <c r="L31" i="70"/>
  <c r="J31" i="70"/>
  <c r="B31" i="70"/>
  <c r="Z30" i="70"/>
  <c r="X30" i="70"/>
  <c r="N30" i="70"/>
  <c r="L30" i="70"/>
  <c r="B30" i="70"/>
  <c r="Z29" i="70"/>
  <c r="X29" i="70"/>
  <c r="R29" i="70"/>
  <c r="L29" i="70"/>
  <c r="N29" i="70" s="1"/>
  <c r="B29" i="70"/>
  <c r="X28" i="70"/>
  <c r="Z28" i="70" s="1"/>
  <c r="R28" i="70"/>
  <c r="N28" i="70"/>
  <c r="L28" i="70"/>
  <c r="J28" i="70"/>
  <c r="B28" i="70"/>
  <c r="X27" i="70"/>
  <c r="Z27" i="70" s="1"/>
  <c r="N27" i="70"/>
  <c r="L27" i="70"/>
  <c r="J27" i="70"/>
  <c r="B27" i="70"/>
  <c r="Z26" i="70"/>
  <c r="X26" i="70"/>
  <c r="L26" i="70"/>
  <c r="N26" i="70" s="1"/>
  <c r="B26" i="70"/>
  <c r="T25" i="70"/>
  <c r="P25" i="70"/>
  <c r="H25" i="70"/>
  <c r="F25" i="70"/>
  <c r="D25" i="70"/>
  <c r="L25" i="70" s="1"/>
  <c r="B25" i="70"/>
  <c r="V24" i="70"/>
  <c r="T24" i="70"/>
  <c r="Z24" i="70" s="1"/>
  <c r="R24" i="70"/>
  <c r="P24" i="70"/>
  <c r="X24" i="70" s="1"/>
  <c r="H24" i="70"/>
  <c r="D24" i="70"/>
  <c r="H22" i="70"/>
  <c r="Z20" i="70"/>
  <c r="X20" i="70"/>
  <c r="V20" i="70"/>
  <c r="N20" i="70"/>
  <c r="L20" i="70"/>
  <c r="B20" i="70"/>
  <c r="Z19" i="70"/>
  <c r="X19" i="70"/>
  <c r="V19" i="70"/>
  <c r="N19" i="70"/>
  <c r="L19" i="70"/>
  <c r="J19" i="70"/>
  <c r="F19" i="70"/>
  <c r="B19" i="70"/>
  <c r="X18" i="70"/>
  <c r="Z18" i="70" s="1"/>
  <c r="R18" i="70"/>
  <c r="L18" i="70"/>
  <c r="N18" i="70" s="1"/>
  <c r="B18" i="70"/>
  <c r="X17" i="70"/>
  <c r="Z17" i="70" s="1"/>
  <c r="T17" i="70"/>
  <c r="P17" i="70"/>
  <c r="J17" i="70"/>
  <c r="H17" i="70"/>
  <c r="D17" i="70"/>
  <c r="Z15" i="70"/>
  <c r="X15" i="70"/>
  <c r="P15" i="70"/>
  <c r="N15" i="70"/>
  <c r="D15" i="70"/>
  <c r="L15" i="70" s="1"/>
  <c r="B15" i="70"/>
  <c r="X14" i="70"/>
  <c r="Z14" i="70" s="1"/>
  <c r="P14" i="70"/>
  <c r="L14" i="70"/>
  <c r="N14" i="70" s="1"/>
  <c r="D14" i="70"/>
  <c r="D12" i="70" s="1"/>
  <c r="B14" i="70"/>
  <c r="Z13" i="70"/>
  <c r="X13" i="70"/>
  <c r="P13" i="70"/>
  <c r="N13" i="70"/>
  <c r="L13" i="70"/>
  <c r="D13" i="70"/>
  <c r="B13" i="70"/>
  <c r="T12" i="70"/>
  <c r="V47" i="70" s="1"/>
  <c r="P12" i="70"/>
  <c r="R72" i="70" s="1"/>
  <c r="H12" i="70"/>
  <c r="J54" i="70" s="1"/>
  <c r="D6" i="70"/>
  <c r="D4" i="70"/>
  <c r="X122" i="69"/>
  <c r="Z122" i="69" s="1"/>
  <c r="N122" i="69"/>
  <c r="L122" i="69"/>
  <c r="T118" i="69"/>
  <c r="Z118" i="69" s="1"/>
  <c r="P118" i="69"/>
  <c r="X118" i="69" s="1"/>
  <c r="H118" i="69"/>
  <c r="N118" i="69" s="1"/>
  <c r="D118" i="69"/>
  <c r="L118" i="69" s="1"/>
  <c r="X116" i="69"/>
  <c r="Z116" i="69" s="1"/>
  <c r="L116" i="69"/>
  <c r="N116" i="69" s="1"/>
  <c r="B116" i="69"/>
  <c r="X115" i="69"/>
  <c r="Z115" i="69" s="1"/>
  <c r="T115" i="69"/>
  <c r="P115" i="69"/>
  <c r="N115" i="69"/>
  <c r="H115" i="69"/>
  <c r="D115" i="69"/>
  <c r="L115" i="69" s="1"/>
  <c r="B115" i="69"/>
  <c r="Z114" i="69"/>
  <c r="X114" i="69"/>
  <c r="L114" i="69"/>
  <c r="N114" i="69" s="1"/>
  <c r="B114" i="69"/>
  <c r="X113" i="69"/>
  <c r="T113" i="69"/>
  <c r="P113" i="69"/>
  <c r="H113" i="69"/>
  <c r="N113" i="69" s="1"/>
  <c r="D113" i="69"/>
  <c r="L113" i="69" s="1"/>
  <c r="B113" i="69"/>
  <c r="Z112" i="69"/>
  <c r="X112" i="69"/>
  <c r="V112" i="69"/>
  <c r="N112" i="69"/>
  <c r="L112" i="69"/>
  <c r="B112" i="69"/>
  <c r="Z111" i="69"/>
  <c r="X111" i="69"/>
  <c r="L111" i="69"/>
  <c r="N111" i="69" s="1"/>
  <c r="B111" i="69"/>
  <c r="X110" i="69"/>
  <c r="T110" i="69"/>
  <c r="P110" i="69"/>
  <c r="N110" i="69"/>
  <c r="L110" i="69"/>
  <c r="H110" i="69"/>
  <c r="D110" i="69"/>
  <c r="B110" i="69"/>
  <c r="Z109" i="69"/>
  <c r="X109" i="69"/>
  <c r="V109" i="69"/>
  <c r="L109" i="69"/>
  <c r="N109" i="69" s="1"/>
  <c r="B109" i="69"/>
  <c r="X108" i="69"/>
  <c r="Z108" i="69" s="1"/>
  <c r="L108" i="69"/>
  <c r="N108" i="69" s="1"/>
  <c r="B108" i="69"/>
  <c r="X107" i="69"/>
  <c r="Z107" i="69" s="1"/>
  <c r="T107" i="69"/>
  <c r="P107" i="69"/>
  <c r="N107" i="69"/>
  <c r="H107" i="69"/>
  <c r="D107" i="69"/>
  <c r="L107" i="69" s="1"/>
  <c r="B107" i="69"/>
  <c r="Z106" i="69"/>
  <c r="X106" i="69"/>
  <c r="L106" i="69"/>
  <c r="N106" i="69" s="1"/>
  <c r="B106" i="69"/>
  <c r="Z105" i="69"/>
  <c r="X105" i="69"/>
  <c r="N105" i="69"/>
  <c r="L105" i="69"/>
  <c r="B105" i="69"/>
  <c r="X104" i="69"/>
  <c r="T104" i="69"/>
  <c r="P104" i="69"/>
  <c r="H104" i="69"/>
  <c r="D104" i="69"/>
  <c r="L104" i="69" s="1"/>
  <c r="N104" i="69" s="1"/>
  <c r="B104" i="69"/>
  <c r="Z103" i="69"/>
  <c r="X103" i="69"/>
  <c r="L103" i="69"/>
  <c r="N103" i="69" s="1"/>
  <c r="B103" i="69"/>
  <c r="X102" i="69"/>
  <c r="T102" i="69"/>
  <c r="P102" i="69"/>
  <c r="N102" i="69"/>
  <c r="L102" i="69"/>
  <c r="H102" i="69"/>
  <c r="D102" i="69"/>
  <c r="B102" i="69"/>
  <c r="Z101" i="69"/>
  <c r="X101" i="69"/>
  <c r="V101" i="69"/>
  <c r="L101" i="69"/>
  <c r="N101" i="69" s="1"/>
  <c r="B101" i="69"/>
  <c r="T100" i="69"/>
  <c r="P100" i="69"/>
  <c r="H100" i="69"/>
  <c r="D100" i="69"/>
  <c r="L100" i="69" s="1"/>
  <c r="B100" i="69"/>
  <c r="X99" i="69"/>
  <c r="Z99" i="69" s="1"/>
  <c r="V99" i="69"/>
  <c r="N99" i="69"/>
  <c r="L99" i="69"/>
  <c r="B99" i="69"/>
  <c r="Z98" i="69"/>
  <c r="T98" i="69"/>
  <c r="P98" i="69"/>
  <c r="X98" i="69" s="1"/>
  <c r="L98" i="69"/>
  <c r="H98" i="69"/>
  <c r="N98" i="69" s="1"/>
  <c r="D98" i="69"/>
  <c r="B98" i="69"/>
  <c r="Z97" i="69"/>
  <c r="X97" i="69"/>
  <c r="N97" i="69"/>
  <c r="L97" i="69"/>
  <c r="B97" i="69"/>
  <c r="X96" i="69"/>
  <c r="Z96" i="69" s="1"/>
  <c r="V96" i="69"/>
  <c r="L96" i="69"/>
  <c r="N96" i="69" s="1"/>
  <c r="B96" i="69"/>
  <c r="T95" i="69"/>
  <c r="P95" i="69"/>
  <c r="X95" i="69" s="1"/>
  <c r="Z95" i="69" s="1"/>
  <c r="H95" i="69"/>
  <c r="D95" i="69"/>
  <c r="L95" i="69" s="1"/>
  <c r="N95" i="69" s="1"/>
  <c r="B95" i="69"/>
  <c r="Z94" i="69"/>
  <c r="X94" i="69"/>
  <c r="N94" i="69"/>
  <c r="L94" i="69"/>
  <c r="B94" i="69"/>
  <c r="Z93" i="69"/>
  <c r="T93" i="69"/>
  <c r="P93" i="69"/>
  <c r="X93" i="69" s="1"/>
  <c r="N93" i="69"/>
  <c r="L93" i="69"/>
  <c r="H93" i="69"/>
  <c r="D93" i="69"/>
  <c r="B93" i="69"/>
  <c r="X92" i="69"/>
  <c r="Z92" i="69" s="1"/>
  <c r="N92" i="69"/>
  <c r="L92" i="69"/>
  <c r="B92" i="69"/>
  <c r="X91" i="69"/>
  <c r="T91" i="69"/>
  <c r="Z91" i="69" s="1"/>
  <c r="P91" i="69"/>
  <c r="H91" i="69"/>
  <c r="L91" i="69" s="1"/>
  <c r="D91" i="69"/>
  <c r="B91" i="69"/>
  <c r="Z90" i="69"/>
  <c r="X90" i="69"/>
  <c r="N90" i="69"/>
  <c r="L90" i="69"/>
  <c r="B90" i="69"/>
  <c r="Z89" i="69"/>
  <c r="X89" i="69"/>
  <c r="N89" i="69"/>
  <c r="L89" i="69"/>
  <c r="B89" i="69"/>
  <c r="Z88" i="69"/>
  <c r="X88" i="69"/>
  <c r="N88" i="69"/>
  <c r="L88" i="69"/>
  <c r="B88" i="69"/>
  <c r="Z87" i="69"/>
  <c r="X87" i="69"/>
  <c r="N87" i="69"/>
  <c r="L87" i="69"/>
  <c r="B87" i="69"/>
  <c r="Z86" i="69"/>
  <c r="X86" i="69"/>
  <c r="N86" i="69"/>
  <c r="L86" i="69"/>
  <c r="B86" i="69"/>
  <c r="Z85" i="69"/>
  <c r="X85" i="69"/>
  <c r="N85" i="69"/>
  <c r="L85" i="69"/>
  <c r="B85" i="69"/>
  <c r="Z84" i="69"/>
  <c r="X84" i="69"/>
  <c r="N84" i="69"/>
  <c r="L84" i="69"/>
  <c r="B84" i="69"/>
  <c r="Z83" i="69"/>
  <c r="X83" i="69"/>
  <c r="N83" i="69"/>
  <c r="L83" i="69"/>
  <c r="B83" i="69"/>
  <c r="Z82" i="69"/>
  <c r="X82" i="69"/>
  <c r="N82" i="69"/>
  <c r="L82" i="69"/>
  <c r="B82" i="69"/>
  <c r="X81" i="69"/>
  <c r="Z81" i="69" s="1"/>
  <c r="N81" i="69"/>
  <c r="L81" i="69"/>
  <c r="B81" i="69"/>
  <c r="T80" i="69"/>
  <c r="P80" i="69"/>
  <c r="H80" i="69"/>
  <c r="D80" i="69"/>
  <c r="L80" i="69" s="1"/>
  <c r="N80" i="69" s="1"/>
  <c r="B80" i="69"/>
  <c r="Z79" i="69"/>
  <c r="X79" i="69"/>
  <c r="V79" i="69"/>
  <c r="N79" i="69"/>
  <c r="L79" i="69"/>
  <c r="B79" i="69"/>
  <c r="Z78" i="69"/>
  <c r="X78" i="69"/>
  <c r="V78" i="69"/>
  <c r="L78" i="69"/>
  <c r="N78" i="69" s="1"/>
  <c r="B78" i="69"/>
  <c r="Z77" i="69"/>
  <c r="X77" i="69"/>
  <c r="L77" i="69"/>
  <c r="N77" i="69" s="1"/>
  <c r="B77" i="69"/>
  <c r="Z76" i="69"/>
  <c r="X76" i="69"/>
  <c r="V76" i="69"/>
  <c r="N76" i="69"/>
  <c r="L76" i="69"/>
  <c r="B76" i="69"/>
  <c r="X75" i="69"/>
  <c r="Z75" i="69" s="1"/>
  <c r="V75" i="69"/>
  <c r="L75" i="69"/>
  <c r="N75" i="69" s="1"/>
  <c r="B75" i="69"/>
  <c r="Z74" i="69"/>
  <c r="X74" i="69"/>
  <c r="V74" i="69"/>
  <c r="L74" i="69"/>
  <c r="N74" i="69" s="1"/>
  <c r="B74" i="69"/>
  <c r="Z73" i="69"/>
  <c r="X73" i="69"/>
  <c r="L73" i="69"/>
  <c r="N73" i="69" s="1"/>
  <c r="B73" i="69"/>
  <c r="Z72" i="69"/>
  <c r="X72" i="69"/>
  <c r="V72" i="69"/>
  <c r="N72" i="69"/>
  <c r="L72" i="69"/>
  <c r="B72" i="69"/>
  <c r="X71" i="69"/>
  <c r="Z71" i="69" s="1"/>
  <c r="V71" i="69"/>
  <c r="L71" i="69"/>
  <c r="N71" i="69" s="1"/>
  <c r="B71" i="69"/>
  <c r="V70" i="69"/>
  <c r="T70" i="69"/>
  <c r="P70" i="69"/>
  <c r="X70" i="69" s="1"/>
  <c r="Z70" i="69" s="1"/>
  <c r="N70" i="69"/>
  <c r="H70" i="69"/>
  <c r="L70" i="69" s="1"/>
  <c r="D70" i="69"/>
  <c r="B70" i="69"/>
  <c r="T69" i="69"/>
  <c r="P69" i="69"/>
  <c r="X69" i="69" s="1"/>
  <c r="L69" i="69"/>
  <c r="H69" i="69"/>
  <c r="N69" i="69" s="1"/>
  <c r="D69" i="69"/>
  <c r="Z65" i="69"/>
  <c r="X65" i="69"/>
  <c r="N65" i="69"/>
  <c r="L65" i="69"/>
  <c r="B65" i="69"/>
  <c r="Z64" i="69"/>
  <c r="X64" i="69"/>
  <c r="V64" i="69"/>
  <c r="N64" i="69"/>
  <c r="L64" i="69"/>
  <c r="B64" i="69"/>
  <c r="Z63" i="69"/>
  <c r="X63" i="69"/>
  <c r="N63" i="69"/>
  <c r="L63" i="69"/>
  <c r="B63" i="69"/>
  <c r="Z62" i="69"/>
  <c r="X62" i="69"/>
  <c r="V62" i="69"/>
  <c r="N62" i="69"/>
  <c r="L62" i="69"/>
  <c r="B62" i="69"/>
  <c r="Z61" i="69"/>
  <c r="X61" i="69"/>
  <c r="N61" i="69"/>
  <c r="L61" i="69"/>
  <c r="B61" i="69"/>
  <c r="Z60" i="69"/>
  <c r="X60" i="69"/>
  <c r="V60" i="69"/>
  <c r="N60" i="69"/>
  <c r="L60" i="69"/>
  <c r="B60" i="69"/>
  <c r="Z59" i="69"/>
  <c r="X59" i="69"/>
  <c r="N59" i="69"/>
  <c r="L59" i="69"/>
  <c r="B59" i="69"/>
  <c r="Z58" i="69"/>
  <c r="X58" i="69"/>
  <c r="V58" i="69"/>
  <c r="N58" i="69"/>
  <c r="L58" i="69"/>
  <c r="B58" i="69"/>
  <c r="Z57" i="69"/>
  <c r="X57" i="69"/>
  <c r="N57" i="69"/>
  <c r="L57" i="69"/>
  <c r="B57" i="69"/>
  <c r="Z56" i="69"/>
  <c r="X56" i="69"/>
  <c r="V56" i="69"/>
  <c r="N56" i="69"/>
  <c r="L56" i="69"/>
  <c r="B56" i="69"/>
  <c r="Z55" i="69"/>
  <c r="X55" i="69"/>
  <c r="N55" i="69"/>
  <c r="L55" i="69"/>
  <c r="B55" i="69"/>
  <c r="Z54" i="69"/>
  <c r="X54" i="69"/>
  <c r="V54" i="69"/>
  <c r="N54" i="69"/>
  <c r="L54" i="69"/>
  <c r="B54" i="69"/>
  <c r="Z53" i="69"/>
  <c r="X53" i="69"/>
  <c r="N53" i="69"/>
  <c r="L53" i="69"/>
  <c r="B53" i="69"/>
  <c r="Z52" i="69"/>
  <c r="X52" i="69"/>
  <c r="V52" i="69"/>
  <c r="N52" i="69"/>
  <c r="L52" i="69"/>
  <c r="B52" i="69"/>
  <c r="Z51" i="69"/>
  <c r="X51" i="69"/>
  <c r="N51" i="69"/>
  <c r="L51" i="69"/>
  <c r="B51" i="69"/>
  <c r="Z50" i="69"/>
  <c r="X50" i="69"/>
  <c r="V50" i="69"/>
  <c r="N50" i="69"/>
  <c r="L50" i="69"/>
  <c r="B50" i="69"/>
  <c r="Z49" i="69"/>
  <c r="X49" i="69"/>
  <c r="N49" i="69"/>
  <c r="L49" i="69"/>
  <c r="B49" i="69"/>
  <c r="Z48" i="69"/>
  <c r="X48" i="69"/>
  <c r="V48" i="69"/>
  <c r="N48" i="69"/>
  <c r="L48" i="69"/>
  <c r="B48" i="69"/>
  <c r="Z47" i="69"/>
  <c r="X47" i="69"/>
  <c r="N47" i="69"/>
  <c r="L47" i="69"/>
  <c r="B47" i="69"/>
  <c r="X46" i="69"/>
  <c r="Z46" i="69" s="1"/>
  <c r="V46" i="69"/>
  <c r="N46" i="69"/>
  <c r="L46" i="69"/>
  <c r="B46" i="69"/>
  <c r="T45" i="69"/>
  <c r="Z45" i="69" s="1"/>
  <c r="P45" i="69"/>
  <c r="X45" i="69" s="1"/>
  <c r="L45" i="69"/>
  <c r="H45" i="69"/>
  <c r="D45" i="69"/>
  <c r="Z43" i="69"/>
  <c r="X43" i="69"/>
  <c r="P43" i="69"/>
  <c r="N43" i="69"/>
  <c r="D43" i="69"/>
  <c r="L43" i="69" s="1"/>
  <c r="B43" i="69"/>
  <c r="Z42" i="69"/>
  <c r="X42" i="69"/>
  <c r="P42" i="69"/>
  <c r="N42" i="69"/>
  <c r="L42" i="69"/>
  <c r="D42" i="69"/>
  <c r="B42" i="69"/>
  <c r="Z41" i="69"/>
  <c r="P41" i="69"/>
  <c r="X41" i="69" s="1"/>
  <c r="N41" i="69"/>
  <c r="D41" i="69"/>
  <c r="L41" i="69" s="1"/>
  <c r="B41" i="69"/>
  <c r="Z40" i="69"/>
  <c r="P40" i="69"/>
  <c r="X40" i="69" s="1"/>
  <c r="N40" i="69"/>
  <c r="L40" i="69"/>
  <c r="D40" i="69"/>
  <c r="B40" i="69"/>
  <c r="Z39" i="69"/>
  <c r="X39" i="69"/>
  <c r="P39" i="69"/>
  <c r="N39" i="69"/>
  <c r="L39" i="69"/>
  <c r="D39" i="69"/>
  <c r="B39" i="69"/>
  <c r="Z38" i="69"/>
  <c r="P38" i="69"/>
  <c r="X38" i="69" s="1"/>
  <c r="N38" i="69"/>
  <c r="D38" i="69"/>
  <c r="L38" i="69" s="1"/>
  <c r="B38" i="69"/>
  <c r="Z37" i="69"/>
  <c r="X37" i="69"/>
  <c r="P37" i="69"/>
  <c r="N37" i="69"/>
  <c r="D37" i="69"/>
  <c r="L37" i="69" s="1"/>
  <c r="B37" i="69"/>
  <c r="Z36" i="69"/>
  <c r="P36" i="69"/>
  <c r="X36" i="69" s="1"/>
  <c r="N36" i="69"/>
  <c r="L36" i="69"/>
  <c r="D36" i="69"/>
  <c r="B36" i="69"/>
  <c r="Z35" i="69"/>
  <c r="X35" i="69"/>
  <c r="P35" i="69"/>
  <c r="N35" i="69"/>
  <c r="D35" i="69"/>
  <c r="L35" i="69" s="1"/>
  <c r="B35" i="69"/>
  <c r="Z34" i="69"/>
  <c r="P34" i="69"/>
  <c r="X34" i="69" s="1"/>
  <c r="N34" i="69"/>
  <c r="L34" i="69"/>
  <c r="D34" i="69"/>
  <c r="B34" i="69"/>
  <c r="Z33" i="69"/>
  <c r="X33" i="69"/>
  <c r="P33" i="69"/>
  <c r="N33" i="69"/>
  <c r="D33" i="69"/>
  <c r="L33" i="69" s="1"/>
  <c r="B33" i="69"/>
  <c r="Z32" i="69"/>
  <c r="P32" i="69"/>
  <c r="X32" i="69" s="1"/>
  <c r="N32" i="69"/>
  <c r="L32" i="69"/>
  <c r="D32" i="69"/>
  <c r="B32" i="69"/>
  <c r="Z31" i="69"/>
  <c r="X31" i="69"/>
  <c r="P31" i="69"/>
  <c r="N31" i="69"/>
  <c r="D31" i="69"/>
  <c r="L31" i="69" s="1"/>
  <c r="B31" i="69"/>
  <c r="Z30" i="69"/>
  <c r="X30" i="69"/>
  <c r="P30" i="69"/>
  <c r="N30" i="69"/>
  <c r="L30" i="69"/>
  <c r="D30" i="69"/>
  <c r="B30" i="69"/>
  <c r="P29" i="69"/>
  <c r="X29" i="69" s="1"/>
  <c r="Z29" i="69" s="1"/>
  <c r="N29" i="69"/>
  <c r="D29" i="69"/>
  <c r="L29" i="69" s="1"/>
  <c r="B29" i="69"/>
  <c r="Z28" i="69"/>
  <c r="P28" i="69"/>
  <c r="X28" i="69" s="1"/>
  <c r="N28" i="69"/>
  <c r="L28" i="69"/>
  <c r="D28" i="69"/>
  <c r="B28" i="69"/>
  <c r="Z27" i="69"/>
  <c r="X27" i="69"/>
  <c r="P27" i="69"/>
  <c r="N27" i="69"/>
  <c r="L27" i="69"/>
  <c r="D27" i="69"/>
  <c r="B27" i="69"/>
  <c r="Z26" i="69"/>
  <c r="P26" i="69"/>
  <c r="X26" i="69" s="1"/>
  <c r="N26" i="69"/>
  <c r="D26" i="69"/>
  <c r="L26" i="69" s="1"/>
  <c r="B26" i="69"/>
  <c r="Z25" i="69"/>
  <c r="X25" i="69"/>
  <c r="P25" i="69"/>
  <c r="N25" i="69"/>
  <c r="D25" i="69"/>
  <c r="L25" i="69" s="1"/>
  <c r="B25" i="69"/>
  <c r="Z24" i="69"/>
  <c r="P24" i="69"/>
  <c r="X24" i="69" s="1"/>
  <c r="N24" i="69"/>
  <c r="L24" i="69"/>
  <c r="D24" i="69"/>
  <c r="B24" i="69"/>
  <c r="Z23" i="69"/>
  <c r="X23" i="69"/>
  <c r="P23" i="69"/>
  <c r="N23" i="69"/>
  <c r="D23" i="69"/>
  <c r="L23" i="69" s="1"/>
  <c r="B23" i="69"/>
  <c r="Z22" i="69"/>
  <c r="P22" i="69"/>
  <c r="X22" i="69" s="1"/>
  <c r="N22" i="69"/>
  <c r="L22" i="69"/>
  <c r="D22" i="69"/>
  <c r="B22" i="69"/>
  <c r="Z21" i="69"/>
  <c r="X21" i="69"/>
  <c r="P21" i="69"/>
  <c r="N21" i="69"/>
  <c r="D21" i="69"/>
  <c r="L21" i="69" s="1"/>
  <c r="B21" i="69"/>
  <c r="Z20" i="69"/>
  <c r="P20" i="69"/>
  <c r="X20" i="69" s="1"/>
  <c r="N20" i="69"/>
  <c r="L20" i="69"/>
  <c r="D20" i="69"/>
  <c r="B20" i="69"/>
  <c r="Z19" i="69"/>
  <c r="X19" i="69"/>
  <c r="P19" i="69"/>
  <c r="N19" i="69"/>
  <c r="D19" i="69"/>
  <c r="L19" i="69" s="1"/>
  <c r="B19" i="69"/>
  <c r="Z18" i="69"/>
  <c r="X18" i="69"/>
  <c r="P18" i="69"/>
  <c r="N18" i="69"/>
  <c r="L18" i="69"/>
  <c r="D18" i="69"/>
  <c r="B18" i="69"/>
  <c r="Z17" i="69"/>
  <c r="P17" i="69"/>
  <c r="X17" i="69" s="1"/>
  <c r="N17" i="69"/>
  <c r="D17" i="69"/>
  <c r="L17" i="69" s="1"/>
  <c r="B17" i="69"/>
  <c r="Z16" i="69"/>
  <c r="P16" i="69"/>
  <c r="X16" i="69" s="1"/>
  <c r="N16" i="69"/>
  <c r="L16" i="69"/>
  <c r="D16" i="69"/>
  <c r="B16" i="69"/>
  <c r="Z15" i="69"/>
  <c r="X15" i="69"/>
  <c r="P15" i="69"/>
  <c r="N15" i="69"/>
  <c r="L15" i="69"/>
  <c r="D15" i="69"/>
  <c r="B15" i="69"/>
  <c r="Z14" i="69"/>
  <c r="P14" i="69"/>
  <c r="X14" i="69" s="1"/>
  <c r="N14" i="69"/>
  <c r="D14" i="69"/>
  <c r="L14" i="69" s="1"/>
  <c r="B14" i="69"/>
  <c r="X13" i="69"/>
  <c r="Z13" i="69" s="1"/>
  <c r="P13" i="69"/>
  <c r="D13" i="69"/>
  <c r="B13" i="69"/>
  <c r="T12" i="69"/>
  <c r="V94" i="69" s="1"/>
  <c r="H12" i="69"/>
  <c r="D6" i="69"/>
  <c r="D4" i="69"/>
  <c r="V72" i="68"/>
  <c r="J72" i="68"/>
  <c r="V69" i="68"/>
  <c r="J69" i="68"/>
  <c r="Z67" i="68"/>
  <c r="X67" i="68"/>
  <c r="V67" i="68"/>
  <c r="N67" i="68"/>
  <c r="L67" i="68"/>
  <c r="J67" i="68"/>
  <c r="R65" i="68"/>
  <c r="Z63" i="68"/>
  <c r="T63" i="68"/>
  <c r="R63" i="68"/>
  <c r="P63" i="68"/>
  <c r="X63" i="68" s="1"/>
  <c r="N63" i="68"/>
  <c r="H63" i="68"/>
  <c r="L63" i="68" s="1"/>
  <c r="F63" i="68"/>
  <c r="D63" i="68"/>
  <c r="Z61" i="68"/>
  <c r="X61" i="68"/>
  <c r="N61" i="68"/>
  <c r="L61" i="68"/>
  <c r="J61" i="68"/>
  <c r="B61" i="68"/>
  <c r="T60" i="68"/>
  <c r="P60" i="68"/>
  <c r="H60" i="68"/>
  <c r="D60" i="68"/>
  <c r="B60" i="68"/>
  <c r="Z59" i="68"/>
  <c r="X59" i="68"/>
  <c r="V59" i="68"/>
  <c r="N59" i="68"/>
  <c r="L59" i="68"/>
  <c r="J59" i="68"/>
  <c r="B59" i="68"/>
  <c r="V58" i="68"/>
  <c r="T58" i="68"/>
  <c r="P58" i="68"/>
  <c r="X58" i="68" s="1"/>
  <c r="H58" i="68"/>
  <c r="N58" i="68" s="1"/>
  <c r="D58" i="68"/>
  <c r="L58" i="68" s="1"/>
  <c r="B58" i="68"/>
  <c r="X57" i="68"/>
  <c r="Z57" i="68" s="1"/>
  <c r="V57" i="68"/>
  <c r="N57" i="68"/>
  <c r="L57" i="68"/>
  <c r="B57" i="68"/>
  <c r="X56" i="68"/>
  <c r="Z56" i="68" s="1"/>
  <c r="R56" i="68"/>
  <c r="N56" i="68"/>
  <c r="L56" i="68"/>
  <c r="F56" i="68"/>
  <c r="B56" i="68"/>
  <c r="Z55" i="68"/>
  <c r="X55" i="68"/>
  <c r="V55" i="68"/>
  <c r="N55" i="68"/>
  <c r="L55" i="68"/>
  <c r="B55" i="68"/>
  <c r="Z54" i="68"/>
  <c r="X54" i="68"/>
  <c r="N54" i="68"/>
  <c r="L54" i="68"/>
  <c r="B54" i="68"/>
  <c r="X53" i="68"/>
  <c r="Z53" i="68" s="1"/>
  <c r="V53" i="68"/>
  <c r="T53" i="68"/>
  <c r="R53" i="68"/>
  <c r="P53" i="68"/>
  <c r="J53" i="68"/>
  <c r="H53" i="68"/>
  <c r="N53" i="68" s="1"/>
  <c r="D53" i="68"/>
  <c r="L53" i="68" s="1"/>
  <c r="B53" i="68"/>
  <c r="X52" i="68"/>
  <c r="Z52" i="68" s="1"/>
  <c r="R52" i="68"/>
  <c r="N52" i="68"/>
  <c r="L52" i="68"/>
  <c r="B52" i="68"/>
  <c r="Z51" i="68"/>
  <c r="X51" i="68"/>
  <c r="V51" i="68"/>
  <c r="R51" i="68"/>
  <c r="N51" i="68"/>
  <c r="L51" i="68"/>
  <c r="J51" i="68"/>
  <c r="B51" i="68"/>
  <c r="T50" i="68"/>
  <c r="P50" i="68"/>
  <c r="H50" i="68"/>
  <c r="D50" i="68"/>
  <c r="B50" i="68"/>
  <c r="Z49" i="68"/>
  <c r="X49" i="68"/>
  <c r="V49" i="68"/>
  <c r="N49" i="68"/>
  <c r="L49" i="68"/>
  <c r="J49" i="68"/>
  <c r="B49" i="68"/>
  <c r="T48" i="68"/>
  <c r="Z48" i="68" s="1"/>
  <c r="P48" i="68"/>
  <c r="X48" i="68" s="1"/>
  <c r="J48" i="68"/>
  <c r="H48" i="68"/>
  <c r="N48" i="68" s="1"/>
  <c r="D48" i="68"/>
  <c r="L48" i="68" s="1"/>
  <c r="B48" i="68"/>
  <c r="Z47" i="68"/>
  <c r="X47" i="68"/>
  <c r="V47" i="68"/>
  <c r="N47" i="68"/>
  <c r="L47" i="68"/>
  <c r="J47" i="68"/>
  <c r="B47" i="68"/>
  <c r="X46" i="68"/>
  <c r="T46" i="68"/>
  <c r="Z46" i="68" s="1"/>
  <c r="P46" i="68"/>
  <c r="H46" i="68"/>
  <c r="N46" i="68" s="1"/>
  <c r="D46" i="68"/>
  <c r="L46" i="68" s="1"/>
  <c r="B46" i="68"/>
  <c r="Z45" i="68"/>
  <c r="X45" i="68"/>
  <c r="N45" i="68"/>
  <c r="L45" i="68"/>
  <c r="J45" i="68"/>
  <c r="B45" i="68"/>
  <c r="T44" i="68"/>
  <c r="P44" i="68"/>
  <c r="H44" i="68"/>
  <c r="D44" i="68"/>
  <c r="B44" i="68"/>
  <c r="Z43" i="68"/>
  <c r="X43" i="68"/>
  <c r="V43" i="68"/>
  <c r="N43" i="68"/>
  <c r="L43" i="68"/>
  <c r="J43" i="68"/>
  <c r="B43" i="68"/>
  <c r="V42" i="68"/>
  <c r="T42" i="68"/>
  <c r="P42" i="68"/>
  <c r="X42" i="68" s="1"/>
  <c r="H42" i="68"/>
  <c r="D42" i="68"/>
  <c r="L42" i="68" s="1"/>
  <c r="B42" i="68"/>
  <c r="X41" i="68"/>
  <c r="Z41" i="68" s="1"/>
  <c r="V41" i="68"/>
  <c r="N41" i="68"/>
  <c r="L41" i="68"/>
  <c r="B41" i="68"/>
  <c r="T40" i="68"/>
  <c r="R40" i="68"/>
  <c r="P40" i="68"/>
  <c r="X40" i="68" s="1"/>
  <c r="L40" i="68"/>
  <c r="H40" i="68"/>
  <c r="N40" i="68" s="1"/>
  <c r="D40" i="68"/>
  <c r="B40" i="68"/>
  <c r="Z39" i="68"/>
  <c r="X39" i="68"/>
  <c r="V39" i="68"/>
  <c r="R39" i="68"/>
  <c r="N39" i="68"/>
  <c r="L39" i="68"/>
  <c r="J39" i="68"/>
  <c r="B39" i="68"/>
  <c r="Z38" i="68"/>
  <c r="X38" i="68"/>
  <c r="V38" i="68"/>
  <c r="R38" i="68"/>
  <c r="N38" i="68"/>
  <c r="L38" i="68"/>
  <c r="J38" i="68"/>
  <c r="B38" i="68"/>
  <c r="Z37" i="68"/>
  <c r="X37" i="68"/>
  <c r="N37" i="68"/>
  <c r="L37" i="68"/>
  <c r="J37" i="68"/>
  <c r="B37" i="68"/>
  <c r="X36" i="68"/>
  <c r="Z36" i="68" s="1"/>
  <c r="R36" i="68"/>
  <c r="N36" i="68"/>
  <c r="L36" i="68"/>
  <c r="B36" i="68"/>
  <c r="Z35" i="68"/>
  <c r="X35" i="68"/>
  <c r="V35" i="68"/>
  <c r="R35" i="68"/>
  <c r="N35" i="68"/>
  <c r="L35" i="68"/>
  <c r="J35" i="68"/>
  <c r="B35" i="68"/>
  <c r="Z34" i="68"/>
  <c r="X34" i="68"/>
  <c r="V34" i="68"/>
  <c r="R34" i="68"/>
  <c r="N34" i="68"/>
  <c r="L34" i="68"/>
  <c r="J34" i="68"/>
  <c r="B34" i="68"/>
  <c r="Z33" i="68"/>
  <c r="X33" i="68"/>
  <c r="N33" i="68"/>
  <c r="L33" i="68"/>
  <c r="J33" i="68"/>
  <c r="B33" i="68"/>
  <c r="Z32" i="68"/>
  <c r="X32" i="68"/>
  <c r="R32" i="68"/>
  <c r="N32" i="68"/>
  <c r="L32" i="68"/>
  <c r="B32" i="68"/>
  <c r="Z31" i="68"/>
  <c r="X31" i="68"/>
  <c r="V31" i="68"/>
  <c r="R31" i="68"/>
  <c r="N31" i="68"/>
  <c r="L31" i="68"/>
  <c r="J31" i="68"/>
  <c r="B31" i="68"/>
  <c r="X30" i="68"/>
  <c r="Z30" i="68" s="1"/>
  <c r="V30" i="68"/>
  <c r="R30" i="68"/>
  <c r="L30" i="68"/>
  <c r="N30" i="68" s="1"/>
  <c r="J30" i="68"/>
  <c r="B30" i="68"/>
  <c r="T29" i="68"/>
  <c r="R29" i="68"/>
  <c r="P29" i="68"/>
  <c r="X29" i="68" s="1"/>
  <c r="Z29" i="68" s="1"/>
  <c r="J29" i="68"/>
  <c r="H29" i="68"/>
  <c r="L29" i="68" s="1"/>
  <c r="N29" i="68" s="1"/>
  <c r="F29" i="68"/>
  <c r="D29" i="68"/>
  <c r="B29" i="68"/>
  <c r="Z28" i="68"/>
  <c r="X28" i="68"/>
  <c r="R28" i="68"/>
  <c r="N28" i="68"/>
  <c r="L28" i="68"/>
  <c r="B28" i="68"/>
  <c r="Z27" i="68"/>
  <c r="X27" i="68"/>
  <c r="V27" i="68"/>
  <c r="N27" i="68"/>
  <c r="L27" i="68"/>
  <c r="J27" i="68"/>
  <c r="B27" i="68"/>
  <c r="X26" i="68"/>
  <c r="Z26" i="68" s="1"/>
  <c r="V26" i="68"/>
  <c r="R26" i="68"/>
  <c r="L26" i="68"/>
  <c r="N26" i="68" s="1"/>
  <c r="B26" i="68"/>
  <c r="Z25" i="68"/>
  <c r="X25" i="68"/>
  <c r="V25" i="68"/>
  <c r="N25" i="68"/>
  <c r="L25" i="68"/>
  <c r="J25" i="68"/>
  <c r="B25" i="68"/>
  <c r="X24" i="68"/>
  <c r="Z24" i="68" s="1"/>
  <c r="R24" i="68"/>
  <c r="L24" i="68"/>
  <c r="N24" i="68" s="1"/>
  <c r="B24" i="68"/>
  <c r="Z23" i="68"/>
  <c r="X23" i="68"/>
  <c r="V23" i="68"/>
  <c r="N23" i="68"/>
  <c r="L23" i="68"/>
  <c r="J23" i="68"/>
  <c r="B23" i="68"/>
  <c r="X22" i="68"/>
  <c r="Z22" i="68" s="1"/>
  <c r="V22" i="68"/>
  <c r="R22" i="68"/>
  <c r="L22" i="68"/>
  <c r="N22" i="68" s="1"/>
  <c r="B22" i="68"/>
  <c r="Z21" i="68"/>
  <c r="X21" i="68"/>
  <c r="V21" i="68"/>
  <c r="L21" i="68"/>
  <c r="N21" i="68" s="1"/>
  <c r="J21" i="68"/>
  <c r="B21" i="68"/>
  <c r="X20" i="68"/>
  <c r="Z20" i="68" s="1"/>
  <c r="R20" i="68"/>
  <c r="L20" i="68"/>
  <c r="N20" i="68" s="1"/>
  <c r="B20" i="68"/>
  <c r="V19" i="68"/>
  <c r="T19" i="68"/>
  <c r="P19" i="68"/>
  <c r="X19" i="68" s="1"/>
  <c r="Z19" i="68" s="1"/>
  <c r="J19" i="68"/>
  <c r="H19" i="68"/>
  <c r="D19" i="68"/>
  <c r="L19" i="68" s="1"/>
  <c r="N19" i="68" s="1"/>
  <c r="B19" i="68"/>
  <c r="X18" i="68"/>
  <c r="T18" i="68"/>
  <c r="P18" i="68"/>
  <c r="L18" i="68"/>
  <c r="H18" i="68"/>
  <c r="D18" i="68"/>
  <c r="D16" i="68"/>
  <c r="X14" i="68"/>
  <c r="T14" i="68"/>
  <c r="T16" i="68" s="1"/>
  <c r="P14" i="68"/>
  <c r="P16" i="68" s="1"/>
  <c r="P65" i="68" s="1"/>
  <c r="L14" i="68"/>
  <c r="H14" i="68"/>
  <c r="N14" i="68" s="1"/>
  <c r="D14" i="68"/>
  <c r="X12" i="68"/>
  <c r="T12" i="68"/>
  <c r="V54" i="68" s="1"/>
  <c r="P12" i="68"/>
  <c r="R60" i="68" s="1"/>
  <c r="H12" i="68"/>
  <c r="J40" i="68" s="1"/>
  <c r="D12" i="68"/>
  <c r="D6" i="68"/>
  <c r="D4" i="68"/>
  <c r="Z109" i="64"/>
  <c r="X109" i="64"/>
  <c r="N109" i="64"/>
  <c r="L109" i="64"/>
  <c r="X105" i="64"/>
  <c r="Z105" i="64" s="1"/>
  <c r="P105" i="64"/>
  <c r="D105" i="64"/>
  <c r="B105" i="64"/>
  <c r="Z104" i="64"/>
  <c r="V104" i="64"/>
  <c r="P104" i="64"/>
  <c r="X104" i="64" s="1"/>
  <c r="N104" i="64"/>
  <c r="F104" i="64"/>
  <c r="D104" i="64"/>
  <c r="L104" i="64" s="1"/>
  <c r="B104" i="64"/>
  <c r="X103" i="64"/>
  <c r="Z103" i="64" s="1"/>
  <c r="P103" i="64"/>
  <c r="D103" i="64"/>
  <c r="L103" i="64" s="1"/>
  <c r="N103" i="64" s="1"/>
  <c r="B103" i="64"/>
  <c r="Z102" i="64"/>
  <c r="P102" i="64"/>
  <c r="X102" i="64" s="1"/>
  <c r="L102" i="64"/>
  <c r="N102" i="64" s="1"/>
  <c r="D102" i="64"/>
  <c r="B102" i="64"/>
  <c r="X101" i="64"/>
  <c r="T101" i="64"/>
  <c r="P101" i="64"/>
  <c r="H101" i="64"/>
  <c r="X99" i="64"/>
  <c r="Z99" i="64" s="1"/>
  <c r="L99" i="64"/>
  <c r="N99" i="64" s="1"/>
  <c r="F99" i="64"/>
  <c r="B99" i="64"/>
  <c r="T98" i="64"/>
  <c r="Z98" i="64" s="1"/>
  <c r="P98" i="64"/>
  <c r="X98" i="64" s="1"/>
  <c r="L98" i="64"/>
  <c r="N98" i="64" s="1"/>
  <c r="H98" i="64"/>
  <c r="F98" i="64"/>
  <c r="D98" i="64"/>
  <c r="B98" i="64"/>
  <c r="Z97" i="64"/>
  <c r="X97" i="64"/>
  <c r="N97" i="64"/>
  <c r="L97" i="64"/>
  <c r="F97" i="64"/>
  <c r="B97" i="64"/>
  <c r="Z96" i="64"/>
  <c r="X96" i="64"/>
  <c r="N96" i="64"/>
  <c r="L96" i="64"/>
  <c r="J96" i="64"/>
  <c r="B96" i="64"/>
  <c r="Z95" i="64"/>
  <c r="X95" i="64"/>
  <c r="R95" i="64"/>
  <c r="N95" i="64"/>
  <c r="L95" i="64"/>
  <c r="F95" i="64"/>
  <c r="B95" i="64"/>
  <c r="Z94" i="64"/>
  <c r="T94" i="64"/>
  <c r="X94" i="64" s="1"/>
  <c r="R94" i="64"/>
  <c r="P94" i="64"/>
  <c r="N94" i="64"/>
  <c r="H94" i="64"/>
  <c r="F94" i="64"/>
  <c r="D94" i="64"/>
  <c r="L94" i="64" s="1"/>
  <c r="B94" i="64"/>
  <c r="X93" i="64"/>
  <c r="Z93" i="64" s="1"/>
  <c r="R93" i="64"/>
  <c r="L93" i="64"/>
  <c r="N93" i="64" s="1"/>
  <c r="B93" i="64"/>
  <c r="T92" i="64"/>
  <c r="P92" i="64"/>
  <c r="X92" i="64" s="1"/>
  <c r="Z92" i="64" s="1"/>
  <c r="J92" i="64"/>
  <c r="H92" i="64"/>
  <c r="D92" i="64"/>
  <c r="L92" i="64" s="1"/>
  <c r="N92" i="64" s="1"/>
  <c r="B92" i="64"/>
  <c r="X91" i="64"/>
  <c r="Z91" i="64" s="1"/>
  <c r="L91" i="64"/>
  <c r="N91" i="64" s="1"/>
  <c r="F91" i="64"/>
  <c r="B91" i="64"/>
  <c r="T90" i="64"/>
  <c r="R90" i="64"/>
  <c r="P90" i="64"/>
  <c r="X90" i="64" s="1"/>
  <c r="L90" i="64"/>
  <c r="N90" i="64" s="1"/>
  <c r="J90" i="64"/>
  <c r="H90" i="64"/>
  <c r="F90" i="64"/>
  <c r="D90" i="64"/>
  <c r="B90" i="64"/>
  <c r="X89" i="64"/>
  <c r="Z89" i="64" s="1"/>
  <c r="L89" i="64"/>
  <c r="N89" i="64" s="1"/>
  <c r="F89" i="64"/>
  <c r="B89" i="64"/>
  <c r="Z88" i="64"/>
  <c r="X88" i="64"/>
  <c r="N88" i="64"/>
  <c r="L88" i="64"/>
  <c r="J88" i="64"/>
  <c r="B88" i="64"/>
  <c r="Z87" i="64"/>
  <c r="X87" i="64"/>
  <c r="N87" i="64"/>
  <c r="L87" i="64"/>
  <c r="F87" i="64"/>
  <c r="B87" i="64"/>
  <c r="Z86" i="64"/>
  <c r="X86" i="64"/>
  <c r="N86" i="64"/>
  <c r="L86" i="64"/>
  <c r="B86" i="64"/>
  <c r="Z85" i="64"/>
  <c r="X85" i="64"/>
  <c r="N85" i="64"/>
  <c r="L85" i="64"/>
  <c r="F85" i="64"/>
  <c r="B85" i="64"/>
  <c r="Z84" i="64"/>
  <c r="X84" i="64"/>
  <c r="N84" i="64"/>
  <c r="L84" i="64"/>
  <c r="B84" i="64"/>
  <c r="T83" i="64"/>
  <c r="P83" i="64"/>
  <c r="H83" i="64"/>
  <c r="D83" i="64"/>
  <c r="B83" i="64"/>
  <c r="Z82" i="64"/>
  <c r="X82" i="64"/>
  <c r="N82" i="64"/>
  <c r="L82" i="64"/>
  <c r="B82" i="64"/>
  <c r="X81" i="64"/>
  <c r="Z81" i="64" s="1"/>
  <c r="L81" i="64"/>
  <c r="N81" i="64" s="1"/>
  <c r="B81" i="64"/>
  <c r="V80" i="64"/>
  <c r="T80" i="64"/>
  <c r="P80" i="64"/>
  <c r="X80" i="64" s="1"/>
  <c r="Z80" i="64" s="1"/>
  <c r="N80" i="64"/>
  <c r="J80" i="64"/>
  <c r="H80" i="64"/>
  <c r="L80" i="64" s="1"/>
  <c r="D80" i="64"/>
  <c r="B80" i="64"/>
  <c r="X79" i="64"/>
  <c r="Z79" i="64" s="1"/>
  <c r="L79" i="64"/>
  <c r="N79" i="64" s="1"/>
  <c r="F79" i="64"/>
  <c r="B79" i="64"/>
  <c r="Z78" i="64"/>
  <c r="X78" i="64"/>
  <c r="N78" i="64"/>
  <c r="L78" i="64"/>
  <c r="F78" i="64"/>
  <c r="B78" i="64"/>
  <c r="Z77" i="64"/>
  <c r="X77" i="64"/>
  <c r="N77" i="64"/>
  <c r="L77" i="64"/>
  <c r="F77" i="64"/>
  <c r="B77" i="64"/>
  <c r="X76" i="64"/>
  <c r="Z76" i="64" s="1"/>
  <c r="T76" i="64"/>
  <c r="P76" i="64"/>
  <c r="H76" i="64"/>
  <c r="F76" i="64"/>
  <c r="D76" i="64"/>
  <c r="L76" i="64" s="1"/>
  <c r="B76" i="64"/>
  <c r="X75" i="64"/>
  <c r="Z75" i="64" s="1"/>
  <c r="L75" i="64"/>
  <c r="N75" i="64" s="1"/>
  <c r="F75" i="64"/>
  <c r="B75" i="64"/>
  <c r="Z74" i="64"/>
  <c r="X74" i="64"/>
  <c r="N74" i="64"/>
  <c r="L74" i="64"/>
  <c r="B74" i="64"/>
  <c r="X73" i="64"/>
  <c r="Z73" i="64" s="1"/>
  <c r="N73" i="64"/>
  <c r="L73" i="64"/>
  <c r="F73" i="64"/>
  <c r="B73" i="64"/>
  <c r="Z72" i="64"/>
  <c r="T72" i="64"/>
  <c r="P72" i="64"/>
  <c r="X72" i="64" s="1"/>
  <c r="H72" i="64"/>
  <c r="L72" i="64" s="1"/>
  <c r="N72" i="64" s="1"/>
  <c r="F72" i="64"/>
  <c r="D72" i="64"/>
  <c r="B72" i="64"/>
  <c r="X71" i="64"/>
  <c r="Z71" i="64" s="1"/>
  <c r="L71" i="64"/>
  <c r="N71" i="64" s="1"/>
  <c r="F71" i="64"/>
  <c r="B71" i="64"/>
  <c r="Z70" i="64"/>
  <c r="T70" i="64"/>
  <c r="X70" i="64" s="1"/>
  <c r="P70" i="64"/>
  <c r="H70" i="64"/>
  <c r="F70" i="64"/>
  <c r="D70" i="64"/>
  <c r="L70" i="64" s="1"/>
  <c r="N70" i="64" s="1"/>
  <c r="B70" i="64"/>
  <c r="X69" i="64"/>
  <c r="Z69" i="64" s="1"/>
  <c r="L69" i="64"/>
  <c r="N69" i="64" s="1"/>
  <c r="F69" i="64"/>
  <c r="B69" i="64"/>
  <c r="X68" i="64"/>
  <c r="Z68" i="64" s="1"/>
  <c r="T68" i="64"/>
  <c r="P68" i="64"/>
  <c r="H68" i="64"/>
  <c r="F68" i="64"/>
  <c r="D68" i="64"/>
  <c r="L68" i="64" s="1"/>
  <c r="B68" i="64"/>
  <c r="Z67" i="64"/>
  <c r="X67" i="64"/>
  <c r="R67" i="64"/>
  <c r="N67" i="64"/>
  <c r="L67" i="64"/>
  <c r="F67" i="64"/>
  <c r="B67" i="64"/>
  <c r="Z66" i="64"/>
  <c r="T66" i="64"/>
  <c r="X66" i="64" s="1"/>
  <c r="R66" i="64"/>
  <c r="P66" i="64"/>
  <c r="N66" i="64"/>
  <c r="H66" i="64"/>
  <c r="F66" i="64"/>
  <c r="D66" i="64"/>
  <c r="L66" i="64" s="1"/>
  <c r="B66" i="64"/>
  <c r="X65" i="64"/>
  <c r="Z65" i="64" s="1"/>
  <c r="L65" i="64"/>
  <c r="N65" i="64" s="1"/>
  <c r="B65" i="64"/>
  <c r="T64" i="64"/>
  <c r="P64" i="64"/>
  <c r="X64" i="64" s="1"/>
  <c r="Z64" i="64" s="1"/>
  <c r="N64" i="64"/>
  <c r="H64" i="64"/>
  <c r="L64" i="64" s="1"/>
  <c r="D64" i="64"/>
  <c r="B64" i="64"/>
  <c r="X63" i="64"/>
  <c r="Z63" i="64" s="1"/>
  <c r="L63" i="64"/>
  <c r="N63" i="64" s="1"/>
  <c r="F63" i="64"/>
  <c r="B63" i="64"/>
  <c r="T62" i="64"/>
  <c r="R62" i="64"/>
  <c r="P62" i="64"/>
  <c r="X62" i="64" s="1"/>
  <c r="L62" i="64"/>
  <c r="N62" i="64" s="1"/>
  <c r="J62" i="64"/>
  <c r="H62" i="64"/>
  <c r="F62" i="64"/>
  <c r="D62" i="64"/>
  <c r="B62" i="64"/>
  <c r="X61" i="64"/>
  <c r="Z61" i="64" s="1"/>
  <c r="L61" i="64"/>
  <c r="N61" i="64" s="1"/>
  <c r="F61" i="64"/>
  <c r="B61" i="64"/>
  <c r="T60" i="64"/>
  <c r="P60" i="64"/>
  <c r="X60" i="64" s="1"/>
  <c r="Z60" i="64" s="1"/>
  <c r="N60" i="64"/>
  <c r="H60" i="64"/>
  <c r="L60" i="64" s="1"/>
  <c r="F60" i="64"/>
  <c r="D60" i="64"/>
  <c r="B60" i="64"/>
  <c r="X59" i="64"/>
  <c r="Z59" i="64" s="1"/>
  <c r="L59" i="64"/>
  <c r="N59" i="64" s="1"/>
  <c r="F59" i="64"/>
  <c r="B59" i="64"/>
  <c r="V58" i="64"/>
  <c r="T58" i="64"/>
  <c r="X58" i="64" s="1"/>
  <c r="Z58" i="64" s="1"/>
  <c r="P58" i="64"/>
  <c r="H58" i="64"/>
  <c r="F58" i="64"/>
  <c r="D58" i="64"/>
  <c r="L58" i="64" s="1"/>
  <c r="N58" i="64" s="1"/>
  <c r="B58" i="64"/>
  <c r="Z57" i="64"/>
  <c r="X57" i="64"/>
  <c r="N57" i="64"/>
  <c r="L57" i="64"/>
  <c r="F57" i="64"/>
  <c r="B57" i="64"/>
  <c r="X56" i="64"/>
  <c r="Z56" i="64" s="1"/>
  <c r="N56" i="64"/>
  <c r="L56" i="64"/>
  <c r="B56" i="64"/>
  <c r="T55" i="64"/>
  <c r="R55" i="64"/>
  <c r="P55" i="64"/>
  <c r="X55" i="64" s="1"/>
  <c r="L55" i="64"/>
  <c r="H55" i="64"/>
  <c r="N55" i="64" s="1"/>
  <c r="D55" i="64"/>
  <c r="B55" i="64"/>
  <c r="Z54" i="64"/>
  <c r="X54" i="64"/>
  <c r="R54" i="64"/>
  <c r="N54" i="64"/>
  <c r="L54" i="64"/>
  <c r="B54" i="64"/>
  <c r="X53" i="64"/>
  <c r="Z53" i="64" s="1"/>
  <c r="L53" i="64"/>
  <c r="N53" i="64" s="1"/>
  <c r="F53" i="64"/>
  <c r="B53" i="64"/>
  <c r="T52" i="64"/>
  <c r="P52" i="64"/>
  <c r="X52" i="64" s="1"/>
  <c r="Z52" i="64" s="1"/>
  <c r="N52" i="64"/>
  <c r="H52" i="64"/>
  <c r="L52" i="64" s="1"/>
  <c r="F52" i="64"/>
  <c r="D52" i="64"/>
  <c r="B52" i="64"/>
  <c r="X51" i="64"/>
  <c r="Z51" i="64" s="1"/>
  <c r="L51" i="64"/>
  <c r="N51" i="64" s="1"/>
  <c r="F51" i="64"/>
  <c r="B51" i="64"/>
  <c r="Z50" i="64"/>
  <c r="X50" i="64"/>
  <c r="N50" i="64"/>
  <c r="L50" i="64"/>
  <c r="B50" i="64"/>
  <c r="X49" i="64"/>
  <c r="Z49" i="64" s="1"/>
  <c r="R49" i="64"/>
  <c r="L49" i="64"/>
  <c r="N49" i="64" s="1"/>
  <c r="B49" i="64"/>
  <c r="Z48" i="64"/>
  <c r="X48" i="64"/>
  <c r="L48" i="64"/>
  <c r="N48" i="64" s="1"/>
  <c r="J48" i="64"/>
  <c r="B48" i="64"/>
  <c r="T47" i="64"/>
  <c r="P47" i="64"/>
  <c r="X47" i="64" s="1"/>
  <c r="H47" i="64"/>
  <c r="D47" i="64"/>
  <c r="B47" i="64"/>
  <c r="Z46" i="64"/>
  <c r="X46" i="64"/>
  <c r="N46" i="64"/>
  <c r="L46" i="64"/>
  <c r="F46" i="64"/>
  <c r="B46" i="64"/>
  <c r="T45" i="64"/>
  <c r="P45" i="64"/>
  <c r="X45" i="64" s="1"/>
  <c r="L45" i="64"/>
  <c r="H45" i="64"/>
  <c r="N45" i="64" s="1"/>
  <c r="F45" i="64"/>
  <c r="D45" i="64"/>
  <c r="B45" i="64"/>
  <c r="Z44" i="64"/>
  <c r="X44" i="64"/>
  <c r="N44" i="64"/>
  <c r="L44" i="64"/>
  <c r="J44" i="64"/>
  <c r="B44" i="64"/>
  <c r="Z43" i="64"/>
  <c r="X43" i="64"/>
  <c r="R43" i="64"/>
  <c r="L43" i="64"/>
  <c r="N43" i="64" s="1"/>
  <c r="F43" i="64"/>
  <c r="B43" i="64"/>
  <c r="T42" i="64"/>
  <c r="X42" i="64" s="1"/>
  <c r="P42" i="64"/>
  <c r="N42" i="64"/>
  <c r="H42" i="64"/>
  <c r="F42" i="64"/>
  <c r="D42" i="64"/>
  <c r="L42" i="64" s="1"/>
  <c r="B42" i="64"/>
  <c r="X41" i="64"/>
  <c r="Z41" i="64" s="1"/>
  <c r="R41" i="64"/>
  <c r="L41" i="64"/>
  <c r="N41" i="64" s="1"/>
  <c r="B41" i="64"/>
  <c r="Z40" i="64"/>
  <c r="V40" i="64"/>
  <c r="T40" i="64"/>
  <c r="P40" i="64"/>
  <c r="X40" i="64" s="1"/>
  <c r="N40" i="64"/>
  <c r="J40" i="64"/>
  <c r="H40" i="64"/>
  <c r="D40" i="64"/>
  <c r="L40" i="64" s="1"/>
  <c r="B40" i="64"/>
  <c r="Z39" i="64"/>
  <c r="X39" i="64"/>
  <c r="N39" i="64"/>
  <c r="L39" i="64"/>
  <c r="F39" i="64"/>
  <c r="B39" i="64"/>
  <c r="Z38" i="64"/>
  <c r="X38" i="64"/>
  <c r="N38" i="64"/>
  <c r="L38" i="64"/>
  <c r="F38" i="64"/>
  <c r="B38" i="64"/>
  <c r="X37" i="64"/>
  <c r="Z37" i="64" s="1"/>
  <c r="L37" i="64"/>
  <c r="N37" i="64" s="1"/>
  <c r="F37" i="64"/>
  <c r="B37" i="64"/>
  <c r="X36" i="64"/>
  <c r="Z36" i="64" s="1"/>
  <c r="N36" i="64"/>
  <c r="L36" i="64"/>
  <c r="B36" i="64"/>
  <c r="Z35" i="64"/>
  <c r="X35" i="64"/>
  <c r="N35" i="64"/>
  <c r="L35" i="64"/>
  <c r="F35" i="64"/>
  <c r="B35" i="64"/>
  <c r="Z34" i="64"/>
  <c r="X34" i="64"/>
  <c r="N34" i="64"/>
  <c r="L34" i="64"/>
  <c r="F34" i="64"/>
  <c r="B34" i="64"/>
  <c r="X33" i="64"/>
  <c r="Z33" i="64" s="1"/>
  <c r="L33" i="64"/>
  <c r="N33" i="64" s="1"/>
  <c r="F33" i="64"/>
  <c r="B33" i="64"/>
  <c r="Z32" i="64"/>
  <c r="X32" i="64"/>
  <c r="V32" i="64"/>
  <c r="N32" i="64"/>
  <c r="L32" i="64"/>
  <c r="B32" i="64"/>
  <c r="X31" i="64"/>
  <c r="Z31" i="64" s="1"/>
  <c r="L31" i="64"/>
  <c r="N31" i="64" s="1"/>
  <c r="F31" i="64"/>
  <c r="B31" i="64"/>
  <c r="Z30" i="64"/>
  <c r="X30" i="64"/>
  <c r="V30" i="64"/>
  <c r="N30" i="64"/>
  <c r="L30" i="64"/>
  <c r="F30" i="64"/>
  <c r="B30" i="64"/>
  <c r="X29" i="64"/>
  <c r="T29" i="64"/>
  <c r="P29" i="64"/>
  <c r="L29" i="64"/>
  <c r="H29" i="64"/>
  <c r="F29" i="64"/>
  <c r="D29" i="64"/>
  <c r="B29" i="64"/>
  <c r="Z28" i="64"/>
  <c r="X28" i="64"/>
  <c r="N28" i="64"/>
  <c r="L28" i="64"/>
  <c r="J28" i="64"/>
  <c r="B28" i="64"/>
  <c r="X27" i="64"/>
  <c r="Z27" i="64" s="1"/>
  <c r="L27" i="64"/>
  <c r="N27" i="64" s="1"/>
  <c r="F27" i="64"/>
  <c r="B27" i="64"/>
  <c r="Z26" i="64"/>
  <c r="X26" i="64"/>
  <c r="R26" i="64"/>
  <c r="N26" i="64"/>
  <c r="L26" i="64"/>
  <c r="B26" i="64"/>
  <c r="Z25" i="64"/>
  <c r="X25" i="64"/>
  <c r="R25" i="64"/>
  <c r="N25" i="64"/>
  <c r="L25" i="64"/>
  <c r="J25" i="64"/>
  <c r="F25" i="64"/>
  <c r="B25" i="64"/>
  <c r="Z24" i="64"/>
  <c r="X24" i="64"/>
  <c r="N24" i="64"/>
  <c r="L24" i="64"/>
  <c r="J24" i="64"/>
  <c r="B24" i="64"/>
  <c r="Z23" i="64"/>
  <c r="X23" i="64"/>
  <c r="R23" i="64"/>
  <c r="L23" i="64"/>
  <c r="N23" i="64" s="1"/>
  <c r="F23" i="64"/>
  <c r="B23" i="64"/>
  <c r="Z22" i="64"/>
  <c r="X22" i="64"/>
  <c r="N22" i="64"/>
  <c r="L22" i="64"/>
  <c r="B22" i="64"/>
  <c r="X21" i="64"/>
  <c r="Z21" i="64" s="1"/>
  <c r="R21" i="64"/>
  <c r="L21" i="64"/>
  <c r="N21" i="64" s="1"/>
  <c r="F21" i="64"/>
  <c r="B21" i="64"/>
  <c r="Z20" i="64"/>
  <c r="X20" i="64"/>
  <c r="N20" i="64"/>
  <c r="L20" i="64"/>
  <c r="B20" i="64"/>
  <c r="X19" i="64"/>
  <c r="T19" i="64"/>
  <c r="P19" i="64"/>
  <c r="L19" i="64"/>
  <c r="H19" i="64"/>
  <c r="D19" i="64"/>
  <c r="B19" i="64"/>
  <c r="T18" i="64"/>
  <c r="P18" i="64"/>
  <c r="X18" i="64" s="1"/>
  <c r="Z18" i="64" s="1"/>
  <c r="J18" i="64"/>
  <c r="H18" i="64"/>
  <c r="F18" i="64"/>
  <c r="D18" i="64"/>
  <c r="L18" i="64" s="1"/>
  <c r="N18" i="64" s="1"/>
  <c r="F16" i="64"/>
  <c r="D16" i="64"/>
  <c r="T14" i="64"/>
  <c r="Z14" i="64" s="1"/>
  <c r="P14" i="64"/>
  <c r="J14" i="64"/>
  <c r="H14" i="64"/>
  <c r="N14" i="64" s="1"/>
  <c r="F14" i="64"/>
  <c r="D14" i="64"/>
  <c r="T12" i="64"/>
  <c r="V50" i="64" s="1"/>
  <c r="P12" i="64"/>
  <c r="R105" i="64" s="1"/>
  <c r="L12" i="64"/>
  <c r="H12" i="64"/>
  <c r="J64" i="64" s="1"/>
  <c r="D12" i="64"/>
  <c r="F86" i="64" s="1"/>
  <c r="D6" i="64"/>
  <c r="D4" i="64"/>
  <c r="F69" i="61"/>
  <c r="F66" i="61"/>
  <c r="Z64" i="61"/>
  <c r="X64" i="61"/>
  <c r="V64" i="61"/>
  <c r="N64" i="61"/>
  <c r="L64" i="61"/>
  <c r="J64" i="61"/>
  <c r="F64" i="61"/>
  <c r="J62" i="61"/>
  <c r="F62" i="61"/>
  <c r="T60" i="61"/>
  <c r="Z60" i="61" s="1"/>
  <c r="P60" i="61"/>
  <c r="X60" i="61" s="1"/>
  <c r="N60" i="61"/>
  <c r="L60" i="61"/>
  <c r="J60" i="61"/>
  <c r="H60" i="61"/>
  <c r="F60" i="61"/>
  <c r="D60" i="61"/>
  <c r="X58" i="61"/>
  <c r="Z58" i="61" s="1"/>
  <c r="N58" i="61"/>
  <c r="L58" i="61"/>
  <c r="J58" i="61"/>
  <c r="F58" i="61"/>
  <c r="B58" i="61"/>
  <c r="X57" i="61"/>
  <c r="T57" i="61"/>
  <c r="Z57" i="61" s="1"/>
  <c r="R57" i="61"/>
  <c r="P57" i="61"/>
  <c r="L57" i="61"/>
  <c r="J57" i="61"/>
  <c r="H57" i="61"/>
  <c r="F57" i="61"/>
  <c r="D57" i="61"/>
  <c r="B57" i="61"/>
  <c r="X56" i="61"/>
  <c r="Z56" i="61" s="1"/>
  <c r="N56" i="61"/>
  <c r="L56" i="61"/>
  <c r="F56" i="61"/>
  <c r="B56" i="61"/>
  <c r="T55" i="61"/>
  <c r="X55" i="61" s="1"/>
  <c r="Z55" i="61" s="1"/>
  <c r="P55" i="61"/>
  <c r="H55" i="61"/>
  <c r="F55" i="61"/>
  <c r="D55" i="61"/>
  <c r="B55" i="61"/>
  <c r="Z54" i="61"/>
  <c r="X54" i="61"/>
  <c r="L54" i="61"/>
  <c r="N54" i="61" s="1"/>
  <c r="J54" i="61"/>
  <c r="B54" i="61"/>
  <c r="V53" i="61"/>
  <c r="T53" i="61"/>
  <c r="P53" i="61"/>
  <c r="X53" i="61" s="1"/>
  <c r="Z53" i="61" s="1"/>
  <c r="N53" i="61"/>
  <c r="J53" i="61"/>
  <c r="H53" i="61"/>
  <c r="D53" i="61"/>
  <c r="L53" i="61" s="1"/>
  <c r="B53" i="61"/>
  <c r="Z52" i="61"/>
  <c r="X52" i="61"/>
  <c r="N52" i="61"/>
  <c r="L52" i="61"/>
  <c r="F52" i="61"/>
  <c r="B52" i="61"/>
  <c r="X51" i="61"/>
  <c r="Z51" i="61" s="1"/>
  <c r="L51" i="61"/>
  <c r="N51" i="61" s="1"/>
  <c r="F51" i="61"/>
  <c r="B51" i="61"/>
  <c r="V50" i="61"/>
  <c r="T50" i="61"/>
  <c r="P50" i="61"/>
  <c r="X50" i="61" s="1"/>
  <c r="L50" i="61"/>
  <c r="N50" i="61" s="1"/>
  <c r="H50" i="61"/>
  <c r="F50" i="61"/>
  <c r="D50" i="61"/>
  <c r="B50" i="61"/>
  <c r="X49" i="61"/>
  <c r="Z49" i="61" s="1"/>
  <c r="R49" i="61"/>
  <c r="L49" i="61"/>
  <c r="N49" i="61" s="1"/>
  <c r="J49" i="61"/>
  <c r="F49" i="61"/>
  <c r="B49" i="61"/>
  <c r="X48" i="61"/>
  <c r="T48" i="61"/>
  <c r="Z48" i="61" s="1"/>
  <c r="P48" i="61"/>
  <c r="L48" i="61"/>
  <c r="N48" i="61" s="1"/>
  <c r="H48" i="61"/>
  <c r="F48" i="61"/>
  <c r="D48" i="61"/>
  <c r="B48" i="61"/>
  <c r="Z47" i="61"/>
  <c r="X47" i="61"/>
  <c r="N47" i="61"/>
  <c r="L47" i="61"/>
  <c r="J47" i="61"/>
  <c r="F47" i="61"/>
  <c r="B47" i="61"/>
  <c r="Z46" i="61"/>
  <c r="T46" i="61"/>
  <c r="P46" i="61"/>
  <c r="X46" i="61" s="1"/>
  <c r="N46" i="61"/>
  <c r="J46" i="61"/>
  <c r="H46" i="61"/>
  <c r="F46" i="61"/>
  <c r="D46" i="61"/>
  <c r="L46" i="61" s="1"/>
  <c r="B46" i="61"/>
  <c r="X45" i="61"/>
  <c r="Z45" i="61" s="1"/>
  <c r="V45" i="61"/>
  <c r="L45" i="61"/>
  <c r="N45" i="61" s="1"/>
  <c r="F45" i="61"/>
  <c r="B45" i="61"/>
  <c r="T44" i="61"/>
  <c r="R44" i="61"/>
  <c r="P44" i="61"/>
  <c r="X44" i="61" s="1"/>
  <c r="Z44" i="61" s="1"/>
  <c r="J44" i="61"/>
  <c r="H44" i="61"/>
  <c r="F44" i="61"/>
  <c r="D44" i="61"/>
  <c r="L44" i="61" s="1"/>
  <c r="B44" i="61"/>
  <c r="Z43" i="61"/>
  <c r="X43" i="61"/>
  <c r="N43" i="61"/>
  <c r="L43" i="61"/>
  <c r="J43" i="61"/>
  <c r="F43" i="61"/>
  <c r="B43" i="61"/>
  <c r="X42" i="61"/>
  <c r="Z42" i="61" s="1"/>
  <c r="T42" i="61"/>
  <c r="P42" i="61"/>
  <c r="H42" i="61"/>
  <c r="F42" i="61"/>
  <c r="D42" i="61"/>
  <c r="B42" i="61"/>
  <c r="X41" i="61"/>
  <c r="Z41" i="61" s="1"/>
  <c r="L41" i="61"/>
  <c r="N41" i="61" s="1"/>
  <c r="J41" i="61"/>
  <c r="B41" i="61"/>
  <c r="T40" i="61"/>
  <c r="P40" i="61"/>
  <c r="X40" i="61" s="1"/>
  <c r="N40" i="61"/>
  <c r="J40" i="61"/>
  <c r="H40" i="61"/>
  <c r="D40" i="61"/>
  <c r="L40" i="61" s="1"/>
  <c r="B40" i="61"/>
  <c r="Z39" i="61"/>
  <c r="X39" i="61"/>
  <c r="R39" i="61"/>
  <c r="N39" i="61"/>
  <c r="L39" i="61"/>
  <c r="F39" i="61"/>
  <c r="B39" i="61"/>
  <c r="Z38" i="61"/>
  <c r="X38" i="61"/>
  <c r="N38" i="61"/>
  <c r="L38" i="61"/>
  <c r="J38" i="61"/>
  <c r="F38" i="61"/>
  <c r="B38" i="61"/>
  <c r="X37" i="61"/>
  <c r="Z37" i="61" s="1"/>
  <c r="N37" i="61"/>
  <c r="L37" i="61"/>
  <c r="F37" i="61"/>
  <c r="B37" i="61"/>
  <c r="X36" i="61"/>
  <c r="Z36" i="61" s="1"/>
  <c r="L36" i="61"/>
  <c r="N36" i="61" s="1"/>
  <c r="F36" i="61"/>
  <c r="B36" i="61"/>
  <c r="Z35" i="61"/>
  <c r="X35" i="61"/>
  <c r="N35" i="61"/>
  <c r="L35" i="61"/>
  <c r="J35" i="61"/>
  <c r="F35" i="61"/>
  <c r="B35" i="61"/>
  <c r="Z34" i="61"/>
  <c r="X34" i="61"/>
  <c r="N34" i="61"/>
  <c r="L34" i="61"/>
  <c r="J34" i="61"/>
  <c r="F34" i="61"/>
  <c r="B34" i="61"/>
  <c r="Z33" i="61"/>
  <c r="X33" i="61"/>
  <c r="L33" i="61"/>
  <c r="N33" i="61" s="1"/>
  <c r="F33" i="61"/>
  <c r="B33" i="61"/>
  <c r="Z32" i="61"/>
  <c r="X32" i="61"/>
  <c r="N32" i="61"/>
  <c r="L32" i="61"/>
  <c r="F32" i="61"/>
  <c r="B32" i="61"/>
  <c r="Z31" i="61"/>
  <c r="X31" i="61"/>
  <c r="V31" i="61"/>
  <c r="N31" i="61"/>
  <c r="L31" i="61"/>
  <c r="J31" i="61"/>
  <c r="F31" i="61"/>
  <c r="B31" i="61"/>
  <c r="X30" i="61"/>
  <c r="Z30" i="61" s="1"/>
  <c r="N30" i="61"/>
  <c r="L30" i="61"/>
  <c r="J30" i="61"/>
  <c r="F30" i="61"/>
  <c r="B30" i="61"/>
  <c r="Z29" i="61"/>
  <c r="T29" i="61"/>
  <c r="P29" i="61"/>
  <c r="X29" i="61" s="1"/>
  <c r="J29" i="61"/>
  <c r="H29" i="61"/>
  <c r="F29" i="61"/>
  <c r="D29" i="61"/>
  <c r="L29" i="61" s="1"/>
  <c r="B29" i="61"/>
  <c r="Z28" i="61"/>
  <c r="X28" i="61"/>
  <c r="N28" i="61"/>
  <c r="L28" i="61"/>
  <c r="J28" i="61"/>
  <c r="F28" i="61"/>
  <c r="B28" i="61"/>
  <c r="X27" i="61"/>
  <c r="Z27" i="61" s="1"/>
  <c r="V27" i="61"/>
  <c r="N27" i="61"/>
  <c r="L27" i="61"/>
  <c r="J27" i="61"/>
  <c r="F27" i="61"/>
  <c r="B27" i="61"/>
  <c r="Z26" i="61"/>
  <c r="X26" i="61"/>
  <c r="L26" i="61"/>
  <c r="N26" i="61" s="1"/>
  <c r="F26" i="61"/>
  <c r="B26" i="61"/>
  <c r="Z25" i="61"/>
  <c r="X25" i="61"/>
  <c r="N25" i="61"/>
  <c r="L25" i="61"/>
  <c r="J25" i="61"/>
  <c r="F25" i="61"/>
  <c r="B25" i="61"/>
  <c r="Z24" i="61"/>
  <c r="X24" i="61"/>
  <c r="R24" i="61"/>
  <c r="N24" i="61"/>
  <c r="L24" i="61"/>
  <c r="F24" i="61"/>
  <c r="B24" i="61"/>
  <c r="X23" i="61"/>
  <c r="Z23" i="61" s="1"/>
  <c r="R23" i="61"/>
  <c r="N23" i="61"/>
  <c r="L23" i="61"/>
  <c r="J23" i="61"/>
  <c r="F23" i="61"/>
  <c r="B23" i="61"/>
  <c r="X22" i="61"/>
  <c r="Z22" i="61" s="1"/>
  <c r="N22" i="61"/>
  <c r="L22" i="61"/>
  <c r="J22" i="61"/>
  <c r="F22" i="61"/>
  <c r="B22" i="61"/>
  <c r="Z21" i="61"/>
  <c r="X21" i="61"/>
  <c r="R21" i="61"/>
  <c r="L21" i="61"/>
  <c r="N21" i="61" s="1"/>
  <c r="J21" i="61"/>
  <c r="F21" i="61"/>
  <c r="B21" i="61"/>
  <c r="X20" i="61"/>
  <c r="Z20" i="61" s="1"/>
  <c r="R20" i="61"/>
  <c r="N20" i="61"/>
  <c r="L20" i="61"/>
  <c r="J20" i="61"/>
  <c r="F20" i="61"/>
  <c r="B20" i="61"/>
  <c r="X19" i="61"/>
  <c r="T19" i="61"/>
  <c r="Z19" i="61" s="1"/>
  <c r="P19" i="61"/>
  <c r="H19" i="61"/>
  <c r="F19" i="61"/>
  <c r="D19" i="61"/>
  <c r="B19" i="61"/>
  <c r="X18" i="61"/>
  <c r="T18" i="61"/>
  <c r="Z18" i="61" s="1"/>
  <c r="P18" i="61"/>
  <c r="N18" i="61"/>
  <c r="J18" i="61"/>
  <c r="H18" i="61"/>
  <c r="F18" i="61"/>
  <c r="D18" i="61"/>
  <c r="L18" i="61" s="1"/>
  <c r="J16" i="61"/>
  <c r="H16" i="61"/>
  <c r="F16" i="61"/>
  <c r="Z14" i="61"/>
  <c r="X14" i="61"/>
  <c r="T14" i="61"/>
  <c r="P14" i="61"/>
  <c r="N14" i="61"/>
  <c r="J14" i="61"/>
  <c r="H14" i="61"/>
  <c r="F14" i="61"/>
  <c r="D14" i="61"/>
  <c r="Z12" i="61"/>
  <c r="T12" i="61"/>
  <c r="P12" i="61"/>
  <c r="R28" i="61" s="1"/>
  <c r="L12" i="61"/>
  <c r="H12" i="61"/>
  <c r="J56" i="61" s="1"/>
  <c r="D12" i="61"/>
  <c r="F41" i="61" s="1"/>
  <c r="D6" i="61"/>
  <c r="D4" i="61"/>
  <c r="V68" i="60"/>
  <c r="R65" i="60"/>
  <c r="Z63" i="60"/>
  <c r="X63" i="60"/>
  <c r="N63" i="60"/>
  <c r="L63" i="60"/>
  <c r="V59" i="60"/>
  <c r="T59" i="60"/>
  <c r="Z59" i="60" s="1"/>
  <c r="P59" i="60"/>
  <c r="X59" i="60" s="1"/>
  <c r="N59" i="60"/>
  <c r="H59" i="60"/>
  <c r="D59" i="60"/>
  <c r="L59" i="60" s="1"/>
  <c r="Z57" i="60"/>
  <c r="X57" i="60"/>
  <c r="R57" i="60"/>
  <c r="N57" i="60"/>
  <c r="L57" i="60"/>
  <c r="B57" i="60"/>
  <c r="T56" i="60"/>
  <c r="Z56" i="60" s="1"/>
  <c r="P56" i="60"/>
  <c r="H56" i="60"/>
  <c r="N56" i="60" s="1"/>
  <c r="D56" i="60"/>
  <c r="L56" i="60" s="1"/>
  <c r="B56" i="60"/>
  <c r="X55" i="60"/>
  <c r="Z55" i="60" s="1"/>
  <c r="L55" i="60"/>
  <c r="N55" i="60" s="1"/>
  <c r="B55" i="60"/>
  <c r="Z54" i="60"/>
  <c r="X54" i="60"/>
  <c r="T54" i="60"/>
  <c r="P54" i="60"/>
  <c r="H54" i="60"/>
  <c r="D54" i="60"/>
  <c r="L54" i="60" s="1"/>
  <c r="B54" i="60"/>
  <c r="X53" i="60"/>
  <c r="Z53" i="60" s="1"/>
  <c r="N53" i="60"/>
  <c r="L53" i="60"/>
  <c r="B53" i="60"/>
  <c r="Z52" i="60"/>
  <c r="X52" i="60"/>
  <c r="N52" i="60"/>
  <c r="L52" i="60"/>
  <c r="F52" i="60"/>
  <c r="B52" i="60"/>
  <c r="T51" i="60"/>
  <c r="P51" i="60"/>
  <c r="X51" i="60" s="1"/>
  <c r="H51" i="60"/>
  <c r="D51" i="60"/>
  <c r="L51" i="60" s="1"/>
  <c r="B51" i="60"/>
  <c r="Z50" i="60"/>
  <c r="X50" i="60"/>
  <c r="L50" i="60"/>
  <c r="N50" i="60" s="1"/>
  <c r="B50" i="60"/>
  <c r="Z49" i="60"/>
  <c r="V49" i="60"/>
  <c r="T49" i="60"/>
  <c r="X49" i="60" s="1"/>
  <c r="P49" i="60"/>
  <c r="L49" i="60"/>
  <c r="H49" i="60"/>
  <c r="N49" i="60" s="1"/>
  <c r="D49" i="60"/>
  <c r="B49" i="60"/>
  <c r="Z48" i="60"/>
  <c r="X48" i="60"/>
  <c r="V48" i="60"/>
  <c r="N48" i="60"/>
  <c r="L48" i="60"/>
  <c r="B48" i="60"/>
  <c r="X47" i="60"/>
  <c r="Z47" i="60" s="1"/>
  <c r="R47" i="60"/>
  <c r="N47" i="60"/>
  <c r="L47" i="60"/>
  <c r="J47" i="60"/>
  <c r="B47" i="60"/>
  <c r="T46" i="60"/>
  <c r="P46" i="60"/>
  <c r="X46" i="60" s="1"/>
  <c r="Z46" i="60" s="1"/>
  <c r="H46" i="60"/>
  <c r="L46" i="60" s="1"/>
  <c r="N46" i="60" s="1"/>
  <c r="D46" i="60"/>
  <c r="B46" i="60"/>
  <c r="X45" i="60"/>
  <c r="Z45" i="60" s="1"/>
  <c r="N45" i="60"/>
  <c r="L45" i="60"/>
  <c r="J45" i="60"/>
  <c r="B45" i="60"/>
  <c r="X44" i="60"/>
  <c r="Z44" i="60" s="1"/>
  <c r="T44" i="60"/>
  <c r="P44" i="60"/>
  <c r="H44" i="60"/>
  <c r="N44" i="60" s="1"/>
  <c r="D44" i="60"/>
  <c r="L44" i="60" s="1"/>
  <c r="B44" i="60"/>
  <c r="Z43" i="60"/>
  <c r="X43" i="60"/>
  <c r="L43" i="60"/>
  <c r="N43" i="60" s="1"/>
  <c r="F43" i="60"/>
  <c r="B43" i="60"/>
  <c r="X42" i="60"/>
  <c r="T42" i="60"/>
  <c r="P42" i="60"/>
  <c r="H42" i="60"/>
  <c r="F42" i="60"/>
  <c r="D42" i="60"/>
  <c r="L42" i="60" s="1"/>
  <c r="N42" i="60" s="1"/>
  <c r="B42" i="60"/>
  <c r="Z41" i="60"/>
  <c r="X41" i="60"/>
  <c r="L41" i="60"/>
  <c r="N41" i="60" s="1"/>
  <c r="B41" i="60"/>
  <c r="X40" i="60"/>
  <c r="T40" i="60"/>
  <c r="P40" i="60"/>
  <c r="H40" i="60"/>
  <c r="D40" i="60"/>
  <c r="L40" i="60" s="1"/>
  <c r="B40" i="60"/>
  <c r="Z39" i="60"/>
  <c r="X39" i="60"/>
  <c r="V39" i="60"/>
  <c r="N39" i="60"/>
  <c r="L39" i="60"/>
  <c r="B39" i="60"/>
  <c r="Z38" i="60"/>
  <c r="X38" i="60"/>
  <c r="V38" i="60"/>
  <c r="R38" i="60"/>
  <c r="N38" i="60"/>
  <c r="L38" i="60"/>
  <c r="B38" i="60"/>
  <c r="Z37" i="60"/>
  <c r="X37" i="60"/>
  <c r="N37" i="60"/>
  <c r="L37" i="60"/>
  <c r="B37" i="60"/>
  <c r="Z36" i="60"/>
  <c r="X36" i="60"/>
  <c r="N36" i="60"/>
  <c r="L36" i="60"/>
  <c r="B36" i="60"/>
  <c r="Z35" i="60"/>
  <c r="X35" i="60"/>
  <c r="V35" i="60"/>
  <c r="N35" i="60"/>
  <c r="L35" i="60"/>
  <c r="B35" i="60"/>
  <c r="Z34" i="60"/>
  <c r="X34" i="60"/>
  <c r="V34" i="60"/>
  <c r="R34" i="60"/>
  <c r="N34" i="60"/>
  <c r="L34" i="60"/>
  <c r="B34" i="60"/>
  <c r="Z33" i="60"/>
  <c r="X33" i="60"/>
  <c r="N33" i="60"/>
  <c r="L33" i="60"/>
  <c r="B33" i="60"/>
  <c r="Z32" i="60"/>
  <c r="X32" i="60"/>
  <c r="N32" i="60"/>
  <c r="L32" i="60"/>
  <c r="B32" i="60"/>
  <c r="Z31" i="60"/>
  <c r="X31" i="60"/>
  <c r="V31" i="60"/>
  <c r="N31" i="60"/>
  <c r="L31" i="60"/>
  <c r="B31" i="60"/>
  <c r="Z30" i="60"/>
  <c r="X30" i="60"/>
  <c r="V30" i="60"/>
  <c r="R30" i="60"/>
  <c r="N30" i="60"/>
  <c r="L30" i="60"/>
  <c r="B30" i="60"/>
  <c r="T29" i="60"/>
  <c r="P29" i="60"/>
  <c r="X29" i="60" s="1"/>
  <c r="J29" i="60"/>
  <c r="H29" i="60"/>
  <c r="D29" i="60"/>
  <c r="L29" i="60" s="1"/>
  <c r="N29" i="60" s="1"/>
  <c r="B29" i="60"/>
  <c r="Z28" i="60"/>
  <c r="X28" i="60"/>
  <c r="L28" i="60"/>
  <c r="N28" i="60" s="1"/>
  <c r="B28" i="60"/>
  <c r="Z27" i="60"/>
  <c r="X27" i="60"/>
  <c r="R27" i="60"/>
  <c r="L27" i="60"/>
  <c r="N27" i="60" s="1"/>
  <c r="F27" i="60"/>
  <c r="B27" i="60"/>
  <c r="X26" i="60"/>
  <c r="Z26" i="60" s="1"/>
  <c r="L26" i="60"/>
  <c r="N26" i="60" s="1"/>
  <c r="B26" i="60"/>
  <c r="Z25" i="60"/>
  <c r="X25" i="60"/>
  <c r="V25" i="60"/>
  <c r="N25" i="60"/>
  <c r="L25" i="60"/>
  <c r="B25" i="60"/>
  <c r="Z24" i="60"/>
  <c r="X24" i="60"/>
  <c r="L24" i="60"/>
  <c r="N24" i="60" s="1"/>
  <c r="B24" i="60"/>
  <c r="Z23" i="60"/>
  <c r="X23" i="60"/>
  <c r="R23" i="60"/>
  <c r="L23" i="60"/>
  <c r="N23" i="60" s="1"/>
  <c r="B23" i="60"/>
  <c r="X22" i="60"/>
  <c r="Z22" i="60" s="1"/>
  <c r="L22" i="60"/>
  <c r="N22" i="60" s="1"/>
  <c r="B22" i="60"/>
  <c r="X21" i="60"/>
  <c r="Z21" i="60" s="1"/>
  <c r="V21" i="60"/>
  <c r="N21" i="60"/>
  <c r="L21" i="60"/>
  <c r="B21" i="60"/>
  <c r="Z20" i="60"/>
  <c r="X20" i="60"/>
  <c r="L20" i="60"/>
  <c r="N20" i="60" s="1"/>
  <c r="F20" i="60"/>
  <c r="B20" i="60"/>
  <c r="T19" i="60"/>
  <c r="P19" i="60"/>
  <c r="X19" i="60" s="1"/>
  <c r="L19" i="60"/>
  <c r="N19" i="60" s="1"/>
  <c r="H19" i="60"/>
  <c r="D19" i="60"/>
  <c r="B19" i="60"/>
  <c r="T18" i="60"/>
  <c r="R18" i="60"/>
  <c r="P18" i="60"/>
  <c r="X18" i="60" s="1"/>
  <c r="H18" i="60"/>
  <c r="L18" i="60" s="1"/>
  <c r="N18" i="60" s="1"/>
  <c r="D18" i="60"/>
  <c r="R16" i="60"/>
  <c r="T14" i="60"/>
  <c r="Z14" i="60" s="1"/>
  <c r="R14" i="60"/>
  <c r="P14" i="60"/>
  <c r="X14" i="60" s="1"/>
  <c r="L14" i="60"/>
  <c r="H14" i="60"/>
  <c r="N14" i="60" s="1"/>
  <c r="D14" i="60"/>
  <c r="T12" i="60"/>
  <c r="V53" i="60" s="1"/>
  <c r="P12" i="60"/>
  <c r="R46" i="60" s="1"/>
  <c r="H12" i="60"/>
  <c r="J65" i="60" s="1"/>
  <c r="D12" i="60"/>
  <c r="F23" i="60" s="1"/>
  <c r="D6" i="60"/>
  <c r="D4" i="60"/>
  <c r="J78" i="59"/>
  <c r="J75" i="59"/>
  <c r="Z73" i="59"/>
  <c r="X73" i="59"/>
  <c r="N73" i="59"/>
  <c r="L73" i="59"/>
  <c r="Z69" i="59"/>
  <c r="T69" i="59"/>
  <c r="X69" i="59" s="1"/>
  <c r="P69" i="59"/>
  <c r="H69" i="59"/>
  <c r="N69" i="59" s="1"/>
  <c r="D69" i="59"/>
  <c r="L69" i="59" s="1"/>
  <c r="Z67" i="59"/>
  <c r="X67" i="59"/>
  <c r="R67" i="59"/>
  <c r="N67" i="59"/>
  <c r="L67" i="59"/>
  <c r="B67" i="59"/>
  <c r="X66" i="59"/>
  <c r="Z66" i="59" s="1"/>
  <c r="R66" i="59"/>
  <c r="N66" i="59"/>
  <c r="L66" i="59"/>
  <c r="J66" i="59"/>
  <c r="B66" i="59"/>
  <c r="T65" i="59"/>
  <c r="P65" i="59"/>
  <c r="X65" i="59" s="1"/>
  <c r="H65" i="59"/>
  <c r="D65" i="59"/>
  <c r="B65" i="59"/>
  <c r="X64" i="59"/>
  <c r="Z64" i="59" s="1"/>
  <c r="L64" i="59"/>
  <c r="N64" i="59" s="1"/>
  <c r="J64" i="59"/>
  <c r="B64" i="59"/>
  <c r="X63" i="59"/>
  <c r="T63" i="59"/>
  <c r="Z63" i="59" s="1"/>
  <c r="P63" i="59"/>
  <c r="J63" i="59"/>
  <c r="H63" i="59"/>
  <c r="D63" i="59"/>
  <c r="L63" i="59" s="1"/>
  <c r="B63" i="59"/>
  <c r="Z62" i="59"/>
  <c r="X62" i="59"/>
  <c r="L62" i="59"/>
  <c r="N62" i="59" s="1"/>
  <c r="F62" i="59"/>
  <c r="B62" i="59"/>
  <c r="X61" i="59"/>
  <c r="Z61" i="59" s="1"/>
  <c r="L61" i="59"/>
  <c r="N61" i="59" s="1"/>
  <c r="B61" i="59"/>
  <c r="X60" i="59"/>
  <c r="Z60" i="59" s="1"/>
  <c r="T60" i="59"/>
  <c r="R60" i="59"/>
  <c r="P60" i="59"/>
  <c r="H60" i="59"/>
  <c r="D60" i="59"/>
  <c r="L60" i="59" s="1"/>
  <c r="N60" i="59" s="1"/>
  <c r="B60" i="59"/>
  <c r="Z59" i="59"/>
  <c r="X59" i="59"/>
  <c r="R59" i="59"/>
  <c r="L59" i="59"/>
  <c r="N59" i="59" s="1"/>
  <c r="B59" i="59"/>
  <c r="T58" i="59"/>
  <c r="R58" i="59"/>
  <c r="P58" i="59"/>
  <c r="N58" i="59"/>
  <c r="H58" i="59"/>
  <c r="D58" i="59"/>
  <c r="L58" i="59" s="1"/>
  <c r="B58" i="59"/>
  <c r="X57" i="59"/>
  <c r="Z57" i="59" s="1"/>
  <c r="R57" i="59"/>
  <c r="L57" i="59"/>
  <c r="N57" i="59" s="1"/>
  <c r="B57" i="59"/>
  <c r="T56" i="59"/>
  <c r="P56" i="59"/>
  <c r="X56" i="59" s="1"/>
  <c r="J56" i="59"/>
  <c r="H56" i="59"/>
  <c r="D56" i="59"/>
  <c r="L56" i="59" s="1"/>
  <c r="N56" i="59" s="1"/>
  <c r="B56" i="59"/>
  <c r="Z55" i="59"/>
  <c r="X55" i="59"/>
  <c r="N55" i="59"/>
  <c r="L55" i="59"/>
  <c r="F55" i="59"/>
  <c r="B55" i="59"/>
  <c r="Z54" i="59"/>
  <c r="X54" i="59"/>
  <c r="L54" i="59"/>
  <c r="N54" i="59" s="1"/>
  <c r="F54" i="59"/>
  <c r="B54" i="59"/>
  <c r="X53" i="59"/>
  <c r="Z53" i="59" s="1"/>
  <c r="L53" i="59"/>
  <c r="N53" i="59" s="1"/>
  <c r="B53" i="59"/>
  <c r="X52" i="59"/>
  <c r="Z52" i="59" s="1"/>
  <c r="N52" i="59"/>
  <c r="L52" i="59"/>
  <c r="B52" i="59"/>
  <c r="T51" i="59"/>
  <c r="R51" i="59"/>
  <c r="P51" i="59"/>
  <c r="X51" i="59" s="1"/>
  <c r="L51" i="59"/>
  <c r="H51" i="59"/>
  <c r="D51" i="59"/>
  <c r="B51" i="59"/>
  <c r="X50" i="59"/>
  <c r="Z50" i="59" s="1"/>
  <c r="R50" i="59"/>
  <c r="N50" i="59"/>
  <c r="L50" i="59"/>
  <c r="J50" i="59"/>
  <c r="B50" i="59"/>
  <c r="T49" i="59"/>
  <c r="Z49" i="59" s="1"/>
  <c r="P49" i="59"/>
  <c r="X49" i="59" s="1"/>
  <c r="N49" i="59"/>
  <c r="H49" i="59"/>
  <c r="L49" i="59" s="1"/>
  <c r="D49" i="59"/>
  <c r="B49" i="59"/>
  <c r="X48" i="59"/>
  <c r="Z48" i="59" s="1"/>
  <c r="L48" i="59"/>
  <c r="N48" i="59" s="1"/>
  <c r="J48" i="59"/>
  <c r="B48" i="59"/>
  <c r="X47" i="59"/>
  <c r="T47" i="59"/>
  <c r="Z47" i="59" s="1"/>
  <c r="P47" i="59"/>
  <c r="J47" i="59"/>
  <c r="H47" i="59"/>
  <c r="D47" i="59"/>
  <c r="L47" i="59" s="1"/>
  <c r="B47" i="59"/>
  <c r="Z46" i="59"/>
  <c r="X46" i="59"/>
  <c r="L46" i="59"/>
  <c r="N46" i="59" s="1"/>
  <c r="F46" i="59"/>
  <c r="B46" i="59"/>
  <c r="X45" i="59"/>
  <c r="T45" i="59"/>
  <c r="Z45" i="59" s="1"/>
  <c r="P45" i="59"/>
  <c r="H45" i="59"/>
  <c r="N45" i="59" s="1"/>
  <c r="F45" i="59"/>
  <c r="D45" i="59"/>
  <c r="L45" i="59" s="1"/>
  <c r="B45" i="59"/>
  <c r="Z44" i="59"/>
  <c r="X44" i="59"/>
  <c r="L44" i="59"/>
  <c r="N44" i="59" s="1"/>
  <c r="B44" i="59"/>
  <c r="T43" i="59"/>
  <c r="P43" i="59"/>
  <c r="H43" i="59"/>
  <c r="N43" i="59" s="1"/>
  <c r="D43" i="59"/>
  <c r="L43" i="59" s="1"/>
  <c r="B43" i="59"/>
  <c r="Z42" i="59"/>
  <c r="X42" i="59"/>
  <c r="N42" i="59"/>
  <c r="L42" i="59"/>
  <c r="B42" i="59"/>
  <c r="T41" i="59"/>
  <c r="Z41" i="59" s="1"/>
  <c r="P41" i="59"/>
  <c r="L41" i="59"/>
  <c r="H41" i="59"/>
  <c r="N41" i="59" s="1"/>
  <c r="D41" i="59"/>
  <c r="B41" i="59"/>
  <c r="Z40" i="59"/>
  <c r="X40" i="59"/>
  <c r="N40" i="59"/>
  <c r="L40" i="59"/>
  <c r="B40" i="59"/>
  <c r="Z39" i="59"/>
  <c r="X39" i="59"/>
  <c r="N39" i="59"/>
  <c r="L39" i="59"/>
  <c r="F39" i="59"/>
  <c r="B39" i="59"/>
  <c r="Z38" i="59"/>
  <c r="X38" i="59"/>
  <c r="N38" i="59"/>
  <c r="L38" i="59"/>
  <c r="F38" i="59"/>
  <c r="B38" i="59"/>
  <c r="X37" i="59"/>
  <c r="Z37" i="59" s="1"/>
  <c r="L37" i="59"/>
  <c r="N37" i="59" s="1"/>
  <c r="B37" i="59"/>
  <c r="Z36" i="59"/>
  <c r="X36" i="59"/>
  <c r="N36" i="59"/>
  <c r="L36" i="59"/>
  <c r="B36" i="59"/>
  <c r="Z35" i="59"/>
  <c r="X35" i="59"/>
  <c r="N35" i="59"/>
  <c r="L35" i="59"/>
  <c r="F35" i="59"/>
  <c r="B35" i="59"/>
  <c r="Z34" i="59"/>
  <c r="X34" i="59"/>
  <c r="L34" i="59"/>
  <c r="N34" i="59" s="1"/>
  <c r="F34" i="59"/>
  <c r="B34" i="59"/>
  <c r="Z33" i="59"/>
  <c r="X33" i="59"/>
  <c r="N33" i="59"/>
  <c r="L33" i="59"/>
  <c r="B33" i="59"/>
  <c r="X32" i="59"/>
  <c r="Z32" i="59" s="1"/>
  <c r="N32" i="59"/>
  <c r="L32" i="59"/>
  <c r="B32" i="59"/>
  <c r="Z31" i="59"/>
  <c r="X31" i="59"/>
  <c r="N31" i="59"/>
  <c r="L31" i="59"/>
  <c r="F31" i="59"/>
  <c r="B31" i="59"/>
  <c r="T30" i="59"/>
  <c r="Z30" i="59" s="1"/>
  <c r="P30" i="59"/>
  <c r="X30" i="59" s="1"/>
  <c r="L30" i="59"/>
  <c r="N30" i="59" s="1"/>
  <c r="J30" i="59"/>
  <c r="H30" i="59"/>
  <c r="F30" i="59"/>
  <c r="D30" i="59"/>
  <c r="B30" i="59"/>
  <c r="Z29" i="59"/>
  <c r="X29" i="59"/>
  <c r="N29" i="59"/>
  <c r="L29" i="59"/>
  <c r="J29" i="59"/>
  <c r="F29" i="59"/>
  <c r="B29" i="59"/>
  <c r="Z28" i="59"/>
  <c r="X28" i="59"/>
  <c r="N28" i="59"/>
  <c r="L28" i="59"/>
  <c r="B28" i="59"/>
  <c r="X27" i="59"/>
  <c r="Z27" i="59" s="1"/>
  <c r="R27" i="59"/>
  <c r="L27" i="59"/>
  <c r="N27" i="59" s="1"/>
  <c r="B27" i="59"/>
  <c r="Z26" i="59"/>
  <c r="X26" i="59"/>
  <c r="R26" i="59"/>
  <c r="N26" i="59"/>
  <c r="L26" i="59"/>
  <c r="J26" i="59"/>
  <c r="B26" i="59"/>
  <c r="Z25" i="59"/>
  <c r="X25" i="59"/>
  <c r="N25" i="59"/>
  <c r="L25" i="59"/>
  <c r="J25" i="59"/>
  <c r="F25" i="59"/>
  <c r="B25" i="59"/>
  <c r="Z24" i="59"/>
  <c r="X24" i="59"/>
  <c r="N24" i="59"/>
  <c r="L24" i="59"/>
  <c r="B24" i="59"/>
  <c r="X23" i="59"/>
  <c r="Z23" i="59" s="1"/>
  <c r="R23" i="59"/>
  <c r="L23" i="59"/>
  <c r="N23" i="59" s="1"/>
  <c r="B23" i="59"/>
  <c r="X22" i="59"/>
  <c r="Z22" i="59" s="1"/>
  <c r="R22" i="59"/>
  <c r="N22" i="59"/>
  <c r="L22" i="59"/>
  <c r="J22" i="59"/>
  <c r="B22" i="59"/>
  <c r="X21" i="59"/>
  <c r="Z21" i="59" s="1"/>
  <c r="L21" i="59"/>
  <c r="N21" i="59" s="1"/>
  <c r="J21" i="59"/>
  <c r="F21" i="59"/>
  <c r="B21" i="59"/>
  <c r="Z20" i="59"/>
  <c r="X20" i="59"/>
  <c r="N20" i="59"/>
  <c r="L20" i="59"/>
  <c r="F20" i="59"/>
  <c r="B20" i="59"/>
  <c r="X19" i="59"/>
  <c r="Z19" i="59" s="1"/>
  <c r="T19" i="59"/>
  <c r="P19" i="59"/>
  <c r="H19" i="59"/>
  <c r="F19" i="59"/>
  <c r="D19" i="59"/>
  <c r="L19" i="59" s="1"/>
  <c r="B19" i="59"/>
  <c r="Z18" i="59"/>
  <c r="T18" i="59"/>
  <c r="R18" i="59"/>
  <c r="P18" i="59"/>
  <c r="X18" i="59" s="1"/>
  <c r="H18" i="59"/>
  <c r="N18" i="59" s="1"/>
  <c r="F18" i="59"/>
  <c r="D18" i="59"/>
  <c r="L18" i="59" s="1"/>
  <c r="R16" i="59"/>
  <c r="F16" i="59"/>
  <c r="D16" i="59"/>
  <c r="Z14" i="59"/>
  <c r="T14" i="59"/>
  <c r="R14" i="59"/>
  <c r="P14" i="59"/>
  <c r="X14" i="59" s="1"/>
  <c r="H14" i="59"/>
  <c r="N14" i="59" s="1"/>
  <c r="F14" i="59"/>
  <c r="D14" i="59"/>
  <c r="L14" i="59" s="1"/>
  <c r="T12" i="59"/>
  <c r="P12" i="59"/>
  <c r="R71" i="59" s="1"/>
  <c r="H12" i="59"/>
  <c r="J57" i="59" s="1"/>
  <c r="D12" i="59"/>
  <c r="F66" i="59" s="1"/>
  <c r="D6" i="59"/>
  <c r="D4" i="59"/>
  <c r="R80" i="58"/>
  <c r="Z78" i="58"/>
  <c r="X78" i="58"/>
  <c r="N78" i="58"/>
  <c r="L78" i="58"/>
  <c r="T74" i="58"/>
  <c r="Z74" i="58" s="1"/>
  <c r="P74" i="58"/>
  <c r="X74" i="58" s="1"/>
  <c r="N74" i="58"/>
  <c r="J74" i="58"/>
  <c r="H74" i="58"/>
  <c r="D74" i="58"/>
  <c r="L74" i="58" s="1"/>
  <c r="Z72" i="58"/>
  <c r="X72" i="58"/>
  <c r="L72" i="58"/>
  <c r="N72" i="58" s="1"/>
  <c r="B72" i="58"/>
  <c r="T71" i="58"/>
  <c r="P71" i="58"/>
  <c r="J71" i="58"/>
  <c r="H71" i="58"/>
  <c r="N71" i="58" s="1"/>
  <c r="D71" i="58"/>
  <c r="L71" i="58" s="1"/>
  <c r="B71" i="58"/>
  <c r="Z70" i="58"/>
  <c r="X70" i="58"/>
  <c r="N70" i="58"/>
  <c r="L70" i="58"/>
  <c r="B70" i="58"/>
  <c r="X69" i="58"/>
  <c r="T69" i="58"/>
  <c r="P69" i="58"/>
  <c r="H69" i="58"/>
  <c r="N69" i="58" s="1"/>
  <c r="D69" i="58"/>
  <c r="L69" i="58" s="1"/>
  <c r="B69" i="58"/>
  <c r="Z68" i="58"/>
  <c r="X68" i="58"/>
  <c r="N68" i="58"/>
  <c r="L68" i="58"/>
  <c r="F68" i="58"/>
  <c r="B68" i="58"/>
  <c r="T67" i="58"/>
  <c r="X67" i="58" s="1"/>
  <c r="Z67" i="58" s="1"/>
  <c r="P67" i="58"/>
  <c r="H67" i="58"/>
  <c r="N67" i="58" s="1"/>
  <c r="D67" i="58"/>
  <c r="L67" i="58" s="1"/>
  <c r="B67" i="58"/>
  <c r="Z66" i="58"/>
  <c r="X66" i="58"/>
  <c r="N66" i="58"/>
  <c r="L66" i="58"/>
  <c r="B66" i="58"/>
  <c r="Z65" i="58"/>
  <c r="X65" i="58"/>
  <c r="L65" i="58"/>
  <c r="N65" i="58" s="1"/>
  <c r="B65" i="58"/>
  <c r="Z64" i="58"/>
  <c r="X64" i="58"/>
  <c r="R64" i="58"/>
  <c r="L64" i="58"/>
  <c r="N64" i="58" s="1"/>
  <c r="J64" i="58"/>
  <c r="B64" i="58"/>
  <c r="T63" i="58"/>
  <c r="P63" i="58"/>
  <c r="N63" i="58"/>
  <c r="H63" i="58"/>
  <c r="D63" i="58"/>
  <c r="L63" i="58" s="1"/>
  <c r="B63" i="58"/>
  <c r="Z62" i="58"/>
  <c r="X62" i="58"/>
  <c r="N62" i="58"/>
  <c r="L62" i="58"/>
  <c r="B62" i="58"/>
  <c r="X61" i="58"/>
  <c r="T61" i="58"/>
  <c r="Z61" i="58" s="1"/>
  <c r="P61" i="58"/>
  <c r="H61" i="58"/>
  <c r="N61" i="58" s="1"/>
  <c r="D61" i="58"/>
  <c r="L61" i="58" s="1"/>
  <c r="B61" i="58"/>
  <c r="Z60" i="58"/>
  <c r="X60" i="58"/>
  <c r="N60" i="58"/>
  <c r="L60" i="58"/>
  <c r="B60" i="58"/>
  <c r="Z59" i="58"/>
  <c r="X59" i="58"/>
  <c r="L59" i="58"/>
  <c r="N59" i="58" s="1"/>
  <c r="B59" i="58"/>
  <c r="T58" i="58"/>
  <c r="P58" i="58"/>
  <c r="H58" i="58"/>
  <c r="D58" i="58"/>
  <c r="L58" i="58" s="1"/>
  <c r="N58" i="58" s="1"/>
  <c r="B58" i="58"/>
  <c r="X57" i="58"/>
  <c r="Z57" i="58" s="1"/>
  <c r="R57" i="58"/>
  <c r="N57" i="58"/>
  <c r="L57" i="58"/>
  <c r="B57" i="58"/>
  <c r="Z56" i="58"/>
  <c r="X56" i="58"/>
  <c r="N56" i="58"/>
  <c r="L56" i="58"/>
  <c r="B56" i="58"/>
  <c r="T55" i="58"/>
  <c r="P55" i="58"/>
  <c r="L55" i="58"/>
  <c r="H55" i="58"/>
  <c r="N55" i="58" s="1"/>
  <c r="D55" i="58"/>
  <c r="B55" i="58"/>
  <c r="Z54" i="58"/>
  <c r="X54" i="58"/>
  <c r="L54" i="58"/>
  <c r="N54" i="58" s="1"/>
  <c r="F54" i="58"/>
  <c r="B54" i="58"/>
  <c r="X53" i="58"/>
  <c r="T53" i="58"/>
  <c r="P53" i="58"/>
  <c r="H53" i="58"/>
  <c r="D53" i="58"/>
  <c r="B53" i="58"/>
  <c r="Z52" i="58"/>
  <c r="X52" i="58"/>
  <c r="N52" i="58"/>
  <c r="L52" i="58"/>
  <c r="F52" i="58"/>
  <c r="B52" i="58"/>
  <c r="T51" i="58"/>
  <c r="X51" i="58" s="1"/>
  <c r="Z51" i="58" s="1"/>
  <c r="P51" i="58"/>
  <c r="L51" i="58"/>
  <c r="H51" i="58"/>
  <c r="N51" i="58" s="1"/>
  <c r="D51" i="58"/>
  <c r="B51" i="58"/>
  <c r="Z50" i="58"/>
  <c r="X50" i="58"/>
  <c r="N50" i="58"/>
  <c r="L50" i="58"/>
  <c r="B50" i="58"/>
  <c r="T49" i="58"/>
  <c r="P49" i="58"/>
  <c r="X49" i="58" s="1"/>
  <c r="Z49" i="58" s="1"/>
  <c r="H49" i="58"/>
  <c r="D49" i="58"/>
  <c r="L49" i="58" s="1"/>
  <c r="B49" i="58"/>
  <c r="Z48" i="58"/>
  <c r="X48" i="58"/>
  <c r="N48" i="58"/>
  <c r="L48" i="58"/>
  <c r="B48" i="58"/>
  <c r="T47" i="58"/>
  <c r="R47" i="58"/>
  <c r="P47" i="58"/>
  <c r="X47" i="58" s="1"/>
  <c r="L47" i="58"/>
  <c r="H47" i="58"/>
  <c r="D47" i="58"/>
  <c r="B47" i="58"/>
  <c r="X46" i="58"/>
  <c r="Z46" i="58" s="1"/>
  <c r="N46" i="58"/>
  <c r="L46" i="58"/>
  <c r="B46" i="58"/>
  <c r="X45" i="58"/>
  <c r="T45" i="58"/>
  <c r="Z45" i="58" s="1"/>
  <c r="R45" i="58"/>
  <c r="P45" i="58"/>
  <c r="N45" i="58"/>
  <c r="L45" i="58"/>
  <c r="H45" i="58"/>
  <c r="D45" i="58"/>
  <c r="B45" i="58"/>
  <c r="X44" i="58"/>
  <c r="Z44" i="58" s="1"/>
  <c r="R44" i="58"/>
  <c r="L44" i="58"/>
  <c r="N44" i="58" s="1"/>
  <c r="B44" i="58"/>
  <c r="T43" i="58"/>
  <c r="P43" i="58"/>
  <c r="X43" i="58" s="1"/>
  <c r="H43" i="58"/>
  <c r="D43" i="58"/>
  <c r="B43" i="58"/>
  <c r="Z42" i="58"/>
  <c r="X42" i="58"/>
  <c r="L42" i="58"/>
  <c r="N42" i="58" s="1"/>
  <c r="F42" i="58"/>
  <c r="B42" i="58"/>
  <c r="X41" i="58"/>
  <c r="T41" i="58"/>
  <c r="P41" i="58"/>
  <c r="L41" i="58"/>
  <c r="H41" i="58"/>
  <c r="N41" i="58" s="1"/>
  <c r="D41" i="58"/>
  <c r="B41" i="58"/>
  <c r="Z40" i="58"/>
  <c r="X40" i="58"/>
  <c r="V40" i="58"/>
  <c r="N40" i="58"/>
  <c r="L40" i="58"/>
  <c r="B40" i="58"/>
  <c r="Z39" i="58"/>
  <c r="X39" i="58"/>
  <c r="R39" i="58"/>
  <c r="N39" i="58"/>
  <c r="L39" i="58"/>
  <c r="B39" i="58"/>
  <c r="Z38" i="58"/>
  <c r="X38" i="58"/>
  <c r="R38" i="58"/>
  <c r="N38" i="58"/>
  <c r="L38" i="58"/>
  <c r="B38" i="58"/>
  <c r="Z37" i="58"/>
  <c r="X37" i="58"/>
  <c r="R37" i="58"/>
  <c r="N37" i="58"/>
  <c r="L37" i="58"/>
  <c r="B37" i="58"/>
  <c r="Z36" i="58"/>
  <c r="X36" i="58"/>
  <c r="N36" i="58"/>
  <c r="L36" i="58"/>
  <c r="F36" i="58"/>
  <c r="B36" i="58"/>
  <c r="Z35" i="58"/>
  <c r="X35" i="58"/>
  <c r="R35" i="58"/>
  <c r="L35" i="58"/>
  <c r="N35" i="58" s="1"/>
  <c r="B35" i="58"/>
  <c r="Z34" i="58"/>
  <c r="X34" i="58"/>
  <c r="N34" i="58"/>
  <c r="L34" i="58"/>
  <c r="B34" i="58"/>
  <c r="Z33" i="58"/>
  <c r="X33" i="58"/>
  <c r="R33" i="58"/>
  <c r="N33" i="58"/>
  <c r="L33" i="58"/>
  <c r="F33" i="58"/>
  <c r="B33" i="58"/>
  <c r="Z32" i="58"/>
  <c r="X32" i="58"/>
  <c r="N32" i="58"/>
  <c r="L32" i="58"/>
  <c r="B32" i="58"/>
  <c r="Z31" i="58"/>
  <c r="X31" i="58"/>
  <c r="R31" i="58"/>
  <c r="L31" i="58"/>
  <c r="N31" i="58" s="1"/>
  <c r="B31" i="58"/>
  <c r="T30" i="58"/>
  <c r="P30" i="58"/>
  <c r="L30" i="58"/>
  <c r="N30" i="58" s="1"/>
  <c r="H30" i="58"/>
  <c r="D30" i="58"/>
  <c r="B30" i="58"/>
  <c r="X29" i="58"/>
  <c r="Z29" i="58" s="1"/>
  <c r="L29" i="58"/>
  <c r="N29" i="58" s="1"/>
  <c r="F29" i="58"/>
  <c r="B29" i="58"/>
  <c r="Z28" i="58"/>
  <c r="X28" i="58"/>
  <c r="R28" i="58"/>
  <c r="L28" i="58"/>
  <c r="N28" i="58" s="1"/>
  <c r="B28" i="58"/>
  <c r="Z27" i="58"/>
  <c r="X27" i="58"/>
  <c r="R27" i="58"/>
  <c r="L27" i="58"/>
  <c r="N27" i="58" s="1"/>
  <c r="B27" i="58"/>
  <c r="Z26" i="58"/>
  <c r="X26" i="58"/>
  <c r="N26" i="58"/>
  <c r="L26" i="58"/>
  <c r="J26" i="58"/>
  <c r="B26" i="58"/>
  <c r="X25" i="58"/>
  <c r="Z25" i="58" s="1"/>
  <c r="L25" i="58"/>
  <c r="N25" i="58" s="1"/>
  <c r="B25" i="58"/>
  <c r="X24" i="58"/>
  <c r="Z24" i="58" s="1"/>
  <c r="R24" i="58"/>
  <c r="L24" i="58"/>
  <c r="N24" i="58" s="1"/>
  <c r="B24" i="58"/>
  <c r="X23" i="58"/>
  <c r="Z23" i="58" s="1"/>
  <c r="N23" i="58"/>
  <c r="L23" i="58"/>
  <c r="J23" i="58"/>
  <c r="B23" i="58"/>
  <c r="Z22" i="58"/>
  <c r="X22" i="58"/>
  <c r="N22" i="58"/>
  <c r="L22" i="58"/>
  <c r="F22" i="58"/>
  <c r="B22" i="58"/>
  <c r="Z21" i="58"/>
  <c r="X21" i="58"/>
  <c r="L21" i="58"/>
  <c r="N21" i="58" s="1"/>
  <c r="B21" i="58"/>
  <c r="Z20" i="58"/>
  <c r="X20" i="58"/>
  <c r="N20" i="58"/>
  <c r="L20" i="58"/>
  <c r="B20" i="58"/>
  <c r="T19" i="58"/>
  <c r="P19" i="58"/>
  <c r="X19" i="58" s="1"/>
  <c r="Z19" i="58" s="1"/>
  <c r="L19" i="58"/>
  <c r="H19" i="58"/>
  <c r="D19" i="58"/>
  <c r="B19" i="58"/>
  <c r="T18" i="58"/>
  <c r="P18" i="58"/>
  <c r="J18" i="58"/>
  <c r="H18" i="58"/>
  <c r="F18" i="58"/>
  <c r="D18" i="58"/>
  <c r="L18" i="58" s="1"/>
  <c r="N18" i="58" s="1"/>
  <c r="R16" i="58"/>
  <c r="F16" i="58"/>
  <c r="Z14" i="58"/>
  <c r="T14" i="58"/>
  <c r="P14" i="58"/>
  <c r="X14" i="58" s="1"/>
  <c r="N14" i="58"/>
  <c r="H14" i="58"/>
  <c r="D14" i="58"/>
  <c r="L14" i="58" s="1"/>
  <c r="T12" i="58"/>
  <c r="V66" i="58" s="1"/>
  <c r="P12" i="58"/>
  <c r="R21" i="58" s="1"/>
  <c r="H12" i="58"/>
  <c r="J63" i="58" s="1"/>
  <c r="D12" i="58"/>
  <c r="F35" i="58" s="1"/>
  <c r="D6" i="58"/>
  <c r="D4" i="58"/>
  <c r="V84" i="57"/>
  <c r="V81" i="57"/>
  <c r="J81" i="57"/>
  <c r="Z79" i="57"/>
  <c r="X79" i="57"/>
  <c r="N79" i="57"/>
  <c r="L79" i="57"/>
  <c r="F79" i="57"/>
  <c r="J77" i="57"/>
  <c r="Z75" i="57"/>
  <c r="X75" i="57"/>
  <c r="T75" i="57"/>
  <c r="P75" i="57"/>
  <c r="J75" i="57"/>
  <c r="H75" i="57"/>
  <c r="N75" i="57" s="1"/>
  <c r="D75" i="57"/>
  <c r="Z73" i="57"/>
  <c r="X73" i="57"/>
  <c r="V73" i="57"/>
  <c r="L73" i="57"/>
  <c r="N73" i="57" s="1"/>
  <c r="J73" i="57"/>
  <c r="B73" i="57"/>
  <c r="X72" i="57"/>
  <c r="V72" i="57"/>
  <c r="T72" i="57"/>
  <c r="Z72" i="57" s="1"/>
  <c r="P72" i="57"/>
  <c r="J72" i="57"/>
  <c r="H72" i="57"/>
  <c r="D72" i="57"/>
  <c r="L72" i="57" s="1"/>
  <c r="B72" i="57"/>
  <c r="Z71" i="57"/>
  <c r="X71" i="57"/>
  <c r="V71" i="57"/>
  <c r="N71" i="57"/>
  <c r="L71" i="57"/>
  <c r="J71" i="57"/>
  <c r="B71" i="57"/>
  <c r="V70" i="57"/>
  <c r="T70" i="57"/>
  <c r="X70" i="57" s="1"/>
  <c r="P70" i="57"/>
  <c r="N70" i="57"/>
  <c r="L70" i="57"/>
  <c r="H70" i="57"/>
  <c r="D70" i="57"/>
  <c r="B70" i="57"/>
  <c r="Z69" i="57"/>
  <c r="X69" i="57"/>
  <c r="V69" i="57"/>
  <c r="N69" i="57"/>
  <c r="L69" i="57"/>
  <c r="J69" i="57"/>
  <c r="B69" i="57"/>
  <c r="X68" i="57"/>
  <c r="Z68" i="57" s="1"/>
  <c r="L68" i="57"/>
  <c r="N68" i="57" s="1"/>
  <c r="F68" i="57"/>
  <c r="B68" i="57"/>
  <c r="T67" i="57"/>
  <c r="X67" i="57" s="1"/>
  <c r="P67" i="57"/>
  <c r="H67" i="57"/>
  <c r="D67" i="57"/>
  <c r="L67" i="57" s="1"/>
  <c r="B67" i="57"/>
  <c r="Z66" i="57"/>
  <c r="X66" i="57"/>
  <c r="V66" i="57"/>
  <c r="N66" i="57"/>
  <c r="L66" i="57"/>
  <c r="J66" i="57"/>
  <c r="B66" i="57"/>
  <c r="Z65" i="57"/>
  <c r="X65" i="57"/>
  <c r="T65" i="57"/>
  <c r="P65" i="57"/>
  <c r="N65" i="57"/>
  <c r="J65" i="57"/>
  <c r="H65" i="57"/>
  <c r="D65" i="57"/>
  <c r="B65" i="57"/>
  <c r="X64" i="57"/>
  <c r="Z64" i="57" s="1"/>
  <c r="N64" i="57"/>
  <c r="L64" i="57"/>
  <c r="B64" i="57"/>
  <c r="X63" i="57"/>
  <c r="Z63" i="57" s="1"/>
  <c r="V63" i="57"/>
  <c r="T63" i="57"/>
  <c r="P63" i="57"/>
  <c r="N63" i="57"/>
  <c r="J63" i="57"/>
  <c r="H63" i="57"/>
  <c r="D63" i="57"/>
  <c r="L63" i="57" s="1"/>
  <c r="B63" i="57"/>
  <c r="Z62" i="57"/>
  <c r="X62" i="57"/>
  <c r="N62" i="57"/>
  <c r="L62" i="57"/>
  <c r="J62" i="57"/>
  <c r="B62" i="57"/>
  <c r="Z61" i="57"/>
  <c r="X61" i="57"/>
  <c r="N61" i="57"/>
  <c r="L61" i="57"/>
  <c r="J61" i="57"/>
  <c r="B61" i="57"/>
  <c r="Z60" i="57"/>
  <c r="T60" i="57"/>
  <c r="P60" i="57"/>
  <c r="X60" i="57" s="1"/>
  <c r="J60" i="57"/>
  <c r="H60" i="57"/>
  <c r="L60" i="57" s="1"/>
  <c r="N60" i="57" s="1"/>
  <c r="D60" i="57"/>
  <c r="B60" i="57"/>
  <c r="Z59" i="57"/>
  <c r="X59" i="57"/>
  <c r="L59" i="57"/>
  <c r="N59" i="57" s="1"/>
  <c r="J59" i="57"/>
  <c r="B59" i="57"/>
  <c r="T58" i="57"/>
  <c r="P58" i="57"/>
  <c r="J58" i="57"/>
  <c r="H58" i="57"/>
  <c r="D58" i="57"/>
  <c r="L58" i="57" s="1"/>
  <c r="N58" i="57" s="1"/>
  <c r="B58" i="57"/>
  <c r="Z57" i="57"/>
  <c r="X57" i="57"/>
  <c r="N57" i="57"/>
  <c r="L57" i="57"/>
  <c r="J57" i="57"/>
  <c r="B57" i="57"/>
  <c r="Z56" i="57"/>
  <c r="X56" i="57"/>
  <c r="N56" i="57"/>
  <c r="L56" i="57"/>
  <c r="B56" i="57"/>
  <c r="Z55" i="57"/>
  <c r="X55" i="57"/>
  <c r="V55" i="57"/>
  <c r="N55" i="57"/>
  <c r="L55" i="57"/>
  <c r="J55" i="57"/>
  <c r="B55" i="57"/>
  <c r="X54" i="57"/>
  <c r="V54" i="57"/>
  <c r="T54" i="57"/>
  <c r="Z54" i="57" s="1"/>
  <c r="P54" i="57"/>
  <c r="N54" i="57"/>
  <c r="H54" i="57"/>
  <c r="D54" i="57"/>
  <c r="L54" i="57" s="1"/>
  <c r="B54" i="57"/>
  <c r="X53" i="57"/>
  <c r="Z53" i="57" s="1"/>
  <c r="V53" i="57"/>
  <c r="N53" i="57"/>
  <c r="L53" i="57"/>
  <c r="J53" i="57"/>
  <c r="B53" i="57"/>
  <c r="T52" i="57"/>
  <c r="P52" i="57"/>
  <c r="X52" i="57" s="1"/>
  <c r="H52" i="57"/>
  <c r="D52" i="57"/>
  <c r="B52" i="57"/>
  <c r="Z51" i="57"/>
  <c r="X51" i="57"/>
  <c r="N51" i="57"/>
  <c r="L51" i="57"/>
  <c r="J51" i="57"/>
  <c r="B51" i="57"/>
  <c r="X50" i="57"/>
  <c r="T50" i="57"/>
  <c r="P50" i="57"/>
  <c r="J50" i="57"/>
  <c r="H50" i="57"/>
  <c r="D50" i="57"/>
  <c r="L50" i="57" s="1"/>
  <c r="B50" i="57"/>
  <c r="X49" i="57"/>
  <c r="Z49" i="57" s="1"/>
  <c r="N49" i="57"/>
  <c r="L49" i="57"/>
  <c r="J49" i="57"/>
  <c r="B49" i="57"/>
  <c r="T48" i="57"/>
  <c r="X48" i="57" s="1"/>
  <c r="Z48" i="57" s="1"/>
  <c r="P48" i="57"/>
  <c r="J48" i="57"/>
  <c r="H48" i="57"/>
  <c r="D48" i="57"/>
  <c r="B48" i="57"/>
  <c r="Z47" i="57"/>
  <c r="X47" i="57"/>
  <c r="N47" i="57"/>
  <c r="L47" i="57"/>
  <c r="J47" i="57"/>
  <c r="B47" i="57"/>
  <c r="T46" i="57"/>
  <c r="P46" i="57"/>
  <c r="X46" i="57" s="1"/>
  <c r="H46" i="57"/>
  <c r="N46" i="57" s="1"/>
  <c r="D46" i="57"/>
  <c r="L46" i="57" s="1"/>
  <c r="B46" i="57"/>
  <c r="Z45" i="57"/>
  <c r="X45" i="57"/>
  <c r="V45" i="57"/>
  <c r="N45" i="57"/>
  <c r="L45" i="57"/>
  <c r="J45" i="57"/>
  <c r="B45" i="57"/>
  <c r="V44" i="57"/>
  <c r="T44" i="57"/>
  <c r="P44" i="57"/>
  <c r="X44" i="57" s="1"/>
  <c r="Z44" i="57" s="1"/>
  <c r="J44" i="57"/>
  <c r="H44" i="57"/>
  <c r="D44" i="57"/>
  <c r="L44" i="57" s="1"/>
  <c r="B44" i="57"/>
  <c r="Z43" i="57"/>
  <c r="X43" i="57"/>
  <c r="V43" i="57"/>
  <c r="N43" i="57"/>
  <c r="L43" i="57"/>
  <c r="J43" i="57"/>
  <c r="B43" i="57"/>
  <c r="V42" i="57"/>
  <c r="T42" i="57"/>
  <c r="P42" i="57"/>
  <c r="X42" i="57" s="1"/>
  <c r="Z42" i="57" s="1"/>
  <c r="L42" i="57"/>
  <c r="J42" i="57"/>
  <c r="H42" i="57"/>
  <c r="D42" i="57"/>
  <c r="B42" i="57"/>
  <c r="X41" i="57"/>
  <c r="Z41" i="57" s="1"/>
  <c r="V41" i="57"/>
  <c r="N41" i="57"/>
  <c r="L41" i="57"/>
  <c r="J41" i="57"/>
  <c r="B41" i="57"/>
  <c r="X40" i="57"/>
  <c r="V40" i="57"/>
  <c r="T40" i="57"/>
  <c r="Z40" i="57" s="1"/>
  <c r="P40" i="57"/>
  <c r="J40" i="57"/>
  <c r="H40" i="57"/>
  <c r="N40" i="57" s="1"/>
  <c r="D40" i="57"/>
  <c r="B40" i="57"/>
  <c r="Z39" i="57"/>
  <c r="X39" i="57"/>
  <c r="N39" i="57"/>
  <c r="L39" i="57"/>
  <c r="J39" i="57"/>
  <c r="B39" i="57"/>
  <c r="Z38" i="57"/>
  <c r="X38" i="57"/>
  <c r="N38" i="57"/>
  <c r="L38" i="57"/>
  <c r="J38" i="57"/>
  <c r="B38" i="57"/>
  <c r="Z37" i="57"/>
  <c r="X37" i="57"/>
  <c r="V37" i="57"/>
  <c r="N37" i="57"/>
  <c r="L37" i="57"/>
  <c r="J37" i="57"/>
  <c r="B37" i="57"/>
  <c r="X36" i="57"/>
  <c r="Z36" i="57" s="1"/>
  <c r="N36" i="57"/>
  <c r="L36" i="57"/>
  <c r="J36" i="57"/>
  <c r="B36" i="57"/>
  <c r="Z35" i="57"/>
  <c r="X35" i="57"/>
  <c r="V35" i="57"/>
  <c r="N35" i="57"/>
  <c r="L35" i="57"/>
  <c r="J35" i="57"/>
  <c r="B35" i="57"/>
  <c r="Z34" i="57"/>
  <c r="X34" i="57"/>
  <c r="N34" i="57"/>
  <c r="L34" i="57"/>
  <c r="J34" i="57"/>
  <c r="B34" i="57"/>
  <c r="Z33" i="57"/>
  <c r="X33" i="57"/>
  <c r="V33" i="57"/>
  <c r="N33" i="57"/>
  <c r="L33" i="57"/>
  <c r="J33" i="57"/>
  <c r="B33" i="57"/>
  <c r="Z32" i="57"/>
  <c r="X32" i="57"/>
  <c r="N32" i="57"/>
  <c r="L32" i="57"/>
  <c r="J32" i="57"/>
  <c r="B32" i="57"/>
  <c r="Z31" i="57"/>
  <c r="X31" i="57"/>
  <c r="V31" i="57"/>
  <c r="N31" i="57"/>
  <c r="L31" i="57"/>
  <c r="J31" i="57"/>
  <c r="B31" i="57"/>
  <c r="X30" i="57"/>
  <c r="Z30" i="57" s="1"/>
  <c r="N30" i="57"/>
  <c r="L30" i="57"/>
  <c r="J30" i="57"/>
  <c r="B30" i="57"/>
  <c r="Z29" i="57"/>
  <c r="V29" i="57"/>
  <c r="T29" i="57"/>
  <c r="X29" i="57" s="1"/>
  <c r="P29" i="57"/>
  <c r="N29" i="57"/>
  <c r="L29" i="57"/>
  <c r="J29" i="57"/>
  <c r="H29" i="57"/>
  <c r="D29" i="57"/>
  <c r="B29" i="57"/>
  <c r="X28" i="57"/>
  <c r="Z28" i="57" s="1"/>
  <c r="V28" i="57"/>
  <c r="L28" i="57"/>
  <c r="N28" i="57" s="1"/>
  <c r="J28" i="57"/>
  <c r="B28" i="57"/>
  <c r="Z27" i="57"/>
  <c r="X27" i="57"/>
  <c r="V27" i="57"/>
  <c r="N27" i="57"/>
  <c r="L27" i="57"/>
  <c r="J27" i="57"/>
  <c r="B27" i="57"/>
  <c r="Z26" i="57"/>
  <c r="X26" i="57"/>
  <c r="V26" i="57"/>
  <c r="L26" i="57"/>
  <c r="N26" i="57" s="1"/>
  <c r="J26" i="57"/>
  <c r="F26" i="57"/>
  <c r="B26" i="57"/>
  <c r="Z25" i="57"/>
  <c r="X25" i="57"/>
  <c r="V25" i="57"/>
  <c r="N25" i="57"/>
  <c r="L25" i="57"/>
  <c r="J25" i="57"/>
  <c r="B25" i="57"/>
  <c r="X24" i="57"/>
  <c r="Z24" i="57" s="1"/>
  <c r="V24" i="57"/>
  <c r="L24" i="57"/>
  <c r="N24" i="57" s="1"/>
  <c r="J24" i="57"/>
  <c r="B24" i="57"/>
  <c r="Z23" i="57"/>
  <c r="X23" i="57"/>
  <c r="V23" i="57"/>
  <c r="N23" i="57"/>
  <c r="L23" i="57"/>
  <c r="J23" i="57"/>
  <c r="B23" i="57"/>
  <c r="Z22" i="57"/>
  <c r="X22" i="57"/>
  <c r="V22" i="57"/>
  <c r="L22" i="57"/>
  <c r="N22" i="57" s="1"/>
  <c r="J22" i="57"/>
  <c r="F22" i="57"/>
  <c r="B22" i="57"/>
  <c r="Z21" i="57"/>
  <c r="X21" i="57"/>
  <c r="V21" i="57"/>
  <c r="L21" i="57"/>
  <c r="N21" i="57" s="1"/>
  <c r="J21" i="57"/>
  <c r="B21" i="57"/>
  <c r="X20" i="57"/>
  <c r="Z20" i="57" s="1"/>
  <c r="V20" i="57"/>
  <c r="L20" i="57"/>
  <c r="N20" i="57" s="1"/>
  <c r="J20" i="57"/>
  <c r="B20" i="57"/>
  <c r="V19" i="57"/>
  <c r="T19" i="57"/>
  <c r="P19" i="57"/>
  <c r="X19" i="57" s="1"/>
  <c r="Z19" i="57" s="1"/>
  <c r="J19" i="57"/>
  <c r="H19" i="57"/>
  <c r="D19" i="57"/>
  <c r="L19" i="57" s="1"/>
  <c r="B19" i="57"/>
  <c r="T18" i="57"/>
  <c r="P18" i="57"/>
  <c r="L18" i="57"/>
  <c r="J18" i="57"/>
  <c r="H18" i="57"/>
  <c r="D18" i="57"/>
  <c r="T16" i="57"/>
  <c r="J16" i="57"/>
  <c r="T14" i="57"/>
  <c r="Z14" i="57" s="1"/>
  <c r="P14" i="57"/>
  <c r="L14" i="57"/>
  <c r="J14" i="57"/>
  <c r="H14" i="57"/>
  <c r="N14" i="57" s="1"/>
  <c r="D14" i="57"/>
  <c r="T12" i="57"/>
  <c r="P12" i="57"/>
  <c r="N12" i="57"/>
  <c r="H12" i="57"/>
  <c r="J79" i="57" s="1"/>
  <c r="D12" i="57"/>
  <c r="D6" i="57"/>
  <c r="D4" i="57"/>
  <c r="F88" i="56"/>
  <c r="F85" i="56"/>
  <c r="Z83" i="56"/>
  <c r="X83" i="56"/>
  <c r="N83" i="56"/>
  <c r="L83" i="56"/>
  <c r="F83" i="56"/>
  <c r="F81" i="56"/>
  <c r="X79" i="56"/>
  <c r="T79" i="56"/>
  <c r="Z79" i="56" s="1"/>
  <c r="P79" i="56"/>
  <c r="H79" i="56"/>
  <c r="N79" i="56" s="1"/>
  <c r="F79" i="56"/>
  <c r="D79" i="56"/>
  <c r="X77" i="56"/>
  <c r="Z77" i="56" s="1"/>
  <c r="N77" i="56"/>
  <c r="L77" i="56"/>
  <c r="F77" i="56"/>
  <c r="B77" i="56"/>
  <c r="Z76" i="56"/>
  <c r="X76" i="56"/>
  <c r="N76" i="56"/>
  <c r="L76" i="56"/>
  <c r="F76" i="56"/>
  <c r="B76" i="56"/>
  <c r="T75" i="56"/>
  <c r="P75" i="56"/>
  <c r="L75" i="56"/>
  <c r="H75" i="56"/>
  <c r="N75" i="56" s="1"/>
  <c r="F75" i="56"/>
  <c r="D75" i="56"/>
  <c r="B75" i="56"/>
  <c r="Z74" i="56"/>
  <c r="X74" i="56"/>
  <c r="N74" i="56"/>
  <c r="L74" i="56"/>
  <c r="F74" i="56"/>
  <c r="B74" i="56"/>
  <c r="T73" i="56"/>
  <c r="P73" i="56"/>
  <c r="X73" i="56" s="1"/>
  <c r="H73" i="56"/>
  <c r="F73" i="56"/>
  <c r="D73" i="56"/>
  <c r="B73" i="56"/>
  <c r="Z72" i="56"/>
  <c r="X72" i="56"/>
  <c r="V72" i="56"/>
  <c r="N72" i="56"/>
  <c r="L72" i="56"/>
  <c r="B72" i="56"/>
  <c r="T71" i="56"/>
  <c r="P71" i="56"/>
  <c r="X71" i="56" s="1"/>
  <c r="L71" i="56"/>
  <c r="H71" i="56"/>
  <c r="N71" i="56" s="1"/>
  <c r="D71" i="56"/>
  <c r="B71" i="56"/>
  <c r="Z70" i="56"/>
  <c r="X70" i="56"/>
  <c r="V70" i="56"/>
  <c r="N70" i="56"/>
  <c r="L70" i="56"/>
  <c r="J70" i="56"/>
  <c r="F70" i="56"/>
  <c r="B70" i="56"/>
  <c r="Z69" i="56"/>
  <c r="X69" i="56"/>
  <c r="N69" i="56"/>
  <c r="L69" i="56"/>
  <c r="F69" i="56"/>
  <c r="B69" i="56"/>
  <c r="Z68" i="56"/>
  <c r="X68" i="56"/>
  <c r="N68" i="56"/>
  <c r="L68" i="56"/>
  <c r="F68" i="56"/>
  <c r="B68" i="56"/>
  <c r="T67" i="56"/>
  <c r="P67" i="56"/>
  <c r="H67" i="56"/>
  <c r="F67" i="56"/>
  <c r="D67" i="56"/>
  <c r="L67" i="56" s="1"/>
  <c r="B67" i="56"/>
  <c r="Z66" i="56"/>
  <c r="X66" i="56"/>
  <c r="V66" i="56"/>
  <c r="N66" i="56"/>
  <c r="L66" i="56"/>
  <c r="J66" i="56"/>
  <c r="F66" i="56"/>
  <c r="B66" i="56"/>
  <c r="T65" i="56"/>
  <c r="P65" i="56"/>
  <c r="X65" i="56" s="1"/>
  <c r="H65" i="56"/>
  <c r="F65" i="56"/>
  <c r="D65" i="56"/>
  <c r="B65" i="56"/>
  <c r="Z64" i="56"/>
  <c r="X64" i="56"/>
  <c r="V64" i="56"/>
  <c r="N64" i="56"/>
  <c r="L64" i="56"/>
  <c r="B64" i="56"/>
  <c r="Z63" i="56"/>
  <c r="X63" i="56"/>
  <c r="L63" i="56"/>
  <c r="N63" i="56" s="1"/>
  <c r="F63" i="56"/>
  <c r="B63" i="56"/>
  <c r="Z62" i="56"/>
  <c r="X62" i="56"/>
  <c r="V62" i="56"/>
  <c r="N62" i="56"/>
  <c r="L62" i="56"/>
  <c r="B62" i="56"/>
  <c r="X61" i="56"/>
  <c r="T61" i="56"/>
  <c r="P61" i="56"/>
  <c r="H61" i="56"/>
  <c r="D61" i="56"/>
  <c r="B61" i="56"/>
  <c r="Z60" i="56"/>
  <c r="X60" i="56"/>
  <c r="N60" i="56"/>
  <c r="L60" i="56"/>
  <c r="F60" i="56"/>
  <c r="B60" i="56"/>
  <c r="X59" i="56"/>
  <c r="Z59" i="56" s="1"/>
  <c r="N59" i="56"/>
  <c r="L59" i="56"/>
  <c r="F59" i="56"/>
  <c r="B59" i="56"/>
  <c r="X58" i="56"/>
  <c r="Z58" i="56" s="1"/>
  <c r="V58" i="56"/>
  <c r="N58" i="56"/>
  <c r="L58" i="56"/>
  <c r="F58" i="56"/>
  <c r="B58" i="56"/>
  <c r="T57" i="56"/>
  <c r="P57" i="56"/>
  <c r="X57" i="56" s="1"/>
  <c r="H57" i="56"/>
  <c r="N57" i="56" s="1"/>
  <c r="F57" i="56"/>
  <c r="D57" i="56"/>
  <c r="B57" i="56"/>
  <c r="Z56" i="56"/>
  <c r="X56" i="56"/>
  <c r="N56" i="56"/>
  <c r="L56" i="56"/>
  <c r="F56" i="56"/>
  <c r="B56" i="56"/>
  <c r="T55" i="56"/>
  <c r="P55" i="56"/>
  <c r="L55" i="56"/>
  <c r="H55" i="56"/>
  <c r="F55" i="56"/>
  <c r="D55" i="56"/>
  <c r="B55" i="56"/>
  <c r="Z54" i="56"/>
  <c r="X54" i="56"/>
  <c r="V54" i="56"/>
  <c r="N54" i="56"/>
  <c r="L54" i="56"/>
  <c r="J54" i="56"/>
  <c r="B54" i="56"/>
  <c r="X53" i="56"/>
  <c r="T53" i="56"/>
  <c r="P53" i="56"/>
  <c r="H53" i="56"/>
  <c r="N53" i="56" s="1"/>
  <c r="D53" i="56"/>
  <c r="B53" i="56"/>
  <c r="Z52" i="56"/>
  <c r="X52" i="56"/>
  <c r="V52" i="56"/>
  <c r="N52" i="56"/>
  <c r="L52" i="56"/>
  <c r="F52" i="56"/>
  <c r="B52" i="56"/>
  <c r="T51" i="56"/>
  <c r="Z51" i="56" s="1"/>
  <c r="P51" i="56"/>
  <c r="X51" i="56" s="1"/>
  <c r="H51" i="56"/>
  <c r="N51" i="56" s="1"/>
  <c r="F51" i="56"/>
  <c r="D51" i="56"/>
  <c r="L51" i="56" s="1"/>
  <c r="B51" i="56"/>
  <c r="Z50" i="56"/>
  <c r="X50" i="56"/>
  <c r="N50" i="56"/>
  <c r="L50" i="56"/>
  <c r="F50" i="56"/>
  <c r="B50" i="56"/>
  <c r="X49" i="56"/>
  <c r="T49" i="56"/>
  <c r="P49" i="56"/>
  <c r="L49" i="56"/>
  <c r="H49" i="56"/>
  <c r="F49" i="56"/>
  <c r="D49" i="56"/>
  <c r="B49" i="56"/>
  <c r="Z48" i="56"/>
  <c r="X48" i="56"/>
  <c r="V48" i="56"/>
  <c r="N48" i="56"/>
  <c r="L48" i="56"/>
  <c r="B48" i="56"/>
  <c r="T47" i="56"/>
  <c r="P47" i="56"/>
  <c r="X47" i="56" s="1"/>
  <c r="Z47" i="56" s="1"/>
  <c r="H47" i="56"/>
  <c r="D47" i="56"/>
  <c r="B47" i="56"/>
  <c r="Z46" i="56"/>
  <c r="X46" i="56"/>
  <c r="V46" i="56"/>
  <c r="N46" i="56"/>
  <c r="L46" i="56"/>
  <c r="J46" i="56"/>
  <c r="F46" i="56"/>
  <c r="B46" i="56"/>
  <c r="X45" i="56"/>
  <c r="Z45" i="56" s="1"/>
  <c r="V45" i="56"/>
  <c r="N45" i="56"/>
  <c r="L45" i="56"/>
  <c r="F45" i="56"/>
  <c r="B45" i="56"/>
  <c r="Z44" i="56"/>
  <c r="T44" i="56"/>
  <c r="P44" i="56"/>
  <c r="X44" i="56" s="1"/>
  <c r="N44" i="56"/>
  <c r="L44" i="56"/>
  <c r="J44" i="56"/>
  <c r="H44" i="56"/>
  <c r="F44" i="56"/>
  <c r="D44" i="56"/>
  <c r="B44" i="56"/>
  <c r="X43" i="56"/>
  <c r="Z43" i="56" s="1"/>
  <c r="N43" i="56"/>
  <c r="L43" i="56"/>
  <c r="F43" i="56"/>
  <c r="B43" i="56"/>
  <c r="Z42" i="56"/>
  <c r="V42" i="56"/>
  <c r="T42" i="56"/>
  <c r="X42" i="56" s="1"/>
  <c r="P42" i="56"/>
  <c r="L42" i="56"/>
  <c r="N42" i="56" s="1"/>
  <c r="H42" i="56"/>
  <c r="F42" i="56"/>
  <c r="D42" i="56"/>
  <c r="B42" i="56"/>
  <c r="X41" i="56"/>
  <c r="Z41" i="56" s="1"/>
  <c r="L41" i="56"/>
  <c r="N41" i="56" s="1"/>
  <c r="F41" i="56"/>
  <c r="B41" i="56"/>
  <c r="V40" i="56"/>
  <c r="T40" i="56"/>
  <c r="P40" i="56"/>
  <c r="X40" i="56" s="1"/>
  <c r="Z40" i="56" s="1"/>
  <c r="J40" i="56"/>
  <c r="H40" i="56"/>
  <c r="F40" i="56"/>
  <c r="D40" i="56"/>
  <c r="B40" i="56"/>
  <c r="Z39" i="56"/>
  <c r="X39" i="56"/>
  <c r="N39" i="56"/>
  <c r="L39" i="56"/>
  <c r="F39" i="56"/>
  <c r="B39" i="56"/>
  <c r="Z38" i="56"/>
  <c r="X38" i="56"/>
  <c r="V38" i="56"/>
  <c r="N38" i="56"/>
  <c r="L38" i="56"/>
  <c r="F38" i="56"/>
  <c r="B38" i="56"/>
  <c r="Z37" i="56"/>
  <c r="X37" i="56"/>
  <c r="V37" i="56"/>
  <c r="N37" i="56"/>
  <c r="L37" i="56"/>
  <c r="F37" i="56"/>
  <c r="B37" i="56"/>
  <c r="Z36" i="56"/>
  <c r="X36" i="56"/>
  <c r="V36" i="56"/>
  <c r="N36" i="56"/>
  <c r="L36" i="56"/>
  <c r="F36" i="56"/>
  <c r="B36" i="56"/>
  <c r="Z35" i="56"/>
  <c r="X35" i="56"/>
  <c r="R35" i="56"/>
  <c r="N35" i="56"/>
  <c r="L35" i="56"/>
  <c r="F35" i="56"/>
  <c r="B35" i="56"/>
  <c r="Z34" i="56"/>
  <c r="X34" i="56"/>
  <c r="V34" i="56"/>
  <c r="N34" i="56"/>
  <c r="L34" i="56"/>
  <c r="J34" i="56"/>
  <c r="F34" i="56"/>
  <c r="B34" i="56"/>
  <c r="Z33" i="56"/>
  <c r="X33" i="56"/>
  <c r="N33" i="56"/>
  <c r="L33" i="56"/>
  <c r="F33" i="56"/>
  <c r="B33" i="56"/>
  <c r="Z32" i="56"/>
  <c r="X32" i="56"/>
  <c r="V32" i="56"/>
  <c r="N32" i="56"/>
  <c r="L32" i="56"/>
  <c r="F32" i="56"/>
  <c r="B32" i="56"/>
  <c r="X31" i="56"/>
  <c r="Z31" i="56" s="1"/>
  <c r="L31" i="56"/>
  <c r="N31" i="56" s="1"/>
  <c r="F31" i="56"/>
  <c r="B31" i="56"/>
  <c r="X30" i="56"/>
  <c r="Z30" i="56" s="1"/>
  <c r="V30" i="56"/>
  <c r="N30" i="56"/>
  <c r="L30" i="56"/>
  <c r="J30" i="56"/>
  <c r="F30" i="56"/>
  <c r="B30" i="56"/>
  <c r="V29" i="56"/>
  <c r="T29" i="56"/>
  <c r="P29" i="56"/>
  <c r="X29" i="56" s="1"/>
  <c r="H29" i="56"/>
  <c r="F29" i="56"/>
  <c r="D29" i="56"/>
  <c r="L29" i="56" s="1"/>
  <c r="B29" i="56"/>
  <c r="Z28" i="56"/>
  <c r="X28" i="56"/>
  <c r="V28" i="56"/>
  <c r="N28" i="56"/>
  <c r="L28" i="56"/>
  <c r="F28" i="56"/>
  <c r="B28" i="56"/>
  <c r="X27" i="56"/>
  <c r="Z27" i="56" s="1"/>
  <c r="L27" i="56"/>
  <c r="N27" i="56" s="1"/>
  <c r="F27" i="56"/>
  <c r="B27" i="56"/>
  <c r="Z26" i="56"/>
  <c r="X26" i="56"/>
  <c r="V26" i="56"/>
  <c r="N26" i="56"/>
  <c r="L26" i="56"/>
  <c r="F26" i="56"/>
  <c r="B26" i="56"/>
  <c r="Z25" i="56"/>
  <c r="X25" i="56"/>
  <c r="R25" i="56"/>
  <c r="N25" i="56"/>
  <c r="L25" i="56"/>
  <c r="F25" i="56"/>
  <c r="B25" i="56"/>
  <c r="Z24" i="56"/>
  <c r="X24" i="56"/>
  <c r="V24" i="56"/>
  <c r="N24" i="56"/>
  <c r="L24" i="56"/>
  <c r="F24" i="56"/>
  <c r="B24" i="56"/>
  <c r="X23" i="56"/>
  <c r="Z23" i="56" s="1"/>
  <c r="L23" i="56"/>
  <c r="N23" i="56" s="1"/>
  <c r="F23" i="56"/>
  <c r="B23" i="56"/>
  <c r="Z22" i="56"/>
  <c r="X22" i="56"/>
  <c r="N22" i="56"/>
  <c r="L22" i="56"/>
  <c r="F22" i="56"/>
  <c r="B22" i="56"/>
  <c r="Z21" i="56"/>
  <c r="X21" i="56"/>
  <c r="L21" i="56"/>
  <c r="N21" i="56" s="1"/>
  <c r="F21" i="56"/>
  <c r="B21" i="56"/>
  <c r="X20" i="56"/>
  <c r="Z20" i="56" s="1"/>
  <c r="N20" i="56"/>
  <c r="L20" i="56"/>
  <c r="J20" i="56"/>
  <c r="F20" i="56"/>
  <c r="B20" i="56"/>
  <c r="X19" i="56"/>
  <c r="T19" i="56"/>
  <c r="R19" i="56"/>
  <c r="P19" i="56"/>
  <c r="H19" i="56"/>
  <c r="F19" i="56"/>
  <c r="D19" i="56"/>
  <c r="L19" i="56" s="1"/>
  <c r="N19" i="56" s="1"/>
  <c r="B19" i="56"/>
  <c r="V18" i="56"/>
  <c r="T18" i="56"/>
  <c r="P18" i="56"/>
  <c r="X18" i="56" s="1"/>
  <c r="J18" i="56"/>
  <c r="H18" i="56"/>
  <c r="F18" i="56"/>
  <c r="D18" i="56"/>
  <c r="L18" i="56" s="1"/>
  <c r="N18" i="56" s="1"/>
  <c r="V16" i="56"/>
  <c r="J16" i="56"/>
  <c r="F16" i="56"/>
  <c r="Z14" i="56"/>
  <c r="T14" i="56"/>
  <c r="P14" i="56"/>
  <c r="N14" i="56"/>
  <c r="H14" i="56"/>
  <c r="F14" i="56"/>
  <c r="D14" i="56"/>
  <c r="D16" i="56" s="1"/>
  <c r="Z12" i="56"/>
  <c r="T12" i="56"/>
  <c r="P12" i="56"/>
  <c r="H12" i="56"/>
  <c r="J28" i="56" s="1"/>
  <c r="D12" i="56"/>
  <c r="F72" i="56" s="1"/>
  <c r="D6" i="56"/>
  <c r="D4" i="56"/>
  <c r="V40" i="55"/>
  <c r="F40" i="55"/>
  <c r="V37" i="55"/>
  <c r="J37" i="55"/>
  <c r="F37" i="55"/>
  <c r="Z35" i="55"/>
  <c r="X35" i="55"/>
  <c r="V35" i="55"/>
  <c r="N35" i="55"/>
  <c r="L35" i="55"/>
  <c r="V33" i="55"/>
  <c r="J33" i="55"/>
  <c r="F33" i="55"/>
  <c r="Z31" i="55"/>
  <c r="V31" i="55"/>
  <c r="T31" i="55"/>
  <c r="P31" i="55"/>
  <c r="X31" i="55" s="1"/>
  <c r="N31" i="55"/>
  <c r="J31" i="55"/>
  <c r="H31" i="55"/>
  <c r="F31" i="55"/>
  <c r="D31" i="55"/>
  <c r="Z29" i="55"/>
  <c r="X29" i="55"/>
  <c r="V29" i="55"/>
  <c r="N29" i="55"/>
  <c r="L29" i="55"/>
  <c r="B29" i="55"/>
  <c r="X28" i="55"/>
  <c r="Z28" i="55" s="1"/>
  <c r="V28" i="55"/>
  <c r="R28" i="55"/>
  <c r="N28" i="55"/>
  <c r="L28" i="55"/>
  <c r="F28" i="55"/>
  <c r="B28" i="55"/>
  <c r="Z27" i="55"/>
  <c r="V27" i="55"/>
  <c r="T27" i="55"/>
  <c r="R27" i="55"/>
  <c r="P27" i="55"/>
  <c r="X27" i="55" s="1"/>
  <c r="N27" i="55"/>
  <c r="H27" i="55"/>
  <c r="D27" i="55"/>
  <c r="L27" i="55" s="1"/>
  <c r="B27" i="55"/>
  <c r="X26" i="55"/>
  <c r="Z26" i="55" s="1"/>
  <c r="V26" i="55"/>
  <c r="L26" i="55"/>
  <c r="N26" i="55" s="1"/>
  <c r="F26" i="55"/>
  <c r="B26" i="55"/>
  <c r="X25" i="55"/>
  <c r="Z25" i="55" s="1"/>
  <c r="V25" i="55"/>
  <c r="T25" i="55"/>
  <c r="P25" i="55"/>
  <c r="H25" i="55"/>
  <c r="F25" i="55"/>
  <c r="D25" i="55"/>
  <c r="L25" i="55" s="1"/>
  <c r="N25" i="55" s="1"/>
  <c r="B25" i="55"/>
  <c r="Z24" i="55"/>
  <c r="X24" i="55"/>
  <c r="N24" i="55"/>
  <c r="L24" i="55"/>
  <c r="B24" i="55"/>
  <c r="Z23" i="55"/>
  <c r="X23" i="55"/>
  <c r="V23" i="55"/>
  <c r="T23" i="55"/>
  <c r="R23" i="55"/>
  <c r="P23" i="55"/>
  <c r="H23" i="55"/>
  <c r="D23" i="55"/>
  <c r="B23" i="55"/>
  <c r="X22" i="55"/>
  <c r="Z22" i="55" s="1"/>
  <c r="V22" i="55"/>
  <c r="R22" i="55"/>
  <c r="L22" i="55"/>
  <c r="N22" i="55" s="1"/>
  <c r="F22" i="55"/>
  <c r="B22" i="55"/>
  <c r="Z21" i="55"/>
  <c r="V21" i="55"/>
  <c r="T21" i="55"/>
  <c r="R21" i="55"/>
  <c r="P21" i="55"/>
  <c r="X21" i="55" s="1"/>
  <c r="H21" i="55"/>
  <c r="D21" i="55"/>
  <c r="B21" i="55"/>
  <c r="X20" i="55"/>
  <c r="Z20" i="55" s="1"/>
  <c r="V20" i="55"/>
  <c r="L20" i="55"/>
  <c r="N20" i="55" s="1"/>
  <c r="F20" i="55"/>
  <c r="B20" i="55"/>
  <c r="X19" i="55"/>
  <c r="Z19" i="55" s="1"/>
  <c r="V19" i="55"/>
  <c r="T19" i="55"/>
  <c r="P19" i="55"/>
  <c r="H19" i="55"/>
  <c r="F19" i="55"/>
  <c r="D19" i="55"/>
  <c r="L19" i="55" s="1"/>
  <c r="N19" i="55" s="1"/>
  <c r="B19" i="55"/>
  <c r="Z18" i="55"/>
  <c r="T18" i="55"/>
  <c r="P18" i="55"/>
  <c r="X18" i="55" s="1"/>
  <c r="H18" i="55"/>
  <c r="F18" i="55"/>
  <c r="D18" i="55"/>
  <c r="L18" i="55" s="1"/>
  <c r="N18" i="55" s="1"/>
  <c r="T14" i="55"/>
  <c r="Z14" i="55" s="1"/>
  <c r="P14" i="55"/>
  <c r="H14" i="55"/>
  <c r="N14" i="55" s="1"/>
  <c r="F14" i="55"/>
  <c r="D14" i="55"/>
  <c r="L14" i="55" s="1"/>
  <c r="Z12" i="55"/>
  <c r="T12" i="55"/>
  <c r="V24" i="55" s="1"/>
  <c r="P12" i="55"/>
  <c r="R14" i="55" s="1"/>
  <c r="H12" i="55"/>
  <c r="D12" i="55"/>
  <c r="F29" i="55" s="1"/>
  <c r="D6" i="55"/>
  <c r="D4" i="55"/>
  <c r="V31" i="54"/>
  <c r="V29" i="54"/>
  <c r="T29" i="54"/>
  <c r="P29" i="54"/>
  <c r="H29" i="54"/>
  <c r="D29" i="54"/>
  <c r="V28" i="54"/>
  <c r="T28" i="54"/>
  <c r="P28" i="54"/>
  <c r="X28" i="54" s="1"/>
  <c r="Z28" i="54" s="1"/>
  <c r="H28" i="54"/>
  <c r="D28" i="54"/>
  <c r="L28" i="54" s="1"/>
  <c r="V26" i="54"/>
  <c r="Z24" i="54"/>
  <c r="X24" i="54"/>
  <c r="V24" i="54"/>
  <c r="N24" i="54"/>
  <c r="L24" i="54"/>
  <c r="F24" i="54"/>
  <c r="F22" i="54"/>
  <c r="Z20" i="54"/>
  <c r="X20" i="54"/>
  <c r="T20" i="54"/>
  <c r="P20" i="54"/>
  <c r="L20" i="54"/>
  <c r="H20" i="54"/>
  <c r="N20" i="54" s="1"/>
  <c r="F20" i="54"/>
  <c r="D20" i="54"/>
  <c r="Z18" i="54"/>
  <c r="T18" i="54"/>
  <c r="P18" i="54"/>
  <c r="X18" i="54" s="1"/>
  <c r="N18" i="54"/>
  <c r="H18" i="54"/>
  <c r="F18" i="54"/>
  <c r="D18" i="54"/>
  <c r="L18" i="54" s="1"/>
  <c r="T14" i="54"/>
  <c r="Z14" i="54" s="1"/>
  <c r="P14" i="54"/>
  <c r="X14" i="54" s="1"/>
  <c r="H14" i="54"/>
  <c r="N14" i="54" s="1"/>
  <c r="F14" i="54"/>
  <c r="D14" i="54"/>
  <c r="L14" i="54" s="1"/>
  <c r="Z12" i="54"/>
  <c r="T12" i="54"/>
  <c r="V22" i="54" s="1"/>
  <c r="P12" i="54"/>
  <c r="R24" i="54" s="1"/>
  <c r="H12" i="54"/>
  <c r="D12" i="54"/>
  <c r="F16" i="54" s="1"/>
  <c r="D6" i="54"/>
  <c r="D4" i="54"/>
  <c r="Z111" i="51"/>
  <c r="X111" i="51"/>
  <c r="L111" i="51"/>
  <c r="N111" i="51" s="1"/>
  <c r="X107" i="51"/>
  <c r="Z107" i="51" s="1"/>
  <c r="P107" i="51"/>
  <c r="J107" i="51"/>
  <c r="D107" i="51"/>
  <c r="B107" i="51"/>
  <c r="Z106" i="51"/>
  <c r="P106" i="51"/>
  <c r="X106" i="51" s="1"/>
  <c r="N106" i="51"/>
  <c r="L106" i="51"/>
  <c r="D106" i="51"/>
  <c r="B106" i="51"/>
  <c r="Z105" i="51"/>
  <c r="X105" i="51"/>
  <c r="P105" i="51"/>
  <c r="P104" i="51" s="1"/>
  <c r="X104" i="51" s="1"/>
  <c r="Z104" i="51" s="1"/>
  <c r="N105" i="51"/>
  <c r="L105" i="51"/>
  <c r="D105" i="51"/>
  <c r="B105" i="51"/>
  <c r="V104" i="51"/>
  <c r="T104" i="51"/>
  <c r="H104" i="51"/>
  <c r="Z102" i="51"/>
  <c r="X102" i="51"/>
  <c r="V102" i="51"/>
  <c r="N102" i="51"/>
  <c r="L102" i="51"/>
  <c r="B102" i="51"/>
  <c r="X101" i="51"/>
  <c r="T101" i="51"/>
  <c r="Z101" i="51" s="1"/>
  <c r="P101" i="51"/>
  <c r="J101" i="51"/>
  <c r="H101" i="51"/>
  <c r="N101" i="51" s="1"/>
  <c r="D101" i="51"/>
  <c r="B101" i="51"/>
  <c r="X100" i="51"/>
  <c r="Z100" i="51" s="1"/>
  <c r="N100" i="51"/>
  <c r="L100" i="51"/>
  <c r="B100" i="51"/>
  <c r="T99" i="51"/>
  <c r="P99" i="51"/>
  <c r="H99" i="51"/>
  <c r="D99" i="51"/>
  <c r="L99" i="51" s="1"/>
  <c r="B99" i="51"/>
  <c r="Z98" i="51"/>
  <c r="X98" i="51"/>
  <c r="N98" i="51"/>
  <c r="L98" i="51"/>
  <c r="B98" i="51"/>
  <c r="Z97" i="51"/>
  <c r="X97" i="51"/>
  <c r="L97" i="51"/>
  <c r="N97" i="51" s="1"/>
  <c r="J97" i="51"/>
  <c r="B97" i="51"/>
  <c r="T96" i="51"/>
  <c r="Z96" i="51" s="1"/>
  <c r="P96" i="51"/>
  <c r="X96" i="51" s="1"/>
  <c r="J96" i="51"/>
  <c r="H96" i="51"/>
  <c r="D96" i="51"/>
  <c r="B96" i="51"/>
  <c r="Z95" i="51"/>
  <c r="X95" i="51"/>
  <c r="N95" i="51"/>
  <c r="L95" i="51"/>
  <c r="B95" i="51"/>
  <c r="Z94" i="51"/>
  <c r="X94" i="51"/>
  <c r="V94" i="51"/>
  <c r="L94" i="51"/>
  <c r="N94" i="51" s="1"/>
  <c r="B94" i="51"/>
  <c r="V93" i="51"/>
  <c r="T93" i="51"/>
  <c r="P93" i="51"/>
  <c r="H93" i="51"/>
  <c r="D93" i="51"/>
  <c r="L93" i="51" s="1"/>
  <c r="N93" i="51" s="1"/>
  <c r="B93" i="51"/>
  <c r="Z92" i="51"/>
  <c r="X92" i="51"/>
  <c r="N92" i="51"/>
  <c r="L92" i="51"/>
  <c r="B92" i="51"/>
  <c r="T91" i="51"/>
  <c r="Z91" i="51" s="1"/>
  <c r="P91" i="51"/>
  <c r="X91" i="51" s="1"/>
  <c r="N91" i="51"/>
  <c r="J91" i="51"/>
  <c r="H91" i="51"/>
  <c r="D91" i="51"/>
  <c r="L91" i="51" s="1"/>
  <c r="B91" i="51"/>
  <c r="Z90" i="51"/>
  <c r="X90" i="51"/>
  <c r="L90" i="51"/>
  <c r="N90" i="51" s="1"/>
  <c r="B90" i="51"/>
  <c r="T89" i="51"/>
  <c r="P89" i="51"/>
  <c r="N89" i="51"/>
  <c r="L89" i="51"/>
  <c r="J89" i="51"/>
  <c r="H89" i="51"/>
  <c r="D89" i="51"/>
  <c r="B89" i="51"/>
  <c r="Z88" i="51"/>
  <c r="X88" i="51"/>
  <c r="L88" i="51"/>
  <c r="N88" i="51" s="1"/>
  <c r="B88" i="51"/>
  <c r="T87" i="51"/>
  <c r="P87" i="51"/>
  <c r="X87" i="51" s="1"/>
  <c r="Z87" i="51" s="1"/>
  <c r="J87" i="51"/>
  <c r="H87" i="51"/>
  <c r="D87" i="51"/>
  <c r="B87" i="51"/>
  <c r="X86" i="51"/>
  <c r="Z86" i="51" s="1"/>
  <c r="N86" i="51"/>
  <c r="L86" i="51"/>
  <c r="B86" i="51"/>
  <c r="V85" i="51"/>
  <c r="T85" i="51"/>
  <c r="P85" i="51"/>
  <c r="X85" i="51" s="1"/>
  <c r="Z85" i="51" s="1"/>
  <c r="H85" i="51"/>
  <c r="N85" i="51" s="1"/>
  <c r="D85" i="51"/>
  <c r="L85" i="51" s="1"/>
  <c r="B85" i="51"/>
  <c r="Z84" i="51"/>
  <c r="X84" i="51"/>
  <c r="N84" i="51"/>
  <c r="L84" i="51"/>
  <c r="B84" i="51"/>
  <c r="Z83" i="51"/>
  <c r="X83" i="51"/>
  <c r="V83" i="51"/>
  <c r="T83" i="51"/>
  <c r="P83" i="51"/>
  <c r="H83" i="51"/>
  <c r="N83" i="51" s="1"/>
  <c r="D83" i="51"/>
  <c r="B83" i="51"/>
  <c r="X82" i="51"/>
  <c r="Z82" i="51" s="1"/>
  <c r="L82" i="51"/>
  <c r="N82" i="51" s="1"/>
  <c r="B82" i="51"/>
  <c r="V81" i="51"/>
  <c r="T81" i="51"/>
  <c r="P81" i="51"/>
  <c r="H81" i="51"/>
  <c r="D81" i="51"/>
  <c r="L81" i="51" s="1"/>
  <c r="N81" i="51" s="1"/>
  <c r="B81" i="51"/>
  <c r="Z80" i="51"/>
  <c r="X80" i="51"/>
  <c r="N80" i="51"/>
  <c r="L80" i="51"/>
  <c r="B80" i="51"/>
  <c r="Z79" i="51"/>
  <c r="X79" i="51"/>
  <c r="N79" i="51"/>
  <c r="L79" i="51"/>
  <c r="J79" i="51"/>
  <c r="B79" i="51"/>
  <c r="X78" i="51"/>
  <c r="Z78" i="51" s="1"/>
  <c r="N78" i="51"/>
  <c r="L78" i="51"/>
  <c r="B78" i="51"/>
  <c r="Z77" i="51"/>
  <c r="X77" i="51"/>
  <c r="V77" i="51"/>
  <c r="N77" i="51"/>
  <c r="L77" i="51"/>
  <c r="B77" i="51"/>
  <c r="Z76" i="51"/>
  <c r="X76" i="51"/>
  <c r="N76" i="51"/>
  <c r="L76" i="51"/>
  <c r="B76" i="51"/>
  <c r="Z75" i="51"/>
  <c r="X75" i="51"/>
  <c r="N75" i="51"/>
  <c r="L75" i="51"/>
  <c r="J75" i="51"/>
  <c r="B75" i="51"/>
  <c r="X74" i="51"/>
  <c r="Z74" i="51" s="1"/>
  <c r="N74" i="51"/>
  <c r="L74" i="51"/>
  <c r="B74" i="51"/>
  <c r="Z73" i="51"/>
  <c r="X73" i="51"/>
  <c r="V73" i="51"/>
  <c r="N73" i="51"/>
  <c r="L73" i="51"/>
  <c r="B73" i="51"/>
  <c r="Z72" i="51"/>
  <c r="X72" i="51"/>
  <c r="N72" i="51"/>
  <c r="L72" i="51"/>
  <c r="B72" i="51"/>
  <c r="X71" i="51"/>
  <c r="Z71" i="51" s="1"/>
  <c r="N71" i="51"/>
  <c r="L71" i="51"/>
  <c r="J71" i="51"/>
  <c r="B71" i="51"/>
  <c r="X70" i="51"/>
  <c r="T70" i="51"/>
  <c r="Z70" i="51" s="1"/>
  <c r="P70" i="51"/>
  <c r="H70" i="51"/>
  <c r="D70" i="51"/>
  <c r="L70" i="51" s="1"/>
  <c r="B70" i="51"/>
  <c r="Z69" i="51"/>
  <c r="X69" i="51"/>
  <c r="N69" i="51"/>
  <c r="L69" i="51"/>
  <c r="J69" i="51"/>
  <c r="B69" i="51"/>
  <c r="X68" i="51"/>
  <c r="Z68" i="51" s="1"/>
  <c r="N68" i="51"/>
  <c r="L68" i="51"/>
  <c r="J68" i="51"/>
  <c r="B68" i="51"/>
  <c r="Z67" i="51"/>
  <c r="X67" i="51"/>
  <c r="V67" i="51"/>
  <c r="N67" i="51"/>
  <c r="L67" i="51"/>
  <c r="B67" i="51"/>
  <c r="Z66" i="51"/>
  <c r="X66" i="51"/>
  <c r="N66" i="51"/>
  <c r="L66" i="51"/>
  <c r="F66" i="51"/>
  <c r="B66" i="51"/>
  <c r="Z65" i="51"/>
  <c r="X65" i="51"/>
  <c r="N65" i="51"/>
  <c r="L65" i="51"/>
  <c r="J65" i="51"/>
  <c r="B65" i="51"/>
  <c r="X64" i="51"/>
  <c r="Z64" i="51" s="1"/>
  <c r="N64" i="51"/>
  <c r="L64" i="51"/>
  <c r="J64" i="51"/>
  <c r="B64" i="51"/>
  <c r="Z63" i="51"/>
  <c r="X63" i="51"/>
  <c r="V63" i="51"/>
  <c r="N63" i="51"/>
  <c r="L63" i="51"/>
  <c r="B63" i="51"/>
  <c r="Z62" i="51"/>
  <c r="X62" i="51"/>
  <c r="L62" i="51"/>
  <c r="N62" i="51" s="1"/>
  <c r="B62" i="51"/>
  <c r="X61" i="51"/>
  <c r="Z61" i="51" s="1"/>
  <c r="L61" i="51"/>
  <c r="N61" i="51" s="1"/>
  <c r="J61" i="51"/>
  <c r="B61" i="51"/>
  <c r="X60" i="51"/>
  <c r="Z60" i="51" s="1"/>
  <c r="N60" i="51"/>
  <c r="L60" i="51"/>
  <c r="J60" i="51"/>
  <c r="B60" i="51"/>
  <c r="Z59" i="51"/>
  <c r="X59" i="51"/>
  <c r="V59" i="51"/>
  <c r="T59" i="51"/>
  <c r="P59" i="51"/>
  <c r="H59" i="51"/>
  <c r="D59" i="51"/>
  <c r="B59" i="51"/>
  <c r="T58" i="51"/>
  <c r="P58" i="51"/>
  <c r="J58" i="51"/>
  <c r="H58" i="51"/>
  <c r="D58" i="51"/>
  <c r="L58" i="51" s="1"/>
  <c r="N58" i="51" s="1"/>
  <c r="T56" i="51"/>
  <c r="Z54" i="51"/>
  <c r="X54" i="51"/>
  <c r="N54" i="51"/>
  <c r="L54" i="51"/>
  <c r="J54" i="51"/>
  <c r="B54" i="51"/>
  <c r="Z53" i="51"/>
  <c r="X53" i="51"/>
  <c r="V53" i="51"/>
  <c r="N53" i="51"/>
  <c r="L53" i="51"/>
  <c r="J53" i="51"/>
  <c r="B53" i="51"/>
  <c r="Z52" i="51"/>
  <c r="X52" i="51"/>
  <c r="N52" i="51"/>
  <c r="L52" i="51"/>
  <c r="J52" i="51"/>
  <c r="B52" i="51"/>
  <c r="Z51" i="51"/>
  <c r="X51" i="51"/>
  <c r="N51" i="51"/>
  <c r="L51" i="51"/>
  <c r="B51" i="51"/>
  <c r="Z50" i="51"/>
  <c r="X50" i="51"/>
  <c r="N50" i="51"/>
  <c r="L50" i="51"/>
  <c r="J50" i="51"/>
  <c r="B50" i="51"/>
  <c r="Z49" i="51"/>
  <c r="X49" i="51"/>
  <c r="V49" i="51"/>
  <c r="N49" i="51"/>
  <c r="L49" i="51"/>
  <c r="J49" i="51"/>
  <c r="B49" i="51"/>
  <c r="Z48" i="51"/>
  <c r="X48" i="51"/>
  <c r="V48" i="51"/>
  <c r="N48" i="51"/>
  <c r="L48" i="51"/>
  <c r="J48" i="51"/>
  <c r="F48" i="51"/>
  <c r="B48" i="51"/>
  <c r="Z47" i="51"/>
  <c r="X47" i="51"/>
  <c r="N47" i="51"/>
  <c r="L47" i="51"/>
  <c r="B47" i="51"/>
  <c r="Z46" i="51"/>
  <c r="X46" i="51"/>
  <c r="N46" i="51"/>
  <c r="L46" i="51"/>
  <c r="J46" i="51"/>
  <c r="B46" i="51"/>
  <c r="Z45" i="51"/>
  <c r="X45" i="51"/>
  <c r="V45" i="51"/>
  <c r="N45" i="51"/>
  <c r="L45" i="51"/>
  <c r="J45" i="51"/>
  <c r="B45" i="51"/>
  <c r="Z44" i="51"/>
  <c r="X44" i="51"/>
  <c r="V44" i="51"/>
  <c r="N44" i="51"/>
  <c r="L44" i="51"/>
  <c r="J44" i="51"/>
  <c r="B44" i="51"/>
  <c r="Z43" i="51"/>
  <c r="X43" i="51"/>
  <c r="N43" i="51"/>
  <c r="L43" i="51"/>
  <c r="B43" i="51"/>
  <c r="Z42" i="51"/>
  <c r="X42" i="51"/>
  <c r="N42" i="51"/>
  <c r="L42" i="51"/>
  <c r="J42" i="51"/>
  <c r="B42" i="51"/>
  <c r="X41" i="51"/>
  <c r="Z41" i="51" s="1"/>
  <c r="V41" i="51"/>
  <c r="N41" i="51"/>
  <c r="L41" i="51"/>
  <c r="J41" i="51"/>
  <c r="B41" i="51"/>
  <c r="V40" i="51"/>
  <c r="T40" i="51"/>
  <c r="P40" i="51"/>
  <c r="X40" i="51" s="1"/>
  <c r="Z40" i="51" s="1"/>
  <c r="H40" i="51"/>
  <c r="D40" i="51"/>
  <c r="Z38" i="51"/>
  <c r="P38" i="51"/>
  <c r="X38" i="51" s="1"/>
  <c r="N38" i="51"/>
  <c r="D38" i="51"/>
  <c r="L38" i="51" s="1"/>
  <c r="B38" i="51"/>
  <c r="Z37" i="51"/>
  <c r="P37" i="51"/>
  <c r="X37" i="51" s="1"/>
  <c r="N37" i="51"/>
  <c r="D37" i="51"/>
  <c r="L37" i="51" s="1"/>
  <c r="B37" i="51"/>
  <c r="Z36" i="51"/>
  <c r="P36" i="51"/>
  <c r="X36" i="51" s="1"/>
  <c r="N36" i="51"/>
  <c r="D36" i="51"/>
  <c r="L36" i="51" s="1"/>
  <c r="B36" i="51"/>
  <c r="Z35" i="51"/>
  <c r="P35" i="51"/>
  <c r="X35" i="51" s="1"/>
  <c r="N35" i="51"/>
  <c r="D35" i="51"/>
  <c r="L35" i="51" s="1"/>
  <c r="B35" i="51"/>
  <c r="Z34" i="51"/>
  <c r="X34" i="51"/>
  <c r="P34" i="51"/>
  <c r="N34" i="51"/>
  <c r="D34" i="51"/>
  <c r="L34" i="51" s="1"/>
  <c r="B34" i="51"/>
  <c r="Z33" i="51"/>
  <c r="X33" i="51"/>
  <c r="P33" i="51"/>
  <c r="N33" i="51"/>
  <c r="D33" i="51"/>
  <c r="L33" i="51" s="1"/>
  <c r="B33" i="51"/>
  <c r="Z32" i="51"/>
  <c r="X32" i="51"/>
  <c r="P32" i="51"/>
  <c r="N32" i="51"/>
  <c r="D32" i="51"/>
  <c r="L32" i="51" s="1"/>
  <c r="B32" i="51"/>
  <c r="Z31" i="51"/>
  <c r="X31" i="51"/>
  <c r="P31" i="51"/>
  <c r="N31" i="51"/>
  <c r="L31" i="51"/>
  <c r="D31" i="51"/>
  <c r="B31" i="51"/>
  <c r="Z30" i="51"/>
  <c r="X30" i="51"/>
  <c r="P30" i="51"/>
  <c r="N30" i="51"/>
  <c r="L30" i="51"/>
  <c r="D30" i="51"/>
  <c r="B30" i="51"/>
  <c r="Z29" i="51"/>
  <c r="P29" i="51"/>
  <c r="X29" i="51" s="1"/>
  <c r="N29" i="51"/>
  <c r="L29" i="51"/>
  <c r="D29" i="51"/>
  <c r="B29" i="51"/>
  <c r="Z28" i="51"/>
  <c r="P28" i="51"/>
  <c r="X28" i="51" s="1"/>
  <c r="N28" i="51"/>
  <c r="L28" i="51"/>
  <c r="D28" i="51"/>
  <c r="B28" i="51"/>
  <c r="Z27" i="51"/>
  <c r="P27" i="51"/>
  <c r="X27" i="51" s="1"/>
  <c r="N27" i="51"/>
  <c r="L27" i="51"/>
  <c r="D27" i="51"/>
  <c r="B27" i="51"/>
  <c r="Z26" i="51"/>
  <c r="P26" i="51"/>
  <c r="X26" i="51" s="1"/>
  <c r="N26" i="51"/>
  <c r="D26" i="51"/>
  <c r="L26" i="51" s="1"/>
  <c r="B26" i="51"/>
  <c r="Z25" i="51"/>
  <c r="P25" i="51"/>
  <c r="X25" i="51" s="1"/>
  <c r="N25" i="51"/>
  <c r="D25" i="51"/>
  <c r="L25" i="51" s="1"/>
  <c r="B25" i="51"/>
  <c r="Z24" i="51"/>
  <c r="P24" i="51"/>
  <c r="X24" i="51" s="1"/>
  <c r="N24" i="51"/>
  <c r="D24" i="51"/>
  <c r="L24" i="51" s="1"/>
  <c r="B24" i="51"/>
  <c r="Z23" i="51"/>
  <c r="P23" i="51"/>
  <c r="X23" i="51" s="1"/>
  <c r="N23" i="51"/>
  <c r="D23" i="51"/>
  <c r="L23" i="51" s="1"/>
  <c r="B23" i="51"/>
  <c r="Z22" i="51"/>
  <c r="X22" i="51"/>
  <c r="P22" i="51"/>
  <c r="N22" i="51"/>
  <c r="D22" i="51"/>
  <c r="L22" i="51" s="1"/>
  <c r="B22" i="51"/>
  <c r="X21" i="51"/>
  <c r="Z21" i="51" s="1"/>
  <c r="P21" i="51"/>
  <c r="D21" i="51"/>
  <c r="L21" i="51" s="1"/>
  <c r="N21" i="51" s="1"/>
  <c r="B21" i="51"/>
  <c r="Z20" i="51"/>
  <c r="X20" i="51"/>
  <c r="P20" i="51"/>
  <c r="N20" i="51"/>
  <c r="D20" i="51"/>
  <c r="L20" i="51" s="1"/>
  <c r="B20" i="51"/>
  <c r="Z19" i="51"/>
  <c r="X19" i="51"/>
  <c r="P19" i="51"/>
  <c r="N19" i="51"/>
  <c r="L19" i="51"/>
  <c r="D19" i="51"/>
  <c r="B19" i="51"/>
  <c r="Z18" i="51"/>
  <c r="X18" i="51"/>
  <c r="P18" i="51"/>
  <c r="N18" i="51"/>
  <c r="L18" i="51"/>
  <c r="D18" i="51"/>
  <c r="B18" i="51"/>
  <c r="Z17" i="51"/>
  <c r="P17" i="51"/>
  <c r="X17" i="51" s="1"/>
  <c r="N17" i="51"/>
  <c r="L17" i="51"/>
  <c r="D17" i="51"/>
  <c r="B17" i="51"/>
  <c r="Z16" i="51"/>
  <c r="P16" i="51"/>
  <c r="X16" i="51" s="1"/>
  <c r="N16" i="51"/>
  <c r="L16" i="51"/>
  <c r="D16" i="51"/>
  <c r="B16" i="51"/>
  <c r="Z15" i="51"/>
  <c r="P15" i="51"/>
  <c r="X15" i="51" s="1"/>
  <c r="N15" i="51"/>
  <c r="L15" i="51"/>
  <c r="D15" i="51"/>
  <c r="B15" i="51"/>
  <c r="Z14" i="51"/>
  <c r="P14" i="51"/>
  <c r="X14" i="51" s="1"/>
  <c r="N14" i="51"/>
  <c r="D14" i="51"/>
  <c r="L14" i="51" s="1"/>
  <c r="B14" i="51"/>
  <c r="P13" i="51"/>
  <c r="X13" i="51" s="1"/>
  <c r="Z13" i="51" s="1"/>
  <c r="D13" i="51"/>
  <c r="L13" i="51" s="1"/>
  <c r="N13" i="51" s="1"/>
  <c r="B13" i="51"/>
  <c r="T12" i="51"/>
  <c r="V92" i="51" s="1"/>
  <c r="L12" i="51"/>
  <c r="N12" i="51" s="1"/>
  <c r="H12" i="51"/>
  <c r="D12" i="51"/>
  <c r="D4" i="51"/>
  <c r="X72" i="48"/>
  <c r="Z72" i="48" s="1"/>
  <c r="N72" i="48"/>
  <c r="L72" i="48"/>
  <c r="J72" i="48"/>
  <c r="Z68" i="48"/>
  <c r="P68" i="48"/>
  <c r="X68" i="48" s="1"/>
  <c r="D68" i="48"/>
  <c r="L68" i="48" s="1"/>
  <c r="N68" i="48" s="1"/>
  <c r="B68" i="48"/>
  <c r="X67" i="48"/>
  <c r="T67" i="48"/>
  <c r="P67" i="48"/>
  <c r="H67" i="48"/>
  <c r="D67" i="48"/>
  <c r="X65" i="48"/>
  <c r="Z65" i="48" s="1"/>
  <c r="N65" i="48"/>
  <c r="L65" i="48"/>
  <c r="B65" i="48"/>
  <c r="Z64" i="48"/>
  <c r="X64" i="48"/>
  <c r="V64" i="48"/>
  <c r="T64" i="48"/>
  <c r="P64" i="48"/>
  <c r="H64" i="48"/>
  <c r="D64" i="48"/>
  <c r="B64" i="48"/>
  <c r="Z63" i="48"/>
  <c r="X63" i="48"/>
  <c r="N63" i="48"/>
  <c r="L63" i="48"/>
  <c r="B63" i="48"/>
  <c r="Z62" i="48"/>
  <c r="X62" i="48"/>
  <c r="V62" i="48"/>
  <c r="N62" i="48"/>
  <c r="L62" i="48"/>
  <c r="B62" i="48"/>
  <c r="Z61" i="48"/>
  <c r="X61" i="48"/>
  <c r="V61" i="48"/>
  <c r="L61" i="48"/>
  <c r="N61" i="48" s="1"/>
  <c r="B61" i="48"/>
  <c r="T60" i="48"/>
  <c r="P60" i="48"/>
  <c r="X60" i="48" s="1"/>
  <c r="Z60" i="48" s="1"/>
  <c r="J60" i="48"/>
  <c r="H60" i="48"/>
  <c r="D60" i="48"/>
  <c r="B60" i="48"/>
  <c r="X59" i="48"/>
  <c r="Z59" i="48" s="1"/>
  <c r="N59" i="48"/>
  <c r="L59" i="48"/>
  <c r="B59" i="48"/>
  <c r="Z58" i="48"/>
  <c r="X58" i="48"/>
  <c r="V58" i="48"/>
  <c r="N58" i="48"/>
  <c r="L58" i="48"/>
  <c r="B58" i="48"/>
  <c r="V57" i="48"/>
  <c r="T57" i="48"/>
  <c r="P57" i="48"/>
  <c r="X57" i="48" s="1"/>
  <c r="L57" i="48"/>
  <c r="H57" i="48"/>
  <c r="N57" i="48" s="1"/>
  <c r="D57" i="48"/>
  <c r="B57" i="48"/>
  <c r="X56" i="48"/>
  <c r="Z56" i="48" s="1"/>
  <c r="V56" i="48"/>
  <c r="N56" i="48"/>
  <c r="L56" i="48"/>
  <c r="B56" i="48"/>
  <c r="T55" i="48"/>
  <c r="R55" i="48"/>
  <c r="P55" i="48"/>
  <c r="X55" i="48" s="1"/>
  <c r="Z55" i="48" s="1"/>
  <c r="L55" i="48"/>
  <c r="H55" i="48"/>
  <c r="D55" i="48"/>
  <c r="B55" i="48"/>
  <c r="X54" i="48"/>
  <c r="Z54" i="48" s="1"/>
  <c r="V54" i="48"/>
  <c r="R54" i="48"/>
  <c r="N54" i="48"/>
  <c r="L54" i="48"/>
  <c r="B54" i="48"/>
  <c r="V53" i="48"/>
  <c r="T53" i="48"/>
  <c r="P53" i="48"/>
  <c r="X53" i="48" s="1"/>
  <c r="Z53" i="48" s="1"/>
  <c r="L53" i="48"/>
  <c r="N53" i="48" s="1"/>
  <c r="H53" i="48"/>
  <c r="D53" i="48"/>
  <c r="B53" i="48"/>
  <c r="X52" i="48"/>
  <c r="Z52" i="48" s="1"/>
  <c r="N52" i="48"/>
  <c r="L52" i="48"/>
  <c r="J52" i="48"/>
  <c r="B52" i="48"/>
  <c r="X51" i="48"/>
  <c r="V51" i="48"/>
  <c r="T51" i="48"/>
  <c r="Z51" i="48" s="1"/>
  <c r="R51" i="48"/>
  <c r="P51" i="48"/>
  <c r="H51" i="48"/>
  <c r="D51" i="48"/>
  <c r="L51" i="48" s="1"/>
  <c r="B51" i="48"/>
  <c r="X50" i="48"/>
  <c r="Z50" i="48" s="1"/>
  <c r="R50" i="48"/>
  <c r="L50" i="48"/>
  <c r="N50" i="48" s="1"/>
  <c r="B50" i="48"/>
  <c r="X49" i="48"/>
  <c r="T49" i="48"/>
  <c r="Z49" i="48" s="1"/>
  <c r="P49" i="48"/>
  <c r="H49" i="48"/>
  <c r="N49" i="48" s="1"/>
  <c r="D49" i="48"/>
  <c r="L49" i="48" s="1"/>
  <c r="B49" i="48"/>
  <c r="Z48" i="48"/>
  <c r="X48" i="48"/>
  <c r="L48" i="48"/>
  <c r="N48" i="48" s="1"/>
  <c r="B48" i="48"/>
  <c r="T47" i="48"/>
  <c r="P47" i="48"/>
  <c r="H47" i="48"/>
  <c r="D47" i="48"/>
  <c r="L47" i="48" s="1"/>
  <c r="N47" i="48" s="1"/>
  <c r="B47" i="48"/>
  <c r="Z46" i="48"/>
  <c r="X46" i="48"/>
  <c r="V46" i="48"/>
  <c r="L46" i="48"/>
  <c r="N46" i="48" s="1"/>
  <c r="B46" i="48"/>
  <c r="T45" i="48"/>
  <c r="P45" i="48"/>
  <c r="L45" i="48"/>
  <c r="H45" i="48"/>
  <c r="N45" i="48" s="1"/>
  <c r="D45" i="48"/>
  <c r="B45" i="48"/>
  <c r="Z44" i="48"/>
  <c r="X44" i="48"/>
  <c r="V44" i="48"/>
  <c r="N44" i="48"/>
  <c r="L44" i="48"/>
  <c r="B44" i="48"/>
  <c r="T43" i="48"/>
  <c r="R43" i="48"/>
  <c r="P43" i="48"/>
  <c r="L43" i="48"/>
  <c r="H43" i="48"/>
  <c r="N43" i="48" s="1"/>
  <c r="D43" i="48"/>
  <c r="B43" i="48"/>
  <c r="X42" i="48"/>
  <c r="Z42" i="48" s="1"/>
  <c r="V42" i="48"/>
  <c r="N42" i="48"/>
  <c r="L42" i="48"/>
  <c r="J42" i="48"/>
  <c r="B42" i="48"/>
  <c r="V41" i="48"/>
  <c r="T41" i="48"/>
  <c r="P41" i="48"/>
  <c r="X41" i="48" s="1"/>
  <c r="Z41" i="48" s="1"/>
  <c r="H41" i="48"/>
  <c r="L41" i="48" s="1"/>
  <c r="N41" i="48" s="1"/>
  <c r="D41" i="48"/>
  <c r="B41" i="48"/>
  <c r="Z40" i="48"/>
  <c r="X40" i="48"/>
  <c r="R40" i="48"/>
  <c r="N40" i="48"/>
  <c r="L40" i="48"/>
  <c r="B40" i="48"/>
  <c r="Z39" i="48"/>
  <c r="X39" i="48"/>
  <c r="V39" i="48"/>
  <c r="N39" i="48"/>
  <c r="L39" i="48"/>
  <c r="B39" i="48"/>
  <c r="Z38" i="48"/>
  <c r="X38" i="48"/>
  <c r="V38" i="48"/>
  <c r="L38" i="48"/>
  <c r="N38" i="48" s="1"/>
  <c r="B38" i="48"/>
  <c r="X37" i="48"/>
  <c r="Z37" i="48" s="1"/>
  <c r="V37" i="48"/>
  <c r="R37" i="48"/>
  <c r="N37" i="48"/>
  <c r="L37" i="48"/>
  <c r="B37" i="48"/>
  <c r="Z36" i="48"/>
  <c r="X36" i="48"/>
  <c r="R36" i="48"/>
  <c r="N36" i="48"/>
  <c r="L36" i="48"/>
  <c r="B36" i="48"/>
  <c r="Z35" i="48"/>
  <c r="X35" i="48"/>
  <c r="V35" i="48"/>
  <c r="N35" i="48"/>
  <c r="L35" i="48"/>
  <c r="J35" i="48"/>
  <c r="B35" i="48"/>
  <c r="Z34" i="48"/>
  <c r="X34" i="48"/>
  <c r="V34" i="48"/>
  <c r="L34" i="48"/>
  <c r="N34" i="48" s="1"/>
  <c r="B34" i="48"/>
  <c r="Z33" i="48"/>
  <c r="X33" i="48"/>
  <c r="V33" i="48"/>
  <c r="R33" i="48"/>
  <c r="N33" i="48"/>
  <c r="L33" i="48"/>
  <c r="B33" i="48"/>
  <c r="X32" i="48"/>
  <c r="Z32" i="48" s="1"/>
  <c r="R32" i="48"/>
  <c r="L32" i="48"/>
  <c r="N32" i="48" s="1"/>
  <c r="B32" i="48"/>
  <c r="Z31" i="48"/>
  <c r="X31" i="48"/>
  <c r="V31" i="48"/>
  <c r="N31" i="48"/>
  <c r="L31" i="48"/>
  <c r="B31" i="48"/>
  <c r="V30" i="48"/>
  <c r="T30" i="48"/>
  <c r="P30" i="48"/>
  <c r="X30" i="48" s="1"/>
  <c r="Z30" i="48" s="1"/>
  <c r="L30" i="48"/>
  <c r="H30" i="48"/>
  <c r="D30" i="48"/>
  <c r="B30" i="48"/>
  <c r="X29" i="48"/>
  <c r="Z29" i="48" s="1"/>
  <c r="R29" i="48"/>
  <c r="N29" i="48"/>
  <c r="L29" i="48"/>
  <c r="B29" i="48"/>
  <c r="Z28" i="48"/>
  <c r="X28" i="48"/>
  <c r="V28" i="48"/>
  <c r="N28" i="48"/>
  <c r="L28" i="48"/>
  <c r="B28" i="48"/>
  <c r="Z27" i="48"/>
  <c r="X27" i="48"/>
  <c r="V27" i="48"/>
  <c r="R27" i="48"/>
  <c r="L27" i="48"/>
  <c r="N27" i="48" s="1"/>
  <c r="B27" i="48"/>
  <c r="Z26" i="48"/>
  <c r="X26" i="48"/>
  <c r="R26" i="48"/>
  <c r="N26" i="48"/>
  <c r="L26" i="48"/>
  <c r="B26" i="48"/>
  <c r="X25" i="48"/>
  <c r="Z25" i="48" s="1"/>
  <c r="R25" i="48"/>
  <c r="N25" i="48"/>
  <c r="L25" i="48"/>
  <c r="B25" i="48"/>
  <c r="X24" i="48"/>
  <c r="Z24" i="48" s="1"/>
  <c r="V24" i="48"/>
  <c r="N24" i="48"/>
  <c r="L24" i="48"/>
  <c r="B24" i="48"/>
  <c r="Z23" i="48"/>
  <c r="X23" i="48"/>
  <c r="V23" i="48"/>
  <c r="L23" i="48"/>
  <c r="N23" i="48" s="1"/>
  <c r="B23" i="48"/>
  <c r="X22" i="48"/>
  <c r="Z22" i="48" s="1"/>
  <c r="V22" i="48"/>
  <c r="R22" i="48"/>
  <c r="L22" i="48"/>
  <c r="N22" i="48" s="1"/>
  <c r="B22" i="48"/>
  <c r="X21" i="48"/>
  <c r="Z21" i="48" s="1"/>
  <c r="R21" i="48"/>
  <c r="N21" i="48"/>
  <c r="L21" i="48"/>
  <c r="B21" i="48"/>
  <c r="X20" i="48"/>
  <c r="Z20" i="48" s="1"/>
  <c r="V20" i="48"/>
  <c r="T20" i="48"/>
  <c r="R20" i="48"/>
  <c r="P20" i="48"/>
  <c r="H20" i="48"/>
  <c r="D20" i="48"/>
  <c r="L20" i="48" s="1"/>
  <c r="N20" i="48" s="1"/>
  <c r="B20" i="48"/>
  <c r="T19" i="48"/>
  <c r="P19" i="48"/>
  <c r="H19" i="48"/>
  <c r="D19" i="48"/>
  <c r="L19" i="48" s="1"/>
  <c r="N19" i="48" s="1"/>
  <c r="P17" i="48"/>
  <c r="Z15" i="48"/>
  <c r="T15" i="48"/>
  <c r="T17" i="48" s="1"/>
  <c r="P15" i="48"/>
  <c r="X15" i="48" s="1"/>
  <c r="N15" i="48"/>
  <c r="H15" i="48"/>
  <c r="D15" i="48"/>
  <c r="L15" i="48" s="1"/>
  <c r="Z13" i="48"/>
  <c r="X13" i="48"/>
  <c r="P13" i="48"/>
  <c r="D13" i="48"/>
  <c r="B13" i="48"/>
  <c r="T12" i="48"/>
  <c r="V67" i="48" s="1"/>
  <c r="P12" i="48"/>
  <c r="H12" i="48"/>
  <c r="D4" i="48"/>
  <c r="X104" i="45"/>
  <c r="Z104" i="45" s="1"/>
  <c r="N104" i="45"/>
  <c r="L104" i="45"/>
  <c r="J102" i="45"/>
  <c r="H102" i="45"/>
  <c r="Z100" i="45"/>
  <c r="T100" i="45"/>
  <c r="P100" i="45"/>
  <c r="X100" i="45" s="1"/>
  <c r="L100" i="45"/>
  <c r="J100" i="45"/>
  <c r="H100" i="45"/>
  <c r="N100" i="45" s="1"/>
  <c r="D100" i="45"/>
  <c r="Z98" i="45"/>
  <c r="X98" i="45"/>
  <c r="L98" i="45"/>
  <c r="N98" i="45" s="1"/>
  <c r="B98" i="45"/>
  <c r="Z97" i="45"/>
  <c r="X97" i="45"/>
  <c r="L97" i="45"/>
  <c r="N97" i="45" s="1"/>
  <c r="B97" i="45"/>
  <c r="X96" i="45"/>
  <c r="T96" i="45"/>
  <c r="P96" i="45"/>
  <c r="H96" i="45"/>
  <c r="D96" i="45"/>
  <c r="L96" i="45" s="1"/>
  <c r="N96" i="45" s="1"/>
  <c r="B96" i="45"/>
  <c r="Z95" i="45"/>
  <c r="X95" i="45"/>
  <c r="V95" i="45"/>
  <c r="L95" i="45"/>
  <c r="N95" i="45" s="1"/>
  <c r="B95" i="45"/>
  <c r="T94" i="45"/>
  <c r="P94" i="45"/>
  <c r="H94" i="45"/>
  <c r="N94" i="45" s="1"/>
  <c r="D94" i="45"/>
  <c r="L94" i="45" s="1"/>
  <c r="B94" i="45"/>
  <c r="Z93" i="45"/>
  <c r="X93" i="45"/>
  <c r="V93" i="45"/>
  <c r="N93" i="45"/>
  <c r="L93" i="45"/>
  <c r="B93" i="45"/>
  <c r="T92" i="45"/>
  <c r="P92" i="45"/>
  <c r="X92" i="45" s="1"/>
  <c r="N92" i="45"/>
  <c r="L92" i="45"/>
  <c r="H92" i="45"/>
  <c r="D92" i="45"/>
  <c r="B92" i="45"/>
  <c r="Z91" i="45"/>
  <c r="X91" i="45"/>
  <c r="L91" i="45"/>
  <c r="N91" i="45" s="1"/>
  <c r="J91" i="45"/>
  <c r="B91" i="45"/>
  <c r="Z90" i="45"/>
  <c r="X90" i="45"/>
  <c r="N90" i="45"/>
  <c r="L90" i="45"/>
  <c r="B90" i="45"/>
  <c r="Z89" i="45"/>
  <c r="X89" i="45"/>
  <c r="N89" i="45"/>
  <c r="L89" i="45"/>
  <c r="B89" i="45"/>
  <c r="X88" i="45"/>
  <c r="Z88" i="45" s="1"/>
  <c r="V88" i="45"/>
  <c r="L88" i="45"/>
  <c r="N88" i="45" s="1"/>
  <c r="B88" i="45"/>
  <c r="Z87" i="45"/>
  <c r="X87" i="45"/>
  <c r="L87" i="45"/>
  <c r="N87" i="45" s="1"/>
  <c r="J87" i="45"/>
  <c r="B87" i="45"/>
  <c r="Z86" i="45"/>
  <c r="X86" i="45"/>
  <c r="L86" i="45"/>
  <c r="N86" i="45" s="1"/>
  <c r="B86" i="45"/>
  <c r="Z85" i="45"/>
  <c r="X85" i="45"/>
  <c r="N85" i="45"/>
  <c r="L85" i="45"/>
  <c r="B85" i="45"/>
  <c r="X84" i="45"/>
  <c r="Z84" i="45" s="1"/>
  <c r="V84" i="45"/>
  <c r="L84" i="45"/>
  <c r="N84" i="45" s="1"/>
  <c r="B84" i="45"/>
  <c r="X83" i="45"/>
  <c r="Z83" i="45" s="1"/>
  <c r="L83" i="45"/>
  <c r="N83" i="45" s="1"/>
  <c r="J83" i="45"/>
  <c r="B83" i="45"/>
  <c r="T82" i="45"/>
  <c r="P82" i="45"/>
  <c r="X82" i="45" s="1"/>
  <c r="Z82" i="45" s="1"/>
  <c r="H82" i="45"/>
  <c r="D82" i="45"/>
  <c r="B82" i="45"/>
  <c r="X81" i="45"/>
  <c r="Z81" i="45" s="1"/>
  <c r="N81" i="45"/>
  <c r="L81" i="45"/>
  <c r="J81" i="45"/>
  <c r="B81" i="45"/>
  <c r="X80" i="45"/>
  <c r="Z80" i="45" s="1"/>
  <c r="L80" i="45"/>
  <c r="N80" i="45" s="1"/>
  <c r="B80" i="45"/>
  <c r="Z79" i="45"/>
  <c r="X79" i="45"/>
  <c r="V79" i="45"/>
  <c r="L79" i="45"/>
  <c r="N79" i="45" s="1"/>
  <c r="B79" i="45"/>
  <c r="X78" i="45"/>
  <c r="Z78" i="45" s="1"/>
  <c r="N78" i="45"/>
  <c r="L78" i="45"/>
  <c r="B78" i="45"/>
  <c r="T77" i="45"/>
  <c r="P77" i="45"/>
  <c r="X77" i="45" s="1"/>
  <c r="N77" i="45"/>
  <c r="L77" i="45"/>
  <c r="J77" i="45"/>
  <c r="H77" i="45"/>
  <c r="D77" i="45"/>
  <c r="B77" i="45"/>
  <c r="X76" i="45"/>
  <c r="Z76" i="45" s="1"/>
  <c r="L76" i="45"/>
  <c r="N76" i="45" s="1"/>
  <c r="J76" i="45"/>
  <c r="B76" i="45"/>
  <c r="X75" i="45"/>
  <c r="Z75" i="45" s="1"/>
  <c r="N75" i="45"/>
  <c r="L75" i="45"/>
  <c r="B75" i="45"/>
  <c r="Z74" i="45"/>
  <c r="X74" i="45"/>
  <c r="N74" i="45"/>
  <c r="L74" i="45"/>
  <c r="B74" i="45"/>
  <c r="Z73" i="45"/>
  <c r="X73" i="45"/>
  <c r="V73" i="45"/>
  <c r="N73" i="45"/>
  <c r="L73" i="45"/>
  <c r="B73" i="45"/>
  <c r="T72" i="45"/>
  <c r="Z72" i="45" s="1"/>
  <c r="P72" i="45"/>
  <c r="X72" i="45" s="1"/>
  <c r="L72" i="45"/>
  <c r="N72" i="45" s="1"/>
  <c r="H72" i="45"/>
  <c r="D72" i="45"/>
  <c r="B72" i="45"/>
  <c r="X71" i="45"/>
  <c r="Z71" i="45" s="1"/>
  <c r="N71" i="45"/>
  <c r="L71" i="45"/>
  <c r="J71" i="45"/>
  <c r="B71" i="45"/>
  <c r="Z70" i="45"/>
  <c r="X70" i="45"/>
  <c r="T70" i="45"/>
  <c r="P70" i="45"/>
  <c r="L70" i="45"/>
  <c r="H70" i="45"/>
  <c r="D70" i="45"/>
  <c r="B70" i="45"/>
  <c r="Z69" i="45"/>
  <c r="X69" i="45"/>
  <c r="N69" i="45"/>
  <c r="L69" i="45"/>
  <c r="J69" i="45"/>
  <c r="B69" i="45"/>
  <c r="X68" i="45"/>
  <c r="T68" i="45"/>
  <c r="Z68" i="45" s="1"/>
  <c r="P68" i="45"/>
  <c r="H68" i="45"/>
  <c r="D68" i="45"/>
  <c r="L68" i="45" s="1"/>
  <c r="B68" i="45"/>
  <c r="X67" i="45"/>
  <c r="Z67" i="45" s="1"/>
  <c r="N67" i="45"/>
  <c r="L67" i="45"/>
  <c r="B67" i="45"/>
  <c r="Z66" i="45"/>
  <c r="X66" i="45"/>
  <c r="T66" i="45"/>
  <c r="P66" i="45"/>
  <c r="H66" i="45"/>
  <c r="D66" i="45"/>
  <c r="L66" i="45" s="1"/>
  <c r="B66" i="45"/>
  <c r="Z65" i="45"/>
  <c r="X65" i="45"/>
  <c r="N65" i="45"/>
  <c r="L65" i="45"/>
  <c r="B65" i="45"/>
  <c r="X64" i="45"/>
  <c r="V64" i="45"/>
  <c r="T64" i="45"/>
  <c r="P64" i="45"/>
  <c r="H64" i="45"/>
  <c r="D64" i="45"/>
  <c r="L64" i="45" s="1"/>
  <c r="N64" i="45" s="1"/>
  <c r="B64" i="45"/>
  <c r="X63" i="45"/>
  <c r="Z63" i="45" s="1"/>
  <c r="V63" i="45"/>
  <c r="L63" i="45"/>
  <c r="N63" i="45" s="1"/>
  <c r="B63" i="45"/>
  <c r="T62" i="45"/>
  <c r="P62" i="45"/>
  <c r="L62" i="45"/>
  <c r="H62" i="45"/>
  <c r="N62" i="45" s="1"/>
  <c r="D62" i="45"/>
  <c r="B62" i="45"/>
  <c r="Z61" i="45"/>
  <c r="X61" i="45"/>
  <c r="V61" i="45"/>
  <c r="N61" i="45"/>
  <c r="L61" i="45"/>
  <c r="B61" i="45"/>
  <c r="T60" i="45"/>
  <c r="P60" i="45"/>
  <c r="X60" i="45" s="1"/>
  <c r="L60" i="45"/>
  <c r="N60" i="45" s="1"/>
  <c r="H60" i="45"/>
  <c r="D60" i="45"/>
  <c r="B60" i="45"/>
  <c r="Z59" i="45"/>
  <c r="X59" i="45"/>
  <c r="L59" i="45"/>
  <c r="N59" i="45" s="1"/>
  <c r="J59" i="45"/>
  <c r="B59" i="45"/>
  <c r="Z58" i="45"/>
  <c r="X58" i="45"/>
  <c r="L58" i="45"/>
  <c r="N58" i="45" s="1"/>
  <c r="F58" i="45"/>
  <c r="B58" i="45"/>
  <c r="Z57" i="45"/>
  <c r="T57" i="45"/>
  <c r="P57" i="45"/>
  <c r="X57" i="45" s="1"/>
  <c r="H57" i="45"/>
  <c r="D57" i="45"/>
  <c r="L57" i="45" s="1"/>
  <c r="N57" i="45" s="1"/>
  <c r="B57" i="45"/>
  <c r="X56" i="45"/>
  <c r="Z56" i="45" s="1"/>
  <c r="L56" i="45"/>
  <c r="N56" i="45" s="1"/>
  <c r="B56" i="45"/>
  <c r="Z55" i="45"/>
  <c r="X55" i="45"/>
  <c r="V55" i="45"/>
  <c r="T55" i="45"/>
  <c r="P55" i="45"/>
  <c r="H55" i="45"/>
  <c r="L55" i="45" s="1"/>
  <c r="N55" i="45" s="1"/>
  <c r="D55" i="45"/>
  <c r="B55" i="45"/>
  <c r="X54" i="45"/>
  <c r="Z54" i="45" s="1"/>
  <c r="N54" i="45"/>
  <c r="L54" i="45"/>
  <c r="B54" i="45"/>
  <c r="Z53" i="45"/>
  <c r="X53" i="45"/>
  <c r="V53" i="45"/>
  <c r="N53" i="45"/>
  <c r="L53" i="45"/>
  <c r="B53" i="45"/>
  <c r="T52" i="45"/>
  <c r="P52" i="45"/>
  <c r="X52" i="45" s="1"/>
  <c r="L52" i="45"/>
  <c r="N52" i="45" s="1"/>
  <c r="H52" i="45"/>
  <c r="D52" i="45"/>
  <c r="B52" i="45"/>
  <c r="X51" i="45"/>
  <c r="Z51" i="45" s="1"/>
  <c r="L51" i="45"/>
  <c r="N51" i="45" s="1"/>
  <c r="J51" i="45"/>
  <c r="B51" i="45"/>
  <c r="Z50" i="45"/>
  <c r="X50" i="45"/>
  <c r="T50" i="45"/>
  <c r="P50" i="45"/>
  <c r="L50" i="45"/>
  <c r="H50" i="45"/>
  <c r="D50" i="45"/>
  <c r="B50" i="45"/>
  <c r="Z49" i="45"/>
  <c r="X49" i="45"/>
  <c r="N49" i="45"/>
  <c r="L49" i="45"/>
  <c r="J49" i="45"/>
  <c r="B49" i="45"/>
  <c r="Z48" i="45"/>
  <c r="X48" i="45"/>
  <c r="N48" i="45"/>
  <c r="L48" i="45"/>
  <c r="B48" i="45"/>
  <c r="X47" i="45"/>
  <c r="Z47" i="45" s="1"/>
  <c r="V47" i="45"/>
  <c r="L47" i="45"/>
  <c r="N47" i="45" s="1"/>
  <c r="B47" i="45"/>
  <c r="Z46" i="45"/>
  <c r="X46" i="45"/>
  <c r="L46" i="45"/>
  <c r="N46" i="45" s="1"/>
  <c r="B46" i="45"/>
  <c r="Z45" i="45"/>
  <c r="X45" i="45"/>
  <c r="N45" i="45"/>
  <c r="L45" i="45"/>
  <c r="J45" i="45"/>
  <c r="B45" i="45"/>
  <c r="X44" i="45"/>
  <c r="Z44" i="45" s="1"/>
  <c r="L44" i="45"/>
  <c r="N44" i="45" s="1"/>
  <c r="B44" i="45"/>
  <c r="Z43" i="45"/>
  <c r="X43" i="45"/>
  <c r="V43" i="45"/>
  <c r="L43" i="45"/>
  <c r="N43" i="45" s="1"/>
  <c r="B43" i="45"/>
  <c r="Z42" i="45"/>
  <c r="X42" i="45"/>
  <c r="N42" i="45"/>
  <c r="L42" i="45"/>
  <c r="B42" i="45"/>
  <c r="Z41" i="45"/>
  <c r="X41" i="45"/>
  <c r="L41" i="45"/>
  <c r="N41" i="45" s="1"/>
  <c r="J41" i="45"/>
  <c r="B41" i="45"/>
  <c r="Z40" i="45"/>
  <c r="X40" i="45"/>
  <c r="N40" i="45"/>
  <c r="L40" i="45"/>
  <c r="B40" i="45"/>
  <c r="Z39" i="45"/>
  <c r="X39" i="45"/>
  <c r="V39" i="45"/>
  <c r="T39" i="45"/>
  <c r="P39" i="45"/>
  <c r="H39" i="45"/>
  <c r="D39" i="45"/>
  <c r="L39" i="45" s="1"/>
  <c r="N39" i="45" s="1"/>
  <c r="B39" i="45"/>
  <c r="X38" i="45"/>
  <c r="Z38" i="45" s="1"/>
  <c r="N38" i="45"/>
  <c r="L38" i="45"/>
  <c r="B38" i="45"/>
  <c r="X37" i="45"/>
  <c r="Z37" i="45" s="1"/>
  <c r="V37" i="45"/>
  <c r="N37" i="45"/>
  <c r="L37" i="45"/>
  <c r="B37" i="45"/>
  <c r="X36" i="45"/>
  <c r="Z36" i="45" s="1"/>
  <c r="L36" i="45"/>
  <c r="N36" i="45" s="1"/>
  <c r="J36" i="45"/>
  <c r="B36" i="45"/>
  <c r="Z35" i="45"/>
  <c r="X35" i="45"/>
  <c r="N35" i="45"/>
  <c r="L35" i="45"/>
  <c r="B35" i="45"/>
  <c r="Z34" i="45"/>
  <c r="X34" i="45"/>
  <c r="N34" i="45"/>
  <c r="L34" i="45"/>
  <c r="B34" i="45"/>
  <c r="X33" i="45"/>
  <c r="Z33" i="45" s="1"/>
  <c r="V33" i="45"/>
  <c r="N33" i="45"/>
  <c r="L33" i="45"/>
  <c r="B33" i="45"/>
  <c r="X32" i="45"/>
  <c r="Z32" i="45" s="1"/>
  <c r="L32" i="45"/>
  <c r="N32" i="45" s="1"/>
  <c r="J32" i="45"/>
  <c r="B32" i="45"/>
  <c r="X31" i="45"/>
  <c r="Z31" i="45" s="1"/>
  <c r="L31" i="45"/>
  <c r="N31" i="45" s="1"/>
  <c r="B31" i="45"/>
  <c r="Z30" i="45"/>
  <c r="X30" i="45"/>
  <c r="N30" i="45"/>
  <c r="L30" i="45"/>
  <c r="B30" i="45"/>
  <c r="X29" i="45"/>
  <c r="Z29" i="45" s="1"/>
  <c r="V29" i="45"/>
  <c r="N29" i="45"/>
  <c r="L29" i="45"/>
  <c r="B29" i="45"/>
  <c r="T28" i="45"/>
  <c r="P28" i="45"/>
  <c r="X28" i="45" s="1"/>
  <c r="Z28" i="45" s="1"/>
  <c r="L28" i="45"/>
  <c r="N28" i="45" s="1"/>
  <c r="H28" i="45"/>
  <c r="D28" i="45"/>
  <c r="B28" i="45"/>
  <c r="T27" i="45"/>
  <c r="Z27" i="45" s="1"/>
  <c r="P27" i="45"/>
  <c r="X27" i="45" s="1"/>
  <c r="H27" i="45"/>
  <c r="D27" i="45"/>
  <c r="L27" i="45" s="1"/>
  <c r="N27" i="45" s="1"/>
  <c r="H25" i="45"/>
  <c r="Z23" i="45"/>
  <c r="X23" i="45"/>
  <c r="N23" i="45"/>
  <c r="L23" i="45"/>
  <c r="J23" i="45"/>
  <c r="B23" i="45"/>
  <c r="Z22" i="45"/>
  <c r="X22" i="45"/>
  <c r="N22" i="45"/>
  <c r="L22" i="45"/>
  <c r="B22" i="45"/>
  <c r="Z21" i="45"/>
  <c r="X21" i="45"/>
  <c r="L21" i="45"/>
  <c r="N21" i="45" s="1"/>
  <c r="B21" i="45"/>
  <c r="X20" i="45"/>
  <c r="V20" i="45"/>
  <c r="T20" i="45"/>
  <c r="P20" i="45"/>
  <c r="N20" i="45"/>
  <c r="L20" i="45"/>
  <c r="J20" i="45"/>
  <c r="H20" i="45"/>
  <c r="D20" i="45"/>
  <c r="Z18" i="45"/>
  <c r="X18" i="45"/>
  <c r="P18" i="45"/>
  <c r="N18" i="45"/>
  <c r="D18" i="45"/>
  <c r="L18" i="45" s="1"/>
  <c r="B18" i="45"/>
  <c r="Z17" i="45"/>
  <c r="X17" i="45"/>
  <c r="P17" i="45"/>
  <c r="N17" i="45"/>
  <c r="D17" i="45"/>
  <c r="L17" i="45" s="1"/>
  <c r="B17" i="45"/>
  <c r="Z16" i="45"/>
  <c r="X16" i="45"/>
  <c r="P16" i="45"/>
  <c r="N16" i="45"/>
  <c r="L16" i="45"/>
  <c r="D16" i="45"/>
  <c r="B16" i="45"/>
  <c r="X15" i="45"/>
  <c r="Z15" i="45" s="1"/>
  <c r="P15" i="45"/>
  <c r="L15" i="45"/>
  <c r="N15" i="45" s="1"/>
  <c r="D15" i="45"/>
  <c r="B15" i="45"/>
  <c r="Z14" i="45"/>
  <c r="P14" i="45"/>
  <c r="X14" i="45" s="1"/>
  <c r="N14" i="45"/>
  <c r="L14" i="45"/>
  <c r="D14" i="45"/>
  <c r="B14" i="45"/>
  <c r="Z13" i="45"/>
  <c r="P13" i="45"/>
  <c r="N13" i="45"/>
  <c r="L13" i="45"/>
  <c r="D13" i="45"/>
  <c r="B13" i="45"/>
  <c r="T12" i="45"/>
  <c r="V74" i="45" s="1"/>
  <c r="H12" i="45"/>
  <c r="J104" i="45" s="1"/>
  <c r="D12" i="45"/>
  <c r="F76" i="45" s="1"/>
  <c r="D4" i="45"/>
  <c r="X131" i="42"/>
  <c r="Z131" i="42" s="1"/>
  <c r="L131" i="42"/>
  <c r="N131" i="42" s="1"/>
  <c r="Z127" i="42"/>
  <c r="X127" i="42"/>
  <c r="P127" i="42"/>
  <c r="N127" i="42"/>
  <c r="D127" i="42"/>
  <c r="L127" i="42" s="1"/>
  <c r="B127" i="42"/>
  <c r="Z126" i="42"/>
  <c r="X126" i="42"/>
  <c r="P126" i="42"/>
  <c r="N126" i="42"/>
  <c r="L126" i="42"/>
  <c r="D126" i="42"/>
  <c r="B126" i="42"/>
  <c r="P125" i="42"/>
  <c r="X125" i="42" s="1"/>
  <c r="Z125" i="42" s="1"/>
  <c r="D125" i="42"/>
  <c r="L125" i="42" s="1"/>
  <c r="N125" i="42" s="1"/>
  <c r="B125" i="42"/>
  <c r="P124" i="42"/>
  <c r="N124" i="42"/>
  <c r="D124" i="42"/>
  <c r="L124" i="42" s="1"/>
  <c r="B124" i="42"/>
  <c r="T123" i="42"/>
  <c r="N123" i="42"/>
  <c r="H123" i="42"/>
  <c r="D123" i="42"/>
  <c r="L123" i="42" s="1"/>
  <c r="X121" i="42"/>
  <c r="Z121" i="42" s="1"/>
  <c r="L121" i="42"/>
  <c r="N121" i="42" s="1"/>
  <c r="B121" i="42"/>
  <c r="Z120" i="42"/>
  <c r="X120" i="42"/>
  <c r="T120" i="42"/>
  <c r="P120" i="42"/>
  <c r="L120" i="42"/>
  <c r="H120" i="42"/>
  <c r="D120" i="42"/>
  <c r="B120" i="42"/>
  <c r="Z119" i="42"/>
  <c r="X119" i="42"/>
  <c r="N119" i="42"/>
  <c r="L119" i="42"/>
  <c r="B119" i="42"/>
  <c r="Z118" i="42"/>
  <c r="X118" i="42"/>
  <c r="N118" i="42"/>
  <c r="L118" i="42"/>
  <c r="B118" i="42"/>
  <c r="Z117" i="42"/>
  <c r="X117" i="42"/>
  <c r="N117" i="42"/>
  <c r="L117" i="42"/>
  <c r="B117" i="42"/>
  <c r="T116" i="42"/>
  <c r="P116" i="42"/>
  <c r="X116" i="42" s="1"/>
  <c r="L116" i="42"/>
  <c r="H116" i="42"/>
  <c r="N116" i="42" s="1"/>
  <c r="D116" i="42"/>
  <c r="B116" i="42"/>
  <c r="X115" i="42"/>
  <c r="Z115" i="42" s="1"/>
  <c r="N115" i="42"/>
  <c r="L115" i="42"/>
  <c r="B115" i="42"/>
  <c r="T114" i="42"/>
  <c r="P114" i="42"/>
  <c r="X114" i="42" s="1"/>
  <c r="Z114" i="42" s="1"/>
  <c r="L114" i="42"/>
  <c r="N114" i="42" s="1"/>
  <c r="H114" i="42"/>
  <c r="D114" i="42"/>
  <c r="B114" i="42"/>
  <c r="X113" i="42"/>
  <c r="Z113" i="42" s="1"/>
  <c r="L113" i="42"/>
  <c r="N113" i="42" s="1"/>
  <c r="B113" i="42"/>
  <c r="Z112" i="42"/>
  <c r="X112" i="42"/>
  <c r="N112" i="42"/>
  <c r="L112" i="42"/>
  <c r="B112" i="42"/>
  <c r="Z111" i="42"/>
  <c r="T111" i="42"/>
  <c r="P111" i="42"/>
  <c r="X111" i="42" s="1"/>
  <c r="H111" i="42"/>
  <c r="N111" i="42" s="1"/>
  <c r="D111" i="42"/>
  <c r="L111" i="42" s="1"/>
  <c r="B111" i="42"/>
  <c r="X110" i="42"/>
  <c r="Z110" i="42" s="1"/>
  <c r="N110" i="42"/>
  <c r="L110" i="42"/>
  <c r="B110" i="42"/>
  <c r="X109" i="42"/>
  <c r="Z109" i="42" s="1"/>
  <c r="L109" i="42"/>
  <c r="N109" i="42" s="1"/>
  <c r="B109" i="42"/>
  <c r="Z108" i="42"/>
  <c r="X108" i="42"/>
  <c r="N108" i="42"/>
  <c r="L108" i="42"/>
  <c r="B108" i="42"/>
  <c r="X107" i="42"/>
  <c r="Z107" i="42" s="1"/>
  <c r="L107" i="42"/>
  <c r="N107" i="42" s="1"/>
  <c r="J107" i="42"/>
  <c r="B107" i="42"/>
  <c r="X106" i="42"/>
  <c r="Z106" i="42" s="1"/>
  <c r="N106" i="42"/>
  <c r="L106" i="42"/>
  <c r="B106" i="42"/>
  <c r="Z105" i="42"/>
  <c r="X105" i="42"/>
  <c r="L105" i="42"/>
  <c r="N105" i="42" s="1"/>
  <c r="B105" i="42"/>
  <c r="Z104" i="42"/>
  <c r="X104" i="42"/>
  <c r="N104" i="42"/>
  <c r="L104" i="42"/>
  <c r="B104" i="42"/>
  <c r="X103" i="42"/>
  <c r="Z103" i="42" s="1"/>
  <c r="L103" i="42"/>
  <c r="N103" i="42" s="1"/>
  <c r="B103" i="42"/>
  <c r="X102" i="42"/>
  <c r="Z102" i="42" s="1"/>
  <c r="N102" i="42"/>
  <c r="L102" i="42"/>
  <c r="B102" i="42"/>
  <c r="X101" i="42"/>
  <c r="Z101" i="42" s="1"/>
  <c r="L101" i="42"/>
  <c r="N101" i="42" s="1"/>
  <c r="B101" i="42"/>
  <c r="T100" i="42"/>
  <c r="P100" i="42"/>
  <c r="X100" i="42" s="1"/>
  <c r="H100" i="42"/>
  <c r="D100" i="42"/>
  <c r="L100" i="42" s="1"/>
  <c r="B100" i="42"/>
  <c r="X99" i="42"/>
  <c r="Z99" i="42" s="1"/>
  <c r="N99" i="42"/>
  <c r="L99" i="42"/>
  <c r="B99" i="42"/>
  <c r="T98" i="42"/>
  <c r="P98" i="42"/>
  <c r="X98" i="42" s="1"/>
  <c r="Z98" i="42" s="1"/>
  <c r="L98" i="42"/>
  <c r="N98" i="42" s="1"/>
  <c r="H98" i="42"/>
  <c r="D98" i="42"/>
  <c r="B98" i="42"/>
  <c r="Z97" i="42"/>
  <c r="X97" i="42"/>
  <c r="L97" i="42"/>
  <c r="N97" i="42" s="1"/>
  <c r="B97" i="42"/>
  <c r="Z96" i="42"/>
  <c r="X96" i="42"/>
  <c r="N96" i="42"/>
  <c r="L96" i="42"/>
  <c r="B96" i="42"/>
  <c r="Z95" i="42"/>
  <c r="X95" i="42"/>
  <c r="L95" i="42"/>
  <c r="N95" i="42" s="1"/>
  <c r="B95" i="42"/>
  <c r="X94" i="42"/>
  <c r="Z94" i="42" s="1"/>
  <c r="L94" i="42"/>
  <c r="N94" i="42" s="1"/>
  <c r="B94" i="42"/>
  <c r="Z93" i="42"/>
  <c r="X93" i="42"/>
  <c r="L93" i="42"/>
  <c r="N93" i="42" s="1"/>
  <c r="J93" i="42"/>
  <c r="B93" i="42"/>
  <c r="T92" i="42"/>
  <c r="X92" i="42" s="1"/>
  <c r="Z92" i="42" s="1"/>
  <c r="P92" i="42"/>
  <c r="H92" i="42"/>
  <c r="D92" i="42"/>
  <c r="B92" i="42"/>
  <c r="X91" i="42"/>
  <c r="Z91" i="42" s="1"/>
  <c r="L91" i="42"/>
  <c r="N91" i="42" s="1"/>
  <c r="B91" i="42"/>
  <c r="X90" i="42"/>
  <c r="Z90" i="42" s="1"/>
  <c r="N90" i="42"/>
  <c r="L90" i="42"/>
  <c r="B90" i="42"/>
  <c r="X89" i="42"/>
  <c r="Z89" i="42" s="1"/>
  <c r="L89" i="42"/>
  <c r="N89" i="42" s="1"/>
  <c r="B89" i="42"/>
  <c r="T88" i="42"/>
  <c r="P88" i="42"/>
  <c r="H88" i="42"/>
  <c r="D88" i="42"/>
  <c r="L88" i="42" s="1"/>
  <c r="B88" i="42"/>
  <c r="X87" i="42"/>
  <c r="Z87" i="42" s="1"/>
  <c r="N87" i="42"/>
  <c r="L87" i="42"/>
  <c r="B87" i="42"/>
  <c r="Z86" i="42"/>
  <c r="X86" i="42"/>
  <c r="L86" i="42"/>
  <c r="N86" i="42" s="1"/>
  <c r="B86" i="42"/>
  <c r="X85" i="42"/>
  <c r="Z85" i="42" s="1"/>
  <c r="N85" i="42"/>
  <c r="L85" i="42"/>
  <c r="B85" i="42"/>
  <c r="Z84" i="42"/>
  <c r="X84" i="42"/>
  <c r="N84" i="42"/>
  <c r="L84" i="42"/>
  <c r="B84" i="42"/>
  <c r="T83" i="42"/>
  <c r="P83" i="42"/>
  <c r="L83" i="42"/>
  <c r="H83" i="42"/>
  <c r="D83" i="42"/>
  <c r="B83" i="42"/>
  <c r="X82" i="42"/>
  <c r="Z82" i="42" s="1"/>
  <c r="L82" i="42"/>
  <c r="N82" i="42" s="1"/>
  <c r="B82" i="42"/>
  <c r="T81" i="42"/>
  <c r="P81" i="42"/>
  <c r="X81" i="42" s="1"/>
  <c r="Z81" i="42" s="1"/>
  <c r="H81" i="42"/>
  <c r="D81" i="42"/>
  <c r="L81" i="42" s="1"/>
  <c r="B81" i="42"/>
  <c r="Z80" i="42"/>
  <c r="X80" i="42"/>
  <c r="N80" i="42"/>
  <c r="L80" i="42"/>
  <c r="B80" i="42"/>
  <c r="X79" i="42"/>
  <c r="T79" i="42"/>
  <c r="Z79" i="42" s="1"/>
  <c r="P79" i="42"/>
  <c r="N79" i="42"/>
  <c r="H79" i="42"/>
  <c r="D79" i="42"/>
  <c r="L79" i="42" s="1"/>
  <c r="B79" i="42"/>
  <c r="Z78" i="42"/>
  <c r="X78" i="42"/>
  <c r="L78" i="42"/>
  <c r="N78" i="42" s="1"/>
  <c r="B78" i="42"/>
  <c r="X77" i="42"/>
  <c r="T77" i="42"/>
  <c r="P77" i="42"/>
  <c r="H77" i="42"/>
  <c r="D77" i="42"/>
  <c r="B77" i="42"/>
  <c r="Z76" i="42"/>
  <c r="X76" i="42"/>
  <c r="N76" i="42"/>
  <c r="L76" i="42"/>
  <c r="B76" i="42"/>
  <c r="T75" i="42"/>
  <c r="P75" i="42"/>
  <c r="X75" i="42" s="1"/>
  <c r="H75" i="42"/>
  <c r="D75" i="42"/>
  <c r="L75" i="42" s="1"/>
  <c r="N75" i="42" s="1"/>
  <c r="B75" i="42"/>
  <c r="X74" i="42"/>
  <c r="Z74" i="42" s="1"/>
  <c r="N74" i="42"/>
  <c r="L74" i="42"/>
  <c r="B74" i="42"/>
  <c r="X73" i="42"/>
  <c r="Z73" i="42" s="1"/>
  <c r="L73" i="42"/>
  <c r="N73" i="42" s="1"/>
  <c r="B73" i="42"/>
  <c r="T72" i="42"/>
  <c r="P72" i="42"/>
  <c r="H72" i="42"/>
  <c r="D72" i="42"/>
  <c r="L72" i="42" s="1"/>
  <c r="B72" i="42"/>
  <c r="X71" i="42"/>
  <c r="Z71" i="42" s="1"/>
  <c r="N71" i="42"/>
  <c r="L71" i="42"/>
  <c r="B71" i="42"/>
  <c r="T70" i="42"/>
  <c r="P70" i="42"/>
  <c r="X70" i="42" s="1"/>
  <c r="Z70" i="42" s="1"/>
  <c r="L70" i="42"/>
  <c r="N70" i="42" s="1"/>
  <c r="H70" i="42"/>
  <c r="D70" i="42"/>
  <c r="B70" i="42"/>
  <c r="Z69" i="42"/>
  <c r="X69" i="42"/>
  <c r="L69" i="42"/>
  <c r="N69" i="42" s="1"/>
  <c r="J69" i="42"/>
  <c r="B69" i="42"/>
  <c r="T68" i="42"/>
  <c r="X68" i="42" s="1"/>
  <c r="Z68" i="42" s="1"/>
  <c r="P68" i="42"/>
  <c r="H68" i="42"/>
  <c r="D68" i="42"/>
  <c r="B68" i="42"/>
  <c r="X67" i="42"/>
  <c r="Z67" i="42" s="1"/>
  <c r="L67" i="42"/>
  <c r="N67" i="42" s="1"/>
  <c r="B67" i="42"/>
  <c r="V66" i="42"/>
  <c r="T66" i="42"/>
  <c r="Z66" i="42" s="1"/>
  <c r="P66" i="42"/>
  <c r="X66" i="42" s="1"/>
  <c r="H66" i="42"/>
  <c r="D66" i="42"/>
  <c r="B66" i="42"/>
  <c r="X65" i="42"/>
  <c r="Z65" i="42" s="1"/>
  <c r="N65" i="42"/>
  <c r="L65" i="42"/>
  <c r="B65" i="42"/>
  <c r="X64" i="42"/>
  <c r="Z64" i="42" s="1"/>
  <c r="N64" i="42"/>
  <c r="L64" i="42"/>
  <c r="B64" i="42"/>
  <c r="X63" i="42"/>
  <c r="Z63" i="42" s="1"/>
  <c r="N63" i="42"/>
  <c r="L63" i="42"/>
  <c r="B63" i="42"/>
  <c r="Z62" i="42"/>
  <c r="X62" i="42"/>
  <c r="L62" i="42"/>
  <c r="N62" i="42" s="1"/>
  <c r="J62" i="42"/>
  <c r="B62" i="42"/>
  <c r="X61" i="42"/>
  <c r="T61" i="42"/>
  <c r="Z61" i="42" s="1"/>
  <c r="P61" i="42"/>
  <c r="J61" i="42"/>
  <c r="H61" i="42"/>
  <c r="D61" i="42"/>
  <c r="B61" i="42"/>
  <c r="Z60" i="42"/>
  <c r="X60" i="42"/>
  <c r="N60" i="42"/>
  <c r="L60" i="42"/>
  <c r="B60" i="42"/>
  <c r="T59" i="42"/>
  <c r="Z59" i="42" s="1"/>
  <c r="P59" i="42"/>
  <c r="X59" i="42" s="1"/>
  <c r="H59" i="42"/>
  <c r="D59" i="42"/>
  <c r="L59" i="42" s="1"/>
  <c r="N59" i="42" s="1"/>
  <c r="B59" i="42"/>
  <c r="X58" i="42"/>
  <c r="Z58" i="42" s="1"/>
  <c r="V58" i="42"/>
  <c r="N58" i="42"/>
  <c r="L58" i="42"/>
  <c r="B58" i="42"/>
  <c r="Z57" i="42"/>
  <c r="X57" i="42"/>
  <c r="T57" i="42"/>
  <c r="P57" i="42"/>
  <c r="L57" i="42"/>
  <c r="N57" i="42" s="1"/>
  <c r="H57" i="42"/>
  <c r="D57" i="42"/>
  <c r="B57" i="42"/>
  <c r="Z56" i="42"/>
  <c r="X56" i="42"/>
  <c r="N56" i="42"/>
  <c r="L56" i="42"/>
  <c r="B56" i="42"/>
  <c r="T55" i="42"/>
  <c r="P55" i="42"/>
  <c r="L55" i="42"/>
  <c r="H55" i="42"/>
  <c r="N55" i="42" s="1"/>
  <c r="D55" i="42"/>
  <c r="B55" i="42"/>
  <c r="Z54" i="42"/>
  <c r="X54" i="42"/>
  <c r="N54" i="42"/>
  <c r="L54" i="42"/>
  <c r="B54" i="42"/>
  <c r="Z53" i="42"/>
  <c r="X53" i="42"/>
  <c r="N53" i="42"/>
  <c r="L53" i="42"/>
  <c r="B53" i="42"/>
  <c r="Z52" i="42"/>
  <c r="X52" i="42"/>
  <c r="N52" i="42"/>
  <c r="L52" i="42"/>
  <c r="B52" i="42"/>
  <c r="Z51" i="42"/>
  <c r="X51" i="42"/>
  <c r="L51" i="42"/>
  <c r="N51" i="42" s="1"/>
  <c r="B51" i="42"/>
  <c r="Z50" i="42"/>
  <c r="X50" i="42"/>
  <c r="N50" i="42"/>
  <c r="L50" i="42"/>
  <c r="J50" i="42"/>
  <c r="B50" i="42"/>
  <c r="Z49" i="42"/>
  <c r="X49" i="42"/>
  <c r="L49" i="42"/>
  <c r="N49" i="42" s="1"/>
  <c r="J49" i="42"/>
  <c r="B49" i="42"/>
  <c r="Z48" i="42"/>
  <c r="X48" i="42"/>
  <c r="N48" i="42"/>
  <c r="L48" i="42"/>
  <c r="B48" i="42"/>
  <c r="Z47" i="42"/>
  <c r="X47" i="42"/>
  <c r="N47" i="42"/>
  <c r="L47" i="42"/>
  <c r="B47" i="42"/>
  <c r="X46" i="42"/>
  <c r="Z46" i="42" s="1"/>
  <c r="L46" i="42"/>
  <c r="N46" i="42" s="1"/>
  <c r="B46" i="42"/>
  <c r="X45" i="42"/>
  <c r="Z45" i="42" s="1"/>
  <c r="L45" i="42"/>
  <c r="N45" i="42" s="1"/>
  <c r="B45" i="42"/>
  <c r="Z44" i="42"/>
  <c r="V44" i="42"/>
  <c r="T44" i="42"/>
  <c r="X44" i="42" s="1"/>
  <c r="P44" i="42"/>
  <c r="L44" i="42"/>
  <c r="H44" i="42"/>
  <c r="D44" i="42"/>
  <c r="B44" i="42"/>
  <c r="X43" i="42"/>
  <c r="Z43" i="42" s="1"/>
  <c r="L43" i="42"/>
  <c r="N43" i="42" s="1"/>
  <c r="B43" i="42"/>
  <c r="X42" i="42"/>
  <c r="Z42" i="42" s="1"/>
  <c r="N42" i="42"/>
  <c r="L42" i="42"/>
  <c r="B42" i="42"/>
  <c r="Z41" i="42"/>
  <c r="X41" i="42"/>
  <c r="L41" i="42"/>
  <c r="N41" i="42" s="1"/>
  <c r="B41" i="42"/>
  <c r="Z40" i="42"/>
  <c r="X40" i="42"/>
  <c r="N40" i="42"/>
  <c r="L40" i="42"/>
  <c r="B40" i="42"/>
  <c r="X39" i="42"/>
  <c r="Z39" i="42" s="1"/>
  <c r="N39" i="42"/>
  <c r="L39" i="42"/>
  <c r="B39" i="42"/>
  <c r="X38" i="42"/>
  <c r="Z38" i="42" s="1"/>
  <c r="N38" i="42"/>
  <c r="L38" i="42"/>
  <c r="B38" i="42"/>
  <c r="Z37" i="42"/>
  <c r="X37" i="42"/>
  <c r="N37" i="42"/>
  <c r="L37" i="42"/>
  <c r="B37" i="42"/>
  <c r="Z36" i="42"/>
  <c r="X36" i="42"/>
  <c r="L36" i="42"/>
  <c r="N36" i="42" s="1"/>
  <c r="B36" i="42"/>
  <c r="X35" i="42"/>
  <c r="Z35" i="42" s="1"/>
  <c r="L35" i="42"/>
  <c r="N35" i="42" s="1"/>
  <c r="J35" i="42"/>
  <c r="B35" i="42"/>
  <c r="X34" i="42"/>
  <c r="Z34" i="42" s="1"/>
  <c r="N34" i="42"/>
  <c r="L34" i="42"/>
  <c r="B34" i="42"/>
  <c r="T33" i="42"/>
  <c r="P33" i="42"/>
  <c r="X33" i="42" s="1"/>
  <c r="Z33" i="42" s="1"/>
  <c r="L33" i="42"/>
  <c r="H33" i="42"/>
  <c r="D33" i="42"/>
  <c r="B33" i="42"/>
  <c r="T32" i="42"/>
  <c r="P32" i="42"/>
  <c r="X32" i="42" s="1"/>
  <c r="Z32" i="42" s="1"/>
  <c r="J32" i="42"/>
  <c r="H32" i="42"/>
  <c r="D32" i="42"/>
  <c r="L32" i="42" s="1"/>
  <c r="N32" i="42" s="1"/>
  <c r="Z28" i="42"/>
  <c r="X28" i="42"/>
  <c r="N28" i="42"/>
  <c r="L28" i="42"/>
  <c r="B28" i="42"/>
  <c r="Z27" i="42"/>
  <c r="X27" i="42"/>
  <c r="N27" i="42"/>
  <c r="L27" i="42"/>
  <c r="J27" i="42"/>
  <c r="B27" i="42"/>
  <c r="Z26" i="42"/>
  <c r="X26" i="42"/>
  <c r="N26" i="42"/>
  <c r="L26" i="42"/>
  <c r="J26" i="42"/>
  <c r="B26" i="42"/>
  <c r="Z25" i="42"/>
  <c r="X25" i="42"/>
  <c r="T25" i="42"/>
  <c r="P25" i="42"/>
  <c r="L25" i="42"/>
  <c r="H25" i="42"/>
  <c r="N25" i="42" s="1"/>
  <c r="D25" i="42"/>
  <c r="Z23" i="42"/>
  <c r="X23" i="42"/>
  <c r="P23" i="42"/>
  <c r="N23" i="42"/>
  <c r="L23" i="42"/>
  <c r="D23" i="42"/>
  <c r="B23" i="42"/>
  <c r="Z22" i="42"/>
  <c r="P22" i="42"/>
  <c r="X22" i="42" s="1"/>
  <c r="N22" i="42"/>
  <c r="D22" i="42"/>
  <c r="L22" i="42" s="1"/>
  <c r="B22" i="42"/>
  <c r="Z21" i="42"/>
  <c r="X21" i="42"/>
  <c r="P21" i="42"/>
  <c r="N21" i="42"/>
  <c r="L21" i="42"/>
  <c r="D21" i="42"/>
  <c r="B21" i="42"/>
  <c r="Z20" i="42"/>
  <c r="X20" i="42"/>
  <c r="P20" i="42"/>
  <c r="N20" i="42"/>
  <c r="L20" i="42"/>
  <c r="D20" i="42"/>
  <c r="B20" i="42"/>
  <c r="Z19" i="42"/>
  <c r="X19" i="42"/>
  <c r="P19" i="42"/>
  <c r="D19" i="42"/>
  <c r="L19" i="42" s="1"/>
  <c r="N19" i="42" s="1"/>
  <c r="B19" i="42"/>
  <c r="Z18" i="42"/>
  <c r="P18" i="42"/>
  <c r="X18" i="42" s="1"/>
  <c r="N18" i="42"/>
  <c r="L18" i="42"/>
  <c r="D18" i="42"/>
  <c r="B18" i="42"/>
  <c r="Z17" i="42"/>
  <c r="X17" i="42"/>
  <c r="P17" i="42"/>
  <c r="N17" i="42"/>
  <c r="L17" i="42"/>
  <c r="D17" i="42"/>
  <c r="B17" i="42"/>
  <c r="Z16" i="42"/>
  <c r="P16" i="42"/>
  <c r="X16" i="42" s="1"/>
  <c r="N16" i="42"/>
  <c r="L16" i="42"/>
  <c r="D16" i="42"/>
  <c r="B16" i="42"/>
  <c r="Z15" i="42"/>
  <c r="P15" i="42"/>
  <c r="X15" i="42" s="1"/>
  <c r="N15" i="42"/>
  <c r="L15" i="42"/>
  <c r="D15" i="42"/>
  <c r="B15" i="42"/>
  <c r="Z14" i="42"/>
  <c r="P14" i="42"/>
  <c r="X14" i="42" s="1"/>
  <c r="N14" i="42"/>
  <c r="L14" i="42"/>
  <c r="D14" i="42"/>
  <c r="B14" i="42"/>
  <c r="X13" i="42"/>
  <c r="Z13" i="42" s="1"/>
  <c r="P13" i="42"/>
  <c r="D13" i="42"/>
  <c r="L13" i="42" s="1"/>
  <c r="N13" i="42" s="1"/>
  <c r="B13" i="42"/>
  <c r="T12" i="42"/>
  <c r="V54" i="42" s="1"/>
  <c r="H12" i="42"/>
  <c r="J119" i="42" s="1"/>
  <c r="D4" i="42"/>
  <c r="X144" i="39"/>
  <c r="Z144" i="39" s="1"/>
  <c r="N144" i="39"/>
  <c r="L144" i="39"/>
  <c r="Z140" i="39"/>
  <c r="X140" i="39"/>
  <c r="P140" i="39"/>
  <c r="N140" i="39"/>
  <c r="L140" i="39"/>
  <c r="J140" i="39"/>
  <c r="D140" i="39"/>
  <c r="B140" i="39"/>
  <c r="Z139" i="39"/>
  <c r="P139" i="39"/>
  <c r="X139" i="39" s="1"/>
  <c r="N139" i="39"/>
  <c r="J139" i="39"/>
  <c r="D139" i="39"/>
  <c r="L139" i="39" s="1"/>
  <c r="B139" i="39"/>
  <c r="P138" i="39"/>
  <c r="X138" i="39" s="1"/>
  <c r="Z138" i="39" s="1"/>
  <c r="D138" i="39"/>
  <c r="L138" i="39" s="1"/>
  <c r="N138" i="39" s="1"/>
  <c r="B138" i="39"/>
  <c r="P137" i="39"/>
  <c r="X137" i="39" s="1"/>
  <c r="Z137" i="39" s="1"/>
  <c r="D137" i="39"/>
  <c r="L137" i="39" s="1"/>
  <c r="N137" i="39" s="1"/>
  <c r="B137" i="39"/>
  <c r="T136" i="39"/>
  <c r="H136" i="39"/>
  <c r="Z134" i="39"/>
  <c r="X134" i="39"/>
  <c r="L134" i="39"/>
  <c r="N134" i="39" s="1"/>
  <c r="J134" i="39"/>
  <c r="B134" i="39"/>
  <c r="V133" i="39"/>
  <c r="T133" i="39"/>
  <c r="P133" i="39"/>
  <c r="H133" i="39"/>
  <c r="N133" i="39" s="1"/>
  <c r="D133" i="39"/>
  <c r="L133" i="39" s="1"/>
  <c r="B133" i="39"/>
  <c r="Z132" i="39"/>
  <c r="X132" i="39"/>
  <c r="N132" i="39"/>
  <c r="L132" i="39"/>
  <c r="B132" i="39"/>
  <c r="Z131" i="39"/>
  <c r="X131" i="39"/>
  <c r="N131" i="39"/>
  <c r="L131" i="39"/>
  <c r="B131" i="39"/>
  <c r="X130" i="39"/>
  <c r="Z130" i="39" s="1"/>
  <c r="N130" i="39"/>
  <c r="L130" i="39"/>
  <c r="J130" i="39"/>
  <c r="B130" i="39"/>
  <c r="T129" i="39"/>
  <c r="P129" i="39"/>
  <c r="X129" i="39" s="1"/>
  <c r="Z129" i="39" s="1"/>
  <c r="H129" i="39"/>
  <c r="N129" i="39" s="1"/>
  <c r="D129" i="39"/>
  <c r="L129" i="39" s="1"/>
  <c r="B129" i="39"/>
  <c r="Z128" i="39"/>
  <c r="X128" i="39"/>
  <c r="N128" i="39"/>
  <c r="L128" i="39"/>
  <c r="B128" i="39"/>
  <c r="X127" i="39"/>
  <c r="Z127" i="39" s="1"/>
  <c r="T127" i="39"/>
  <c r="P127" i="39"/>
  <c r="H127" i="39"/>
  <c r="D127" i="39"/>
  <c r="L127" i="39" s="1"/>
  <c r="N127" i="39" s="1"/>
  <c r="B127" i="39"/>
  <c r="Z126" i="39"/>
  <c r="X126" i="39"/>
  <c r="L126" i="39"/>
  <c r="N126" i="39" s="1"/>
  <c r="J126" i="39"/>
  <c r="B126" i="39"/>
  <c r="X125" i="39"/>
  <c r="Z125" i="39" s="1"/>
  <c r="V125" i="39"/>
  <c r="N125" i="39"/>
  <c r="L125" i="39"/>
  <c r="B125" i="39"/>
  <c r="T124" i="39"/>
  <c r="P124" i="39"/>
  <c r="X124" i="39" s="1"/>
  <c r="Z124" i="39" s="1"/>
  <c r="N124" i="39"/>
  <c r="L124" i="39"/>
  <c r="H124" i="39"/>
  <c r="D124" i="39"/>
  <c r="B124" i="39"/>
  <c r="Z123" i="39"/>
  <c r="X123" i="39"/>
  <c r="N123" i="39"/>
  <c r="L123" i="39"/>
  <c r="B123" i="39"/>
  <c r="X122" i="39"/>
  <c r="Z122" i="39" s="1"/>
  <c r="L122" i="39"/>
  <c r="N122" i="39" s="1"/>
  <c r="J122" i="39"/>
  <c r="B122" i="39"/>
  <c r="Z121" i="39"/>
  <c r="X121" i="39"/>
  <c r="N121" i="39"/>
  <c r="L121" i="39"/>
  <c r="B121" i="39"/>
  <c r="X120" i="39"/>
  <c r="Z120" i="39" s="1"/>
  <c r="N120" i="39"/>
  <c r="L120" i="39"/>
  <c r="B120" i="39"/>
  <c r="Z119" i="39"/>
  <c r="X119" i="39"/>
  <c r="N119" i="39"/>
  <c r="L119" i="39"/>
  <c r="B119" i="39"/>
  <c r="X118" i="39"/>
  <c r="Z118" i="39" s="1"/>
  <c r="L118" i="39"/>
  <c r="N118" i="39" s="1"/>
  <c r="J118" i="39"/>
  <c r="B118" i="39"/>
  <c r="Z117" i="39"/>
  <c r="X117" i="39"/>
  <c r="L117" i="39"/>
  <c r="N117" i="39" s="1"/>
  <c r="B117" i="39"/>
  <c r="X116" i="39"/>
  <c r="Z116" i="39" s="1"/>
  <c r="N116" i="39"/>
  <c r="L116" i="39"/>
  <c r="B116" i="39"/>
  <c r="Z115" i="39"/>
  <c r="X115" i="39"/>
  <c r="N115" i="39"/>
  <c r="L115" i="39"/>
  <c r="B115" i="39"/>
  <c r="X114" i="39"/>
  <c r="Z114" i="39" s="1"/>
  <c r="L114" i="39"/>
  <c r="N114" i="39" s="1"/>
  <c r="J114" i="39"/>
  <c r="B114" i="39"/>
  <c r="T113" i="39"/>
  <c r="P113" i="39"/>
  <c r="X113" i="39" s="1"/>
  <c r="Z113" i="39" s="1"/>
  <c r="H113" i="39"/>
  <c r="D113" i="39"/>
  <c r="L113" i="39" s="1"/>
  <c r="B113" i="39"/>
  <c r="Z112" i="39"/>
  <c r="X112" i="39"/>
  <c r="N112" i="39"/>
  <c r="L112" i="39"/>
  <c r="B112" i="39"/>
  <c r="X111" i="39"/>
  <c r="Z111" i="39" s="1"/>
  <c r="T111" i="39"/>
  <c r="P111" i="39"/>
  <c r="H111" i="39"/>
  <c r="D111" i="39"/>
  <c r="L111" i="39" s="1"/>
  <c r="N111" i="39" s="1"/>
  <c r="B111" i="39"/>
  <c r="Z110" i="39"/>
  <c r="X110" i="39"/>
  <c r="L110" i="39"/>
  <c r="N110" i="39" s="1"/>
  <c r="J110" i="39"/>
  <c r="B110" i="39"/>
  <c r="X109" i="39"/>
  <c r="Z109" i="39" s="1"/>
  <c r="V109" i="39"/>
  <c r="N109" i="39"/>
  <c r="L109" i="39"/>
  <c r="B109" i="39"/>
  <c r="Z108" i="39"/>
  <c r="X108" i="39"/>
  <c r="L108" i="39"/>
  <c r="N108" i="39" s="1"/>
  <c r="J108" i="39"/>
  <c r="B108" i="39"/>
  <c r="Z107" i="39"/>
  <c r="X107" i="39"/>
  <c r="N107" i="39"/>
  <c r="L107" i="39"/>
  <c r="B107" i="39"/>
  <c r="Z106" i="39"/>
  <c r="X106" i="39"/>
  <c r="L106" i="39"/>
  <c r="N106" i="39" s="1"/>
  <c r="J106" i="39"/>
  <c r="B106" i="39"/>
  <c r="Z105" i="39"/>
  <c r="X105" i="39"/>
  <c r="N105" i="39"/>
  <c r="L105" i="39"/>
  <c r="B105" i="39"/>
  <c r="T104" i="39"/>
  <c r="P104" i="39"/>
  <c r="X104" i="39" s="1"/>
  <c r="Z104" i="39" s="1"/>
  <c r="H104" i="39"/>
  <c r="D104" i="39"/>
  <c r="L104" i="39" s="1"/>
  <c r="N104" i="39" s="1"/>
  <c r="B104" i="39"/>
  <c r="Z103" i="39"/>
  <c r="X103" i="39"/>
  <c r="L103" i="39"/>
  <c r="N103" i="39" s="1"/>
  <c r="B103" i="39"/>
  <c r="X102" i="39"/>
  <c r="Z102" i="39" s="1"/>
  <c r="L102" i="39"/>
  <c r="N102" i="39" s="1"/>
  <c r="J102" i="39"/>
  <c r="B102" i="39"/>
  <c r="Z101" i="39"/>
  <c r="X101" i="39"/>
  <c r="L101" i="39"/>
  <c r="N101" i="39" s="1"/>
  <c r="B101" i="39"/>
  <c r="X100" i="39"/>
  <c r="Z100" i="39" s="1"/>
  <c r="V100" i="39"/>
  <c r="T100" i="39"/>
  <c r="P100" i="39"/>
  <c r="J100" i="39"/>
  <c r="H100" i="39"/>
  <c r="D100" i="39"/>
  <c r="B100" i="39"/>
  <c r="Z99" i="39"/>
  <c r="X99" i="39"/>
  <c r="N99" i="39"/>
  <c r="L99" i="39"/>
  <c r="B99" i="39"/>
  <c r="X98" i="39"/>
  <c r="Z98" i="39" s="1"/>
  <c r="N98" i="39"/>
  <c r="L98" i="39"/>
  <c r="B98" i="39"/>
  <c r="X97" i="39"/>
  <c r="Z97" i="39" s="1"/>
  <c r="N97" i="39"/>
  <c r="L97" i="39"/>
  <c r="J97" i="39"/>
  <c r="B97" i="39"/>
  <c r="Z96" i="39"/>
  <c r="X96" i="39"/>
  <c r="N96" i="39"/>
  <c r="L96" i="39"/>
  <c r="B96" i="39"/>
  <c r="Z95" i="39"/>
  <c r="X95" i="39"/>
  <c r="T95" i="39"/>
  <c r="P95" i="39"/>
  <c r="J95" i="39"/>
  <c r="H95" i="39"/>
  <c r="D95" i="39"/>
  <c r="L95" i="39" s="1"/>
  <c r="N95" i="39" s="1"/>
  <c r="B95" i="39"/>
  <c r="Z94" i="39"/>
  <c r="X94" i="39"/>
  <c r="L94" i="39"/>
  <c r="N94" i="39" s="1"/>
  <c r="J94" i="39"/>
  <c r="B94" i="39"/>
  <c r="T93" i="39"/>
  <c r="P93" i="39"/>
  <c r="H93" i="39"/>
  <c r="D93" i="39"/>
  <c r="L93" i="39" s="1"/>
  <c r="B93" i="39"/>
  <c r="Z92" i="39"/>
  <c r="X92" i="39"/>
  <c r="N92" i="39"/>
  <c r="L92" i="39"/>
  <c r="B92" i="39"/>
  <c r="T91" i="39"/>
  <c r="Z91" i="39" s="1"/>
  <c r="P91" i="39"/>
  <c r="X91" i="39" s="1"/>
  <c r="N91" i="39"/>
  <c r="H91" i="39"/>
  <c r="D91" i="39"/>
  <c r="L91" i="39" s="1"/>
  <c r="B91" i="39"/>
  <c r="Z90" i="39"/>
  <c r="X90" i="39"/>
  <c r="N90" i="39"/>
  <c r="L90" i="39"/>
  <c r="B90" i="39"/>
  <c r="Z89" i="39"/>
  <c r="T89" i="39"/>
  <c r="P89" i="39"/>
  <c r="X89" i="39" s="1"/>
  <c r="N89" i="39"/>
  <c r="L89" i="39"/>
  <c r="H89" i="39"/>
  <c r="D89" i="39"/>
  <c r="B89" i="39"/>
  <c r="Z88" i="39"/>
  <c r="X88" i="39"/>
  <c r="L88" i="39"/>
  <c r="N88" i="39" s="1"/>
  <c r="J88" i="39"/>
  <c r="B88" i="39"/>
  <c r="T87" i="39"/>
  <c r="Z87" i="39" s="1"/>
  <c r="P87" i="39"/>
  <c r="X87" i="39" s="1"/>
  <c r="J87" i="39"/>
  <c r="H87" i="39"/>
  <c r="D87" i="39"/>
  <c r="B87" i="39"/>
  <c r="X86" i="39"/>
  <c r="Z86" i="39" s="1"/>
  <c r="L86" i="39"/>
  <c r="N86" i="39" s="1"/>
  <c r="J86" i="39"/>
  <c r="B86" i="39"/>
  <c r="T85" i="39"/>
  <c r="P85" i="39"/>
  <c r="X85" i="39" s="1"/>
  <c r="Z85" i="39" s="1"/>
  <c r="H85" i="39"/>
  <c r="D85" i="39"/>
  <c r="L85" i="39" s="1"/>
  <c r="B85" i="39"/>
  <c r="Z84" i="39"/>
  <c r="X84" i="39"/>
  <c r="N84" i="39"/>
  <c r="L84" i="39"/>
  <c r="B84" i="39"/>
  <c r="X83" i="39"/>
  <c r="Z83" i="39" s="1"/>
  <c r="N83" i="39"/>
  <c r="L83" i="39"/>
  <c r="B83" i="39"/>
  <c r="T82" i="39"/>
  <c r="P82" i="39"/>
  <c r="X82" i="39" s="1"/>
  <c r="H82" i="39"/>
  <c r="N82" i="39" s="1"/>
  <c r="D82" i="39"/>
  <c r="L82" i="39" s="1"/>
  <c r="B82" i="39"/>
  <c r="Z81" i="39"/>
  <c r="X81" i="39"/>
  <c r="N81" i="39"/>
  <c r="L81" i="39"/>
  <c r="B81" i="39"/>
  <c r="Z80" i="39"/>
  <c r="T80" i="39"/>
  <c r="P80" i="39"/>
  <c r="X80" i="39" s="1"/>
  <c r="N80" i="39"/>
  <c r="H80" i="39"/>
  <c r="D80" i="39"/>
  <c r="L80" i="39" s="1"/>
  <c r="B80" i="39"/>
  <c r="Z79" i="39"/>
  <c r="X79" i="39"/>
  <c r="L79" i="39"/>
  <c r="N79" i="39" s="1"/>
  <c r="J79" i="39"/>
  <c r="B79" i="39"/>
  <c r="T78" i="39"/>
  <c r="P78" i="39"/>
  <c r="L78" i="39"/>
  <c r="N78" i="39" s="1"/>
  <c r="J78" i="39"/>
  <c r="H78" i="39"/>
  <c r="D78" i="39"/>
  <c r="B78" i="39"/>
  <c r="X77" i="39"/>
  <c r="Z77" i="39" s="1"/>
  <c r="L77" i="39"/>
  <c r="N77" i="39" s="1"/>
  <c r="J77" i="39"/>
  <c r="B77" i="39"/>
  <c r="T76" i="39"/>
  <c r="Z76" i="39" s="1"/>
  <c r="P76" i="39"/>
  <c r="X76" i="39" s="1"/>
  <c r="H76" i="39"/>
  <c r="D76" i="39"/>
  <c r="L76" i="39" s="1"/>
  <c r="B76" i="39"/>
  <c r="Z75" i="39"/>
  <c r="X75" i="39"/>
  <c r="N75" i="39"/>
  <c r="L75" i="39"/>
  <c r="B75" i="39"/>
  <c r="Z74" i="39"/>
  <c r="T74" i="39"/>
  <c r="P74" i="39"/>
  <c r="X74" i="39" s="1"/>
  <c r="H74" i="39"/>
  <c r="D74" i="39"/>
  <c r="L74" i="39" s="1"/>
  <c r="N74" i="39" s="1"/>
  <c r="B74" i="39"/>
  <c r="Z73" i="39"/>
  <c r="X73" i="39"/>
  <c r="N73" i="39"/>
  <c r="L73" i="39"/>
  <c r="J73" i="39"/>
  <c r="B73" i="39"/>
  <c r="Z72" i="39"/>
  <c r="X72" i="39"/>
  <c r="T72" i="39"/>
  <c r="P72" i="39"/>
  <c r="J72" i="39"/>
  <c r="H72" i="39"/>
  <c r="N72" i="39" s="1"/>
  <c r="D72" i="39"/>
  <c r="B72" i="39"/>
  <c r="X71" i="39"/>
  <c r="Z71" i="39" s="1"/>
  <c r="N71" i="39"/>
  <c r="L71" i="39"/>
  <c r="J71" i="39"/>
  <c r="B71" i="39"/>
  <c r="X70" i="39"/>
  <c r="Z70" i="39" s="1"/>
  <c r="N70" i="39"/>
  <c r="L70" i="39"/>
  <c r="J70" i="39"/>
  <c r="B70" i="39"/>
  <c r="X69" i="39"/>
  <c r="Z69" i="39" s="1"/>
  <c r="L69" i="39"/>
  <c r="N69" i="39" s="1"/>
  <c r="J69" i="39"/>
  <c r="B69" i="39"/>
  <c r="Z68" i="39"/>
  <c r="X68" i="39"/>
  <c r="N68" i="39"/>
  <c r="L68" i="39"/>
  <c r="B68" i="39"/>
  <c r="X67" i="39"/>
  <c r="Z67" i="39" s="1"/>
  <c r="T67" i="39"/>
  <c r="P67" i="39"/>
  <c r="J67" i="39"/>
  <c r="H67" i="39"/>
  <c r="D67" i="39"/>
  <c r="L67" i="39" s="1"/>
  <c r="N67" i="39" s="1"/>
  <c r="B67" i="39"/>
  <c r="Z66" i="39"/>
  <c r="X66" i="39"/>
  <c r="L66" i="39"/>
  <c r="N66" i="39" s="1"/>
  <c r="J66" i="39"/>
  <c r="B66" i="39"/>
  <c r="V65" i="39"/>
  <c r="T65" i="39"/>
  <c r="P65" i="39"/>
  <c r="H65" i="39"/>
  <c r="D65" i="39"/>
  <c r="L65" i="39" s="1"/>
  <c r="B65" i="39"/>
  <c r="X64" i="39"/>
  <c r="Z64" i="39" s="1"/>
  <c r="N64" i="39"/>
  <c r="L64" i="39"/>
  <c r="B64" i="39"/>
  <c r="T63" i="39"/>
  <c r="Z63" i="39" s="1"/>
  <c r="P63" i="39"/>
  <c r="X63" i="39" s="1"/>
  <c r="H63" i="39"/>
  <c r="D63" i="39"/>
  <c r="L63" i="39" s="1"/>
  <c r="N63" i="39" s="1"/>
  <c r="B63" i="39"/>
  <c r="X62" i="39"/>
  <c r="Z62" i="39" s="1"/>
  <c r="N62" i="39"/>
  <c r="L62" i="39"/>
  <c r="J62" i="39"/>
  <c r="B62" i="39"/>
  <c r="T61" i="39"/>
  <c r="P61" i="39"/>
  <c r="X61" i="39" s="1"/>
  <c r="Z61" i="39" s="1"/>
  <c r="L61" i="39"/>
  <c r="N61" i="39" s="1"/>
  <c r="H61" i="39"/>
  <c r="J61" i="39" s="1"/>
  <c r="D61" i="39"/>
  <c r="B61" i="39"/>
  <c r="Z60" i="39"/>
  <c r="X60" i="39"/>
  <c r="N60" i="39"/>
  <c r="L60" i="39"/>
  <c r="J60" i="39"/>
  <c r="B60" i="39"/>
  <c r="Z59" i="39"/>
  <c r="X59" i="39"/>
  <c r="N59" i="39"/>
  <c r="L59" i="39"/>
  <c r="B59" i="39"/>
  <c r="Z58" i="39"/>
  <c r="X58" i="39"/>
  <c r="L58" i="39"/>
  <c r="N58" i="39" s="1"/>
  <c r="J58" i="39"/>
  <c r="B58" i="39"/>
  <c r="X57" i="39"/>
  <c r="Z57" i="39" s="1"/>
  <c r="L57" i="39"/>
  <c r="N57" i="39" s="1"/>
  <c r="B57" i="39"/>
  <c r="Z56" i="39"/>
  <c r="X56" i="39"/>
  <c r="N56" i="39"/>
  <c r="L56" i="39"/>
  <c r="J56" i="39"/>
  <c r="B56" i="39"/>
  <c r="Z55" i="39"/>
  <c r="X55" i="39"/>
  <c r="N55" i="39"/>
  <c r="L55" i="39"/>
  <c r="B55" i="39"/>
  <c r="Z54" i="39"/>
  <c r="X54" i="39"/>
  <c r="L54" i="39"/>
  <c r="N54" i="39" s="1"/>
  <c r="J54" i="39"/>
  <c r="B54" i="39"/>
  <c r="Z53" i="39"/>
  <c r="X53" i="39"/>
  <c r="N53" i="39"/>
  <c r="L53" i="39"/>
  <c r="B53" i="39"/>
  <c r="Z52" i="39"/>
  <c r="X52" i="39"/>
  <c r="L52" i="39"/>
  <c r="N52" i="39" s="1"/>
  <c r="J52" i="39"/>
  <c r="B52" i="39"/>
  <c r="Z51" i="39"/>
  <c r="X51" i="39"/>
  <c r="N51" i="39"/>
  <c r="L51" i="39"/>
  <c r="B51" i="39"/>
  <c r="Z50" i="39"/>
  <c r="T50" i="39"/>
  <c r="P50" i="39"/>
  <c r="X50" i="39" s="1"/>
  <c r="H50" i="39"/>
  <c r="D50" i="39"/>
  <c r="L50" i="39" s="1"/>
  <c r="N50" i="39" s="1"/>
  <c r="B50" i="39"/>
  <c r="X49" i="39"/>
  <c r="Z49" i="39" s="1"/>
  <c r="L49" i="39"/>
  <c r="N49" i="39" s="1"/>
  <c r="J49" i="39"/>
  <c r="B49" i="39"/>
  <c r="X48" i="39"/>
  <c r="Z48" i="39" s="1"/>
  <c r="N48" i="39"/>
  <c r="L48" i="39"/>
  <c r="B48" i="39"/>
  <c r="Z47" i="39"/>
  <c r="X47" i="39"/>
  <c r="N47" i="39"/>
  <c r="L47" i="39"/>
  <c r="J47" i="39"/>
  <c r="B47" i="39"/>
  <c r="Z46" i="39"/>
  <c r="X46" i="39"/>
  <c r="N46" i="39"/>
  <c r="L46" i="39"/>
  <c r="J46" i="39"/>
  <c r="B46" i="39"/>
  <c r="X45" i="39"/>
  <c r="Z45" i="39" s="1"/>
  <c r="N45" i="39"/>
  <c r="L45" i="39"/>
  <c r="J45" i="39"/>
  <c r="B45" i="39"/>
  <c r="X44" i="39"/>
  <c r="Z44" i="39" s="1"/>
  <c r="N44" i="39"/>
  <c r="L44" i="39"/>
  <c r="B44" i="39"/>
  <c r="Z43" i="39"/>
  <c r="X43" i="39"/>
  <c r="L43" i="39"/>
  <c r="N43" i="39" s="1"/>
  <c r="J43" i="39"/>
  <c r="B43" i="39"/>
  <c r="X42" i="39"/>
  <c r="Z42" i="39" s="1"/>
  <c r="L42" i="39"/>
  <c r="N42" i="39" s="1"/>
  <c r="J42" i="39"/>
  <c r="B42" i="39"/>
  <c r="X41" i="39"/>
  <c r="Z41" i="39" s="1"/>
  <c r="L41" i="39"/>
  <c r="N41" i="39" s="1"/>
  <c r="J41" i="39"/>
  <c r="B41" i="39"/>
  <c r="X40" i="39"/>
  <c r="Z40" i="39" s="1"/>
  <c r="N40" i="39"/>
  <c r="L40" i="39"/>
  <c r="B40" i="39"/>
  <c r="T39" i="39"/>
  <c r="P39" i="39"/>
  <c r="X39" i="39" s="1"/>
  <c r="H39" i="39"/>
  <c r="D39" i="39"/>
  <c r="L39" i="39" s="1"/>
  <c r="N39" i="39" s="1"/>
  <c r="B39" i="39"/>
  <c r="T38" i="39"/>
  <c r="P38" i="39"/>
  <c r="H38" i="39"/>
  <c r="D38" i="39"/>
  <c r="L38" i="39" s="1"/>
  <c r="H36" i="39"/>
  <c r="H142" i="39" s="1"/>
  <c r="Z34" i="39"/>
  <c r="X34" i="39"/>
  <c r="N34" i="39"/>
  <c r="L34" i="39"/>
  <c r="J34" i="39"/>
  <c r="B34" i="39"/>
  <c r="Z33" i="39"/>
  <c r="X33" i="39"/>
  <c r="N33" i="39"/>
  <c r="L33" i="39"/>
  <c r="J33" i="39"/>
  <c r="B33" i="39"/>
  <c r="Z32" i="39"/>
  <c r="X32" i="39"/>
  <c r="N32" i="39"/>
  <c r="L32" i="39"/>
  <c r="B32" i="39"/>
  <c r="X31" i="39"/>
  <c r="Z31" i="39" s="1"/>
  <c r="T31" i="39"/>
  <c r="P31" i="39"/>
  <c r="J31" i="39"/>
  <c r="H31" i="39"/>
  <c r="D31" i="39"/>
  <c r="L31" i="39" s="1"/>
  <c r="N31" i="39" s="1"/>
  <c r="Z29" i="39"/>
  <c r="X29" i="39"/>
  <c r="P29" i="39"/>
  <c r="N29" i="39"/>
  <c r="L29" i="39"/>
  <c r="D29" i="39"/>
  <c r="B29" i="39"/>
  <c r="Z28" i="39"/>
  <c r="X28" i="39"/>
  <c r="P28" i="39"/>
  <c r="N28" i="39"/>
  <c r="D28" i="39"/>
  <c r="L28" i="39" s="1"/>
  <c r="B28" i="39"/>
  <c r="Z27" i="39"/>
  <c r="X27" i="39"/>
  <c r="P27" i="39"/>
  <c r="N27" i="39"/>
  <c r="D27" i="39"/>
  <c r="L27" i="39" s="1"/>
  <c r="B27" i="39"/>
  <c r="Z26" i="39"/>
  <c r="P26" i="39"/>
  <c r="X26" i="39" s="1"/>
  <c r="N26" i="39"/>
  <c r="L26" i="39"/>
  <c r="D26" i="39"/>
  <c r="B26" i="39"/>
  <c r="Z25" i="39"/>
  <c r="P25" i="39"/>
  <c r="X25" i="39" s="1"/>
  <c r="N25" i="39"/>
  <c r="L25" i="39"/>
  <c r="D25" i="39"/>
  <c r="B25" i="39"/>
  <c r="Z24" i="39"/>
  <c r="P24" i="39"/>
  <c r="X24" i="39" s="1"/>
  <c r="N24" i="39"/>
  <c r="L24" i="39"/>
  <c r="D24" i="39"/>
  <c r="B24" i="39"/>
  <c r="Z23" i="39"/>
  <c r="X23" i="39"/>
  <c r="P23" i="39"/>
  <c r="N23" i="39"/>
  <c r="D23" i="39"/>
  <c r="L23" i="39" s="1"/>
  <c r="B23" i="39"/>
  <c r="Z22" i="39"/>
  <c r="P22" i="39"/>
  <c r="X22" i="39" s="1"/>
  <c r="N22" i="39"/>
  <c r="D22" i="39"/>
  <c r="L22" i="39" s="1"/>
  <c r="B22" i="39"/>
  <c r="P21" i="39"/>
  <c r="X21" i="39" s="1"/>
  <c r="Z21" i="39" s="1"/>
  <c r="D21" i="39"/>
  <c r="L21" i="39" s="1"/>
  <c r="N21" i="39" s="1"/>
  <c r="B21" i="39"/>
  <c r="Z20" i="39"/>
  <c r="X20" i="39"/>
  <c r="P20" i="39"/>
  <c r="N20" i="39"/>
  <c r="L20" i="39"/>
  <c r="D20" i="39"/>
  <c r="B20" i="39"/>
  <c r="Z19" i="39"/>
  <c r="P19" i="39"/>
  <c r="X19" i="39" s="1"/>
  <c r="N19" i="39"/>
  <c r="L19" i="39"/>
  <c r="D19" i="39"/>
  <c r="B19" i="39"/>
  <c r="Z18" i="39"/>
  <c r="P18" i="39"/>
  <c r="X18" i="39" s="1"/>
  <c r="N18" i="39"/>
  <c r="D18" i="39"/>
  <c r="L18" i="39" s="1"/>
  <c r="B18" i="39"/>
  <c r="Z17" i="39"/>
  <c r="X17" i="39"/>
  <c r="P17" i="39"/>
  <c r="N17" i="39"/>
  <c r="L17" i="39"/>
  <c r="D17" i="39"/>
  <c r="B17" i="39"/>
  <c r="Z16" i="39"/>
  <c r="X16" i="39"/>
  <c r="P16" i="39"/>
  <c r="N16" i="39"/>
  <c r="L16" i="39"/>
  <c r="D16" i="39"/>
  <c r="B16" i="39"/>
  <c r="Z15" i="39"/>
  <c r="X15" i="39"/>
  <c r="P15" i="39"/>
  <c r="N15" i="39"/>
  <c r="D15" i="39"/>
  <c r="L15" i="39" s="1"/>
  <c r="B15" i="39"/>
  <c r="Z14" i="39"/>
  <c r="P14" i="39"/>
  <c r="X14" i="39" s="1"/>
  <c r="N14" i="39"/>
  <c r="L14" i="39"/>
  <c r="D14" i="39"/>
  <c r="B14" i="39"/>
  <c r="P13" i="39"/>
  <c r="N13" i="39"/>
  <c r="L13" i="39"/>
  <c r="D13" i="39"/>
  <c r="B13" i="39"/>
  <c r="T12" i="39"/>
  <c r="V81" i="39" s="1"/>
  <c r="H12" i="39"/>
  <c r="J131" i="39" s="1"/>
  <c r="D4" i="39"/>
  <c r="X138" i="36"/>
  <c r="Z138" i="36" s="1"/>
  <c r="V138" i="36"/>
  <c r="L138" i="36"/>
  <c r="N138" i="36" s="1"/>
  <c r="Z134" i="36"/>
  <c r="X134" i="36"/>
  <c r="P134" i="36"/>
  <c r="N134" i="36"/>
  <c r="L134" i="36"/>
  <c r="J134" i="36"/>
  <c r="D134" i="36"/>
  <c r="B134" i="36"/>
  <c r="Z133" i="36"/>
  <c r="X133" i="36"/>
  <c r="P133" i="36"/>
  <c r="N133" i="36"/>
  <c r="L133" i="36"/>
  <c r="J133" i="36"/>
  <c r="F133" i="36"/>
  <c r="D133" i="36"/>
  <c r="B133" i="36"/>
  <c r="P132" i="36"/>
  <c r="X132" i="36" s="1"/>
  <c r="Z132" i="36" s="1"/>
  <c r="J132" i="36"/>
  <c r="D132" i="36"/>
  <c r="L132" i="36" s="1"/>
  <c r="N132" i="36" s="1"/>
  <c r="B132" i="36"/>
  <c r="P131" i="36"/>
  <c r="X131" i="36" s="1"/>
  <c r="Z131" i="36" s="1"/>
  <c r="D131" i="36"/>
  <c r="L131" i="36" s="1"/>
  <c r="N131" i="36" s="1"/>
  <c r="B131" i="36"/>
  <c r="T130" i="36"/>
  <c r="P130" i="36"/>
  <c r="X130" i="36" s="1"/>
  <c r="Z130" i="36" s="1"/>
  <c r="H130" i="36"/>
  <c r="X128" i="36"/>
  <c r="Z128" i="36" s="1"/>
  <c r="L128" i="36"/>
  <c r="N128" i="36" s="1"/>
  <c r="B128" i="36"/>
  <c r="Z127" i="36"/>
  <c r="X127" i="36"/>
  <c r="V127" i="36"/>
  <c r="T127" i="36"/>
  <c r="P127" i="36"/>
  <c r="H127" i="36"/>
  <c r="D127" i="36"/>
  <c r="B127" i="36"/>
  <c r="Z126" i="36"/>
  <c r="X126" i="36"/>
  <c r="N126" i="36"/>
  <c r="L126" i="36"/>
  <c r="B126" i="36"/>
  <c r="Z125" i="36"/>
  <c r="X125" i="36"/>
  <c r="V125" i="36"/>
  <c r="N125" i="36"/>
  <c r="L125" i="36"/>
  <c r="B125" i="36"/>
  <c r="X124" i="36"/>
  <c r="Z124" i="36" s="1"/>
  <c r="L124" i="36"/>
  <c r="N124" i="36" s="1"/>
  <c r="J124" i="36"/>
  <c r="B124" i="36"/>
  <c r="T123" i="36"/>
  <c r="P123" i="36"/>
  <c r="X123" i="36" s="1"/>
  <c r="Z123" i="36" s="1"/>
  <c r="H123" i="36"/>
  <c r="F123" i="36"/>
  <c r="D123" i="36"/>
  <c r="B123" i="36"/>
  <c r="Z122" i="36"/>
  <c r="X122" i="36"/>
  <c r="N122" i="36"/>
  <c r="L122" i="36"/>
  <c r="B122" i="36"/>
  <c r="Z121" i="36"/>
  <c r="X121" i="36"/>
  <c r="T121" i="36"/>
  <c r="P121" i="36"/>
  <c r="H121" i="36"/>
  <c r="D121" i="36"/>
  <c r="L121" i="36" s="1"/>
  <c r="N121" i="36" s="1"/>
  <c r="B121" i="36"/>
  <c r="X120" i="36"/>
  <c r="Z120" i="36" s="1"/>
  <c r="L120" i="36"/>
  <c r="N120" i="36" s="1"/>
  <c r="B120" i="36"/>
  <c r="X119" i="36"/>
  <c r="Z119" i="36" s="1"/>
  <c r="V119" i="36"/>
  <c r="N119" i="36"/>
  <c r="L119" i="36"/>
  <c r="B119" i="36"/>
  <c r="T118" i="36"/>
  <c r="P118" i="36"/>
  <c r="X118" i="36" s="1"/>
  <c r="H118" i="36"/>
  <c r="D118" i="36"/>
  <c r="L118" i="36" s="1"/>
  <c r="N118" i="36" s="1"/>
  <c r="B118" i="36"/>
  <c r="X117" i="36"/>
  <c r="Z117" i="36" s="1"/>
  <c r="V117" i="36"/>
  <c r="N117" i="36"/>
  <c r="L117" i="36"/>
  <c r="B117" i="36"/>
  <c r="X116" i="36"/>
  <c r="Z116" i="36" s="1"/>
  <c r="L116" i="36"/>
  <c r="N116" i="36" s="1"/>
  <c r="J116" i="36"/>
  <c r="B116" i="36"/>
  <c r="Z115" i="36"/>
  <c r="X115" i="36"/>
  <c r="N115" i="36"/>
  <c r="L115" i="36"/>
  <c r="B115" i="36"/>
  <c r="Z114" i="36"/>
  <c r="X114" i="36"/>
  <c r="N114" i="36"/>
  <c r="L114" i="36"/>
  <c r="B114" i="36"/>
  <c r="X113" i="36"/>
  <c r="Z113" i="36" s="1"/>
  <c r="V113" i="36"/>
  <c r="N113" i="36"/>
  <c r="L113" i="36"/>
  <c r="B113" i="36"/>
  <c r="X112" i="36"/>
  <c r="Z112" i="36" s="1"/>
  <c r="L112" i="36"/>
  <c r="N112" i="36" s="1"/>
  <c r="J112" i="36"/>
  <c r="B112" i="36"/>
  <c r="Z111" i="36"/>
  <c r="X111" i="36"/>
  <c r="N111" i="36"/>
  <c r="L111" i="36"/>
  <c r="B111" i="36"/>
  <c r="Z110" i="36"/>
  <c r="X110" i="36"/>
  <c r="N110" i="36"/>
  <c r="L110" i="36"/>
  <c r="B110" i="36"/>
  <c r="X109" i="36"/>
  <c r="Z109" i="36" s="1"/>
  <c r="V109" i="36"/>
  <c r="N109" i="36"/>
  <c r="L109" i="36"/>
  <c r="B109" i="36"/>
  <c r="X108" i="36"/>
  <c r="Z108" i="36" s="1"/>
  <c r="L108" i="36"/>
  <c r="N108" i="36" s="1"/>
  <c r="J108" i="36"/>
  <c r="B108" i="36"/>
  <c r="T107" i="36"/>
  <c r="P107" i="36"/>
  <c r="X107" i="36" s="1"/>
  <c r="Z107" i="36" s="1"/>
  <c r="J107" i="36"/>
  <c r="H107" i="36"/>
  <c r="D107" i="36"/>
  <c r="L107" i="36" s="1"/>
  <c r="B107" i="36"/>
  <c r="Z106" i="36"/>
  <c r="X106" i="36"/>
  <c r="N106" i="36"/>
  <c r="L106" i="36"/>
  <c r="B106" i="36"/>
  <c r="Z105" i="36"/>
  <c r="X105" i="36"/>
  <c r="T105" i="36"/>
  <c r="P105" i="36"/>
  <c r="H105" i="36"/>
  <c r="D105" i="36"/>
  <c r="L105" i="36" s="1"/>
  <c r="N105" i="36" s="1"/>
  <c r="B105" i="36"/>
  <c r="Z104" i="36"/>
  <c r="X104" i="36"/>
  <c r="L104" i="36"/>
  <c r="N104" i="36" s="1"/>
  <c r="B104" i="36"/>
  <c r="X103" i="36"/>
  <c r="Z103" i="36" s="1"/>
  <c r="V103" i="36"/>
  <c r="N103" i="36"/>
  <c r="L103" i="36"/>
  <c r="B103" i="36"/>
  <c r="Z102" i="36"/>
  <c r="X102" i="36"/>
  <c r="N102" i="36"/>
  <c r="L102" i="36"/>
  <c r="B102" i="36"/>
  <c r="X101" i="36"/>
  <c r="Z101" i="36" s="1"/>
  <c r="V101" i="36"/>
  <c r="L101" i="36"/>
  <c r="N101" i="36" s="1"/>
  <c r="J101" i="36"/>
  <c r="B101" i="36"/>
  <c r="Z100" i="36"/>
  <c r="X100" i="36"/>
  <c r="L100" i="36"/>
  <c r="N100" i="36" s="1"/>
  <c r="B100" i="36"/>
  <c r="Z99" i="36"/>
  <c r="X99" i="36"/>
  <c r="V99" i="36"/>
  <c r="T99" i="36"/>
  <c r="P99" i="36"/>
  <c r="J99" i="36"/>
  <c r="H99" i="36"/>
  <c r="D99" i="36"/>
  <c r="B99" i="36"/>
  <c r="Z98" i="36"/>
  <c r="X98" i="36"/>
  <c r="N98" i="36"/>
  <c r="L98" i="36"/>
  <c r="B98" i="36"/>
  <c r="X97" i="36"/>
  <c r="Z97" i="36" s="1"/>
  <c r="V97" i="36"/>
  <c r="N97" i="36"/>
  <c r="L97" i="36"/>
  <c r="B97" i="36"/>
  <c r="X96" i="36"/>
  <c r="Z96" i="36" s="1"/>
  <c r="L96" i="36"/>
  <c r="N96" i="36" s="1"/>
  <c r="J96" i="36"/>
  <c r="B96" i="36"/>
  <c r="T95" i="36"/>
  <c r="P95" i="36"/>
  <c r="X95" i="36" s="1"/>
  <c r="Z95" i="36" s="1"/>
  <c r="J95" i="36"/>
  <c r="H95" i="36"/>
  <c r="D95" i="36"/>
  <c r="L95" i="36" s="1"/>
  <c r="B95" i="36"/>
  <c r="Z94" i="36"/>
  <c r="X94" i="36"/>
  <c r="N94" i="36"/>
  <c r="L94" i="36"/>
  <c r="B94" i="36"/>
  <c r="Z93" i="36"/>
  <c r="X93" i="36"/>
  <c r="L93" i="36"/>
  <c r="N93" i="36" s="1"/>
  <c r="J93" i="36"/>
  <c r="B93" i="36"/>
  <c r="X92" i="36"/>
  <c r="Z92" i="36" s="1"/>
  <c r="V92" i="36"/>
  <c r="N92" i="36"/>
  <c r="L92" i="36"/>
  <c r="B92" i="36"/>
  <c r="Z91" i="36"/>
  <c r="X91" i="36"/>
  <c r="L91" i="36"/>
  <c r="N91" i="36" s="1"/>
  <c r="J91" i="36"/>
  <c r="B91" i="36"/>
  <c r="T90" i="36"/>
  <c r="P90" i="36"/>
  <c r="H90" i="36"/>
  <c r="D90" i="36"/>
  <c r="B90" i="36"/>
  <c r="X89" i="36"/>
  <c r="Z89" i="36" s="1"/>
  <c r="V89" i="36"/>
  <c r="L89" i="36"/>
  <c r="N89" i="36" s="1"/>
  <c r="J89" i="36"/>
  <c r="B89" i="36"/>
  <c r="T88" i="36"/>
  <c r="P88" i="36"/>
  <c r="X88" i="36" s="1"/>
  <c r="Z88" i="36" s="1"/>
  <c r="H88" i="36"/>
  <c r="D88" i="36"/>
  <c r="L88" i="36" s="1"/>
  <c r="B88" i="36"/>
  <c r="Z87" i="36"/>
  <c r="X87" i="36"/>
  <c r="N87" i="36"/>
  <c r="L87" i="36"/>
  <c r="B87" i="36"/>
  <c r="Z86" i="36"/>
  <c r="X86" i="36"/>
  <c r="T86" i="36"/>
  <c r="P86" i="36"/>
  <c r="H86" i="36"/>
  <c r="D86" i="36"/>
  <c r="L86" i="36" s="1"/>
  <c r="N86" i="36" s="1"/>
  <c r="B86" i="36"/>
  <c r="Z85" i="36"/>
  <c r="X85" i="36"/>
  <c r="N85" i="36"/>
  <c r="L85" i="36"/>
  <c r="J85" i="36"/>
  <c r="B85" i="36"/>
  <c r="V84" i="36"/>
  <c r="T84" i="36"/>
  <c r="Z84" i="36" s="1"/>
  <c r="P84" i="36"/>
  <c r="H84" i="36"/>
  <c r="N84" i="36" s="1"/>
  <c r="D84" i="36"/>
  <c r="B84" i="36"/>
  <c r="X83" i="36"/>
  <c r="Z83" i="36" s="1"/>
  <c r="V83" i="36"/>
  <c r="N83" i="36"/>
  <c r="L83" i="36"/>
  <c r="B83" i="36"/>
  <c r="T82" i="36"/>
  <c r="P82" i="36"/>
  <c r="X82" i="36" s="1"/>
  <c r="H82" i="36"/>
  <c r="D82" i="36"/>
  <c r="L82" i="36" s="1"/>
  <c r="N82" i="36" s="1"/>
  <c r="B82" i="36"/>
  <c r="X81" i="36"/>
  <c r="Z81" i="36" s="1"/>
  <c r="V81" i="36"/>
  <c r="N81" i="36"/>
  <c r="L81" i="36"/>
  <c r="B81" i="36"/>
  <c r="T80" i="36"/>
  <c r="P80" i="36"/>
  <c r="X80" i="36" s="1"/>
  <c r="Z80" i="36" s="1"/>
  <c r="N80" i="36"/>
  <c r="L80" i="36"/>
  <c r="H80" i="36"/>
  <c r="D80" i="36"/>
  <c r="B80" i="36"/>
  <c r="Z79" i="36"/>
  <c r="X79" i="36"/>
  <c r="L79" i="36"/>
  <c r="N79" i="36" s="1"/>
  <c r="J79" i="36"/>
  <c r="B79" i="36"/>
  <c r="Z78" i="36"/>
  <c r="X78" i="36"/>
  <c r="N78" i="36"/>
  <c r="L78" i="36"/>
  <c r="B78" i="36"/>
  <c r="Z77" i="36"/>
  <c r="X77" i="36"/>
  <c r="T77" i="36"/>
  <c r="P77" i="36"/>
  <c r="H77" i="36"/>
  <c r="D77" i="36"/>
  <c r="L77" i="36" s="1"/>
  <c r="N77" i="36" s="1"/>
  <c r="B77" i="36"/>
  <c r="X76" i="36"/>
  <c r="Z76" i="36" s="1"/>
  <c r="L76" i="36"/>
  <c r="N76" i="36" s="1"/>
  <c r="B76" i="36"/>
  <c r="Z75" i="36"/>
  <c r="X75" i="36"/>
  <c r="V75" i="36"/>
  <c r="T75" i="36"/>
  <c r="P75" i="36"/>
  <c r="J75" i="36"/>
  <c r="H75" i="36"/>
  <c r="D75" i="36"/>
  <c r="B75" i="36"/>
  <c r="Z74" i="36"/>
  <c r="X74" i="36"/>
  <c r="N74" i="36"/>
  <c r="L74" i="36"/>
  <c r="B74" i="36"/>
  <c r="T73" i="36"/>
  <c r="P73" i="36"/>
  <c r="H73" i="36"/>
  <c r="D73" i="36"/>
  <c r="L73" i="36" s="1"/>
  <c r="N73" i="36" s="1"/>
  <c r="B73" i="36"/>
  <c r="X72" i="36"/>
  <c r="Z72" i="36" s="1"/>
  <c r="V72" i="36"/>
  <c r="L72" i="36"/>
  <c r="N72" i="36" s="1"/>
  <c r="B72" i="36"/>
  <c r="T71" i="36"/>
  <c r="P71" i="36"/>
  <c r="X71" i="36" s="1"/>
  <c r="Z71" i="36" s="1"/>
  <c r="N71" i="36"/>
  <c r="L71" i="36"/>
  <c r="H71" i="36"/>
  <c r="D71" i="36"/>
  <c r="B71" i="36"/>
  <c r="Z70" i="36"/>
  <c r="X70" i="36"/>
  <c r="N70" i="36"/>
  <c r="L70" i="36"/>
  <c r="B70" i="36"/>
  <c r="X69" i="36"/>
  <c r="Z69" i="36" s="1"/>
  <c r="V69" i="36"/>
  <c r="L69" i="36"/>
  <c r="N69" i="36" s="1"/>
  <c r="J69" i="36"/>
  <c r="B69" i="36"/>
  <c r="T68" i="36"/>
  <c r="P68" i="36"/>
  <c r="X68" i="36" s="1"/>
  <c r="Z68" i="36" s="1"/>
  <c r="H68" i="36"/>
  <c r="D68" i="36"/>
  <c r="B68" i="36"/>
  <c r="Z67" i="36"/>
  <c r="X67" i="36"/>
  <c r="N67" i="36"/>
  <c r="L67" i="36"/>
  <c r="B67" i="36"/>
  <c r="Z66" i="36"/>
  <c r="X66" i="36"/>
  <c r="N66" i="36"/>
  <c r="L66" i="36"/>
  <c r="B66" i="36"/>
  <c r="X65" i="36"/>
  <c r="Z65" i="36" s="1"/>
  <c r="V65" i="36"/>
  <c r="N65" i="36"/>
  <c r="L65" i="36"/>
  <c r="B65" i="36"/>
  <c r="X64" i="36"/>
  <c r="Z64" i="36" s="1"/>
  <c r="L64" i="36"/>
  <c r="N64" i="36" s="1"/>
  <c r="J64" i="36"/>
  <c r="B64" i="36"/>
  <c r="T63" i="36"/>
  <c r="P63" i="36"/>
  <c r="X63" i="36" s="1"/>
  <c r="Z63" i="36" s="1"/>
  <c r="H63" i="36"/>
  <c r="D63" i="36"/>
  <c r="B63" i="36"/>
  <c r="X62" i="36"/>
  <c r="Z62" i="36" s="1"/>
  <c r="N62" i="36"/>
  <c r="L62" i="36"/>
  <c r="B62" i="36"/>
  <c r="Z61" i="36"/>
  <c r="X61" i="36"/>
  <c r="T61" i="36"/>
  <c r="P61" i="36"/>
  <c r="H61" i="36"/>
  <c r="D61" i="36"/>
  <c r="L61" i="36" s="1"/>
  <c r="N61" i="36" s="1"/>
  <c r="B61" i="36"/>
  <c r="X60" i="36"/>
  <c r="Z60" i="36" s="1"/>
  <c r="L60" i="36"/>
  <c r="N60" i="36" s="1"/>
  <c r="B60" i="36"/>
  <c r="Z59" i="36"/>
  <c r="X59" i="36"/>
  <c r="V59" i="36"/>
  <c r="N59" i="36"/>
  <c r="L59" i="36"/>
  <c r="B59" i="36"/>
  <c r="T58" i="36"/>
  <c r="P58" i="36"/>
  <c r="X58" i="36" s="1"/>
  <c r="H58" i="36"/>
  <c r="D58" i="36"/>
  <c r="L58" i="36" s="1"/>
  <c r="N58" i="36" s="1"/>
  <c r="B58" i="36"/>
  <c r="X57" i="36"/>
  <c r="Z57" i="36" s="1"/>
  <c r="V57" i="36"/>
  <c r="N57" i="36"/>
  <c r="L57" i="36"/>
  <c r="B57" i="36"/>
  <c r="T56" i="36"/>
  <c r="P56" i="36"/>
  <c r="X56" i="36" s="1"/>
  <c r="Z56" i="36" s="1"/>
  <c r="L56" i="36"/>
  <c r="N56" i="36" s="1"/>
  <c r="H56" i="36"/>
  <c r="D56" i="36"/>
  <c r="B56" i="36"/>
  <c r="Z55" i="36"/>
  <c r="X55" i="36"/>
  <c r="N55" i="36"/>
  <c r="L55" i="36"/>
  <c r="J55" i="36"/>
  <c r="B55" i="36"/>
  <c r="Z54" i="36"/>
  <c r="X54" i="36"/>
  <c r="N54" i="36"/>
  <c r="L54" i="36"/>
  <c r="B54" i="36"/>
  <c r="Z53" i="36"/>
  <c r="X53" i="36"/>
  <c r="L53" i="36"/>
  <c r="N53" i="36" s="1"/>
  <c r="J53" i="36"/>
  <c r="B53" i="36"/>
  <c r="X52" i="36"/>
  <c r="Z52" i="36" s="1"/>
  <c r="V52" i="36"/>
  <c r="L52" i="36"/>
  <c r="N52" i="36" s="1"/>
  <c r="B52" i="36"/>
  <c r="Z51" i="36"/>
  <c r="X51" i="36"/>
  <c r="N51" i="36"/>
  <c r="L51" i="36"/>
  <c r="J51" i="36"/>
  <c r="B51" i="36"/>
  <c r="X50" i="36"/>
  <c r="Z50" i="36" s="1"/>
  <c r="N50" i="36"/>
  <c r="L50" i="36"/>
  <c r="F50" i="36"/>
  <c r="B50" i="36"/>
  <c r="Z49" i="36"/>
  <c r="X49" i="36"/>
  <c r="L49" i="36"/>
  <c r="N49" i="36" s="1"/>
  <c r="J49" i="36"/>
  <c r="B49" i="36"/>
  <c r="Z48" i="36"/>
  <c r="X48" i="36"/>
  <c r="V48" i="36"/>
  <c r="N48" i="36"/>
  <c r="L48" i="36"/>
  <c r="B48" i="36"/>
  <c r="Z47" i="36"/>
  <c r="X47" i="36"/>
  <c r="N47" i="36"/>
  <c r="L47" i="36"/>
  <c r="J47" i="36"/>
  <c r="B47" i="36"/>
  <c r="X46" i="36"/>
  <c r="Z46" i="36" s="1"/>
  <c r="N46" i="36"/>
  <c r="L46" i="36"/>
  <c r="B46" i="36"/>
  <c r="Z45" i="36"/>
  <c r="T45" i="36"/>
  <c r="P45" i="36"/>
  <c r="X45" i="36" s="1"/>
  <c r="H45" i="36"/>
  <c r="D45" i="36"/>
  <c r="L45" i="36" s="1"/>
  <c r="N45" i="36" s="1"/>
  <c r="B45" i="36"/>
  <c r="X44" i="36"/>
  <c r="Z44" i="36" s="1"/>
  <c r="L44" i="36"/>
  <c r="N44" i="36" s="1"/>
  <c r="B44" i="36"/>
  <c r="X43" i="36"/>
  <c r="Z43" i="36" s="1"/>
  <c r="V43" i="36"/>
  <c r="N43" i="36"/>
  <c r="L43" i="36"/>
  <c r="B43" i="36"/>
  <c r="Z42" i="36"/>
  <c r="X42" i="36"/>
  <c r="N42" i="36"/>
  <c r="L42" i="36"/>
  <c r="B42" i="36"/>
  <c r="Z41" i="36"/>
  <c r="X41" i="36"/>
  <c r="V41" i="36"/>
  <c r="N41" i="36"/>
  <c r="L41" i="36"/>
  <c r="J41" i="36"/>
  <c r="B41" i="36"/>
  <c r="X40" i="36"/>
  <c r="Z40" i="36" s="1"/>
  <c r="N40" i="36"/>
  <c r="L40" i="36"/>
  <c r="B40" i="36"/>
  <c r="X39" i="36"/>
  <c r="Z39" i="36" s="1"/>
  <c r="V39" i="36"/>
  <c r="N39" i="36"/>
  <c r="L39" i="36"/>
  <c r="B39" i="36"/>
  <c r="Z38" i="36"/>
  <c r="X38" i="36"/>
  <c r="N38" i="36"/>
  <c r="L38" i="36"/>
  <c r="B38" i="36"/>
  <c r="X37" i="36"/>
  <c r="Z37" i="36" s="1"/>
  <c r="V37" i="36"/>
  <c r="L37" i="36"/>
  <c r="N37" i="36" s="1"/>
  <c r="J37" i="36"/>
  <c r="B37" i="36"/>
  <c r="X36" i="36"/>
  <c r="Z36" i="36" s="1"/>
  <c r="L36" i="36"/>
  <c r="N36" i="36" s="1"/>
  <c r="J36" i="36"/>
  <c r="B36" i="36"/>
  <c r="X35" i="36"/>
  <c r="Z35" i="36" s="1"/>
  <c r="V35" i="36"/>
  <c r="N35" i="36"/>
  <c r="L35" i="36"/>
  <c r="B35" i="36"/>
  <c r="T34" i="36"/>
  <c r="P34" i="36"/>
  <c r="X34" i="36" s="1"/>
  <c r="H34" i="36"/>
  <c r="D34" i="36"/>
  <c r="L34" i="36" s="1"/>
  <c r="N34" i="36" s="1"/>
  <c r="B34" i="36"/>
  <c r="T33" i="36"/>
  <c r="P33" i="36"/>
  <c r="X33" i="36" s="1"/>
  <c r="H33" i="36"/>
  <c r="N33" i="36" s="1"/>
  <c r="D33" i="36"/>
  <c r="L33" i="36" s="1"/>
  <c r="T31" i="36"/>
  <c r="Z29" i="36"/>
  <c r="X29" i="36"/>
  <c r="V29" i="36"/>
  <c r="N29" i="36"/>
  <c r="L29" i="36"/>
  <c r="B29" i="36"/>
  <c r="Z28" i="36"/>
  <c r="X28" i="36"/>
  <c r="V28" i="36"/>
  <c r="N28" i="36"/>
  <c r="L28" i="36"/>
  <c r="J28" i="36"/>
  <c r="B28" i="36"/>
  <c r="Z27" i="36"/>
  <c r="X27" i="36"/>
  <c r="N27" i="36"/>
  <c r="L27" i="36"/>
  <c r="B27" i="36"/>
  <c r="Z26" i="36"/>
  <c r="X26" i="36"/>
  <c r="T26" i="36"/>
  <c r="P26" i="36"/>
  <c r="J26" i="36"/>
  <c r="H26" i="36"/>
  <c r="D26" i="36"/>
  <c r="L26" i="36" s="1"/>
  <c r="N26" i="36" s="1"/>
  <c r="Z24" i="36"/>
  <c r="X24" i="36"/>
  <c r="P24" i="36"/>
  <c r="N24" i="36"/>
  <c r="D24" i="36"/>
  <c r="L24" i="36" s="1"/>
  <c r="B24" i="36"/>
  <c r="Z23" i="36"/>
  <c r="X23" i="36"/>
  <c r="P23" i="36"/>
  <c r="N23" i="36"/>
  <c r="D23" i="36"/>
  <c r="L23" i="36" s="1"/>
  <c r="B23" i="36"/>
  <c r="Z22" i="36"/>
  <c r="X22" i="36"/>
  <c r="P22" i="36"/>
  <c r="N22" i="36"/>
  <c r="D22" i="36"/>
  <c r="L22" i="36" s="1"/>
  <c r="B22" i="36"/>
  <c r="Z21" i="36"/>
  <c r="P21" i="36"/>
  <c r="X21" i="36" s="1"/>
  <c r="N21" i="36"/>
  <c r="L21" i="36"/>
  <c r="D21" i="36"/>
  <c r="B21" i="36"/>
  <c r="Z20" i="36"/>
  <c r="P20" i="36"/>
  <c r="X20" i="36" s="1"/>
  <c r="N20" i="36"/>
  <c r="L20" i="36"/>
  <c r="D20" i="36"/>
  <c r="B20" i="36"/>
  <c r="P19" i="36"/>
  <c r="X19" i="36" s="1"/>
  <c r="Z19" i="36" s="1"/>
  <c r="L19" i="36"/>
  <c r="N19" i="36" s="1"/>
  <c r="D19" i="36"/>
  <c r="B19" i="36"/>
  <c r="Z18" i="36"/>
  <c r="X18" i="36"/>
  <c r="P18" i="36"/>
  <c r="N18" i="36"/>
  <c r="D18" i="36"/>
  <c r="L18" i="36" s="1"/>
  <c r="B18" i="36"/>
  <c r="Z17" i="36"/>
  <c r="P17" i="36"/>
  <c r="X17" i="36" s="1"/>
  <c r="N17" i="36"/>
  <c r="D17" i="36"/>
  <c r="L17" i="36" s="1"/>
  <c r="B17" i="36"/>
  <c r="Z16" i="36"/>
  <c r="P16" i="36"/>
  <c r="X16" i="36" s="1"/>
  <c r="N16" i="36"/>
  <c r="D16" i="36"/>
  <c r="D12" i="36" s="1"/>
  <c r="F108" i="36" s="1"/>
  <c r="B16" i="36"/>
  <c r="Z15" i="36"/>
  <c r="P15" i="36"/>
  <c r="X15" i="36" s="1"/>
  <c r="N15" i="36"/>
  <c r="L15" i="36"/>
  <c r="D15" i="36"/>
  <c r="B15" i="36"/>
  <c r="Z14" i="36"/>
  <c r="X14" i="36"/>
  <c r="P14" i="36"/>
  <c r="N14" i="36"/>
  <c r="D14" i="36"/>
  <c r="L14" i="36" s="1"/>
  <c r="B14" i="36"/>
  <c r="P13" i="36"/>
  <c r="D13" i="36"/>
  <c r="L13" i="36" s="1"/>
  <c r="N13" i="36" s="1"/>
  <c r="B13" i="36"/>
  <c r="T12" i="36"/>
  <c r="V126" i="36" s="1"/>
  <c r="H12" i="36"/>
  <c r="D4" i="36"/>
  <c r="X106" i="33"/>
  <c r="Z106" i="33" s="1"/>
  <c r="V106" i="33"/>
  <c r="N106" i="33"/>
  <c r="L106" i="33"/>
  <c r="Z102" i="33"/>
  <c r="P102" i="33"/>
  <c r="X102" i="33" s="1"/>
  <c r="N102" i="33"/>
  <c r="L102" i="33"/>
  <c r="D102" i="33"/>
  <c r="B102" i="33"/>
  <c r="X101" i="33"/>
  <c r="Z101" i="33" s="1"/>
  <c r="V101" i="33"/>
  <c r="P101" i="33"/>
  <c r="N101" i="33"/>
  <c r="L101" i="33"/>
  <c r="D101" i="33"/>
  <c r="B101" i="33"/>
  <c r="X100" i="33"/>
  <c r="Z100" i="33" s="1"/>
  <c r="V100" i="33"/>
  <c r="P100" i="33"/>
  <c r="L100" i="33"/>
  <c r="N100" i="33" s="1"/>
  <c r="J100" i="33"/>
  <c r="D100" i="33"/>
  <c r="B100" i="33"/>
  <c r="P99" i="33"/>
  <c r="X99" i="33" s="1"/>
  <c r="Z99" i="33" s="1"/>
  <c r="N99" i="33"/>
  <c r="D99" i="33"/>
  <c r="L99" i="33" s="1"/>
  <c r="B99" i="33"/>
  <c r="Z98" i="33"/>
  <c r="P98" i="33"/>
  <c r="X98" i="33" s="1"/>
  <c r="N98" i="33"/>
  <c r="D98" i="33"/>
  <c r="L98" i="33" s="1"/>
  <c r="B98" i="33"/>
  <c r="Z97" i="33"/>
  <c r="X97" i="33"/>
  <c r="P97" i="33"/>
  <c r="N97" i="33"/>
  <c r="D97" i="33"/>
  <c r="L97" i="33" s="1"/>
  <c r="B97" i="33"/>
  <c r="Z96" i="33"/>
  <c r="X96" i="33"/>
  <c r="P96" i="33"/>
  <c r="N96" i="33"/>
  <c r="L96" i="33"/>
  <c r="D96" i="33"/>
  <c r="B96" i="33"/>
  <c r="T95" i="33"/>
  <c r="H95" i="33"/>
  <c r="Z93" i="33"/>
  <c r="X93" i="33"/>
  <c r="N93" i="33"/>
  <c r="L93" i="33"/>
  <c r="B93" i="33"/>
  <c r="V92" i="33"/>
  <c r="T92" i="33"/>
  <c r="Z92" i="33" s="1"/>
  <c r="P92" i="33"/>
  <c r="X92" i="33" s="1"/>
  <c r="N92" i="33"/>
  <c r="H92" i="33"/>
  <c r="D92" i="33"/>
  <c r="L92" i="33" s="1"/>
  <c r="B92" i="33"/>
  <c r="Z91" i="33"/>
  <c r="X91" i="33"/>
  <c r="V91" i="33"/>
  <c r="N91" i="33"/>
  <c r="L91" i="33"/>
  <c r="B91" i="33"/>
  <c r="Z90" i="33"/>
  <c r="X90" i="33"/>
  <c r="N90" i="33"/>
  <c r="L90" i="33"/>
  <c r="J90" i="33"/>
  <c r="B90" i="33"/>
  <c r="T89" i="33"/>
  <c r="P89" i="33"/>
  <c r="L89" i="33"/>
  <c r="H89" i="33"/>
  <c r="D89" i="33"/>
  <c r="B89" i="33"/>
  <c r="X88" i="33"/>
  <c r="Z88" i="33" s="1"/>
  <c r="V88" i="33"/>
  <c r="N88" i="33"/>
  <c r="L88" i="33"/>
  <c r="J88" i="33"/>
  <c r="B88" i="33"/>
  <c r="Z87" i="33"/>
  <c r="X87" i="33"/>
  <c r="N87" i="33"/>
  <c r="L87" i="33"/>
  <c r="B87" i="33"/>
  <c r="X86" i="33"/>
  <c r="Z86" i="33" s="1"/>
  <c r="V86" i="33"/>
  <c r="N86" i="33"/>
  <c r="L86" i="33"/>
  <c r="B86" i="33"/>
  <c r="Z85" i="33"/>
  <c r="X85" i="33"/>
  <c r="N85" i="33"/>
  <c r="L85" i="33"/>
  <c r="B85" i="33"/>
  <c r="Z84" i="33"/>
  <c r="X84" i="33"/>
  <c r="V84" i="33"/>
  <c r="N84" i="33"/>
  <c r="L84" i="33"/>
  <c r="B84" i="33"/>
  <c r="T83" i="33"/>
  <c r="P83" i="33"/>
  <c r="X83" i="33" s="1"/>
  <c r="Z83" i="33" s="1"/>
  <c r="H83" i="33"/>
  <c r="D83" i="33"/>
  <c r="B83" i="33"/>
  <c r="Z82" i="33"/>
  <c r="X82" i="33"/>
  <c r="N82" i="33"/>
  <c r="L82" i="33"/>
  <c r="B82" i="33"/>
  <c r="Z81" i="33"/>
  <c r="X81" i="33"/>
  <c r="N81" i="33"/>
  <c r="L81" i="33"/>
  <c r="B81" i="33"/>
  <c r="V80" i="33"/>
  <c r="T80" i="33"/>
  <c r="P80" i="33"/>
  <c r="X80" i="33" s="1"/>
  <c r="H80" i="33"/>
  <c r="D80" i="33"/>
  <c r="L80" i="33" s="1"/>
  <c r="N80" i="33" s="1"/>
  <c r="B80" i="33"/>
  <c r="X79" i="33"/>
  <c r="Z79" i="33" s="1"/>
  <c r="V79" i="33"/>
  <c r="L79" i="33"/>
  <c r="N79" i="33" s="1"/>
  <c r="B79" i="33"/>
  <c r="T78" i="33"/>
  <c r="P78" i="33"/>
  <c r="X78" i="33" s="1"/>
  <c r="Z78" i="33" s="1"/>
  <c r="H78" i="33"/>
  <c r="D78" i="33"/>
  <c r="L78" i="33" s="1"/>
  <c r="N78" i="33" s="1"/>
  <c r="B78" i="33"/>
  <c r="Z77" i="33"/>
  <c r="X77" i="33"/>
  <c r="N77" i="33"/>
  <c r="L77" i="33"/>
  <c r="B77" i="33"/>
  <c r="V76" i="33"/>
  <c r="T76" i="33"/>
  <c r="P76" i="33"/>
  <c r="N76" i="33"/>
  <c r="L76" i="33"/>
  <c r="H76" i="33"/>
  <c r="D76" i="33"/>
  <c r="B76" i="33"/>
  <c r="X75" i="33"/>
  <c r="Z75" i="33" s="1"/>
  <c r="V75" i="33"/>
  <c r="L75" i="33"/>
  <c r="N75" i="33" s="1"/>
  <c r="J75" i="33"/>
  <c r="B75" i="33"/>
  <c r="T74" i="33"/>
  <c r="Z74" i="33" s="1"/>
  <c r="P74" i="33"/>
  <c r="X74" i="33" s="1"/>
  <c r="H74" i="33"/>
  <c r="D74" i="33"/>
  <c r="B74" i="33"/>
  <c r="Z73" i="33"/>
  <c r="X73" i="33"/>
  <c r="V73" i="33"/>
  <c r="N73" i="33"/>
  <c r="L73" i="33"/>
  <c r="B73" i="33"/>
  <c r="Z72" i="33"/>
  <c r="X72" i="33"/>
  <c r="V72" i="33"/>
  <c r="L72" i="33"/>
  <c r="N72" i="33" s="1"/>
  <c r="J72" i="33"/>
  <c r="B72" i="33"/>
  <c r="T71" i="33"/>
  <c r="P71" i="33"/>
  <c r="H71" i="33"/>
  <c r="D71" i="33"/>
  <c r="L71" i="33" s="1"/>
  <c r="B71" i="33"/>
  <c r="X70" i="33"/>
  <c r="Z70" i="33" s="1"/>
  <c r="V70" i="33"/>
  <c r="N70" i="33"/>
  <c r="L70" i="33"/>
  <c r="B70" i="33"/>
  <c r="T69" i="33"/>
  <c r="P69" i="33"/>
  <c r="X69" i="33" s="1"/>
  <c r="H69" i="33"/>
  <c r="D69" i="33"/>
  <c r="L69" i="33" s="1"/>
  <c r="N69" i="33" s="1"/>
  <c r="B69" i="33"/>
  <c r="Z68" i="33"/>
  <c r="X68" i="33"/>
  <c r="V68" i="33"/>
  <c r="N68" i="33"/>
  <c r="L68" i="33"/>
  <c r="B68" i="33"/>
  <c r="V67" i="33"/>
  <c r="T67" i="33"/>
  <c r="P67" i="33"/>
  <c r="X67" i="33" s="1"/>
  <c r="Z67" i="33" s="1"/>
  <c r="N67" i="33"/>
  <c r="L67" i="33"/>
  <c r="H67" i="33"/>
  <c r="D67" i="33"/>
  <c r="B67" i="33"/>
  <c r="Z66" i="33"/>
  <c r="X66" i="33"/>
  <c r="L66" i="33"/>
  <c r="N66" i="33" s="1"/>
  <c r="B66" i="33"/>
  <c r="T65" i="33"/>
  <c r="P65" i="33"/>
  <c r="X65" i="33" s="1"/>
  <c r="J65" i="33"/>
  <c r="H65" i="33"/>
  <c r="D65" i="33"/>
  <c r="B65" i="33"/>
  <c r="Z64" i="33"/>
  <c r="X64" i="33"/>
  <c r="V64" i="33"/>
  <c r="N64" i="33"/>
  <c r="L64" i="33"/>
  <c r="J64" i="33"/>
  <c r="B64" i="33"/>
  <c r="Z63" i="33"/>
  <c r="T63" i="33"/>
  <c r="P63" i="33"/>
  <c r="X63" i="33" s="1"/>
  <c r="H63" i="33"/>
  <c r="N63" i="33" s="1"/>
  <c r="D63" i="33"/>
  <c r="B63" i="33"/>
  <c r="Z62" i="33"/>
  <c r="X62" i="33"/>
  <c r="N62" i="33"/>
  <c r="L62" i="33"/>
  <c r="B62" i="33"/>
  <c r="Z61" i="33"/>
  <c r="X61" i="33"/>
  <c r="T61" i="33"/>
  <c r="V61" i="33" s="1"/>
  <c r="P61" i="33"/>
  <c r="H61" i="33"/>
  <c r="D61" i="33"/>
  <c r="L61" i="33" s="1"/>
  <c r="N61" i="33" s="1"/>
  <c r="B61" i="33"/>
  <c r="Z60" i="33"/>
  <c r="X60" i="33"/>
  <c r="V60" i="33"/>
  <c r="N60" i="33"/>
  <c r="L60" i="33"/>
  <c r="B60" i="33"/>
  <c r="Z59" i="33"/>
  <c r="X59" i="33"/>
  <c r="V59" i="33"/>
  <c r="N59" i="33"/>
  <c r="L59" i="33"/>
  <c r="B59" i="33"/>
  <c r="Z58" i="33"/>
  <c r="X58" i="33"/>
  <c r="N58" i="33"/>
  <c r="L58" i="33"/>
  <c r="J58" i="33"/>
  <c r="B58" i="33"/>
  <c r="X57" i="33"/>
  <c r="Z57" i="33" s="1"/>
  <c r="V57" i="33"/>
  <c r="N57" i="33"/>
  <c r="L57" i="33"/>
  <c r="B57" i="33"/>
  <c r="Z56" i="33"/>
  <c r="X56" i="33"/>
  <c r="V56" i="33"/>
  <c r="N56" i="33"/>
  <c r="L56" i="33"/>
  <c r="B56" i="33"/>
  <c r="Z55" i="33"/>
  <c r="X55" i="33"/>
  <c r="V55" i="33"/>
  <c r="N55" i="33"/>
  <c r="L55" i="33"/>
  <c r="B55" i="33"/>
  <c r="Z54" i="33"/>
  <c r="X54" i="33"/>
  <c r="N54" i="33"/>
  <c r="L54" i="33"/>
  <c r="B54" i="33"/>
  <c r="Z53" i="33"/>
  <c r="X53" i="33"/>
  <c r="V53" i="33"/>
  <c r="N53" i="33"/>
  <c r="L53" i="33"/>
  <c r="B53" i="33"/>
  <c r="Z52" i="33"/>
  <c r="X52" i="33"/>
  <c r="V52" i="33"/>
  <c r="L52" i="33"/>
  <c r="N52" i="33" s="1"/>
  <c r="J52" i="33"/>
  <c r="B52" i="33"/>
  <c r="X51" i="33"/>
  <c r="Z51" i="33" s="1"/>
  <c r="V51" i="33"/>
  <c r="L51" i="33"/>
  <c r="N51" i="33" s="1"/>
  <c r="B51" i="33"/>
  <c r="Z50" i="33"/>
  <c r="T50" i="33"/>
  <c r="P50" i="33"/>
  <c r="X50" i="33" s="1"/>
  <c r="N50" i="33"/>
  <c r="H50" i="33"/>
  <c r="D50" i="33"/>
  <c r="L50" i="33" s="1"/>
  <c r="B50" i="33"/>
  <c r="Z49" i="33"/>
  <c r="X49" i="33"/>
  <c r="L49" i="33"/>
  <c r="N49" i="33" s="1"/>
  <c r="B49" i="33"/>
  <c r="X48" i="33"/>
  <c r="Z48" i="33" s="1"/>
  <c r="V48" i="33"/>
  <c r="N48" i="33"/>
  <c r="L48" i="33"/>
  <c r="J48" i="33"/>
  <c r="B48" i="33"/>
  <c r="X47" i="33"/>
  <c r="Z47" i="33" s="1"/>
  <c r="L47" i="33"/>
  <c r="N47" i="33" s="1"/>
  <c r="B47" i="33"/>
  <c r="Z46" i="33"/>
  <c r="X46" i="33"/>
  <c r="V46" i="33"/>
  <c r="N46" i="33"/>
  <c r="L46" i="33"/>
  <c r="B46" i="33"/>
  <c r="Z45" i="33"/>
  <c r="X45" i="33"/>
  <c r="L45" i="33"/>
  <c r="N45" i="33" s="1"/>
  <c r="B45" i="33"/>
  <c r="X44" i="33"/>
  <c r="Z44" i="33" s="1"/>
  <c r="V44" i="33"/>
  <c r="N44" i="33"/>
  <c r="L44" i="33"/>
  <c r="J44" i="33"/>
  <c r="B44" i="33"/>
  <c r="X43" i="33"/>
  <c r="Z43" i="33" s="1"/>
  <c r="L43" i="33"/>
  <c r="N43" i="33" s="1"/>
  <c r="J43" i="33"/>
  <c r="B43" i="33"/>
  <c r="X42" i="33"/>
  <c r="Z42" i="33" s="1"/>
  <c r="V42" i="33"/>
  <c r="N42" i="33"/>
  <c r="L42" i="33"/>
  <c r="B42" i="33"/>
  <c r="Z41" i="33"/>
  <c r="X41" i="33"/>
  <c r="L41" i="33"/>
  <c r="N41" i="33" s="1"/>
  <c r="B41" i="33"/>
  <c r="T40" i="33"/>
  <c r="P40" i="33"/>
  <c r="L40" i="33"/>
  <c r="N40" i="33" s="1"/>
  <c r="J40" i="33"/>
  <c r="H40" i="33"/>
  <c r="D40" i="33"/>
  <c r="B40" i="33"/>
  <c r="V39" i="33"/>
  <c r="T39" i="33"/>
  <c r="P39" i="33"/>
  <c r="X39" i="33" s="1"/>
  <c r="Z39" i="33" s="1"/>
  <c r="N39" i="33"/>
  <c r="L39" i="33"/>
  <c r="H39" i="33"/>
  <c r="D39" i="33"/>
  <c r="Z35" i="33"/>
  <c r="X35" i="33"/>
  <c r="V35" i="33"/>
  <c r="N35" i="33"/>
  <c r="L35" i="33"/>
  <c r="B35" i="33"/>
  <c r="Z34" i="33"/>
  <c r="X34" i="33"/>
  <c r="N34" i="33"/>
  <c r="L34" i="33"/>
  <c r="B34" i="33"/>
  <c r="Z33" i="33"/>
  <c r="X33" i="33"/>
  <c r="V33" i="33"/>
  <c r="N33" i="33"/>
  <c r="L33" i="33"/>
  <c r="B33" i="33"/>
  <c r="Z32" i="33"/>
  <c r="X32" i="33"/>
  <c r="V32" i="33"/>
  <c r="N32" i="33"/>
  <c r="L32" i="33"/>
  <c r="B32" i="33"/>
  <c r="Z31" i="33"/>
  <c r="X31" i="33"/>
  <c r="V31" i="33"/>
  <c r="N31" i="33"/>
  <c r="L31" i="33"/>
  <c r="J31" i="33"/>
  <c r="B31" i="33"/>
  <c r="Z30" i="33"/>
  <c r="T30" i="33"/>
  <c r="P30" i="33"/>
  <c r="X30" i="33" s="1"/>
  <c r="J30" i="33"/>
  <c r="H30" i="33"/>
  <c r="N30" i="33" s="1"/>
  <c r="D30" i="33"/>
  <c r="L30" i="33" s="1"/>
  <c r="Z28" i="33"/>
  <c r="P28" i="33"/>
  <c r="X28" i="33" s="1"/>
  <c r="N28" i="33"/>
  <c r="L28" i="33"/>
  <c r="D28" i="33"/>
  <c r="B28" i="33"/>
  <c r="Z27" i="33"/>
  <c r="X27" i="33"/>
  <c r="P27" i="33"/>
  <c r="N27" i="33"/>
  <c r="D27" i="33"/>
  <c r="L27" i="33" s="1"/>
  <c r="B27" i="33"/>
  <c r="Z26" i="33"/>
  <c r="P26" i="33"/>
  <c r="X26" i="33" s="1"/>
  <c r="N26" i="33"/>
  <c r="L26" i="33"/>
  <c r="D26" i="33"/>
  <c r="B26" i="33"/>
  <c r="Z25" i="33"/>
  <c r="X25" i="33"/>
  <c r="P25" i="33"/>
  <c r="N25" i="33"/>
  <c r="D25" i="33"/>
  <c r="L25" i="33" s="1"/>
  <c r="B25" i="33"/>
  <c r="Z24" i="33"/>
  <c r="X24" i="33"/>
  <c r="P24" i="33"/>
  <c r="N24" i="33"/>
  <c r="D24" i="33"/>
  <c r="L24" i="33" s="1"/>
  <c r="B24" i="33"/>
  <c r="Z23" i="33"/>
  <c r="X23" i="33"/>
  <c r="P23" i="33"/>
  <c r="N23" i="33"/>
  <c r="D23" i="33"/>
  <c r="L23" i="33" s="1"/>
  <c r="B23" i="33"/>
  <c r="Z22" i="33"/>
  <c r="P22" i="33"/>
  <c r="X22" i="33" s="1"/>
  <c r="N22" i="33"/>
  <c r="L22" i="33"/>
  <c r="D22" i="33"/>
  <c r="B22" i="33"/>
  <c r="Z21" i="33"/>
  <c r="P21" i="33"/>
  <c r="X21" i="33" s="1"/>
  <c r="N21" i="33"/>
  <c r="L21" i="33"/>
  <c r="D21" i="33"/>
  <c r="B21" i="33"/>
  <c r="P20" i="33"/>
  <c r="X20" i="33" s="1"/>
  <c r="Z20" i="33" s="1"/>
  <c r="L20" i="33"/>
  <c r="N20" i="33" s="1"/>
  <c r="D20" i="33"/>
  <c r="B20" i="33"/>
  <c r="Z19" i="33"/>
  <c r="X19" i="33"/>
  <c r="P19" i="33"/>
  <c r="N19" i="33"/>
  <c r="D19" i="33"/>
  <c r="L19" i="33" s="1"/>
  <c r="B19" i="33"/>
  <c r="Z18" i="33"/>
  <c r="P18" i="33"/>
  <c r="X18" i="33" s="1"/>
  <c r="N18" i="33"/>
  <c r="D18" i="33"/>
  <c r="L18" i="33" s="1"/>
  <c r="B18" i="33"/>
  <c r="Z17" i="33"/>
  <c r="X17" i="33"/>
  <c r="P17" i="33"/>
  <c r="N17" i="33"/>
  <c r="D17" i="33"/>
  <c r="L17" i="33" s="1"/>
  <c r="B17" i="33"/>
  <c r="Z16" i="33"/>
  <c r="P16" i="33"/>
  <c r="X16" i="33" s="1"/>
  <c r="N16" i="33"/>
  <c r="D16" i="33"/>
  <c r="L16" i="33" s="1"/>
  <c r="B16" i="33"/>
  <c r="Z15" i="33"/>
  <c r="X15" i="33"/>
  <c r="P15" i="33"/>
  <c r="N15" i="33"/>
  <c r="D15" i="33"/>
  <c r="B15" i="33"/>
  <c r="Z14" i="33"/>
  <c r="P14" i="33"/>
  <c r="X14" i="33" s="1"/>
  <c r="N14" i="33"/>
  <c r="L14" i="33"/>
  <c r="D14" i="33"/>
  <c r="B14" i="33"/>
  <c r="X13" i="33"/>
  <c r="Z13" i="33" s="1"/>
  <c r="P13" i="33"/>
  <c r="D13" i="33"/>
  <c r="L13" i="33" s="1"/>
  <c r="N13" i="33" s="1"/>
  <c r="B13" i="33"/>
  <c r="T12" i="33"/>
  <c r="V95" i="33" s="1"/>
  <c r="H12" i="33"/>
  <c r="D4" i="33"/>
  <c r="X156" i="30"/>
  <c r="Z156" i="30" s="1"/>
  <c r="L156" i="30"/>
  <c r="N156" i="30" s="1"/>
  <c r="P152" i="30"/>
  <c r="X152" i="30" s="1"/>
  <c r="Z152" i="30" s="1"/>
  <c r="L152" i="30"/>
  <c r="N152" i="30" s="1"/>
  <c r="D152" i="30"/>
  <c r="D149" i="30" s="1"/>
  <c r="B152" i="30"/>
  <c r="Z151" i="30"/>
  <c r="X151" i="30"/>
  <c r="P151" i="30"/>
  <c r="N151" i="30"/>
  <c r="L151" i="30"/>
  <c r="D151" i="30"/>
  <c r="B151" i="30"/>
  <c r="Z150" i="30"/>
  <c r="X150" i="30"/>
  <c r="P150" i="30"/>
  <c r="L150" i="30"/>
  <c r="N150" i="30" s="1"/>
  <c r="D150" i="30"/>
  <c r="B150" i="30"/>
  <c r="T149" i="30"/>
  <c r="L149" i="30"/>
  <c r="J149" i="30"/>
  <c r="H149" i="30"/>
  <c r="X147" i="30"/>
  <c r="Z147" i="30" s="1"/>
  <c r="N147" i="30"/>
  <c r="L147" i="30"/>
  <c r="B147" i="30"/>
  <c r="T146" i="30"/>
  <c r="P146" i="30"/>
  <c r="X146" i="30" s="1"/>
  <c r="Z146" i="30" s="1"/>
  <c r="H146" i="30"/>
  <c r="D146" i="30"/>
  <c r="L146" i="30" s="1"/>
  <c r="N146" i="30" s="1"/>
  <c r="B146" i="30"/>
  <c r="X145" i="30"/>
  <c r="Z145" i="30" s="1"/>
  <c r="N145" i="30"/>
  <c r="L145" i="30"/>
  <c r="J145" i="30"/>
  <c r="B145" i="30"/>
  <c r="Z144" i="30"/>
  <c r="X144" i="30"/>
  <c r="N144" i="30"/>
  <c r="L144" i="30"/>
  <c r="B144" i="30"/>
  <c r="T143" i="30"/>
  <c r="P143" i="30"/>
  <c r="X143" i="30" s="1"/>
  <c r="Z143" i="30" s="1"/>
  <c r="H143" i="30"/>
  <c r="D143" i="30"/>
  <c r="L143" i="30" s="1"/>
  <c r="B143" i="30"/>
  <c r="X142" i="30"/>
  <c r="Z142" i="30" s="1"/>
  <c r="N142" i="30"/>
  <c r="L142" i="30"/>
  <c r="B142" i="30"/>
  <c r="T141" i="30"/>
  <c r="P141" i="30"/>
  <c r="X141" i="30" s="1"/>
  <c r="Z141" i="30" s="1"/>
  <c r="L141" i="30"/>
  <c r="N141" i="30" s="1"/>
  <c r="H141" i="30"/>
  <c r="D141" i="30"/>
  <c r="B141" i="30"/>
  <c r="X140" i="30"/>
  <c r="Z140" i="30" s="1"/>
  <c r="N140" i="30"/>
  <c r="L140" i="30"/>
  <c r="B140" i="30"/>
  <c r="Z139" i="30"/>
  <c r="X139" i="30"/>
  <c r="N139" i="30"/>
  <c r="L139" i="30"/>
  <c r="B139" i="30"/>
  <c r="T138" i="30"/>
  <c r="P138" i="30"/>
  <c r="H138" i="30"/>
  <c r="D138" i="30"/>
  <c r="L138" i="30" s="1"/>
  <c r="N138" i="30" s="1"/>
  <c r="B138" i="30"/>
  <c r="Z137" i="30"/>
  <c r="X137" i="30"/>
  <c r="N137" i="30"/>
  <c r="L137" i="30"/>
  <c r="B137" i="30"/>
  <c r="Z136" i="30"/>
  <c r="X136" i="30"/>
  <c r="L136" i="30"/>
  <c r="N136" i="30" s="1"/>
  <c r="B136" i="30"/>
  <c r="Z135" i="30"/>
  <c r="X135" i="30"/>
  <c r="N135" i="30"/>
  <c r="L135" i="30"/>
  <c r="B135" i="30"/>
  <c r="X134" i="30"/>
  <c r="Z134" i="30" s="1"/>
  <c r="L134" i="30"/>
  <c r="N134" i="30" s="1"/>
  <c r="B134" i="30"/>
  <c r="X133" i="30"/>
  <c r="Z133" i="30" s="1"/>
  <c r="N133" i="30"/>
  <c r="L133" i="30"/>
  <c r="B133" i="30"/>
  <c r="X132" i="30"/>
  <c r="Z132" i="30" s="1"/>
  <c r="L132" i="30"/>
  <c r="N132" i="30" s="1"/>
  <c r="J132" i="30"/>
  <c r="B132" i="30"/>
  <c r="T131" i="30"/>
  <c r="Z131" i="30" s="1"/>
  <c r="P131" i="30"/>
  <c r="X131" i="30" s="1"/>
  <c r="H131" i="30"/>
  <c r="D131" i="30"/>
  <c r="L131" i="30" s="1"/>
  <c r="B131" i="30"/>
  <c r="X130" i="30"/>
  <c r="Z130" i="30" s="1"/>
  <c r="N130" i="30"/>
  <c r="L130" i="30"/>
  <c r="B130" i="30"/>
  <c r="Z129" i="30"/>
  <c r="X129" i="30"/>
  <c r="N129" i="30"/>
  <c r="L129" i="30"/>
  <c r="J129" i="30"/>
  <c r="B129" i="30"/>
  <c r="T128" i="30"/>
  <c r="P128" i="30"/>
  <c r="X128" i="30" s="1"/>
  <c r="H128" i="30"/>
  <c r="D128" i="30"/>
  <c r="B128" i="30"/>
  <c r="Z127" i="30"/>
  <c r="X127" i="30"/>
  <c r="N127" i="30"/>
  <c r="L127" i="30"/>
  <c r="B127" i="30"/>
  <c r="Z126" i="30"/>
  <c r="X126" i="30"/>
  <c r="N126" i="30"/>
  <c r="L126" i="30"/>
  <c r="B126" i="30"/>
  <c r="X125" i="30"/>
  <c r="Z125" i="30" s="1"/>
  <c r="L125" i="30"/>
  <c r="N125" i="30" s="1"/>
  <c r="B125" i="30"/>
  <c r="Z124" i="30"/>
  <c r="T124" i="30"/>
  <c r="P124" i="30"/>
  <c r="X124" i="30" s="1"/>
  <c r="H124" i="30"/>
  <c r="D124" i="30"/>
  <c r="B124" i="30"/>
  <c r="Z123" i="30"/>
  <c r="X123" i="30"/>
  <c r="N123" i="30"/>
  <c r="L123" i="30"/>
  <c r="B123" i="30"/>
  <c r="Z122" i="30"/>
  <c r="X122" i="30"/>
  <c r="L122" i="30"/>
  <c r="N122" i="30" s="1"/>
  <c r="B122" i="30"/>
  <c r="X121" i="30"/>
  <c r="Z121" i="30" s="1"/>
  <c r="L121" i="30"/>
  <c r="N121" i="30" s="1"/>
  <c r="B121" i="30"/>
  <c r="T120" i="30"/>
  <c r="P120" i="30"/>
  <c r="X120" i="30" s="1"/>
  <c r="Z120" i="30" s="1"/>
  <c r="H120" i="30"/>
  <c r="L120" i="30" s="1"/>
  <c r="N120" i="30" s="1"/>
  <c r="D120" i="30"/>
  <c r="B120" i="30"/>
  <c r="X119" i="30"/>
  <c r="Z119" i="30" s="1"/>
  <c r="L119" i="30"/>
  <c r="N119" i="30" s="1"/>
  <c r="B119" i="30"/>
  <c r="X118" i="30"/>
  <c r="Z118" i="30" s="1"/>
  <c r="N118" i="30"/>
  <c r="L118" i="30"/>
  <c r="B118" i="30"/>
  <c r="T117" i="30"/>
  <c r="P117" i="30"/>
  <c r="X117" i="30" s="1"/>
  <c r="Z117" i="30" s="1"/>
  <c r="H117" i="30"/>
  <c r="D117" i="30"/>
  <c r="L117" i="30" s="1"/>
  <c r="N117" i="30" s="1"/>
  <c r="B117" i="30"/>
  <c r="Z116" i="30"/>
  <c r="X116" i="30"/>
  <c r="N116" i="30"/>
  <c r="L116" i="30"/>
  <c r="J116" i="30"/>
  <c r="B116" i="30"/>
  <c r="T115" i="30"/>
  <c r="P115" i="30"/>
  <c r="L115" i="30"/>
  <c r="H115" i="30"/>
  <c r="D115" i="30"/>
  <c r="B115" i="30"/>
  <c r="Z114" i="30"/>
  <c r="X114" i="30"/>
  <c r="N114" i="30"/>
  <c r="L114" i="30"/>
  <c r="B114" i="30"/>
  <c r="T113" i="30"/>
  <c r="P113" i="30"/>
  <c r="X113" i="30" s="1"/>
  <c r="N113" i="30"/>
  <c r="H113" i="30"/>
  <c r="D113" i="30"/>
  <c r="L113" i="30" s="1"/>
  <c r="B113" i="30"/>
  <c r="X112" i="30"/>
  <c r="Z112" i="30" s="1"/>
  <c r="N112" i="30"/>
  <c r="L112" i="30"/>
  <c r="B112" i="30"/>
  <c r="Z111" i="30"/>
  <c r="T111" i="30"/>
  <c r="P111" i="30"/>
  <c r="X111" i="30" s="1"/>
  <c r="L111" i="30"/>
  <c r="N111" i="30" s="1"/>
  <c r="J111" i="30"/>
  <c r="H111" i="30"/>
  <c r="D111" i="30"/>
  <c r="B111" i="30"/>
  <c r="Z110" i="30"/>
  <c r="X110" i="30"/>
  <c r="L110" i="30"/>
  <c r="N110" i="30" s="1"/>
  <c r="B110" i="30"/>
  <c r="X109" i="30"/>
  <c r="T109" i="30"/>
  <c r="P109" i="30"/>
  <c r="L109" i="30"/>
  <c r="N109" i="30" s="1"/>
  <c r="H109" i="30"/>
  <c r="D109" i="30"/>
  <c r="B109" i="30"/>
  <c r="X108" i="30"/>
  <c r="Z108" i="30" s="1"/>
  <c r="L108" i="30"/>
  <c r="N108" i="30" s="1"/>
  <c r="B108" i="30"/>
  <c r="T107" i="30"/>
  <c r="P107" i="30"/>
  <c r="X107" i="30" s="1"/>
  <c r="Z107" i="30" s="1"/>
  <c r="H107" i="30"/>
  <c r="D107" i="30"/>
  <c r="B107" i="30"/>
  <c r="Z106" i="30"/>
  <c r="X106" i="30"/>
  <c r="V106" i="30"/>
  <c r="N106" i="30"/>
  <c r="L106" i="30"/>
  <c r="B106" i="30"/>
  <c r="X105" i="30"/>
  <c r="Z105" i="30" s="1"/>
  <c r="L105" i="30"/>
  <c r="N105" i="30" s="1"/>
  <c r="B105" i="30"/>
  <c r="T104" i="30"/>
  <c r="P104" i="30"/>
  <c r="X104" i="30" s="1"/>
  <c r="H104" i="30"/>
  <c r="D104" i="30"/>
  <c r="B104" i="30"/>
  <c r="X103" i="30"/>
  <c r="Z103" i="30" s="1"/>
  <c r="N103" i="30"/>
  <c r="L103" i="30"/>
  <c r="B103" i="30"/>
  <c r="Z102" i="30"/>
  <c r="T102" i="30"/>
  <c r="P102" i="30"/>
  <c r="X102" i="30" s="1"/>
  <c r="N102" i="30"/>
  <c r="L102" i="30"/>
  <c r="H102" i="30"/>
  <c r="D102" i="30"/>
  <c r="B102" i="30"/>
  <c r="X101" i="30"/>
  <c r="Z101" i="30" s="1"/>
  <c r="L101" i="30"/>
  <c r="N101" i="30" s="1"/>
  <c r="B101" i="30"/>
  <c r="Z100" i="30"/>
  <c r="T100" i="30"/>
  <c r="P100" i="30"/>
  <c r="X100" i="30" s="1"/>
  <c r="L100" i="30"/>
  <c r="N100" i="30" s="1"/>
  <c r="J100" i="30"/>
  <c r="H100" i="30"/>
  <c r="D100" i="30"/>
  <c r="B100" i="30"/>
  <c r="Z99" i="30"/>
  <c r="X99" i="30"/>
  <c r="N99" i="30"/>
  <c r="L99" i="30"/>
  <c r="B99" i="30"/>
  <c r="X98" i="30"/>
  <c r="Z98" i="30" s="1"/>
  <c r="N98" i="30"/>
  <c r="L98" i="30"/>
  <c r="B98" i="30"/>
  <c r="T97" i="30"/>
  <c r="P97" i="30"/>
  <c r="X97" i="30" s="1"/>
  <c r="Z97" i="30" s="1"/>
  <c r="L97" i="30"/>
  <c r="N97" i="30" s="1"/>
  <c r="H97" i="30"/>
  <c r="D97" i="30"/>
  <c r="B97" i="30"/>
  <c r="Z96" i="30"/>
  <c r="X96" i="30"/>
  <c r="L96" i="30"/>
  <c r="N96" i="30" s="1"/>
  <c r="B96" i="30"/>
  <c r="X95" i="30"/>
  <c r="Z95" i="30" s="1"/>
  <c r="T95" i="30"/>
  <c r="P95" i="30"/>
  <c r="L95" i="30"/>
  <c r="H95" i="30"/>
  <c r="D95" i="30"/>
  <c r="B95" i="30"/>
  <c r="X94" i="30"/>
  <c r="Z94" i="30" s="1"/>
  <c r="L94" i="30"/>
  <c r="N94" i="30" s="1"/>
  <c r="B94" i="30"/>
  <c r="Z93" i="30"/>
  <c r="X93" i="30"/>
  <c r="N93" i="30"/>
  <c r="L93" i="30"/>
  <c r="J93" i="30"/>
  <c r="B93" i="30"/>
  <c r="Z92" i="30"/>
  <c r="X92" i="30"/>
  <c r="T92" i="30"/>
  <c r="P92" i="30"/>
  <c r="H92" i="30"/>
  <c r="D92" i="30"/>
  <c r="L92" i="30" s="1"/>
  <c r="B92" i="30"/>
  <c r="Z91" i="30"/>
  <c r="X91" i="30"/>
  <c r="N91" i="30"/>
  <c r="L91" i="30"/>
  <c r="B91" i="30"/>
  <c r="X90" i="30"/>
  <c r="Z90" i="30" s="1"/>
  <c r="T90" i="30"/>
  <c r="P90" i="30"/>
  <c r="L90" i="30"/>
  <c r="N90" i="30" s="1"/>
  <c r="H90" i="30"/>
  <c r="D90" i="30"/>
  <c r="B90" i="30"/>
  <c r="Z89" i="30"/>
  <c r="X89" i="30"/>
  <c r="N89" i="30"/>
  <c r="L89" i="30"/>
  <c r="J89" i="30"/>
  <c r="B89" i="30"/>
  <c r="Z88" i="30"/>
  <c r="X88" i="30"/>
  <c r="N88" i="30"/>
  <c r="L88" i="30"/>
  <c r="B88" i="30"/>
  <c r="Z87" i="30"/>
  <c r="X87" i="30"/>
  <c r="N87" i="30"/>
  <c r="L87" i="30"/>
  <c r="B87" i="30"/>
  <c r="Z86" i="30"/>
  <c r="X86" i="30"/>
  <c r="N86" i="30"/>
  <c r="L86" i="30"/>
  <c r="B86" i="30"/>
  <c r="Z85" i="30"/>
  <c r="X85" i="30"/>
  <c r="N85" i="30"/>
  <c r="L85" i="30"/>
  <c r="J85" i="30"/>
  <c r="B85" i="30"/>
  <c r="Z84" i="30"/>
  <c r="X84" i="30"/>
  <c r="N84" i="30"/>
  <c r="L84" i="30"/>
  <c r="B84" i="30"/>
  <c r="Z83" i="30"/>
  <c r="X83" i="30"/>
  <c r="L83" i="30"/>
  <c r="N83" i="30" s="1"/>
  <c r="B83" i="30"/>
  <c r="Z82" i="30"/>
  <c r="X82" i="30"/>
  <c r="N82" i="30"/>
  <c r="L82" i="30"/>
  <c r="B82" i="30"/>
  <c r="X81" i="30"/>
  <c r="Z81" i="30" s="1"/>
  <c r="L81" i="30"/>
  <c r="N81" i="30" s="1"/>
  <c r="J81" i="30"/>
  <c r="B81" i="30"/>
  <c r="Z80" i="30"/>
  <c r="X80" i="30"/>
  <c r="N80" i="30"/>
  <c r="L80" i="30"/>
  <c r="B80" i="30"/>
  <c r="T79" i="30"/>
  <c r="P79" i="30"/>
  <c r="X79" i="30" s="1"/>
  <c r="Z79" i="30" s="1"/>
  <c r="H79" i="30"/>
  <c r="D79" i="30"/>
  <c r="L79" i="30" s="1"/>
  <c r="N79" i="30" s="1"/>
  <c r="B79" i="30"/>
  <c r="Z78" i="30"/>
  <c r="X78" i="30"/>
  <c r="N78" i="30"/>
  <c r="L78" i="30"/>
  <c r="J78" i="30"/>
  <c r="B78" i="30"/>
  <c r="X77" i="30"/>
  <c r="Z77" i="30" s="1"/>
  <c r="L77" i="30"/>
  <c r="N77" i="30" s="1"/>
  <c r="B77" i="30"/>
  <c r="Z76" i="30"/>
  <c r="X76" i="30"/>
  <c r="N76" i="30"/>
  <c r="L76" i="30"/>
  <c r="B76" i="30"/>
  <c r="Z75" i="30"/>
  <c r="X75" i="30"/>
  <c r="N75" i="30"/>
  <c r="L75" i="30"/>
  <c r="B75" i="30"/>
  <c r="Z74" i="30"/>
  <c r="X74" i="30"/>
  <c r="L74" i="30"/>
  <c r="N74" i="30" s="1"/>
  <c r="J74" i="30"/>
  <c r="B74" i="30"/>
  <c r="X73" i="30"/>
  <c r="Z73" i="30" s="1"/>
  <c r="L73" i="30"/>
  <c r="N73" i="30" s="1"/>
  <c r="B73" i="30"/>
  <c r="Z72" i="30"/>
  <c r="X72" i="30"/>
  <c r="L72" i="30"/>
  <c r="N72" i="30" s="1"/>
  <c r="B72" i="30"/>
  <c r="X71" i="30"/>
  <c r="Z71" i="30" s="1"/>
  <c r="L71" i="30"/>
  <c r="N71" i="30" s="1"/>
  <c r="B71" i="30"/>
  <c r="Z70" i="30"/>
  <c r="X70" i="30"/>
  <c r="L70" i="30"/>
  <c r="N70" i="30" s="1"/>
  <c r="J70" i="30"/>
  <c r="B70" i="30"/>
  <c r="X69" i="30"/>
  <c r="Z69" i="30" s="1"/>
  <c r="V69" i="30"/>
  <c r="T69" i="30"/>
  <c r="P69" i="30"/>
  <c r="H69" i="30"/>
  <c r="N69" i="30" s="1"/>
  <c r="D69" i="30"/>
  <c r="L69" i="30" s="1"/>
  <c r="B69" i="30"/>
  <c r="Z68" i="30"/>
  <c r="X68" i="30"/>
  <c r="T68" i="30"/>
  <c r="P68" i="30"/>
  <c r="L68" i="30"/>
  <c r="N68" i="30" s="1"/>
  <c r="J68" i="30"/>
  <c r="H68" i="30"/>
  <c r="D68" i="30"/>
  <c r="Z64" i="30"/>
  <c r="X64" i="30"/>
  <c r="N64" i="30"/>
  <c r="L64" i="30"/>
  <c r="B64" i="30"/>
  <c r="Z63" i="30"/>
  <c r="X63" i="30"/>
  <c r="N63" i="30"/>
  <c r="L63" i="30"/>
  <c r="B63" i="30"/>
  <c r="Z62" i="30"/>
  <c r="X62" i="30"/>
  <c r="N62" i="30"/>
  <c r="L62" i="30"/>
  <c r="J62" i="30"/>
  <c r="B62" i="30"/>
  <c r="Z61" i="30"/>
  <c r="X61" i="30"/>
  <c r="N61" i="30"/>
  <c r="L61" i="30"/>
  <c r="B61" i="30"/>
  <c r="Z60" i="30"/>
  <c r="X60" i="30"/>
  <c r="N60" i="30"/>
  <c r="L60" i="30"/>
  <c r="B60" i="30"/>
  <c r="Z59" i="30"/>
  <c r="X59" i="30"/>
  <c r="N59" i="30"/>
  <c r="L59" i="30"/>
  <c r="B59" i="30"/>
  <c r="Z58" i="30"/>
  <c r="X58" i="30"/>
  <c r="N58" i="30"/>
  <c r="L58" i="30"/>
  <c r="J58" i="30"/>
  <c r="B58" i="30"/>
  <c r="Z57" i="30"/>
  <c r="X57" i="30"/>
  <c r="N57" i="30"/>
  <c r="L57" i="30"/>
  <c r="B57" i="30"/>
  <c r="Z56" i="30"/>
  <c r="X56" i="30"/>
  <c r="N56" i="30"/>
  <c r="L56" i="30"/>
  <c r="B56" i="30"/>
  <c r="Z55" i="30"/>
  <c r="X55" i="30"/>
  <c r="N55" i="30"/>
  <c r="L55" i="30"/>
  <c r="B55" i="30"/>
  <c r="Z54" i="30"/>
  <c r="X54" i="30"/>
  <c r="N54" i="30"/>
  <c r="L54" i="30"/>
  <c r="J54" i="30"/>
  <c r="B54" i="30"/>
  <c r="Z53" i="30"/>
  <c r="X53" i="30"/>
  <c r="N53" i="30"/>
  <c r="L53" i="30"/>
  <c r="B53" i="30"/>
  <c r="Z52" i="30"/>
  <c r="X52" i="30"/>
  <c r="N52" i="30"/>
  <c r="L52" i="30"/>
  <c r="B52" i="30"/>
  <c r="Z51" i="30"/>
  <c r="X51" i="30"/>
  <c r="N51" i="30"/>
  <c r="L51" i="30"/>
  <c r="B51" i="30"/>
  <c r="Z50" i="30"/>
  <c r="X50" i="30"/>
  <c r="N50" i="30"/>
  <c r="L50" i="30"/>
  <c r="J50" i="30"/>
  <c r="B50" i="30"/>
  <c r="Z49" i="30"/>
  <c r="X49" i="30"/>
  <c r="N49" i="30"/>
  <c r="L49" i="30"/>
  <c r="B49" i="30"/>
  <c r="Z48" i="30"/>
  <c r="X48" i="30"/>
  <c r="N48" i="30"/>
  <c r="L48" i="30"/>
  <c r="B48" i="30"/>
  <c r="Z47" i="30"/>
  <c r="X47" i="30"/>
  <c r="N47" i="30"/>
  <c r="L47" i="30"/>
  <c r="B47" i="30"/>
  <c r="Z46" i="30"/>
  <c r="X46" i="30"/>
  <c r="N46" i="30"/>
  <c r="L46" i="30"/>
  <c r="J46" i="30"/>
  <c r="B46" i="30"/>
  <c r="Z45" i="30"/>
  <c r="X45" i="30"/>
  <c r="N45" i="30"/>
  <c r="L45" i="30"/>
  <c r="B45" i="30"/>
  <c r="Z44" i="30"/>
  <c r="X44" i="30"/>
  <c r="N44" i="30"/>
  <c r="L44" i="30"/>
  <c r="B44" i="30"/>
  <c r="X43" i="30"/>
  <c r="Z43" i="30" s="1"/>
  <c r="N43" i="30"/>
  <c r="L43" i="30"/>
  <c r="B43" i="30"/>
  <c r="X42" i="30"/>
  <c r="Z42" i="30" s="1"/>
  <c r="T42" i="30"/>
  <c r="P42" i="30"/>
  <c r="N42" i="30"/>
  <c r="L42" i="30"/>
  <c r="H42" i="30"/>
  <c r="D42" i="30"/>
  <c r="Z40" i="30"/>
  <c r="P40" i="30"/>
  <c r="X40" i="30" s="1"/>
  <c r="N40" i="30"/>
  <c r="D40" i="30"/>
  <c r="L40" i="30" s="1"/>
  <c r="B40" i="30"/>
  <c r="Z39" i="30"/>
  <c r="X39" i="30"/>
  <c r="P39" i="30"/>
  <c r="N39" i="30"/>
  <c r="L39" i="30"/>
  <c r="D39" i="30"/>
  <c r="B39" i="30"/>
  <c r="Z38" i="30"/>
  <c r="P38" i="30"/>
  <c r="X38" i="30" s="1"/>
  <c r="N38" i="30"/>
  <c r="D38" i="30"/>
  <c r="L38" i="30" s="1"/>
  <c r="B38" i="30"/>
  <c r="Z37" i="30"/>
  <c r="P37" i="30"/>
  <c r="X37" i="30" s="1"/>
  <c r="N37" i="30"/>
  <c r="D37" i="30"/>
  <c r="L37" i="30" s="1"/>
  <c r="B37" i="30"/>
  <c r="Z36" i="30"/>
  <c r="P36" i="30"/>
  <c r="X36" i="30" s="1"/>
  <c r="N36" i="30"/>
  <c r="L36" i="30"/>
  <c r="D36" i="30"/>
  <c r="B36" i="30"/>
  <c r="Z35" i="30"/>
  <c r="P35" i="30"/>
  <c r="X35" i="30" s="1"/>
  <c r="N35" i="30"/>
  <c r="D35" i="30"/>
  <c r="L35" i="30" s="1"/>
  <c r="B35" i="30"/>
  <c r="Z34" i="30"/>
  <c r="X34" i="30"/>
  <c r="P34" i="30"/>
  <c r="N34" i="30"/>
  <c r="D34" i="30"/>
  <c r="L34" i="30" s="1"/>
  <c r="B34" i="30"/>
  <c r="Z33" i="30"/>
  <c r="X33" i="30"/>
  <c r="P33" i="30"/>
  <c r="N33" i="30"/>
  <c r="D33" i="30"/>
  <c r="L33" i="30" s="1"/>
  <c r="B33" i="30"/>
  <c r="Z32" i="30"/>
  <c r="P32" i="30"/>
  <c r="X32" i="30" s="1"/>
  <c r="N32" i="30"/>
  <c r="D32" i="30"/>
  <c r="L32" i="30" s="1"/>
  <c r="B32" i="30"/>
  <c r="Z31" i="30"/>
  <c r="P31" i="30"/>
  <c r="X31" i="30" s="1"/>
  <c r="N31" i="30"/>
  <c r="L31" i="30"/>
  <c r="D31" i="30"/>
  <c r="B31" i="30"/>
  <c r="Z30" i="30"/>
  <c r="X30" i="30"/>
  <c r="P30" i="30"/>
  <c r="N30" i="30"/>
  <c r="L30" i="30"/>
  <c r="D30" i="30"/>
  <c r="B30" i="30"/>
  <c r="Z29" i="30"/>
  <c r="X29" i="30"/>
  <c r="P29" i="30"/>
  <c r="N29" i="30"/>
  <c r="D29" i="30"/>
  <c r="L29" i="30" s="1"/>
  <c r="B29" i="30"/>
  <c r="Z28" i="30"/>
  <c r="P28" i="30"/>
  <c r="X28" i="30" s="1"/>
  <c r="N28" i="30"/>
  <c r="D28" i="30"/>
  <c r="L28" i="30" s="1"/>
  <c r="B28" i="30"/>
  <c r="Z27" i="30"/>
  <c r="X27" i="30"/>
  <c r="P27" i="30"/>
  <c r="N27" i="30"/>
  <c r="L27" i="30"/>
  <c r="D27" i="30"/>
  <c r="B27" i="30"/>
  <c r="Z26" i="30"/>
  <c r="P26" i="30"/>
  <c r="X26" i="30" s="1"/>
  <c r="N26" i="30"/>
  <c r="D26" i="30"/>
  <c r="L26" i="30" s="1"/>
  <c r="B26" i="30"/>
  <c r="Z25" i="30"/>
  <c r="P25" i="30"/>
  <c r="X25" i="30" s="1"/>
  <c r="N25" i="30"/>
  <c r="D25" i="30"/>
  <c r="L25" i="30" s="1"/>
  <c r="B25" i="30"/>
  <c r="Z24" i="30"/>
  <c r="P24" i="30"/>
  <c r="X24" i="30" s="1"/>
  <c r="N24" i="30"/>
  <c r="L24" i="30"/>
  <c r="D24" i="30"/>
  <c r="B24" i="30"/>
  <c r="Z23" i="30"/>
  <c r="P23" i="30"/>
  <c r="X23" i="30" s="1"/>
  <c r="N23" i="30"/>
  <c r="D23" i="30"/>
  <c r="L23" i="30" s="1"/>
  <c r="B23" i="30"/>
  <c r="Z22" i="30"/>
  <c r="X22" i="30"/>
  <c r="P22" i="30"/>
  <c r="N22" i="30"/>
  <c r="D22" i="30"/>
  <c r="L22" i="30" s="1"/>
  <c r="B22" i="30"/>
  <c r="Z21" i="30"/>
  <c r="X21" i="30"/>
  <c r="P21" i="30"/>
  <c r="N21" i="30"/>
  <c r="D21" i="30"/>
  <c r="L21" i="30" s="1"/>
  <c r="B21" i="30"/>
  <c r="Z20" i="30"/>
  <c r="P20" i="30"/>
  <c r="X20" i="30" s="1"/>
  <c r="N20" i="30"/>
  <c r="D20" i="30"/>
  <c r="L20" i="30" s="1"/>
  <c r="B20" i="30"/>
  <c r="Z19" i="30"/>
  <c r="P19" i="30"/>
  <c r="X19" i="30" s="1"/>
  <c r="N19" i="30"/>
  <c r="L19" i="30"/>
  <c r="D19" i="30"/>
  <c r="B19" i="30"/>
  <c r="Z18" i="30"/>
  <c r="X18" i="30"/>
  <c r="P18" i="30"/>
  <c r="N18" i="30"/>
  <c r="L18" i="30"/>
  <c r="D18" i="30"/>
  <c r="B18" i="30"/>
  <c r="Z17" i="30"/>
  <c r="P17" i="30"/>
  <c r="X17" i="30" s="1"/>
  <c r="N17" i="30"/>
  <c r="D17" i="30"/>
  <c r="L17" i="30" s="1"/>
  <c r="B17" i="30"/>
  <c r="Z16" i="30"/>
  <c r="P16" i="30"/>
  <c r="X16" i="30" s="1"/>
  <c r="N16" i="30"/>
  <c r="D16" i="30"/>
  <c r="L16" i="30" s="1"/>
  <c r="B16" i="30"/>
  <c r="Z15" i="30"/>
  <c r="X15" i="30"/>
  <c r="P15" i="30"/>
  <c r="N15" i="30"/>
  <c r="L15" i="30"/>
  <c r="D15" i="30"/>
  <c r="B15" i="30"/>
  <c r="Z14" i="30"/>
  <c r="P14" i="30"/>
  <c r="X14" i="30" s="1"/>
  <c r="N14" i="30"/>
  <c r="L14" i="30"/>
  <c r="D14" i="30"/>
  <c r="B14" i="30"/>
  <c r="P13" i="30"/>
  <c r="X13" i="30" s="1"/>
  <c r="Z13" i="30" s="1"/>
  <c r="D13" i="30"/>
  <c r="B13" i="30"/>
  <c r="T12" i="30"/>
  <c r="V77" i="30" s="1"/>
  <c r="H12" i="30"/>
  <c r="J110" i="30" s="1"/>
  <c r="D4" i="30"/>
  <c r="X126" i="27"/>
  <c r="Z126" i="27" s="1"/>
  <c r="N126" i="27"/>
  <c r="L126" i="27"/>
  <c r="Z122" i="27"/>
  <c r="X122" i="27"/>
  <c r="P122" i="27"/>
  <c r="L122" i="27"/>
  <c r="N122" i="27" s="1"/>
  <c r="J122" i="27"/>
  <c r="D122" i="27"/>
  <c r="B122" i="27"/>
  <c r="Z121" i="27"/>
  <c r="P121" i="27"/>
  <c r="X121" i="27" s="1"/>
  <c r="N121" i="27"/>
  <c r="D121" i="27"/>
  <c r="L121" i="27" s="1"/>
  <c r="B121" i="27"/>
  <c r="Z120" i="27"/>
  <c r="P120" i="27"/>
  <c r="X120" i="27" s="1"/>
  <c r="N120" i="27"/>
  <c r="D120" i="27"/>
  <c r="L120" i="27" s="1"/>
  <c r="B120" i="27"/>
  <c r="Z119" i="27"/>
  <c r="P119" i="27"/>
  <c r="X119" i="27" s="1"/>
  <c r="N119" i="27"/>
  <c r="L119" i="27"/>
  <c r="D119" i="27"/>
  <c r="B119" i="27"/>
  <c r="T118" i="27"/>
  <c r="H118" i="27"/>
  <c r="D118" i="27"/>
  <c r="L118" i="27" s="1"/>
  <c r="N118" i="27" s="1"/>
  <c r="Z116" i="27"/>
  <c r="X116" i="27"/>
  <c r="N116" i="27"/>
  <c r="L116" i="27"/>
  <c r="B116" i="27"/>
  <c r="Z115" i="27"/>
  <c r="X115" i="27"/>
  <c r="N115" i="27"/>
  <c r="L115" i="27"/>
  <c r="B115" i="27"/>
  <c r="X114" i="27"/>
  <c r="Z114" i="27" s="1"/>
  <c r="T114" i="27"/>
  <c r="P114" i="27"/>
  <c r="N114" i="27"/>
  <c r="H114" i="27"/>
  <c r="D114" i="27"/>
  <c r="L114" i="27" s="1"/>
  <c r="B114" i="27"/>
  <c r="Z113" i="27"/>
  <c r="X113" i="27"/>
  <c r="N113" i="27"/>
  <c r="L113" i="27"/>
  <c r="B113" i="27"/>
  <c r="T112" i="27"/>
  <c r="P112" i="27"/>
  <c r="L112" i="27"/>
  <c r="N112" i="27" s="1"/>
  <c r="J112" i="27"/>
  <c r="H112" i="27"/>
  <c r="D112" i="27"/>
  <c r="B112" i="27"/>
  <c r="X111" i="27"/>
  <c r="Z111" i="27" s="1"/>
  <c r="L111" i="27"/>
  <c r="N111" i="27" s="1"/>
  <c r="B111" i="27"/>
  <c r="X110" i="27"/>
  <c r="Z110" i="27" s="1"/>
  <c r="L110" i="27"/>
  <c r="N110" i="27" s="1"/>
  <c r="B110" i="27"/>
  <c r="Z109" i="27"/>
  <c r="X109" i="27"/>
  <c r="T109" i="27"/>
  <c r="P109" i="27"/>
  <c r="L109" i="27"/>
  <c r="N109" i="27" s="1"/>
  <c r="J109" i="27"/>
  <c r="H109" i="27"/>
  <c r="D109" i="27"/>
  <c r="B109" i="27"/>
  <c r="Z108" i="27"/>
  <c r="X108" i="27"/>
  <c r="N108" i="27"/>
  <c r="L108" i="27"/>
  <c r="B108" i="27"/>
  <c r="X107" i="27"/>
  <c r="Z107" i="27" s="1"/>
  <c r="N107" i="27"/>
  <c r="L107" i="27"/>
  <c r="B107" i="27"/>
  <c r="X106" i="27"/>
  <c r="Z106" i="27" s="1"/>
  <c r="L106" i="27"/>
  <c r="N106" i="27" s="1"/>
  <c r="J106" i="27"/>
  <c r="B106" i="27"/>
  <c r="T105" i="27"/>
  <c r="P105" i="27"/>
  <c r="H105" i="27"/>
  <c r="D105" i="27"/>
  <c r="B105" i="27"/>
  <c r="Z104" i="27"/>
  <c r="X104" i="27"/>
  <c r="L104" i="27"/>
  <c r="N104" i="27" s="1"/>
  <c r="B104" i="27"/>
  <c r="T103" i="27"/>
  <c r="Z103" i="27" s="1"/>
  <c r="P103" i="27"/>
  <c r="X103" i="27" s="1"/>
  <c r="N103" i="27"/>
  <c r="H103" i="27"/>
  <c r="D103" i="27"/>
  <c r="L103" i="27" s="1"/>
  <c r="B103" i="27"/>
  <c r="X102" i="27"/>
  <c r="Z102" i="27" s="1"/>
  <c r="L102" i="27"/>
  <c r="N102" i="27" s="1"/>
  <c r="B102" i="27"/>
  <c r="X101" i="27"/>
  <c r="Z101" i="27" s="1"/>
  <c r="L101" i="27"/>
  <c r="N101" i="27" s="1"/>
  <c r="B101" i="27"/>
  <c r="T100" i="27"/>
  <c r="P100" i="27"/>
  <c r="H100" i="27"/>
  <c r="D100" i="27"/>
  <c r="L100" i="27" s="1"/>
  <c r="B100" i="27"/>
  <c r="X99" i="27"/>
  <c r="Z99" i="27" s="1"/>
  <c r="N99" i="27"/>
  <c r="L99" i="27"/>
  <c r="B99" i="27"/>
  <c r="T98" i="27"/>
  <c r="P98" i="27"/>
  <c r="X98" i="27" s="1"/>
  <c r="Z98" i="27" s="1"/>
  <c r="N98" i="27"/>
  <c r="H98" i="27"/>
  <c r="D98" i="27"/>
  <c r="L98" i="27" s="1"/>
  <c r="B98" i="27"/>
  <c r="Z97" i="27"/>
  <c r="X97" i="27"/>
  <c r="N97" i="27"/>
  <c r="L97" i="27"/>
  <c r="B97" i="27"/>
  <c r="T96" i="27"/>
  <c r="P96" i="27"/>
  <c r="L96" i="27"/>
  <c r="N96" i="27" s="1"/>
  <c r="H96" i="27"/>
  <c r="D96" i="27"/>
  <c r="B96" i="27"/>
  <c r="Z95" i="27"/>
  <c r="X95" i="27"/>
  <c r="N95" i="27"/>
  <c r="L95" i="27"/>
  <c r="B95" i="27"/>
  <c r="X94" i="27"/>
  <c r="Z94" i="27" s="1"/>
  <c r="L94" i="27"/>
  <c r="N94" i="27" s="1"/>
  <c r="B94" i="27"/>
  <c r="Z93" i="27"/>
  <c r="X93" i="27"/>
  <c r="T93" i="27"/>
  <c r="P93" i="27"/>
  <c r="L93" i="27"/>
  <c r="N93" i="27" s="1"/>
  <c r="H93" i="27"/>
  <c r="D93" i="27"/>
  <c r="B93" i="27"/>
  <c r="Z92" i="27"/>
  <c r="X92" i="27"/>
  <c r="N92" i="27"/>
  <c r="L92" i="27"/>
  <c r="B92" i="27"/>
  <c r="T91" i="27"/>
  <c r="P91" i="27"/>
  <c r="L91" i="27"/>
  <c r="H91" i="27"/>
  <c r="D91" i="27"/>
  <c r="B91" i="27"/>
  <c r="X90" i="27"/>
  <c r="Z90" i="27" s="1"/>
  <c r="L90" i="27"/>
  <c r="N90" i="27" s="1"/>
  <c r="B90" i="27"/>
  <c r="Z89" i="27"/>
  <c r="T89" i="27"/>
  <c r="P89" i="27"/>
  <c r="X89" i="27" s="1"/>
  <c r="H89" i="27"/>
  <c r="D89" i="27"/>
  <c r="L89" i="27" s="1"/>
  <c r="B89" i="27"/>
  <c r="Z88" i="27"/>
  <c r="X88" i="27"/>
  <c r="N88" i="27"/>
  <c r="L88" i="27"/>
  <c r="B88" i="27"/>
  <c r="X87" i="27"/>
  <c r="Z87" i="27" s="1"/>
  <c r="V87" i="27"/>
  <c r="L87" i="27"/>
  <c r="N87" i="27" s="1"/>
  <c r="B87" i="27"/>
  <c r="T86" i="27"/>
  <c r="Z86" i="27" s="1"/>
  <c r="P86" i="27"/>
  <c r="X86" i="27" s="1"/>
  <c r="H86" i="27"/>
  <c r="D86" i="27"/>
  <c r="L86" i="27" s="1"/>
  <c r="B86" i="27"/>
  <c r="X85" i="27"/>
  <c r="Z85" i="27" s="1"/>
  <c r="N85" i="27"/>
  <c r="L85" i="27"/>
  <c r="B85" i="27"/>
  <c r="T84" i="27"/>
  <c r="P84" i="27"/>
  <c r="X84" i="27" s="1"/>
  <c r="Z84" i="27" s="1"/>
  <c r="L84" i="27"/>
  <c r="N84" i="27" s="1"/>
  <c r="H84" i="27"/>
  <c r="D84" i="27"/>
  <c r="B84" i="27"/>
  <c r="Z83" i="27"/>
  <c r="X83" i="27"/>
  <c r="N83" i="27"/>
  <c r="L83" i="27"/>
  <c r="B83" i="27"/>
  <c r="Z82" i="27"/>
  <c r="X82" i="27"/>
  <c r="V82" i="27"/>
  <c r="N82" i="27"/>
  <c r="L82" i="27"/>
  <c r="J82" i="27"/>
  <c r="B82" i="27"/>
  <c r="Z81" i="27"/>
  <c r="X81" i="27"/>
  <c r="L81" i="27"/>
  <c r="N81" i="27" s="1"/>
  <c r="B81" i="27"/>
  <c r="Z80" i="27"/>
  <c r="X80" i="27"/>
  <c r="V80" i="27"/>
  <c r="N80" i="27"/>
  <c r="L80" i="27"/>
  <c r="B80" i="27"/>
  <c r="Z79" i="27"/>
  <c r="X79" i="27"/>
  <c r="N79" i="27"/>
  <c r="L79" i="27"/>
  <c r="J79" i="27"/>
  <c r="B79" i="27"/>
  <c r="X78" i="27"/>
  <c r="Z78" i="27" s="1"/>
  <c r="L78" i="27"/>
  <c r="N78" i="27" s="1"/>
  <c r="B78" i="27"/>
  <c r="Z77" i="27"/>
  <c r="X77" i="27"/>
  <c r="L77" i="27"/>
  <c r="N77" i="27" s="1"/>
  <c r="B77" i="27"/>
  <c r="Z76" i="27"/>
  <c r="X76" i="27"/>
  <c r="N76" i="27"/>
  <c r="L76" i="27"/>
  <c r="B76" i="27"/>
  <c r="Z75" i="27"/>
  <c r="X75" i="27"/>
  <c r="L75" i="27"/>
  <c r="N75" i="27" s="1"/>
  <c r="J75" i="27"/>
  <c r="B75" i="27"/>
  <c r="Z74" i="27"/>
  <c r="X74" i="27"/>
  <c r="N74" i="27"/>
  <c r="L74" i="27"/>
  <c r="J74" i="27"/>
  <c r="B74" i="27"/>
  <c r="T73" i="27"/>
  <c r="P73" i="27"/>
  <c r="X73" i="27" s="1"/>
  <c r="Z73" i="27" s="1"/>
  <c r="H73" i="27"/>
  <c r="D73" i="27"/>
  <c r="B73" i="27"/>
  <c r="X72" i="27"/>
  <c r="Z72" i="27" s="1"/>
  <c r="N72" i="27"/>
  <c r="L72" i="27"/>
  <c r="B72" i="27"/>
  <c r="X71" i="27"/>
  <c r="Z71" i="27" s="1"/>
  <c r="L71" i="27"/>
  <c r="N71" i="27" s="1"/>
  <c r="J71" i="27"/>
  <c r="B71" i="27"/>
  <c r="X70" i="27"/>
  <c r="Z70" i="27" s="1"/>
  <c r="L70" i="27"/>
  <c r="N70" i="27" s="1"/>
  <c r="B70" i="27"/>
  <c r="Z69" i="27"/>
  <c r="X69" i="27"/>
  <c r="N69" i="27"/>
  <c r="L69" i="27"/>
  <c r="B69" i="27"/>
  <c r="Z68" i="27"/>
  <c r="X68" i="27"/>
  <c r="N68" i="27"/>
  <c r="L68" i="27"/>
  <c r="B68" i="27"/>
  <c r="X67" i="27"/>
  <c r="Z67" i="27" s="1"/>
  <c r="L67" i="27"/>
  <c r="N67" i="27" s="1"/>
  <c r="B67" i="27"/>
  <c r="X66" i="27"/>
  <c r="Z66" i="27" s="1"/>
  <c r="N66" i="27"/>
  <c r="L66" i="27"/>
  <c r="B66" i="27"/>
  <c r="Z65" i="27"/>
  <c r="X65" i="27"/>
  <c r="L65" i="27"/>
  <c r="N65" i="27" s="1"/>
  <c r="B65" i="27"/>
  <c r="X64" i="27"/>
  <c r="Z64" i="27" s="1"/>
  <c r="N64" i="27"/>
  <c r="L64" i="27"/>
  <c r="B64" i="27"/>
  <c r="X63" i="27"/>
  <c r="Z63" i="27" s="1"/>
  <c r="L63" i="27"/>
  <c r="N63" i="27" s="1"/>
  <c r="B63" i="27"/>
  <c r="T62" i="27"/>
  <c r="Z62" i="27" s="1"/>
  <c r="P62" i="27"/>
  <c r="X62" i="27" s="1"/>
  <c r="H62" i="27"/>
  <c r="D62" i="27"/>
  <c r="L62" i="27" s="1"/>
  <c r="B62" i="27"/>
  <c r="T61" i="27"/>
  <c r="P61" i="27"/>
  <c r="L61" i="27"/>
  <c r="J61" i="27"/>
  <c r="H61" i="27"/>
  <c r="D61" i="27"/>
  <c r="H59" i="27"/>
  <c r="Z57" i="27"/>
  <c r="X57" i="27"/>
  <c r="V57" i="27"/>
  <c r="N57" i="27"/>
  <c r="L57" i="27"/>
  <c r="B57" i="27"/>
  <c r="Z56" i="27"/>
  <c r="X56" i="27"/>
  <c r="N56" i="27"/>
  <c r="L56" i="27"/>
  <c r="B56" i="27"/>
  <c r="Z55" i="27"/>
  <c r="X55" i="27"/>
  <c r="N55" i="27"/>
  <c r="L55" i="27"/>
  <c r="B55" i="27"/>
  <c r="Z54" i="27"/>
  <c r="X54" i="27"/>
  <c r="N54" i="27"/>
  <c r="L54" i="27"/>
  <c r="B54" i="27"/>
  <c r="Z53" i="27"/>
  <c r="X53" i="27"/>
  <c r="N53" i="27"/>
  <c r="L53" i="27"/>
  <c r="B53" i="27"/>
  <c r="Z52" i="27"/>
  <c r="X52" i="27"/>
  <c r="N52" i="27"/>
  <c r="L52" i="27"/>
  <c r="J52" i="27"/>
  <c r="B52" i="27"/>
  <c r="Z51" i="27"/>
  <c r="X51" i="27"/>
  <c r="N51" i="27"/>
  <c r="L51" i="27"/>
  <c r="B51" i="27"/>
  <c r="Z50" i="27"/>
  <c r="X50" i="27"/>
  <c r="N50" i="27"/>
  <c r="L50" i="27"/>
  <c r="J50" i="27"/>
  <c r="B50" i="27"/>
  <c r="Z49" i="27"/>
  <c r="X49" i="27"/>
  <c r="N49" i="27"/>
  <c r="L49" i="27"/>
  <c r="B49" i="27"/>
  <c r="Z48" i="27"/>
  <c r="X48" i="27"/>
  <c r="N48" i="27"/>
  <c r="L48" i="27"/>
  <c r="J48" i="27"/>
  <c r="B48" i="27"/>
  <c r="Z47" i="27"/>
  <c r="X47" i="27"/>
  <c r="N47" i="27"/>
  <c r="L47" i="27"/>
  <c r="B47" i="27"/>
  <c r="Z46" i="27"/>
  <c r="X46" i="27"/>
  <c r="N46" i="27"/>
  <c r="L46" i="27"/>
  <c r="J46" i="27"/>
  <c r="B46" i="27"/>
  <c r="Z45" i="27"/>
  <c r="X45" i="27"/>
  <c r="N45" i="27"/>
  <c r="L45" i="27"/>
  <c r="B45" i="27"/>
  <c r="Z44" i="27"/>
  <c r="X44" i="27"/>
  <c r="V44" i="27"/>
  <c r="N44" i="27"/>
  <c r="L44" i="27"/>
  <c r="J44" i="27"/>
  <c r="B44" i="27"/>
  <c r="Z43" i="27"/>
  <c r="X43" i="27"/>
  <c r="N43" i="27"/>
  <c r="L43" i="27"/>
  <c r="B43" i="27"/>
  <c r="X42" i="27"/>
  <c r="Z42" i="27" s="1"/>
  <c r="N42" i="27"/>
  <c r="L42" i="27"/>
  <c r="B42" i="27"/>
  <c r="T41" i="27"/>
  <c r="P41" i="27"/>
  <c r="J41" i="27"/>
  <c r="H41" i="27"/>
  <c r="D41" i="27"/>
  <c r="L41" i="27" s="1"/>
  <c r="Z39" i="27"/>
  <c r="P39" i="27"/>
  <c r="X39" i="27" s="1"/>
  <c r="N39" i="27"/>
  <c r="D39" i="27"/>
  <c r="L39" i="27" s="1"/>
  <c r="B39" i="27"/>
  <c r="Z38" i="27"/>
  <c r="P38" i="27"/>
  <c r="X38" i="27" s="1"/>
  <c r="N38" i="27"/>
  <c r="L38" i="27"/>
  <c r="D38" i="27"/>
  <c r="B38" i="27"/>
  <c r="Z37" i="27"/>
  <c r="X37" i="27"/>
  <c r="P37" i="27"/>
  <c r="N37" i="27"/>
  <c r="D37" i="27"/>
  <c r="L37" i="27" s="1"/>
  <c r="B37" i="27"/>
  <c r="Z36" i="27"/>
  <c r="X36" i="27"/>
  <c r="P36" i="27"/>
  <c r="N36" i="27"/>
  <c r="L36" i="27"/>
  <c r="D36" i="27"/>
  <c r="B36" i="27"/>
  <c r="Z35" i="27"/>
  <c r="X35" i="27"/>
  <c r="P35" i="27"/>
  <c r="N35" i="27"/>
  <c r="D35" i="27"/>
  <c r="L35" i="27" s="1"/>
  <c r="B35" i="27"/>
  <c r="Z34" i="27"/>
  <c r="P34" i="27"/>
  <c r="X34" i="27" s="1"/>
  <c r="N34" i="27"/>
  <c r="D34" i="27"/>
  <c r="L34" i="27" s="1"/>
  <c r="B34" i="27"/>
  <c r="Z33" i="27"/>
  <c r="X33" i="27"/>
  <c r="P33" i="27"/>
  <c r="N33" i="27"/>
  <c r="D33" i="27"/>
  <c r="L33" i="27" s="1"/>
  <c r="B33" i="27"/>
  <c r="Z32" i="27"/>
  <c r="X32" i="27"/>
  <c r="P32" i="27"/>
  <c r="N32" i="27"/>
  <c r="L32" i="27"/>
  <c r="D32" i="27"/>
  <c r="B32" i="27"/>
  <c r="Z31" i="27"/>
  <c r="P31" i="27"/>
  <c r="X31" i="27" s="1"/>
  <c r="N31" i="27"/>
  <c r="D31" i="27"/>
  <c r="L31" i="27" s="1"/>
  <c r="B31" i="27"/>
  <c r="Z30" i="27"/>
  <c r="P30" i="27"/>
  <c r="X30" i="27" s="1"/>
  <c r="N30" i="27"/>
  <c r="L30" i="27"/>
  <c r="D30" i="27"/>
  <c r="B30" i="27"/>
  <c r="Z29" i="27"/>
  <c r="X29" i="27"/>
  <c r="P29" i="27"/>
  <c r="N29" i="27"/>
  <c r="L29" i="27"/>
  <c r="D29" i="27"/>
  <c r="B29" i="27"/>
  <c r="Z28" i="27"/>
  <c r="P28" i="27"/>
  <c r="X28" i="27" s="1"/>
  <c r="N28" i="27"/>
  <c r="D28" i="27"/>
  <c r="L28" i="27" s="1"/>
  <c r="B28" i="27"/>
  <c r="Z27" i="27"/>
  <c r="X27" i="27"/>
  <c r="P27" i="27"/>
  <c r="N27" i="27"/>
  <c r="D27" i="27"/>
  <c r="L27" i="27" s="1"/>
  <c r="B27" i="27"/>
  <c r="Z26" i="27"/>
  <c r="X26" i="27"/>
  <c r="P26" i="27"/>
  <c r="N26" i="27"/>
  <c r="L26" i="27"/>
  <c r="D26" i="27"/>
  <c r="B26" i="27"/>
  <c r="Z25" i="27"/>
  <c r="P25" i="27"/>
  <c r="X25" i="27" s="1"/>
  <c r="N25" i="27"/>
  <c r="D25" i="27"/>
  <c r="L25" i="27" s="1"/>
  <c r="B25" i="27"/>
  <c r="Z24" i="27"/>
  <c r="P24" i="27"/>
  <c r="X24" i="27" s="1"/>
  <c r="N24" i="27"/>
  <c r="L24" i="27"/>
  <c r="D24" i="27"/>
  <c r="B24" i="27"/>
  <c r="Z23" i="27"/>
  <c r="X23" i="27"/>
  <c r="P23" i="27"/>
  <c r="N23" i="27"/>
  <c r="L23" i="27"/>
  <c r="D23" i="27"/>
  <c r="B23" i="27"/>
  <c r="Z22" i="27"/>
  <c r="P22" i="27"/>
  <c r="X22" i="27" s="1"/>
  <c r="N22" i="27"/>
  <c r="D22" i="27"/>
  <c r="L22" i="27" s="1"/>
  <c r="B22" i="27"/>
  <c r="P21" i="27"/>
  <c r="X21" i="27" s="1"/>
  <c r="Z21" i="27" s="1"/>
  <c r="D21" i="27"/>
  <c r="L21" i="27" s="1"/>
  <c r="N21" i="27" s="1"/>
  <c r="B21" i="27"/>
  <c r="Z20" i="27"/>
  <c r="X20" i="27"/>
  <c r="P20" i="27"/>
  <c r="N20" i="27"/>
  <c r="L20" i="27"/>
  <c r="D20" i="27"/>
  <c r="B20" i="27"/>
  <c r="Z19" i="27"/>
  <c r="P19" i="27"/>
  <c r="X19" i="27" s="1"/>
  <c r="N19" i="27"/>
  <c r="D19" i="27"/>
  <c r="L19" i="27" s="1"/>
  <c r="B19" i="27"/>
  <c r="Z18" i="27"/>
  <c r="P18" i="27"/>
  <c r="X18" i="27" s="1"/>
  <c r="N18" i="27"/>
  <c r="D18" i="27"/>
  <c r="L18" i="27" s="1"/>
  <c r="B18" i="27"/>
  <c r="Z17" i="27"/>
  <c r="X17" i="27"/>
  <c r="P17" i="27"/>
  <c r="N17" i="27"/>
  <c r="L17" i="27"/>
  <c r="D17" i="27"/>
  <c r="B17" i="27"/>
  <c r="Z16" i="27"/>
  <c r="P16" i="27"/>
  <c r="X16" i="27" s="1"/>
  <c r="N16" i="27"/>
  <c r="D16" i="27"/>
  <c r="L16" i="27" s="1"/>
  <c r="B16" i="27"/>
  <c r="Z15" i="27"/>
  <c r="X15" i="27"/>
  <c r="P15" i="27"/>
  <c r="N15" i="27"/>
  <c r="D15" i="27"/>
  <c r="L15" i="27" s="1"/>
  <c r="B15" i="27"/>
  <c r="Z14" i="27"/>
  <c r="X14" i="27"/>
  <c r="P14" i="27"/>
  <c r="N14" i="27"/>
  <c r="L14" i="27"/>
  <c r="D14" i="27"/>
  <c r="B14" i="27"/>
  <c r="Z13" i="27"/>
  <c r="P13" i="27"/>
  <c r="N13" i="27"/>
  <c r="D13" i="27"/>
  <c r="B13" i="27"/>
  <c r="T12" i="27"/>
  <c r="V111" i="27" s="1"/>
  <c r="H12" i="27"/>
  <c r="J90" i="27" s="1"/>
  <c r="D4" i="27"/>
  <c r="Z135" i="24"/>
  <c r="X135" i="24"/>
  <c r="L135" i="24"/>
  <c r="N135" i="24" s="1"/>
  <c r="T131" i="24"/>
  <c r="P131" i="24"/>
  <c r="H131" i="24"/>
  <c r="N131" i="24" s="1"/>
  <c r="D131" i="24"/>
  <c r="X129" i="24"/>
  <c r="Z129" i="24" s="1"/>
  <c r="N129" i="24"/>
  <c r="L129" i="24"/>
  <c r="B129" i="24"/>
  <c r="T128" i="24"/>
  <c r="X128" i="24" s="1"/>
  <c r="Z128" i="24" s="1"/>
  <c r="P128" i="24"/>
  <c r="N128" i="24"/>
  <c r="L128" i="24"/>
  <c r="H128" i="24"/>
  <c r="D128" i="24"/>
  <c r="B128" i="24"/>
  <c r="Z127" i="24"/>
  <c r="X127" i="24"/>
  <c r="L127" i="24"/>
  <c r="N127" i="24" s="1"/>
  <c r="J127" i="24"/>
  <c r="B127" i="24"/>
  <c r="T126" i="24"/>
  <c r="P126" i="24"/>
  <c r="X126" i="24" s="1"/>
  <c r="J126" i="24"/>
  <c r="H126" i="24"/>
  <c r="D126" i="24"/>
  <c r="L126" i="24" s="1"/>
  <c r="B126" i="24"/>
  <c r="Z125" i="24"/>
  <c r="X125" i="24"/>
  <c r="N125" i="24"/>
  <c r="L125" i="24"/>
  <c r="B125" i="24"/>
  <c r="X124" i="24"/>
  <c r="Z124" i="24" s="1"/>
  <c r="N124" i="24"/>
  <c r="L124" i="24"/>
  <c r="B124" i="24"/>
  <c r="X123" i="24"/>
  <c r="Z123" i="24" s="1"/>
  <c r="V123" i="24"/>
  <c r="T123" i="24"/>
  <c r="P123" i="24"/>
  <c r="H123" i="24"/>
  <c r="D123" i="24"/>
  <c r="L123" i="24" s="1"/>
  <c r="N123" i="24" s="1"/>
  <c r="B123" i="24"/>
  <c r="Z122" i="24"/>
  <c r="X122" i="24"/>
  <c r="N122" i="24"/>
  <c r="L122" i="24"/>
  <c r="B122" i="24"/>
  <c r="T121" i="24"/>
  <c r="P121" i="24"/>
  <c r="H121" i="24"/>
  <c r="N121" i="24" s="1"/>
  <c r="D121" i="24"/>
  <c r="B121" i="24"/>
  <c r="Z120" i="24"/>
  <c r="X120" i="24"/>
  <c r="V120" i="24"/>
  <c r="L120" i="24"/>
  <c r="N120" i="24" s="1"/>
  <c r="B120" i="24"/>
  <c r="Z119" i="24"/>
  <c r="X119" i="24"/>
  <c r="L119" i="24"/>
  <c r="N119" i="24" s="1"/>
  <c r="J119" i="24"/>
  <c r="B119" i="24"/>
  <c r="T118" i="24"/>
  <c r="P118" i="24"/>
  <c r="X118" i="24" s="1"/>
  <c r="J118" i="24"/>
  <c r="H118" i="24"/>
  <c r="D118" i="24"/>
  <c r="L118" i="24" s="1"/>
  <c r="B118" i="24"/>
  <c r="X117" i="24"/>
  <c r="Z117" i="24" s="1"/>
  <c r="L117" i="24"/>
  <c r="N117" i="24" s="1"/>
  <c r="B117" i="24"/>
  <c r="Z116" i="24"/>
  <c r="X116" i="24"/>
  <c r="N116" i="24"/>
  <c r="L116" i="24"/>
  <c r="B116" i="24"/>
  <c r="X115" i="24"/>
  <c r="Z115" i="24" s="1"/>
  <c r="V115" i="24"/>
  <c r="T115" i="24"/>
  <c r="P115" i="24"/>
  <c r="H115" i="24"/>
  <c r="D115" i="24"/>
  <c r="L115" i="24" s="1"/>
  <c r="N115" i="24" s="1"/>
  <c r="B115" i="24"/>
  <c r="X114" i="24"/>
  <c r="Z114" i="24" s="1"/>
  <c r="N114" i="24"/>
  <c r="L114" i="24"/>
  <c r="B114" i="24"/>
  <c r="T113" i="24"/>
  <c r="P113" i="24"/>
  <c r="H113" i="24"/>
  <c r="D113" i="24"/>
  <c r="B113" i="24"/>
  <c r="Z112" i="24"/>
  <c r="X112" i="24"/>
  <c r="V112" i="24"/>
  <c r="L112" i="24"/>
  <c r="N112" i="24" s="1"/>
  <c r="B112" i="24"/>
  <c r="T111" i="24"/>
  <c r="P111" i="24"/>
  <c r="X111" i="24" s="1"/>
  <c r="H111" i="24"/>
  <c r="D111" i="24"/>
  <c r="L111" i="24" s="1"/>
  <c r="N111" i="24" s="1"/>
  <c r="B111" i="24"/>
  <c r="Z110" i="24"/>
  <c r="X110" i="24"/>
  <c r="N110" i="24"/>
  <c r="L110" i="24"/>
  <c r="B110" i="24"/>
  <c r="Z109" i="24"/>
  <c r="X109" i="24"/>
  <c r="T109" i="24"/>
  <c r="P109" i="24"/>
  <c r="N109" i="24"/>
  <c r="L109" i="24"/>
  <c r="J109" i="24"/>
  <c r="H109" i="24"/>
  <c r="D109" i="24"/>
  <c r="B109" i="24"/>
  <c r="Z108" i="24"/>
  <c r="X108" i="24"/>
  <c r="N108" i="24"/>
  <c r="L108" i="24"/>
  <c r="J108" i="24"/>
  <c r="B108" i="24"/>
  <c r="T107" i="24"/>
  <c r="P107" i="24"/>
  <c r="H107" i="24"/>
  <c r="D107" i="24"/>
  <c r="B107" i="24"/>
  <c r="Z106" i="24"/>
  <c r="X106" i="24"/>
  <c r="N106" i="24"/>
  <c r="L106" i="24"/>
  <c r="B106" i="24"/>
  <c r="Z105" i="24"/>
  <c r="X105" i="24"/>
  <c r="L105" i="24"/>
  <c r="N105" i="24" s="1"/>
  <c r="B105" i="24"/>
  <c r="T104" i="24"/>
  <c r="P104" i="24"/>
  <c r="H104" i="24"/>
  <c r="D104" i="24"/>
  <c r="L104" i="24" s="1"/>
  <c r="B104" i="24"/>
  <c r="Z103" i="24"/>
  <c r="X103" i="24"/>
  <c r="V103" i="24"/>
  <c r="N103" i="24"/>
  <c r="L103" i="24"/>
  <c r="B103" i="24"/>
  <c r="T102" i="24"/>
  <c r="Z102" i="24" s="1"/>
  <c r="P102" i="24"/>
  <c r="X102" i="24" s="1"/>
  <c r="H102" i="24"/>
  <c r="N102" i="24" s="1"/>
  <c r="D102" i="24"/>
  <c r="L102" i="24" s="1"/>
  <c r="B102" i="24"/>
  <c r="X101" i="24"/>
  <c r="Z101" i="24" s="1"/>
  <c r="N101" i="24"/>
  <c r="L101" i="24"/>
  <c r="B101" i="24"/>
  <c r="T100" i="24"/>
  <c r="X100" i="24" s="1"/>
  <c r="Z100" i="24" s="1"/>
  <c r="P100" i="24"/>
  <c r="N100" i="24"/>
  <c r="L100" i="24"/>
  <c r="H100" i="24"/>
  <c r="D100" i="24"/>
  <c r="B100" i="24"/>
  <c r="Z99" i="24"/>
  <c r="X99" i="24"/>
  <c r="N99" i="24"/>
  <c r="L99" i="24"/>
  <c r="J99" i="24"/>
  <c r="B99" i="24"/>
  <c r="Z98" i="24"/>
  <c r="X98" i="24"/>
  <c r="V98" i="24"/>
  <c r="N98" i="24"/>
  <c r="L98" i="24"/>
  <c r="B98" i="24"/>
  <c r="Z97" i="24"/>
  <c r="X97" i="24"/>
  <c r="L97" i="24"/>
  <c r="N97" i="24" s="1"/>
  <c r="B97" i="24"/>
  <c r="Z96" i="24"/>
  <c r="X96" i="24"/>
  <c r="V96" i="24"/>
  <c r="L96" i="24"/>
  <c r="N96" i="24" s="1"/>
  <c r="B96" i="24"/>
  <c r="Z95" i="24"/>
  <c r="X95" i="24"/>
  <c r="N95" i="24"/>
  <c r="L95" i="24"/>
  <c r="J95" i="24"/>
  <c r="B95" i="24"/>
  <c r="Z94" i="24"/>
  <c r="X94" i="24"/>
  <c r="V94" i="24"/>
  <c r="N94" i="24"/>
  <c r="L94" i="24"/>
  <c r="B94" i="24"/>
  <c r="Z93" i="24"/>
  <c r="X93" i="24"/>
  <c r="N93" i="24"/>
  <c r="L93" i="24"/>
  <c r="B93" i="24"/>
  <c r="Z92" i="24"/>
  <c r="X92" i="24"/>
  <c r="V92" i="24"/>
  <c r="N92" i="24"/>
  <c r="L92" i="24"/>
  <c r="B92" i="24"/>
  <c r="Z91" i="24"/>
  <c r="X91" i="24"/>
  <c r="N91" i="24"/>
  <c r="L91" i="24"/>
  <c r="J91" i="24"/>
  <c r="B91" i="24"/>
  <c r="Z90" i="24"/>
  <c r="X90" i="24"/>
  <c r="V90" i="24"/>
  <c r="L90" i="24"/>
  <c r="N90" i="24" s="1"/>
  <c r="B90" i="24"/>
  <c r="Z89" i="24"/>
  <c r="T89" i="24"/>
  <c r="P89" i="24"/>
  <c r="X89" i="24" s="1"/>
  <c r="H89" i="24"/>
  <c r="D89" i="24"/>
  <c r="L89" i="24" s="1"/>
  <c r="B89" i="24"/>
  <c r="Z88" i="24"/>
  <c r="X88" i="24"/>
  <c r="N88" i="24"/>
  <c r="L88" i="24"/>
  <c r="B88" i="24"/>
  <c r="X87" i="24"/>
  <c r="Z87" i="24" s="1"/>
  <c r="V87" i="24"/>
  <c r="L87" i="24"/>
  <c r="N87" i="24" s="1"/>
  <c r="B87" i="24"/>
  <c r="X86" i="24"/>
  <c r="Z86" i="24" s="1"/>
  <c r="V86" i="24"/>
  <c r="L86" i="24"/>
  <c r="N86" i="24" s="1"/>
  <c r="B86" i="24"/>
  <c r="Z85" i="24"/>
  <c r="X85" i="24"/>
  <c r="N85" i="24"/>
  <c r="L85" i="24"/>
  <c r="B85" i="24"/>
  <c r="X84" i="24"/>
  <c r="Z84" i="24" s="1"/>
  <c r="N84" i="24"/>
  <c r="L84" i="24"/>
  <c r="B84" i="24"/>
  <c r="X83" i="24"/>
  <c r="Z83" i="24" s="1"/>
  <c r="V83" i="24"/>
  <c r="L83" i="24"/>
  <c r="N83" i="24" s="1"/>
  <c r="B83" i="24"/>
  <c r="X82" i="24"/>
  <c r="Z82" i="24" s="1"/>
  <c r="V82" i="24"/>
  <c r="L82" i="24"/>
  <c r="N82" i="24" s="1"/>
  <c r="B82" i="24"/>
  <c r="X81" i="24"/>
  <c r="Z81" i="24" s="1"/>
  <c r="L81" i="24"/>
  <c r="N81" i="24" s="1"/>
  <c r="B81" i="24"/>
  <c r="X80" i="24"/>
  <c r="Z80" i="24" s="1"/>
  <c r="N80" i="24"/>
  <c r="L80" i="24"/>
  <c r="B80" i="24"/>
  <c r="X79" i="24"/>
  <c r="Z79" i="24" s="1"/>
  <c r="V79" i="24"/>
  <c r="T79" i="24"/>
  <c r="P79" i="24"/>
  <c r="L79" i="24"/>
  <c r="N79" i="24" s="1"/>
  <c r="H79" i="24"/>
  <c r="D79" i="24"/>
  <c r="B79" i="24"/>
  <c r="X78" i="24"/>
  <c r="Z78" i="24" s="1"/>
  <c r="T78" i="24"/>
  <c r="P78" i="24"/>
  <c r="H78" i="24"/>
  <c r="L78" i="24" s="1"/>
  <c r="N78" i="24" s="1"/>
  <c r="D78" i="24"/>
  <c r="Z74" i="24"/>
  <c r="X74" i="24"/>
  <c r="N74" i="24"/>
  <c r="L74" i="24"/>
  <c r="B74" i="24"/>
  <c r="Z73" i="24"/>
  <c r="X73" i="24"/>
  <c r="N73" i="24"/>
  <c r="L73" i="24"/>
  <c r="B73" i="24"/>
  <c r="Z72" i="24"/>
  <c r="X72" i="24"/>
  <c r="N72" i="24"/>
  <c r="L72" i="24"/>
  <c r="J72" i="24"/>
  <c r="B72" i="24"/>
  <c r="Z71" i="24"/>
  <c r="X71" i="24"/>
  <c r="N71" i="24"/>
  <c r="L71" i="24"/>
  <c r="B71" i="24"/>
  <c r="Z70" i="24"/>
  <c r="X70" i="24"/>
  <c r="N70" i="24"/>
  <c r="L70" i="24"/>
  <c r="B70" i="24"/>
  <c r="Z69" i="24"/>
  <c r="X69" i="24"/>
  <c r="N69" i="24"/>
  <c r="L69" i="24"/>
  <c r="B69" i="24"/>
  <c r="Z68" i="24"/>
  <c r="X68" i="24"/>
  <c r="N68" i="24"/>
  <c r="L68" i="24"/>
  <c r="J68" i="24"/>
  <c r="B68" i="24"/>
  <c r="Z67" i="24"/>
  <c r="X67" i="24"/>
  <c r="N67" i="24"/>
  <c r="L67" i="24"/>
  <c r="B67" i="24"/>
  <c r="Z66" i="24"/>
  <c r="X66" i="24"/>
  <c r="N66" i="24"/>
  <c r="L66" i="24"/>
  <c r="B66" i="24"/>
  <c r="Z65" i="24"/>
  <c r="X65" i="24"/>
  <c r="N65" i="24"/>
  <c r="L65" i="24"/>
  <c r="B65" i="24"/>
  <c r="Z64" i="24"/>
  <c r="X64" i="24"/>
  <c r="N64" i="24"/>
  <c r="L64" i="24"/>
  <c r="J64" i="24"/>
  <c r="B64" i="24"/>
  <c r="Z63" i="24"/>
  <c r="X63" i="24"/>
  <c r="N63" i="24"/>
  <c r="L63" i="24"/>
  <c r="B63" i="24"/>
  <c r="Z62" i="24"/>
  <c r="X62" i="24"/>
  <c r="N62" i="24"/>
  <c r="L62" i="24"/>
  <c r="B62" i="24"/>
  <c r="Z61" i="24"/>
  <c r="X61" i="24"/>
  <c r="N61" i="24"/>
  <c r="L61" i="24"/>
  <c r="B61" i="24"/>
  <c r="Z60" i="24"/>
  <c r="X60" i="24"/>
  <c r="N60" i="24"/>
  <c r="L60" i="24"/>
  <c r="J60" i="24"/>
  <c r="B60" i="24"/>
  <c r="Z59" i="24"/>
  <c r="X59" i="24"/>
  <c r="N59" i="24"/>
  <c r="L59" i="24"/>
  <c r="B59" i="24"/>
  <c r="Z58" i="24"/>
  <c r="X58" i="24"/>
  <c r="N58" i="24"/>
  <c r="L58" i="24"/>
  <c r="B58" i="24"/>
  <c r="Z57" i="24"/>
  <c r="X57" i="24"/>
  <c r="N57" i="24"/>
  <c r="L57" i="24"/>
  <c r="B57" i="24"/>
  <c r="Z56" i="24"/>
  <c r="X56" i="24"/>
  <c r="N56" i="24"/>
  <c r="L56" i="24"/>
  <c r="J56" i="24"/>
  <c r="B56" i="24"/>
  <c r="Z55" i="24"/>
  <c r="X55" i="24"/>
  <c r="V55" i="24"/>
  <c r="N55" i="24"/>
  <c r="L55" i="24"/>
  <c r="B55" i="24"/>
  <c r="Z54" i="24"/>
  <c r="X54" i="24"/>
  <c r="N54" i="24"/>
  <c r="L54" i="24"/>
  <c r="B54" i="24"/>
  <c r="Z53" i="24"/>
  <c r="X53" i="24"/>
  <c r="N53" i="24"/>
  <c r="L53" i="24"/>
  <c r="B53" i="24"/>
  <c r="Z52" i="24"/>
  <c r="X52" i="24"/>
  <c r="N52" i="24"/>
  <c r="L52" i="24"/>
  <c r="J52" i="24"/>
  <c r="B52" i="24"/>
  <c r="X51" i="24"/>
  <c r="Z51" i="24" s="1"/>
  <c r="V51" i="24"/>
  <c r="N51" i="24"/>
  <c r="L51" i="24"/>
  <c r="B51" i="24"/>
  <c r="Z50" i="24"/>
  <c r="X50" i="24"/>
  <c r="T50" i="24"/>
  <c r="P50" i="24"/>
  <c r="H50" i="24"/>
  <c r="L50" i="24" s="1"/>
  <c r="N50" i="24" s="1"/>
  <c r="D50" i="24"/>
  <c r="Z48" i="24"/>
  <c r="X48" i="24"/>
  <c r="P48" i="24"/>
  <c r="N48" i="24"/>
  <c r="D48" i="24"/>
  <c r="L48" i="24" s="1"/>
  <c r="B48" i="24"/>
  <c r="Z47" i="24"/>
  <c r="P47" i="24"/>
  <c r="X47" i="24" s="1"/>
  <c r="N47" i="24"/>
  <c r="D47" i="24"/>
  <c r="L47" i="24" s="1"/>
  <c r="B47" i="24"/>
  <c r="Z46" i="24"/>
  <c r="P46" i="24"/>
  <c r="X46" i="24" s="1"/>
  <c r="N46" i="24"/>
  <c r="L46" i="24"/>
  <c r="D46" i="24"/>
  <c r="B46" i="24"/>
  <c r="Z45" i="24"/>
  <c r="X45" i="24"/>
  <c r="P45" i="24"/>
  <c r="N45" i="24"/>
  <c r="L45" i="24"/>
  <c r="D45" i="24"/>
  <c r="B45" i="24"/>
  <c r="Z44" i="24"/>
  <c r="P44" i="24"/>
  <c r="X44" i="24" s="1"/>
  <c r="N44" i="24"/>
  <c r="D44" i="24"/>
  <c r="L44" i="24" s="1"/>
  <c r="B44" i="24"/>
  <c r="Z43" i="24"/>
  <c r="X43" i="24"/>
  <c r="P43" i="24"/>
  <c r="N43" i="24"/>
  <c r="D43" i="24"/>
  <c r="L43" i="24" s="1"/>
  <c r="B43" i="24"/>
  <c r="Z42" i="24"/>
  <c r="X42" i="24"/>
  <c r="P42" i="24"/>
  <c r="N42" i="24"/>
  <c r="L42" i="24"/>
  <c r="D42" i="24"/>
  <c r="B42" i="24"/>
  <c r="Z41" i="24"/>
  <c r="P41" i="24"/>
  <c r="X41" i="24" s="1"/>
  <c r="N41" i="24"/>
  <c r="D41" i="24"/>
  <c r="L41" i="24" s="1"/>
  <c r="B41" i="24"/>
  <c r="Z40" i="24"/>
  <c r="P40" i="24"/>
  <c r="X40" i="24" s="1"/>
  <c r="N40" i="24"/>
  <c r="L40" i="24"/>
  <c r="D40" i="24"/>
  <c r="B40" i="24"/>
  <c r="Z39" i="24"/>
  <c r="P39" i="24"/>
  <c r="X39" i="24" s="1"/>
  <c r="N39" i="24"/>
  <c r="L39" i="24"/>
  <c r="D39" i="24"/>
  <c r="B39" i="24"/>
  <c r="Z38" i="24"/>
  <c r="P38" i="24"/>
  <c r="X38" i="24" s="1"/>
  <c r="N38" i="24"/>
  <c r="D38" i="24"/>
  <c r="L38" i="24" s="1"/>
  <c r="B38" i="24"/>
  <c r="Z37" i="24"/>
  <c r="X37" i="24"/>
  <c r="P37" i="24"/>
  <c r="N37" i="24"/>
  <c r="D37" i="24"/>
  <c r="L37" i="24" s="1"/>
  <c r="B37" i="24"/>
  <c r="Z36" i="24"/>
  <c r="X36" i="24"/>
  <c r="P36" i="24"/>
  <c r="N36" i="24"/>
  <c r="D36" i="24"/>
  <c r="L36" i="24" s="1"/>
  <c r="B36" i="24"/>
  <c r="Z35" i="24"/>
  <c r="P35" i="24"/>
  <c r="X35" i="24" s="1"/>
  <c r="N35" i="24"/>
  <c r="D35" i="24"/>
  <c r="L35" i="24" s="1"/>
  <c r="B35" i="24"/>
  <c r="Z34" i="24"/>
  <c r="P34" i="24"/>
  <c r="X34" i="24" s="1"/>
  <c r="N34" i="24"/>
  <c r="L34" i="24"/>
  <c r="D34" i="24"/>
  <c r="B34" i="24"/>
  <c r="Z33" i="24"/>
  <c r="X33" i="24"/>
  <c r="P33" i="24"/>
  <c r="N33" i="24"/>
  <c r="L33" i="24"/>
  <c r="D33" i="24"/>
  <c r="B33" i="24"/>
  <c r="Z32" i="24"/>
  <c r="P32" i="24"/>
  <c r="X32" i="24" s="1"/>
  <c r="N32" i="24"/>
  <c r="D32" i="24"/>
  <c r="L32" i="24" s="1"/>
  <c r="B32" i="24"/>
  <c r="Z31" i="24"/>
  <c r="X31" i="24"/>
  <c r="P31" i="24"/>
  <c r="N31" i="24"/>
  <c r="D31" i="24"/>
  <c r="L31" i="24" s="1"/>
  <c r="B31" i="24"/>
  <c r="Z30" i="24"/>
  <c r="X30" i="24"/>
  <c r="P30" i="24"/>
  <c r="L30" i="24"/>
  <c r="N30" i="24" s="1"/>
  <c r="D30" i="24"/>
  <c r="B30" i="24"/>
  <c r="Z29" i="24"/>
  <c r="P29" i="24"/>
  <c r="X29" i="24" s="1"/>
  <c r="N29" i="24"/>
  <c r="D29" i="24"/>
  <c r="L29" i="24" s="1"/>
  <c r="B29" i="24"/>
  <c r="Z28" i="24"/>
  <c r="P28" i="24"/>
  <c r="X28" i="24" s="1"/>
  <c r="N28" i="24"/>
  <c r="D28" i="24"/>
  <c r="L28" i="24" s="1"/>
  <c r="B28" i="24"/>
  <c r="Z27" i="24"/>
  <c r="P27" i="24"/>
  <c r="X27" i="24" s="1"/>
  <c r="N27" i="24"/>
  <c r="L27" i="24"/>
  <c r="D27" i="24"/>
  <c r="B27" i="24"/>
  <c r="Z26" i="24"/>
  <c r="P26" i="24"/>
  <c r="X26" i="24" s="1"/>
  <c r="N26" i="24"/>
  <c r="D26" i="24"/>
  <c r="L26" i="24" s="1"/>
  <c r="B26" i="24"/>
  <c r="Z25" i="24"/>
  <c r="X25" i="24"/>
  <c r="P25" i="24"/>
  <c r="N25" i="24"/>
  <c r="D25" i="24"/>
  <c r="L25" i="24" s="1"/>
  <c r="B25" i="24"/>
  <c r="Z24" i="24"/>
  <c r="X24" i="24"/>
  <c r="P24" i="24"/>
  <c r="N24" i="24"/>
  <c r="D24" i="24"/>
  <c r="L24" i="24" s="1"/>
  <c r="B24" i="24"/>
  <c r="Z23" i="24"/>
  <c r="P23" i="24"/>
  <c r="X23" i="24" s="1"/>
  <c r="N23" i="24"/>
  <c r="D23" i="24"/>
  <c r="L23" i="24" s="1"/>
  <c r="B23" i="24"/>
  <c r="Z22" i="24"/>
  <c r="P22" i="24"/>
  <c r="X22" i="24" s="1"/>
  <c r="N22" i="24"/>
  <c r="L22" i="24"/>
  <c r="D22" i="24"/>
  <c r="B22" i="24"/>
  <c r="Z21" i="24"/>
  <c r="X21" i="24"/>
  <c r="P21" i="24"/>
  <c r="N21" i="24"/>
  <c r="L21" i="24"/>
  <c r="D21" i="24"/>
  <c r="B21" i="24"/>
  <c r="Z20" i="24"/>
  <c r="P20" i="24"/>
  <c r="X20" i="24" s="1"/>
  <c r="N20" i="24"/>
  <c r="D20" i="24"/>
  <c r="L20" i="24" s="1"/>
  <c r="B20" i="24"/>
  <c r="Z19" i="24"/>
  <c r="P19" i="24"/>
  <c r="X19" i="24" s="1"/>
  <c r="N19" i="24"/>
  <c r="D19" i="24"/>
  <c r="L19" i="24" s="1"/>
  <c r="B19" i="24"/>
  <c r="Z18" i="24"/>
  <c r="X18" i="24"/>
  <c r="P18" i="24"/>
  <c r="N18" i="24"/>
  <c r="L18" i="24"/>
  <c r="D18" i="24"/>
  <c r="B18" i="24"/>
  <c r="Z17" i="24"/>
  <c r="P17" i="24"/>
  <c r="X17" i="24" s="1"/>
  <c r="N17" i="24"/>
  <c r="D17" i="24"/>
  <c r="L17" i="24" s="1"/>
  <c r="B17" i="24"/>
  <c r="Z16" i="24"/>
  <c r="P16" i="24"/>
  <c r="X16" i="24" s="1"/>
  <c r="N16" i="24"/>
  <c r="L16" i="24"/>
  <c r="D16" i="24"/>
  <c r="B16" i="24"/>
  <c r="Z15" i="24"/>
  <c r="P15" i="24"/>
  <c r="X15" i="24" s="1"/>
  <c r="N15" i="24"/>
  <c r="L15" i="24"/>
  <c r="D15" i="24"/>
  <c r="B15" i="24"/>
  <c r="Z14" i="24"/>
  <c r="P14" i="24"/>
  <c r="X14" i="24" s="1"/>
  <c r="N14" i="24"/>
  <c r="D14" i="24"/>
  <c r="L14" i="24" s="1"/>
  <c r="B14" i="24"/>
  <c r="X13" i="24"/>
  <c r="Z13" i="24" s="1"/>
  <c r="P13" i="24"/>
  <c r="D13" i="24"/>
  <c r="B13" i="24"/>
  <c r="T12" i="24"/>
  <c r="V122" i="24" s="1"/>
  <c r="H12" i="24"/>
  <c r="J128" i="24" s="1"/>
  <c r="D4" i="24"/>
  <c r="X118" i="21"/>
  <c r="Z118" i="21" s="1"/>
  <c r="V118" i="21"/>
  <c r="L118" i="21"/>
  <c r="N118" i="21" s="1"/>
  <c r="T114" i="21"/>
  <c r="Z114" i="21" s="1"/>
  <c r="P114" i="21"/>
  <c r="X114" i="21" s="1"/>
  <c r="N114" i="21"/>
  <c r="H114" i="21"/>
  <c r="D114" i="21"/>
  <c r="L114" i="21" s="1"/>
  <c r="Z112" i="21"/>
  <c r="X112" i="21"/>
  <c r="L112" i="21"/>
  <c r="N112" i="21" s="1"/>
  <c r="J112" i="21"/>
  <c r="B112" i="21"/>
  <c r="T111" i="21"/>
  <c r="P111" i="21"/>
  <c r="X111" i="21" s="1"/>
  <c r="J111" i="21"/>
  <c r="H111" i="21"/>
  <c r="D111" i="21"/>
  <c r="B111" i="21"/>
  <c r="X110" i="21"/>
  <c r="Z110" i="21" s="1"/>
  <c r="N110" i="21"/>
  <c r="L110" i="21"/>
  <c r="B110" i="21"/>
  <c r="T109" i="21"/>
  <c r="Z109" i="21" s="1"/>
  <c r="P109" i="21"/>
  <c r="X109" i="21" s="1"/>
  <c r="H109" i="21"/>
  <c r="N109" i="21" s="1"/>
  <c r="F109" i="21"/>
  <c r="D109" i="21"/>
  <c r="L109" i="21" s="1"/>
  <c r="B109" i="21"/>
  <c r="X108" i="21"/>
  <c r="Z108" i="21" s="1"/>
  <c r="N108" i="21"/>
  <c r="L108" i="21"/>
  <c r="B108" i="21"/>
  <c r="Z107" i="21"/>
  <c r="X107" i="21"/>
  <c r="T107" i="21"/>
  <c r="P107" i="21"/>
  <c r="N107" i="21"/>
  <c r="H107" i="21"/>
  <c r="L107" i="21" s="1"/>
  <c r="D107" i="21"/>
  <c r="B107" i="21"/>
  <c r="Z106" i="21"/>
  <c r="X106" i="21"/>
  <c r="L106" i="21"/>
  <c r="N106" i="21" s="1"/>
  <c r="B106" i="21"/>
  <c r="V105" i="21"/>
  <c r="T105" i="21"/>
  <c r="P105" i="21"/>
  <c r="H105" i="21"/>
  <c r="D105" i="21"/>
  <c r="L105" i="21" s="1"/>
  <c r="B105" i="21"/>
  <c r="X104" i="21"/>
  <c r="Z104" i="21" s="1"/>
  <c r="V104" i="21"/>
  <c r="N104" i="21"/>
  <c r="L104" i="21"/>
  <c r="B104" i="21"/>
  <c r="X103" i="21"/>
  <c r="Z103" i="21" s="1"/>
  <c r="N103" i="21"/>
  <c r="L103" i="21"/>
  <c r="B103" i="21"/>
  <c r="Z102" i="21"/>
  <c r="X102" i="21"/>
  <c r="N102" i="21"/>
  <c r="L102" i="21"/>
  <c r="B102" i="21"/>
  <c r="X101" i="21"/>
  <c r="Z101" i="21" s="1"/>
  <c r="N101" i="21"/>
  <c r="L101" i="21"/>
  <c r="B101" i="21"/>
  <c r="Z100" i="21"/>
  <c r="X100" i="21"/>
  <c r="V100" i="21"/>
  <c r="N100" i="21"/>
  <c r="L100" i="21"/>
  <c r="B100" i="21"/>
  <c r="X99" i="21"/>
  <c r="Z99" i="21" s="1"/>
  <c r="N99" i="21"/>
  <c r="L99" i="21"/>
  <c r="B99" i="21"/>
  <c r="X98" i="21"/>
  <c r="Z98" i="21" s="1"/>
  <c r="L98" i="21"/>
  <c r="N98" i="21" s="1"/>
  <c r="B98" i="21"/>
  <c r="X97" i="21"/>
  <c r="Z97" i="21" s="1"/>
  <c r="N97" i="21"/>
  <c r="L97" i="21"/>
  <c r="B97" i="21"/>
  <c r="X96" i="21"/>
  <c r="Z96" i="21" s="1"/>
  <c r="V96" i="21"/>
  <c r="T96" i="21"/>
  <c r="P96" i="21"/>
  <c r="H96" i="21"/>
  <c r="D96" i="21"/>
  <c r="L96" i="21" s="1"/>
  <c r="N96" i="21" s="1"/>
  <c r="B96" i="21"/>
  <c r="Z95" i="21"/>
  <c r="X95" i="21"/>
  <c r="L95" i="21"/>
  <c r="N95" i="21" s="1"/>
  <c r="B95" i="21"/>
  <c r="T94" i="21"/>
  <c r="P94" i="21"/>
  <c r="H94" i="21"/>
  <c r="D94" i="21"/>
  <c r="B94" i="21"/>
  <c r="Z93" i="21"/>
  <c r="X93" i="21"/>
  <c r="V93" i="21"/>
  <c r="L93" i="21"/>
  <c r="N93" i="21" s="1"/>
  <c r="B93" i="21"/>
  <c r="Z92" i="21"/>
  <c r="X92" i="21"/>
  <c r="L92" i="21"/>
  <c r="N92" i="21" s="1"/>
  <c r="J92" i="21"/>
  <c r="B92" i="21"/>
  <c r="X91" i="21"/>
  <c r="Z91" i="21" s="1"/>
  <c r="L91" i="21"/>
  <c r="N91" i="21" s="1"/>
  <c r="B91" i="21"/>
  <c r="Z90" i="21"/>
  <c r="X90" i="21"/>
  <c r="L90" i="21"/>
  <c r="N90" i="21" s="1"/>
  <c r="B90" i="21"/>
  <c r="Z89" i="21"/>
  <c r="X89" i="21"/>
  <c r="V89" i="21"/>
  <c r="N89" i="21"/>
  <c r="L89" i="21"/>
  <c r="B89" i="21"/>
  <c r="T88" i="21"/>
  <c r="Z88" i="21" s="1"/>
  <c r="P88" i="21"/>
  <c r="X88" i="21" s="1"/>
  <c r="H88" i="21"/>
  <c r="D88" i="21"/>
  <c r="L88" i="21" s="1"/>
  <c r="N88" i="21" s="1"/>
  <c r="B88" i="21"/>
  <c r="X87" i="21"/>
  <c r="Z87" i="21" s="1"/>
  <c r="N87" i="21"/>
  <c r="L87" i="21"/>
  <c r="B87" i="21"/>
  <c r="Z86" i="21"/>
  <c r="X86" i="21"/>
  <c r="N86" i="21"/>
  <c r="L86" i="21"/>
  <c r="B86" i="21"/>
  <c r="T85" i="21"/>
  <c r="Z85" i="21" s="1"/>
  <c r="P85" i="21"/>
  <c r="X85" i="21" s="1"/>
  <c r="H85" i="21"/>
  <c r="N85" i="21" s="1"/>
  <c r="D85" i="21"/>
  <c r="L85" i="21" s="1"/>
  <c r="B85" i="21"/>
  <c r="X84" i="21"/>
  <c r="Z84" i="21" s="1"/>
  <c r="N84" i="21"/>
  <c r="L84" i="21"/>
  <c r="B84" i="21"/>
  <c r="Z83" i="21"/>
  <c r="X83" i="21"/>
  <c r="N83" i="21"/>
  <c r="L83" i="21"/>
  <c r="B83" i="21"/>
  <c r="Z82" i="21"/>
  <c r="X82" i="21"/>
  <c r="N82" i="21"/>
  <c r="L82" i="21"/>
  <c r="B82" i="21"/>
  <c r="T81" i="21"/>
  <c r="X81" i="21" s="1"/>
  <c r="Z81" i="21" s="1"/>
  <c r="P81" i="21"/>
  <c r="N81" i="21"/>
  <c r="L81" i="21"/>
  <c r="H81" i="21"/>
  <c r="D81" i="21"/>
  <c r="B81" i="21"/>
  <c r="Z80" i="21"/>
  <c r="X80" i="21"/>
  <c r="L80" i="21"/>
  <c r="N80" i="21" s="1"/>
  <c r="J80" i="21"/>
  <c r="B80" i="21"/>
  <c r="T79" i="21"/>
  <c r="Z79" i="21" s="1"/>
  <c r="P79" i="21"/>
  <c r="X79" i="21" s="1"/>
  <c r="J79" i="21"/>
  <c r="H79" i="21"/>
  <c r="D79" i="21"/>
  <c r="B79" i="21"/>
  <c r="Z78" i="21"/>
  <c r="X78" i="21"/>
  <c r="N78" i="21"/>
  <c r="L78" i="21"/>
  <c r="B78" i="21"/>
  <c r="T77" i="21"/>
  <c r="Z77" i="21" s="1"/>
  <c r="P77" i="21"/>
  <c r="X77" i="21" s="1"/>
  <c r="H77" i="21"/>
  <c r="N77" i="21" s="1"/>
  <c r="F77" i="21"/>
  <c r="D77" i="21"/>
  <c r="L77" i="21" s="1"/>
  <c r="B77" i="21"/>
  <c r="X76" i="21"/>
  <c r="Z76" i="21" s="1"/>
  <c r="N76" i="21"/>
  <c r="L76" i="21"/>
  <c r="B76" i="21"/>
  <c r="Z75" i="21"/>
  <c r="X75" i="21"/>
  <c r="T75" i="21"/>
  <c r="P75" i="21"/>
  <c r="H75" i="21"/>
  <c r="L75" i="21" s="1"/>
  <c r="N75" i="21" s="1"/>
  <c r="D75" i="21"/>
  <c r="B75" i="21"/>
  <c r="Z74" i="21"/>
  <c r="X74" i="21"/>
  <c r="L74" i="21"/>
  <c r="N74" i="21" s="1"/>
  <c r="B74" i="21"/>
  <c r="T73" i="21"/>
  <c r="P73" i="21"/>
  <c r="H73" i="21"/>
  <c r="N73" i="21" s="1"/>
  <c r="D73" i="21"/>
  <c r="L73" i="21" s="1"/>
  <c r="B73" i="21"/>
  <c r="X72" i="21"/>
  <c r="Z72" i="21" s="1"/>
  <c r="V72" i="21"/>
  <c r="L72" i="21"/>
  <c r="N72" i="21" s="1"/>
  <c r="B72" i="21"/>
  <c r="T71" i="21"/>
  <c r="P71" i="21"/>
  <c r="X71" i="21" s="1"/>
  <c r="H71" i="21"/>
  <c r="N71" i="21" s="1"/>
  <c r="D71" i="21"/>
  <c r="L71" i="21" s="1"/>
  <c r="B71" i="21"/>
  <c r="Z70" i="21"/>
  <c r="X70" i="21"/>
  <c r="N70" i="21"/>
  <c r="L70" i="21"/>
  <c r="B70" i="21"/>
  <c r="Z69" i="21"/>
  <c r="T69" i="21"/>
  <c r="X69" i="21" s="1"/>
  <c r="P69" i="21"/>
  <c r="N69" i="21"/>
  <c r="L69" i="21"/>
  <c r="H69" i="21"/>
  <c r="D69" i="21"/>
  <c r="B69" i="21"/>
  <c r="Z68" i="21"/>
  <c r="X68" i="21"/>
  <c r="L68" i="21"/>
  <c r="N68" i="21" s="1"/>
  <c r="J68" i="21"/>
  <c r="B68" i="21"/>
  <c r="T67" i="21"/>
  <c r="Z67" i="21" s="1"/>
  <c r="P67" i="21"/>
  <c r="X67" i="21" s="1"/>
  <c r="J67" i="21"/>
  <c r="H67" i="21"/>
  <c r="D67" i="21"/>
  <c r="B67" i="21"/>
  <c r="X66" i="21"/>
  <c r="Z66" i="21" s="1"/>
  <c r="N66" i="21"/>
  <c r="L66" i="21"/>
  <c r="B66" i="21"/>
  <c r="T65" i="21"/>
  <c r="P65" i="21"/>
  <c r="X65" i="21" s="1"/>
  <c r="H65" i="21"/>
  <c r="D65" i="21"/>
  <c r="L65" i="21" s="1"/>
  <c r="B65" i="21"/>
  <c r="Z64" i="21"/>
  <c r="X64" i="21"/>
  <c r="N64" i="21"/>
  <c r="L64" i="21"/>
  <c r="B64" i="21"/>
  <c r="Z63" i="21"/>
  <c r="X63" i="21"/>
  <c r="T63" i="21"/>
  <c r="P63" i="21"/>
  <c r="N63" i="21"/>
  <c r="H63" i="21"/>
  <c r="L63" i="21" s="1"/>
  <c r="D63" i="21"/>
  <c r="B63" i="21"/>
  <c r="Z62" i="21"/>
  <c r="X62" i="21"/>
  <c r="L62" i="21"/>
  <c r="N62" i="21" s="1"/>
  <c r="B62" i="21"/>
  <c r="Z61" i="21"/>
  <c r="X61" i="21"/>
  <c r="V61" i="21"/>
  <c r="L61" i="21"/>
  <c r="N61" i="21" s="1"/>
  <c r="B61" i="21"/>
  <c r="Z60" i="21"/>
  <c r="X60" i="21"/>
  <c r="L60" i="21"/>
  <c r="N60" i="21" s="1"/>
  <c r="J60" i="21"/>
  <c r="B60" i="21"/>
  <c r="T59" i="21"/>
  <c r="P59" i="21"/>
  <c r="X59" i="21" s="1"/>
  <c r="H59" i="21"/>
  <c r="D59" i="21"/>
  <c r="B59" i="21"/>
  <c r="X58" i="21"/>
  <c r="Z58" i="21" s="1"/>
  <c r="N58" i="21"/>
  <c r="L58" i="21"/>
  <c r="F58" i="21"/>
  <c r="B58" i="21"/>
  <c r="T57" i="21"/>
  <c r="Z57" i="21" s="1"/>
  <c r="P57" i="21"/>
  <c r="X57" i="21" s="1"/>
  <c r="H57" i="21"/>
  <c r="N57" i="21" s="1"/>
  <c r="D57" i="21"/>
  <c r="L57" i="21" s="1"/>
  <c r="B57" i="21"/>
  <c r="X56" i="21"/>
  <c r="Z56" i="21" s="1"/>
  <c r="N56" i="21"/>
  <c r="L56" i="21"/>
  <c r="J56" i="21"/>
  <c r="B56" i="21"/>
  <c r="Z55" i="21"/>
  <c r="X55" i="21"/>
  <c r="T55" i="21"/>
  <c r="P55" i="21"/>
  <c r="H55" i="21"/>
  <c r="L55" i="21" s="1"/>
  <c r="N55" i="21" s="1"/>
  <c r="D55" i="21"/>
  <c r="B55" i="21"/>
  <c r="Z54" i="21"/>
  <c r="X54" i="21"/>
  <c r="L54" i="21"/>
  <c r="N54" i="21" s="1"/>
  <c r="B54" i="21"/>
  <c r="V53" i="21"/>
  <c r="T53" i="21"/>
  <c r="P53" i="21"/>
  <c r="J53" i="21"/>
  <c r="H53" i="21"/>
  <c r="N53" i="21" s="1"/>
  <c r="D53" i="21"/>
  <c r="L53" i="21" s="1"/>
  <c r="B53" i="21"/>
  <c r="Z52" i="21"/>
  <c r="X52" i="21"/>
  <c r="V52" i="21"/>
  <c r="N52" i="21"/>
  <c r="L52" i="21"/>
  <c r="B52" i="21"/>
  <c r="Z51" i="21"/>
  <c r="X51" i="21"/>
  <c r="N51" i="21"/>
  <c r="L51" i="21"/>
  <c r="B51" i="21"/>
  <c r="X50" i="21"/>
  <c r="Z50" i="21" s="1"/>
  <c r="N50" i="21"/>
  <c r="L50" i="21"/>
  <c r="B50" i="21"/>
  <c r="X49" i="21"/>
  <c r="Z49" i="21" s="1"/>
  <c r="N49" i="21"/>
  <c r="L49" i="21"/>
  <c r="B49" i="21"/>
  <c r="Z48" i="21"/>
  <c r="X48" i="21"/>
  <c r="V48" i="21"/>
  <c r="N48" i="21"/>
  <c r="L48" i="21"/>
  <c r="B48" i="21"/>
  <c r="X47" i="21"/>
  <c r="Z47" i="21" s="1"/>
  <c r="N47" i="21"/>
  <c r="L47" i="21"/>
  <c r="B47" i="21"/>
  <c r="X46" i="21"/>
  <c r="Z46" i="21" s="1"/>
  <c r="N46" i="21"/>
  <c r="L46" i="21"/>
  <c r="B46" i="21"/>
  <c r="Z45" i="21"/>
  <c r="X45" i="21"/>
  <c r="N45" i="21"/>
  <c r="L45" i="21"/>
  <c r="B45" i="21"/>
  <c r="X44" i="21"/>
  <c r="Z44" i="21" s="1"/>
  <c r="V44" i="21"/>
  <c r="L44" i="21"/>
  <c r="N44" i="21" s="1"/>
  <c r="B44" i="21"/>
  <c r="X43" i="21"/>
  <c r="Z43" i="21" s="1"/>
  <c r="N43" i="21"/>
  <c r="L43" i="21"/>
  <c r="B43" i="21"/>
  <c r="X42" i="21"/>
  <c r="Z42" i="21" s="1"/>
  <c r="T42" i="21"/>
  <c r="P42" i="21"/>
  <c r="L42" i="21"/>
  <c r="N42" i="21" s="1"/>
  <c r="J42" i="21"/>
  <c r="H42" i="21"/>
  <c r="D42" i="21"/>
  <c r="B42" i="21"/>
  <c r="Z41" i="21"/>
  <c r="X41" i="21"/>
  <c r="N41" i="21"/>
  <c r="L41" i="21"/>
  <c r="J41" i="21"/>
  <c r="B41" i="21"/>
  <c r="X40" i="21"/>
  <c r="Z40" i="21" s="1"/>
  <c r="N40" i="21"/>
  <c r="L40" i="21"/>
  <c r="J40" i="21"/>
  <c r="B40" i="21"/>
  <c r="X39" i="21"/>
  <c r="Z39" i="21" s="1"/>
  <c r="N39" i="21"/>
  <c r="L39" i="21"/>
  <c r="J39" i="21"/>
  <c r="B39" i="21"/>
  <c r="Z38" i="21"/>
  <c r="X38" i="21"/>
  <c r="N38" i="21"/>
  <c r="L38" i="21"/>
  <c r="B38" i="21"/>
  <c r="Z37" i="21"/>
  <c r="X37" i="21"/>
  <c r="N37" i="21"/>
  <c r="L37" i="21"/>
  <c r="J37" i="21"/>
  <c r="B37" i="21"/>
  <c r="X36" i="21"/>
  <c r="Z36" i="21" s="1"/>
  <c r="N36" i="21"/>
  <c r="L36" i="21"/>
  <c r="J36" i="21"/>
  <c r="B36" i="21"/>
  <c r="X35" i="21"/>
  <c r="Z35" i="21" s="1"/>
  <c r="N35" i="21"/>
  <c r="L35" i="21"/>
  <c r="J35" i="21"/>
  <c r="B35" i="21"/>
  <c r="Z34" i="21"/>
  <c r="X34" i="21"/>
  <c r="N34" i="21"/>
  <c r="L34" i="21"/>
  <c r="B34" i="21"/>
  <c r="Z33" i="21"/>
  <c r="X33" i="21"/>
  <c r="N33" i="21"/>
  <c r="L33" i="21"/>
  <c r="J33" i="21"/>
  <c r="B33" i="21"/>
  <c r="T32" i="21"/>
  <c r="P32" i="21"/>
  <c r="H32" i="21"/>
  <c r="F32" i="21"/>
  <c r="D32" i="21"/>
  <c r="B32" i="21"/>
  <c r="T31" i="21"/>
  <c r="Z31" i="21" s="1"/>
  <c r="P31" i="21"/>
  <c r="X31" i="21" s="1"/>
  <c r="J31" i="21"/>
  <c r="H31" i="21"/>
  <c r="D31" i="21"/>
  <c r="L31" i="21" s="1"/>
  <c r="J29" i="21"/>
  <c r="H29" i="21"/>
  <c r="Z27" i="21"/>
  <c r="X27" i="21"/>
  <c r="N27" i="21"/>
  <c r="L27" i="21"/>
  <c r="J27" i="21"/>
  <c r="B27" i="21"/>
  <c r="Z26" i="21"/>
  <c r="X26" i="21"/>
  <c r="N26" i="21"/>
  <c r="L26" i="21"/>
  <c r="J26" i="21"/>
  <c r="B26" i="21"/>
  <c r="Z25" i="21"/>
  <c r="X25" i="21"/>
  <c r="V25" i="21"/>
  <c r="L25" i="21"/>
  <c r="N25" i="21" s="1"/>
  <c r="B25" i="21"/>
  <c r="V24" i="21"/>
  <c r="T24" i="21"/>
  <c r="P24" i="21"/>
  <c r="X24" i="21" s="1"/>
  <c r="Z24" i="21" s="1"/>
  <c r="N24" i="21"/>
  <c r="J24" i="21"/>
  <c r="H24" i="21"/>
  <c r="D24" i="21"/>
  <c r="L24" i="21" s="1"/>
  <c r="Z22" i="21"/>
  <c r="P22" i="21"/>
  <c r="X22" i="21" s="1"/>
  <c r="N22" i="21"/>
  <c r="D22" i="21"/>
  <c r="L22" i="21" s="1"/>
  <c r="B22" i="21"/>
  <c r="Z21" i="21"/>
  <c r="X21" i="21"/>
  <c r="P21" i="21"/>
  <c r="N21" i="21"/>
  <c r="D21" i="21"/>
  <c r="L21" i="21" s="1"/>
  <c r="B21" i="21"/>
  <c r="Z20" i="21"/>
  <c r="X20" i="21"/>
  <c r="P20" i="21"/>
  <c r="N20" i="21"/>
  <c r="L20" i="21"/>
  <c r="D20" i="21"/>
  <c r="B20" i="21"/>
  <c r="Z19" i="21"/>
  <c r="P19" i="21"/>
  <c r="X19" i="21" s="1"/>
  <c r="N19" i="21"/>
  <c r="D19" i="21"/>
  <c r="L19" i="21" s="1"/>
  <c r="B19" i="21"/>
  <c r="Z18" i="21"/>
  <c r="X18" i="21"/>
  <c r="P18" i="21"/>
  <c r="N18" i="21"/>
  <c r="L18" i="21"/>
  <c r="D18" i="21"/>
  <c r="B18" i="21"/>
  <c r="X17" i="21"/>
  <c r="Z17" i="21" s="1"/>
  <c r="P17" i="21"/>
  <c r="N17" i="21"/>
  <c r="L17" i="21"/>
  <c r="D17" i="21"/>
  <c r="B17" i="21"/>
  <c r="Z16" i="21"/>
  <c r="P16" i="21"/>
  <c r="X16" i="21" s="1"/>
  <c r="N16" i="21"/>
  <c r="D16" i="21"/>
  <c r="L16" i="21" s="1"/>
  <c r="B16" i="21"/>
  <c r="Z15" i="21"/>
  <c r="X15" i="21"/>
  <c r="P15" i="21"/>
  <c r="N15" i="21"/>
  <c r="L15" i="21"/>
  <c r="D15" i="21"/>
  <c r="B15" i="21"/>
  <c r="Z14" i="21"/>
  <c r="X14" i="21"/>
  <c r="P14" i="21"/>
  <c r="N14" i="21"/>
  <c r="L14" i="21"/>
  <c r="D14" i="21"/>
  <c r="B14" i="21"/>
  <c r="P13" i="21"/>
  <c r="N13" i="21"/>
  <c r="D13" i="21"/>
  <c r="L13" i="21" s="1"/>
  <c r="B13" i="21"/>
  <c r="T12" i="21"/>
  <c r="V107" i="21" s="1"/>
  <c r="H12" i="21"/>
  <c r="J103" i="21" s="1"/>
  <c r="D12" i="21"/>
  <c r="D4" i="21"/>
  <c r="Z294" i="18"/>
  <c r="X294" i="18"/>
  <c r="L294" i="18"/>
  <c r="N294" i="18" s="1"/>
  <c r="Z290" i="18"/>
  <c r="X290" i="18"/>
  <c r="P290" i="18"/>
  <c r="N290" i="18"/>
  <c r="D290" i="18"/>
  <c r="L290" i="18" s="1"/>
  <c r="B290" i="18"/>
  <c r="X289" i="18"/>
  <c r="Z289" i="18" s="1"/>
  <c r="P289" i="18"/>
  <c r="N289" i="18"/>
  <c r="L289" i="18"/>
  <c r="D289" i="18"/>
  <c r="B289" i="18"/>
  <c r="Z288" i="18"/>
  <c r="X288" i="18"/>
  <c r="P288" i="18"/>
  <c r="N288" i="18"/>
  <c r="D288" i="18"/>
  <c r="L288" i="18" s="1"/>
  <c r="B288" i="18"/>
  <c r="Z287" i="18"/>
  <c r="P287" i="18"/>
  <c r="X287" i="18" s="1"/>
  <c r="N287" i="18"/>
  <c r="D287" i="18"/>
  <c r="L287" i="18" s="1"/>
  <c r="B287" i="18"/>
  <c r="P286" i="18"/>
  <c r="X286" i="18" s="1"/>
  <c r="Z286" i="18" s="1"/>
  <c r="N286" i="18"/>
  <c r="D286" i="18"/>
  <c r="L286" i="18" s="1"/>
  <c r="B286" i="18"/>
  <c r="P285" i="18"/>
  <c r="X285" i="18" s="1"/>
  <c r="Z285" i="18" s="1"/>
  <c r="L285" i="18"/>
  <c r="N285" i="18" s="1"/>
  <c r="D285" i="18"/>
  <c r="B285" i="18"/>
  <c r="Z284" i="18"/>
  <c r="X284" i="18"/>
  <c r="P284" i="18"/>
  <c r="N284" i="18"/>
  <c r="L284" i="18"/>
  <c r="D284" i="18"/>
  <c r="B284" i="18"/>
  <c r="Z283" i="18"/>
  <c r="P283" i="18"/>
  <c r="X283" i="18" s="1"/>
  <c r="N283" i="18"/>
  <c r="L283" i="18"/>
  <c r="D283" i="18"/>
  <c r="B283" i="18"/>
  <c r="Z282" i="18"/>
  <c r="X282" i="18"/>
  <c r="P282" i="18"/>
  <c r="N282" i="18"/>
  <c r="D282" i="18"/>
  <c r="L282" i="18" s="1"/>
  <c r="B282" i="18"/>
  <c r="Z281" i="18"/>
  <c r="P281" i="18"/>
  <c r="X281" i="18" s="1"/>
  <c r="N281" i="18"/>
  <c r="D281" i="18"/>
  <c r="L281" i="18" s="1"/>
  <c r="B281" i="18"/>
  <c r="Z280" i="18"/>
  <c r="P280" i="18"/>
  <c r="X280" i="18" s="1"/>
  <c r="N280" i="18"/>
  <c r="L280" i="18"/>
  <c r="D280" i="18"/>
  <c r="B280" i="18"/>
  <c r="T279" i="18"/>
  <c r="H279" i="18"/>
  <c r="Z277" i="18"/>
  <c r="X277" i="18"/>
  <c r="L277" i="18"/>
  <c r="N277" i="18" s="1"/>
  <c r="B277" i="18"/>
  <c r="T276" i="18"/>
  <c r="P276" i="18"/>
  <c r="X276" i="18" s="1"/>
  <c r="H276" i="18"/>
  <c r="N276" i="18" s="1"/>
  <c r="D276" i="18"/>
  <c r="L276" i="18" s="1"/>
  <c r="B276" i="18"/>
  <c r="X275" i="18"/>
  <c r="Z275" i="18" s="1"/>
  <c r="N275" i="18"/>
  <c r="L275" i="18"/>
  <c r="B275" i="18"/>
  <c r="X274" i="18"/>
  <c r="Z274" i="18" s="1"/>
  <c r="N274" i="18"/>
  <c r="L274" i="18"/>
  <c r="B274" i="18"/>
  <c r="Z273" i="18"/>
  <c r="X273" i="18"/>
  <c r="N273" i="18"/>
  <c r="L273" i="18"/>
  <c r="B273" i="18"/>
  <c r="T272" i="18"/>
  <c r="P272" i="18"/>
  <c r="X272" i="18" s="1"/>
  <c r="H272" i="18"/>
  <c r="D272" i="18"/>
  <c r="L272" i="18" s="1"/>
  <c r="N272" i="18" s="1"/>
  <c r="B272" i="18"/>
  <c r="Z271" i="18"/>
  <c r="X271" i="18"/>
  <c r="N271" i="18"/>
  <c r="L271" i="18"/>
  <c r="B271" i="18"/>
  <c r="X270" i="18"/>
  <c r="Z270" i="18" s="1"/>
  <c r="T270" i="18"/>
  <c r="P270" i="18"/>
  <c r="H270" i="18"/>
  <c r="D270" i="18"/>
  <c r="B270" i="18"/>
  <c r="Z269" i="18"/>
  <c r="X269" i="18"/>
  <c r="L269" i="18"/>
  <c r="N269" i="18" s="1"/>
  <c r="B269" i="18"/>
  <c r="Z268" i="18"/>
  <c r="X268" i="18"/>
  <c r="L268" i="18"/>
  <c r="N268" i="18" s="1"/>
  <c r="B268" i="18"/>
  <c r="T267" i="18"/>
  <c r="P267" i="18"/>
  <c r="X267" i="18" s="1"/>
  <c r="Z267" i="18" s="1"/>
  <c r="N267" i="18"/>
  <c r="H267" i="18"/>
  <c r="D267" i="18"/>
  <c r="L267" i="18" s="1"/>
  <c r="B267" i="18"/>
  <c r="X266" i="18"/>
  <c r="Z266" i="18" s="1"/>
  <c r="L266" i="18"/>
  <c r="N266" i="18" s="1"/>
  <c r="B266" i="18"/>
  <c r="X265" i="18"/>
  <c r="Z265" i="18" s="1"/>
  <c r="N265" i="18"/>
  <c r="L265" i="18"/>
  <c r="B265" i="18"/>
  <c r="X264" i="18"/>
  <c r="Z264" i="18" s="1"/>
  <c r="L264" i="18"/>
  <c r="N264" i="18" s="1"/>
  <c r="B264" i="18"/>
  <c r="X263" i="18"/>
  <c r="Z263" i="18" s="1"/>
  <c r="N263" i="18"/>
  <c r="L263" i="18"/>
  <c r="B263" i="18"/>
  <c r="X262" i="18"/>
  <c r="Z262" i="18" s="1"/>
  <c r="L262" i="18"/>
  <c r="N262" i="18" s="1"/>
  <c r="B262" i="18"/>
  <c r="X261" i="18"/>
  <c r="Z261" i="18" s="1"/>
  <c r="N261" i="18"/>
  <c r="L261" i="18"/>
  <c r="B261" i="18"/>
  <c r="X260" i="18"/>
  <c r="Z260" i="18" s="1"/>
  <c r="L260" i="18"/>
  <c r="N260" i="18" s="1"/>
  <c r="B260" i="18"/>
  <c r="X259" i="18"/>
  <c r="Z259" i="18" s="1"/>
  <c r="T259" i="18"/>
  <c r="P259" i="18"/>
  <c r="L259" i="18"/>
  <c r="N259" i="18" s="1"/>
  <c r="H259" i="18"/>
  <c r="D259" i="18"/>
  <c r="B259" i="18"/>
  <c r="X258" i="18"/>
  <c r="Z258" i="18" s="1"/>
  <c r="N258" i="18"/>
  <c r="L258" i="18"/>
  <c r="B258" i="18"/>
  <c r="Z257" i="18"/>
  <c r="X257" i="18"/>
  <c r="N257" i="18"/>
  <c r="L257" i="18"/>
  <c r="B257" i="18"/>
  <c r="T256" i="18"/>
  <c r="P256" i="18"/>
  <c r="L256" i="18"/>
  <c r="N256" i="18" s="1"/>
  <c r="H256" i="18"/>
  <c r="D256" i="18"/>
  <c r="B256" i="18"/>
  <c r="Z255" i="18"/>
  <c r="X255" i="18"/>
  <c r="L255" i="18"/>
  <c r="N255" i="18" s="1"/>
  <c r="B255" i="18"/>
  <c r="X254" i="18"/>
  <c r="Z254" i="18" s="1"/>
  <c r="L254" i="18"/>
  <c r="N254" i="18" s="1"/>
  <c r="B254" i="18"/>
  <c r="Z253" i="18"/>
  <c r="X253" i="18"/>
  <c r="L253" i="18"/>
  <c r="N253" i="18" s="1"/>
  <c r="B253" i="18"/>
  <c r="Z252" i="18"/>
  <c r="X252" i="18"/>
  <c r="L252" i="18"/>
  <c r="N252" i="18" s="1"/>
  <c r="B252" i="18"/>
  <c r="T251" i="18"/>
  <c r="P251" i="18"/>
  <c r="X251" i="18" s="1"/>
  <c r="Z251" i="18" s="1"/>
  <c r="N251" i="18"/>
  <c r="H251" i="18"/>
  <c r="D251" i="18"/>
  <c r="L251" i="18" s="1"/>
  <c r="B251" i="18"/>
  <c r="Z250" i="18"/>
  <c r="X250" i="18"/>
  <c r="N250" i="18"/>
  <c r="L250" i="18"/>
  <c r="B250" i="18"/>
  <c r="X249" i="18"/>
  <c r="Z249" i="18" s="1"/>
  <c r="N249" i="18"/>
  <c r="L249" i="18"/>
  <c r="B249" i="18"/>
  <c r="X248" i="18"/>
  <c r="Z248" i="18" s="1"/>
  <c r="L248" i="18"/>
  <c r="N248" i="18" s="1"/>
  <c r="B248" i="18"/>
  <c r="X247" i="18"/>
  <c r="Z247" i="18" s="1"/>
  <c r="L247" i="18"/>
  <c r="N247" i="18" s="1"/>
  <c r="B247" i="18"/>
  <c r="T246" i="18"/>
  <c r="P246" i="18"/>
  <c r="X246" i="18" s="1"/>
  <c r="H246" i="18"/>
  <c r="N246" i="18" s="1"/>
  <c r="D246" i="18"/>
  <c r="L246" i="18" s="1"/>
  <c r="B246" i="18"/>
  <c r="Z245" i="18"/>
  <c r="X245" i="18"/>
  <c r="N245" i="18"/>
  <c r="L245" i="18"/>
  <c r="B245" i="18"/>
  <c r="X244" i="18"/>
  <c r="Z244" i="18" s="1"/>
  <c r="N244" i="18"/>
  <c r="L244" i="18"/>
  <c r="B244" i="18"/>
  <c r="X243" i="18"/>
  <c r="Z243" i="18" s="1"/>
  <c r="N243" i="18"/>
  <c r="L243" i="18"/>
  <c r="B243" i="18"/>
  <c r="X242" i="18"/>
  <c r="Z242" i="18" s="1"/>
  <c r="T242" i="18"/>
  <c r="P242" i="18"/>
  <c r="H242" i="18"/>
  <c r="D242" i="18"/>
  <c r="B242" i="18"/>
  <c r="Z241" i="18"/>
  <c r="X241" i="18"/>
  <c r="L241" i="18"/>
  <c r="N241" i="18" s="1"/>
  <c r="B241" i="18"/>
  <c r="T240" i="18"/>
  <c r="P240" i="18"/>
  <c r="X240" i="18" s="1"/>
  <c r="H240" i="18"/>
  <c r="D240" i="18"/>
  <c r="L240" i="18" s="1"/>
  <c r="B240" i="18"/>
  <c r="X239" i="18"/>
  <c r="Z239" i="18" s="1"/>
  <c r="L239" i="18"/>
  <c r="N239" i="18" s="1"/>
  <c r="B239" i="18"/>
  <c r="T238" i="18"/>
  <c r="Z238" i="18" s="1"/>
  <c r="P238" i="18"/>
  <c r="X238" i="18" s="1"/>
  <c r="H238" i="18"/>
  <c r="D238" i="18"/>
  <c r="L238" i="18" s="1"/>
  <c r="B238" i="18"/>
  <c r="Z237" i="18"/>
  <c r="X237" i="18"/>
  <c r="N237" i="18"/>
  <c r="L237" i="18"/>
  <c r="B237" i="18"/>
  <c r="T236" i="18"/>
  <c r="P236" i="18"/>
  <c r="N236" i="18"/>
  <c r="L236" i="18"/>
  <c r="H236" i="18"/>
  <c r="D236" i="18"/>
  <c r="B236" i="18"/>
  <c r="Z235" i="18"/>
  <c r="X235" i="18"/>
  <c r="L235" i="18"/>
  <c r="N235" i="18" s="1"/>
  <c r="B235" i="18"/>
  <c r="T234" i="18"/>
  <c r="Z234" i="18" s="1"/>
  <c r="P234" i="18"/>
  <c r="X234" i="18" s="1"/>
  <c r="H234" i="18"/>
  <c r="D234" i="18"/>
  <c r="L234" i="18" s="1"/>
  <c r="B234" i="18"/>
  <c r="X233" i="18"/>
  <c r="Z233" i="18" s="1"/>
  <c r="N233" i="18"/>
  <c r="L233" i="18"/>
  <c r="B233" i="18"/>
  <c r="T232" i="18"/>
  <c r="P232" i="18"/>
  <c r="X232" i="18" s="1"/>
  <c r="H232" i="18"/>
  <c r="N232" i="18" s="1"/>
  <c r="D232" i="18"/>
  <c r="L232" i="18" s="1"/>
  <c r="B232" i="18"/>
  <c r="Z231" i="18"/>
  <c r="X231" i="18"/>
  <c r="N231" i="18"/>
  <c r="L231" i="18"/>
  <c r="B231" i="18"/>
  <c r="Z230" i="18"/>
  <c r="X230" i="18"/>
  <c r="L230" i="18"/>
  <c r="N230" i="18" s="1"/>
  <c r="B230" i="18"/>
  <c r="T229" i="18"/>
  <c r="P229" i="18"/>
  <c r="H229" i="18"/>
  <c r="D229" i="18"/>
  <c r="B229" i="18"/>
  <c r="Z228" i="18"/>
  <c r="X228" i="18"/>
  <c r="L228" i="18"/>
  <c r="N228" i="18" s="1"/>
  <c r="B228" i="18"/>
  <c r="T227" i="18"/>
  <c r="P227" i="18"/>
  <c r="X227" i="18" s="1"/>
  <c r="Z227" i="18" s="1"/>
  <c r="H227" i="18"/>
  <c r="D227" i="18"/>
  <c r="L227" i="18" s="1"/>
  <c r="N227" i="18" s="1"/>
  <c r="B227" i="18"/>
  <c r="X226" i="18"/>
  <c r="Z226" i="18" s="1"/>
  <c r="N226" i="18"/>
  <c r="L226" i="18"/>
  <c r="B226" i="18"/>
  <c r="X225" i="18"/>
  <c r="Z225" i="18" s="1"/>
  <c r="T225" i="18"/>
  <c r="P225" i="18"/>
  <c r="L225" i="18"/>
  <c r="N225" i="18" s="1"/>
  <c r="H225" i="18"/>
  <c r="D225" i="18"/>
  <c r="B225" i="18"/>
  <c r="Z224" i="18"/>
  <c r="X224" i="18"/>
  <c r="N224" i="18"/>
  <c r="L224" i="18"/>
  <c r="J224" i="18"/>
  <c r="B224" i="18"/>
  <c r="X223" i="18"/>
  <c r="Z223" i="18" s="1"/>
  <c r="N223" i="18"/>
  <c r="L223" i="18"/>
  <c r="B223" i="18"/>
  <c r="X222" i="18"/>
  <c r="Z222" i="18" s="1"/>
  <c r="T222" i="18"/>
  <c r="P222" i="18"/>
  <c r="H222" i="18"/>
  <c r="D222" i="18"/>
  <c r="B222" i="18"/>
  <c r="Z221" i="18"/>
  <c r="X221" i="18"/>
  <c r="N221" i="18"/>
  <c r="L221" i="18"/>
  <c r="B221" i="18"/>
  <c r="Z220" i="18"/>
  <c r="X220" i="18"/>
  <c r="L220" i="18"/>
  <c r="N220" i="18" s="1"/>
  <c r="B220" i="18"/>
  <c r="T219" i="18"/>
  <c r="P219" i="18"/>
  <c r="X219" i="18" s="1"/>
  <c r="Z219" i="18" s="1"/>
  <c r="N219" i="18"/>
  <c r="H219" i="18"/>
  <c r="D219" i="18"/>
  <c r="L219" i="18" s="1"/>
  <c r="B219" i="18"/>
  <c r="X218" i="18"/>
  <c r="Z218" i="18" s="1"/>
  <c r="N218" i="18"/>
  <c r="L218" i="18"/>
  <c r="B218" i="18"/>
  <c r="X217" i="18"/>
  <c r="Z217" i="18" s="1"/>
  <c r="N217" i="18"/>
  <c r="L217" i="18"/>
  <c r="B217" i="18"/>
  <c r="X216" i="18"/>
  <c r="Z216" i="18" s="1"/>
  <c r="L216" i="18"/>
  <c r="N216" i="18" s="1"/>
  <c r="B216" i="18"/>
  <c r="X215" i="18"/>
  <c r="Z215" i="18" s="1"/>
  <c r="L215" i="18"/>
  <c r="N215" i="18" s="1"/>
  <c r="B215" i="18"/>
  <c r="T214" i="18"/>
  <c r="P214" i="18"/>
  <c r="X214" i="18" s="1"/>
  <c r="H214" i="18"/>
  <c r="N214" i="18" s="1"/>
  <c r="D214" i="18"/>
  <c r="L214" i="18" s="1"/>
  <c r="B214" i="18"/>
  <c r="Z213" i="18"/>
  <c r="X213" i="18"/>
  <c r="N213" i="18"/>
  <c r="L213" i="18"/>
  <c r="B213" i="18"/>
  <c r="T212" i="18"/>
  <c r="P212" i="18"/>
  <c r="N212" i="18"/>
  <c r="L212" i="18"/>
  <c r="H212" i="18"/>
  <c r="D212" i="18"/>
  <c r="B212" i="18"/>
  <c r="Z211" i="18"/>
  <c r="X211" i="18"/>
  <c r="L211" i="18"/>
  <c r="N211" i="18" s="1"/>
  <c r="B211" i="18"/>
  <c r="X210" i="18"/>
  <c r="Z210" i="18" s="1"/>
  <c r="L210" i="18"/>
  <c r="N210" i="18" s="1"/>
  <c r="B210" i="18"/>
  <c r="T209" i="18"/>
  <c r="P209" i="18"/>
  <c r="X209" i="18" s="1"/>
  <c r="Z209" i="18" s="1"/>
  <c r="H209" i="18"/>
  <c r="D209" i="18"/>
  <c r="L209" i="18" s="1"/>
  <c r="N209" i="18" s="1"/>
  <c r="B209" i="18"/>
  <c r="X208" i="18"/>
  <c r="Z208" i="18" s="1"/>
  <c r="L208" i="18"/>
  <c r="N208" i="18" s="1"/>
  <c r="B208" i="18"/>
  <c r="X207" i="18"/>
  <c r="Z207" i="18" s="1"/>
  <c r="V207" i="18"/>
  <c r="T207" i="18"/>
  <c r="P207" i="18"/>
  <c r="L207" i="18"/>
  <c r="N207" i="18" s="1"/>
  <c r="H207" i="18"/>
  <c r="D207" i="18"/>
  <c r="B207" i="18"/>
  <c r="Z206" i="18"/>
  <c r="X206" i="18"/>
  <c r="N206" i="18"/>
  <c r="L206" i="18"/>
  <c r="B206" i="18"/>
  <c r="Z205" i="18"/>
  <c r="X205" i="18"/>
  <c r="N205" i="18"/>
  <c r="L205" i="18"/>
  <c r="B205" i="18"/>
  <c r="X204" i="18"/>
  <c r="Z204" i="18" s="1"/>
  <c r="N204" i="18"/>
  <c r="L204" i="18"/>
  <c r="B204" i="18"/>
  <c r="X203" i="18"/>
  <c r="Z203" i="18" s="1"/>
  <c r="N203" i="18"/>
  <c r="L203" i="18"/>
  <c r="B203" i="18"/>
  <c r="Z202" i="18"/>
  <c r="X202" i="18"/>
  <c r="N202" i="18"/>
  <c r="L202" i="18"/>
  <c r="B202" i="18"/>
  <c r="Z201" i="18"/>
  <c r="X201" i="18"/>
  <c r="N201" i="18"/>
  <c r="L201" i="18"/>
  <c r="B201" i="18"/>
  <c r="X200" i="18"/>
  <c r="Z200" i="18" s="1"/>
  <c r="N200" i="18"/>
  <c r="L200" i="18"/>
  <c r="B200" i="18"/>
  <c r="Z199" i="18"/>
  <c r="X199" i="18"/>
  <c r="N199" i="18"/>
  <c r="L199" i="18"/>
  <c r="B199" i="18"/>
  <c r="Z198" i="18"/>
  <c r="X198" i="18"/>
  <c r="L198" i="18"/>
  <c r="N198" i="18" s="1"/>
  <c r="B198" i="18"/>
  <c r="Z197" i="18"/>
  <c r="X197" i="18"/>
  <c r="N197" i="18"/>
  <c r="L197" i="18"/>
  <c r="B197" i="18"/>
  <c r="T196" i="18"/>
  <c r="P196" i="18"/>
  <c r="N196" i="18"/>
  <c r="L196" i="18"/>
  <c r="H196" i="18"/>
  <c r="D196" i="18"/>
  <c r="B196" i="18"/>
  <c r="Z195" i="18"/>
  <c r="X195" i="18"/>
  <c r="L195" i="18"/>
  <c r="N195" i="18" s="1"/>
  <c r="B195" i="18"/>
  <c r="X194" i="18"/>
  <c r="Z194" i="18" s="1"/>
  <c r="L194" i="18"/>
  <c r="N194" i="18" s="1"/>
  <c r="B194" i="18"/>
  <c r="Z193" i="18"/>
  <c r="X193" i="18"/>
  <c r="L193" i="18"/>
  <c r="N193" i="18" s="1"/>
  <c r="B193" i="18"/>
  <c r="Z192" i="18"/>
  <c r="X192" i="18"/>
  <c r="N192" i="18"/>
  <c r="L192" i="18"/>
  <c r="B192" i="18"/>
  <c r="Z191" i="18"/>
  <c r="X191" i="18"/>
  <c r="N191" i="18"/>
  <c r="L191" i="18"/>
  <c r="B191" i="18"/>
  <c r="X190" i="18"/>
  <c r="Z190" i="18" s="1"/>
  <c r="L190" i="18"/>
  <c r="N190" i="18" s="1"/>
  <c r="B190" i="18"/>
  <c r="Z189" i="18"/>
  <c r="X189" i="18"/>
  <c r="L189" i="18"/>
  <c r="N189" i="18" s="1"/>
  <c r="B189" i="18"/>
  <c r="Z188" i="18"/>
  <c r="X188" i="18"/>
  <c r="L188" i="18"/>
  <c r="N188" i="18" s="1"/>
  <c r="B188" i="18"/>
  <c r="Z187" i="18"/>
  <c r="X187" i="18"/>
  <c r="L187" i="18"/>
  <c r="N187" i="18" s="1"/>
  <c r="J187" i="18"/>
  <c r="B187" i="18"/>
  <c r="X186" i="18"/>
  <c r="Z186" i="18" s="1"/>
  <c r="L186" i="18"/>
  <c r="N186" i="18" s="1"/>
  <c r="B186" i="18"/>
  <c r="T185" i="18"/>
  <c r="P185" i="18"/>
  <c r="X185" i="18" s="1"/>
  <c r="Z185" i="18" s="1"/>
  <c r="H185" i="18"/>
  <c r="D185" i="18"/>
  <c r="L185" i="18" s="1"/>
  <c r="N185" i="18" s="1"/>
  <c r="B185" i="18"/>
  <c r="T184" i="18"/>
  <c r="P184" i="18"/>
  <c r="X184" i="18" s="1"/>
  <c r="H184" i="18"/>
  <c r="N184" i="18" s="1"/>
  <c r="D184" i="18"/>
  <c r="L184" i="18" s="1"/>
  <c r="Z180" i="18"/>
  <c r="X180" i="18"/>
  <c r="N180" i="18"/>
  <c r="L180" i="18"/>
  <c r="B180" i="18"/>
  <c r="Z179" i="18"/>
  <c r="X179" i="18"/>
  <c r="N179" i="18"/>
  <c r="L179" i="18"/>
  <c r="B179" i="18"/>
  <c r="Z178" i="18"/>
  <c r="X178" i="18"/>
  <c r="N178" i="18"/>
  <c r="L178" i="18"/>
  <c r="B178" i="18"/>
  <c r="Z177" i="18"/>
  <c r="X177" i="18"/>
  <c r="V177" i="18"/>
  <c r="N177" i="18"/>
  <c r="L177" i="18"/>
  <c r="B177" i="18"/>
  <c r="Z176" i="18"/>
  <c r="X176" i="18"/>
  <c r="N176" i="18"/>
  <c r="L176" i="18"/>
  <c r="B176" i="18"/>
  <c r="Z175" i="18"/>
  <c r="X175" i="18"/>
  <c r="V175" i="18"/>
  <c r="N175" i="18"/>
  <c r="L175" i="18"/>
  <c r="B175" i="18"/>
  <c r="Z174" i="18"/>
  <c r="X174" i="18"/>
  <c r="N174" i="18"/>
  <c r="L174" i="18"/>
  <c r="B174" i="18"/>
  <c r="Z173" i="18"/>
  <c r="X173" i="18"/>
  <c r="V173" i="18"/>
  <c r="N173" i="18"/>
  <c r="L173" i="18"/>
  <c r="B173" i="18"/>
  <c r="Z172" i="18"/>
  <c r="X172" i="18"/>
  <c r="N172" i="18"/>
  <c r="L172" i="18"/>
  <c r="B172" i="18"/>
  <c r="Z171" i="18"/>
  <c r="X171" i="18"/>
  <c r="V171" i="18"/>
  <c r="N171" i="18"/>
  <c r="L171" i="18"/>
  <c r="B171" i="18"/>
  <c r="Z170" i="18"/>
  <c r="X170" i="18"/>
  <c r="N170" i="18"/>
  <c r="L170" i="18"/>
  <c r="B170" i="18"/>
  <c r="Z169" i="18"/>
  <c r="X169" i="18"/>
  <c r="N169" i="18"/>
  <c r="L169" i="18"/>
  <c r="B169" i="18"/>
  <c r="Z168" i="18"/>
  <c r="X168" i="18"/>
  <c r="N168" i="18"/>
  <c r="L168" i="18"/>
  <c r="B168" i="18"/>
  <c r="Z167" i="18"/>
  <c r="X167" i="18"/>
  <c r="N167" i="18"/>
  <c r="L167" i="18"/>
  <c r="B167" i="18"/>
  <c r="Z166" i="18"/>
  <c r="X166" i="18"/>
  <c r="N166" i="18"/>
  <c r="L166" i="18"/>
  <c r="B166" i="18"/>
  <c r="Z165" i="18"/>
  <c r="X165" i="18"/>
  <c r="N165" i="18"/>
  <c r="L165" i="18"/>
  <c r="B165" i="18"/>
  <c r="Z164" i="18"/>
  <c r="X164" i="18"/>
  <c r="N164" i="18"/>
  <c r="L164" i="18"/>
  <c r="B164" i="18"/>
  <c r="Z163" i="18"/>
  <c r="X163" i="18"/>
  <c r="N163" i="18"/>
  <c r="L163" i="18"/>
  <c r="B163" i="18"/>
  <c r="Z162" i="18"/>
  <c r="X162" i="18"/>
  <c r="N162" i="18"/>
  <c r="L162" i="18"/>
  <c r="B162" i="18"/>
  <c r="Z161" i="18"/>
  <c r="X161" i="18"/>
  <c r="N161" i="18"/>
  <c r="L161" i="18"/>
  <c r="B161" i="18"/>
  <c r="Z160" i="18"/>
  <c r="X160" i="18"/>
  <c r="N160" i="18"/>
  <c r="L160" i="18"/>
  <c r="B160" i="18"/>
  <c r="Z159" i="18"/>
  <c r="X159" i="18"/>
  <c r="N159" i="18"/>
  <c r="L159" i="18"/>
  <c r="B159" i="18"/>
  <c r="Z158" i="18"/>
  <c r="X158" i="18"/>
  <c r="N158" i="18"/>
  <c r="L158" i="18"/>
  <c r="B158" i="18"/>
  <c r="Z157" i="18"/>
  <c r="X157" i="18"/>
  <c r="N157" i="18"/>
  <c r="L157" i="18"/>
  <c r="B157" i="18"/>
  <c r="Z156" i="18"/>
  <c r="X156" i="18"/>
  <c r="N156" i="18"/>
  <c r="L156" i="18"/>
  <c r="B156" i="18"/>
  <c r="Z155" i="18"/>
  <c r="X155" i="18"/>
  <c r="N155" i="18"/>
  <c r="L155" i="18"/>
  <c r="B155" i="18"/>
  <c r="Z154" i="18"/>
  <c r="X154" i="18"/>
  <c r="N154" i="18"/>
  <c r="L154" i="18"/>
  <c r="B154" i="18"/>
  <c r="Z153" i="18"/>
  <c r="X153" i="18"/>
  <c r="N153" i="18"/>
  <c r="L153" i="18"/>
  <c r="B153" i="18"/>
  <c r="Z152" i="18"/>
  <c r="X152" i="18"/>
  <c r="N152" i="18"/>
  <c r="L152" i="18"/>
  <c r="B152" i="18"/>
  <c r="Z151" i="18"/>
  <c r="X151" i="18"/>
  <c r="N151" i="18"/>
  <c r="L151" i="18"/>
  <c r="B151" i="18"/>
  <c r="Z150" i="18"/>
  <c r="X150" i="18"/>
  <c r="N150" i="18"/>
  <c r="L150" i="18"/>
  <c r="B150" i="18"/>
  <c r="Z149" i="18"/>
  <c r="X149" i="18"/>
  <c r="N149" i="18"/>
  <c r="L149" i="18"/>
  <c r="B149" i="18"/>
  <c r="Z148" i="18"/>
  <c r="X148" i="18"/>
  <c r="N148" i="18"/>
  <c r="L148" i="18"/>
  <c r="B148" i="18"/>
  <c r="Z147" i="18"/>
  <c r="X147" i="18"/>
  <c r="N147" i="18"/>
  <c r="L147" i="18"/>
  <c r="B147" i="18"/>
  <c r="Z146" i="18"/>
  <c r="X146" i="18"/>
  <c r="N146" i="18"/>
  <c r="L146" i="18"/>
  <c r="B146" i="18"/>
  <c r="Z145" i="18"/>
  <c r="X145" i="18"/>
  <c r="N145" i="18"/>
  <c r="L145" i="18"/>
  <c r="B145" i="18"/>
  <c r="Z144" i="18"/>
  <c r="X144" i="18"/>
  <c r="N144" i="18"/>
  <c r="L144" i="18"/>
  <c r="B144" i="18"/>
  <c r="Z143" i="18"/>
  <c r="X143" i="18"/>
  <c r="N143" i="18"/>
  <c r="L143" i="18"/>
  <c r="B143" i="18"/>
  <c r="Z142" i="18"/>
  <c r="X142" i="18"/>
  <c r="N142" i="18"/>
  <c r="L142" i="18"/>
  <c r="B142" i="18"/>
  <c r="Z141" i="18"/>
  <c r="X141" i="18"/>
  <c r="N141" i="18"/>
  <c r="L141" i="18"/>
  <c r="B141" i="18"/>
  <c r="Z140" i="18"/>
  <c r="X140" i="18"/>
  <c r="N140" i="18"/>
  <c r="L140" i="18"/>
  <c r="B140" i="18"/>
  <c r="Z139" i="18"/>
  <c r="X139" i="18"/>
  <c r="N139" i="18"/>
  <c r="L139" i="18"/>
  <c r="B139" i="18"/>
  <c r="Z138" i="18"/>
  <c r="X138" i="18"/>
  <c r="N138" i="18"/>
  <c r="L138" i="18"/>
  <c r="B138" i="18"/>
  <c r="Z137" i="18"/>
  <c r="X137" i="18"/>
  <c r="N137" i="18"/>
  <c r="L137" i="18"/>
  <c r="B137" i="18"/>
  <c r="Z136" i="18"/>
  <c r="X136" i="18"/>
  <c r="N136" i="18"/>
  <c r="L136" i="18"/>
  <c r="B136" i="18"/>
  <c r="Z135" i="18"/>
  <c r="X135" i="18"/>
  <c r="N135" i="18"/>
  <c r="L135" i="18"/>
  <c r="B135" i="18"/>
  <c r="Z134" i="18"/>
  <c r="X134" i="18"/>
  <c r="N134" i="18"/>
  <c r="L134" i="18"/>
  <c r="B134" i="18"/>
  <c r="Z133" i="18"/>
  <c r="X133" i="18"/>
  <c r="N133" i="18"/>
  <c r="L133" i="18"/>
  <c r="B133" i="18"/>
  <c r="Z132" i="18"/>
  <c r="X132" i="18"/>
  <c r="N132" i="18"/>
  <c r="L132" i="18"/>
  <c r="B132" i="18"/>
  <c r="Z131" i="18"/>
  <c r="X131" i="18"/>
  <c r="N131" i="18"/>
  <c r="L131" i="18"/>
  <c r="B131" i="18"/>
  <c r="Z130" i="18"/>
  <c r="X130" i="18"/>
  <c r="N130" i="18"/>
  <c r="L130" i="18"/>
  <c r="B130" i="18"/>
  <c r="Z129" i="18"/>
  <c r="X129" i="18"/>
  <c r="N129" i="18"/>
  <c r="L129" i="18"/>
  <c r="B129" i="18"/>
  <c r="Z128" i="18"/>
  <c r="X128" i="18"/>
  <c r="N128" i="18"/>
  <c r="L128" i="18"/>
  <c r="B128" i="18"/>
  <c r="Z127" i="18"/>
  <c r="X127" i="18"/>
  <c r="N127" i="18"/>
  <c r="L127" i="18"/>
  <c r="B127" i="18"/>
  <c r="Z126" i="18"/>
  <c r="X126" i="18"/>
  <c r="N126" i="18"/>
  <c r="L126" i="18"/>
  <c r="B126" i="18"/>
  <c r="Z125" i="18"/>
  <c r="X125" i="18"/>
  <c r="N125" i="18"/>
  <c r="L125" i="18"/>
  <c r="B125" i="18"/>
  <c r="Z124" i="18"/>
  <c r="X124" i="18"/>
  <c r="N124" i="18"/>
  <c r="L124" i="18"/>
  <c r="B124" i="18"/>
  <c r="X123" i="18"/>
  <c r="Z123" i="18" s="1"/>
  <c r="L123" i="18"/>
  <c r="N123" i="18" s="1"/>
  <c r="B123" i="18"/>
  <c r="X122" i="18"/>
  <c r="T122" i="18"/>
  <c r="P122" i="18"/>
  <c r="H122" i="18"/>
  <c r="N122" i="18" s="1"/>
  <c r="D122" i="18"/>
  <c r="L122" i="18" s="1"/>
  <c r="Z120" i="18"/>
  <c r="X120" i="18"/>
  <c r="P120" i="18"/>
  <c r="N120" i="18"/>
  <c r="L120" i="18"/>
  <c r="D120" i="18"/>
  <c r="B120" i="18"/>
  <c r="Z119" i="18"/>
  <c r="X119" i="18"/>
  <c r="P119" i="18"/>
  <c r="N119" i="18"/>
  <c r="L119" i="18"/>
  <c r="D119" i="18"/>
  <c r="B119" i="18"/>
  <c r="Z118" i="18"/>
  <c r="P118" i="18"/>
  <c r="X118" i="18" s="1"/>
  <c r="N118" i="18"/>
  <c r="L118" i="18"/>
  <c r="D118" i="18"/>
  <c r="B118" i="18"/>
  <c r="Z117" i="18"/>
  <c r="P117" i="18"/>
  <c r="X117" i="18" s="1"/>
  <c r="N117" i="18"/>
  <c r="L117" i="18"/>
  <c r="D117" i="18"/>
  <c r="B117" i="18"/>
  <c r="Z116" i="18"/>
  <c r="X116" i="18"/>
  <c r="P116" i="18"/>
  <c r="N116" i="18"/>
  <c r="L116" i="18"/>
  <c r="D116" i="18"/>
  <c r="B116" i="18"/>
  <c r="Z115" i="18"/>
  <c r="P115" i="18"/>
  <c r="X115" i="18" s="1"/>
  <c r="N115" i="18"/>
  <c r="D115" i="18"/>
  <c r="L115" i="18" s="1"/>
  <c r="B115" i="18"/>
  <c r="Z114" i="18"/>
  <c r="P114" i="18"/>
  <c r="X114" i="18" s="1"/>
  <c r="N114" i="18"/>
  <c r="D114" i="18"/>
  <c r="L114" i="18" s="1"/>
  <c r="B114" i="18"/>
  <c r="Z113" i="18"/>
  <c r="X113" i="18"/>
  <c r="P113" i="18"/>
  <c r="N113" i="18"/>
  <c r="L113" i="18"/>
  <c r="D113" i="18"/>
  <c r="B113" i="18"/>
  <c r="Z112" i="18"/>
  <c r="P112" i="18"/>
  <c r="X112" i="18" s="1"/>
  <c r="N112" i="18"/>
  <c r="D112" i="18"/>
  <c r="L112" i="18" s="1"/>
  <c r="B112" i="18"/>
  <c r="Z111" i="18"/>
  <c r="P111" i="18"/>
  <c r="X111" i="18" s="1"/>
  <c r="N111" i="18"/>
  <c r="D111" i="18"/>
  <c r="L111" i="18" s="1"/>
  <c r="B111" i="18"/>
  <c r="Z110" i="18"/>
  <c r="X110" i="18"/>
  <c r="P110" i="18"/>
  <c r="N110" i="18"/>
  <c r="L110" i="18"/>
  <c r="D110" i="18"/>
  <c r="B110" i="18"/>
  <c r="Z109" i="18"/>
  <c r="P109" i="18"/>
  <c r="X109" i="18" s="1"/>
  <c r="N109" i="18"/>
  <c r="D109" i="18"/>
  <c r="L109" i="18" s="1"/>
  <c r="B109" i="18"/>
  <c r="Z108" i="18"/>
  <c r="X108" i="18"/>
  <c r="P108" i="18"/>
  <c r="N108" i="18"/>
  <c r="D108" i="18"/>
  <c r="L108" i="18" s="1"/>
  <c r="B108" i="18"/>
  <c r="Z107" i="18"/>
  <c r="X107" i="18"/>
  <c r="P107" i="18"/>
  <c r="N107" i="18"/>
  <c r="L107" i="18"/>
  <c r="D107" i="18"/>
  <c r="B107" i="18"/>
  <c r="Z106" i="18"/>
  <c r="P106" i="18"/>
  <c r="X106" i="18" s="1"/>
  <c r="N106" i="18"/>
  <c r="L106" i="18"/>
  <c r="D106" i="18"/>
  <c r="B106" i="18"/>
  <c r="Z105" i="18"/>
  <c r="P105" i="18"/>
  <c r="X105" i="18" s="1"/>
  <c r="N105" i="18"/>
  <c r="D105" i="18"/>
  <c r="L105" i="18" s="1"/>
  <c r="B105" i="18"/>
  <c r="Z104" i="18"/>
  <c r="X104" i="18"/>
  <c r="P104" i="18"/>
  <c r="N104" i="18"/>
  <c r="L104" i="18"/>
  <c r="D104" i="18"/>
  <c r="B104" i="18"/>
  <c r="Z103" i="18"/>
  <c r="P103" i="18"/>
  <c r="X103" i="18" s="1"/>
  <c r="N103" i="18"/>
  <c r="D103" i="18"/>
  <c r="L103" i="18" s="1"/>
  <c r="B103" i="18"/>
  <c r="Z102" i="18"/>
  <c r="P102" i="18"/>
  <c r="X102" i="18" s="1"/>
  <c r="N102" i="18"/>
  <c r="D102" i="18"/>
  <c r="L102" i="18" s="1"/>
  <c r="B102" i="18"/>
  <c r="Z101" i="18"/>
  <c r="X101" i="18"/>
  <c r="P101" i="18"/>
  <c r="N101" i="18"/>
  <c r="L101" i="18"/>
  <c r="D101" i="18"/>
  <c r="B101" i="18"/>
  <c r="Z100" i="18"/>
  <c r="P100" i="18"/>
  <c r="X100" i="18" s="1"/>
  <c r="N100" i="18"/>
  <c r="D100" i="18"/>
  <c r="L100" i="18" s="1"/>
  <c r="B100" i="18"/>
  <c r="Z99" i="18"/>
  <c r="X99" i="18"/>
  <c r="P99" i="18"/>
  <c r="N99" i="18"/>
  <c r="D99" i="18"/>
  <c r="L99" i="18" s="1"/>
  <c r="B99" i="18"/>
  <c r="Z98" i="18"/>
  <c r="X98" i="18"/>
  <c r="P98" i="18"/>
  <c r="N98" i="18"/>
  <c r="L98" i="18"/>
  <c r="D98" i="18"/>
  <c r="B98" i="18"/>
  <c r="Z97" i="18"/>
  <c r="P97" i="18"/>
  <c r="X97" i="18" s="1"/>
  <c r="N97" i="18"/>
  <c r="D97" i="18"/>
  <c r="L97" i="18" s="1"/>
  <c r="B97" i="18"/>
  <c r="Z96" i="18"/>
  <c r="X96" i="18"/>
  <c r="P96" i="18"/>
  <c r="N96" i="18"/>
  <c r="D96" i="18"/>
  <c r="L96" i="18" s="1"/>
  <c r="B96" i="18"/>
  <c r="Z95" i="18"/>
  <c r="X95" i="18"/>
  <c r="P95" i="18"/>
  <c r="N95" i="18"/>
  <c r="L95" i="18"/>
  <c r="D95" i="18"/>
  <c r="B95" i="18"/>
  <c r="Z94" i="18"/>
  <c r="P94" i="18"/>
  <c r="X94" i="18" s="1"/>
  <c r="N94" i="18"/>
  <c r="L94" i="18"/>
  <c r="D94" i="18"/>
  <c r="B94" i="18"/>
  <c r="Z93" i="18"/>
  <c r="P93" i="18"/>
  <c r="X93" i="18" s="1"/>
  <c r="N93" i="18"/>
  <c r="L93" i="18"/>
  <c r="D93" i="18"/>
  <c r="B93" i="18"/>
  <c r="Z92" i="18"/>
  <c r="X92" i="18"/>
  <c r="P92" i="18"/>
  <c r="N92" i="18"/>
  <c r="L92" i="18"/>
  <c r="D92" i="18"/>
  <c r="B92" i="18"/>
  <c r="Z91" i="18"/>
  <c r="P91" i="18"/>
  <c r="X91" i="18" s="1"/>
  <c r="N91" i="18"/>
  <c r="D91" i="18"/>
  <c r="L91" i="18" s="1"/>
  <c r="B91" i="18"/>
  <c r="Z90" i="18"/>
  <c r="P90" i="18"/>
  <c r="X90" i="18" s="1"/>
  <c r="N90" i="18"/>
  <c r="D90" i="18"/>
  <c r="L90" i="18" s="1"/>
  <c r="B90" i="18"/>
  <c r="Z89" i="18"/>
  <c r="X89" i="18"/>
  <c r="P89" i="18"/>
  <c r="N89" i="18"/>
  <c r="L89" i="18"/>
  <c r="D89" i="18"/>
  <c r="B89" i="18"/>
  <c r="Z88" i="18"/>
  <c r="X88" i="18"/>
  <c r="P88" i="18"/>
  <c r="N88" i="18"/>
  <c r="D88" i="18"/>
  <c r="L88" i="18" s="1"/>
  <c r="B88" i="18"/>
  <c r="Z87" i="18"/>
  <c r="P87" i="18"/>
  <c r="X87" i="18" s="1"/>
  <c r="N87" i="18"/>
  <c r="D87" i="18"/>
  <c r="L87" i="18" s="1"/>
  <c r="B87" i="18"/>
  <c r="Z86" i="18"/>
  <c r="X86" i="18"/>
  <c r="P86" i="18"/>
  <c r="N86" i="18"/>
  <c r="L86" i="18"/>
  <c r="D86" i="18"/>
  <c r="B86" i="18"/>
  <c r="Z85" i="18"/>
  <c r="P85" i="18"/>
  <c r="X85" i="18" s="1"/>
  <c r="N85" i="18"/>
  <c r="L85" i="18"/>
  <c r="D85" i="18"/>
  <c r="B85" i="18"/>
  <c r="Z84" i="18"/>
  <c r="P84" i="18"/>
  <c r="X84" i="18" s="1"/>
  <c r="N84" i="18"/>
  <c r="D84" i="18"/>
  <c r="L84" i="18" s="1"/>
  <c r="B84" i="18"/>
  <c r="Z83" i="18"/>
  <c r="X83" i="18"/>
  <c r="P83" i="18"/>
  <c r="N83" i="18"/>
  <c r="L83" i="18"/>
  <c r="D83" i="18"/>
  <c r="B83" i="18"/>
  <c r="Z82" i="18"/>
  <c r="P82" i="18"/>
  <c r="X82" i="18" s="1"/>
  <c r="N82" i="18"/>
  <c r="D82" i="18"/>
  <c r="L82" i="18" s="1"/>
  <c r="B82" i="18"/>
  <c r="Z81" i="18"/>
  <c r="X81" i="18"/>
  <c r="P81" i="18"/>
  <c r="N81" i="18"/>
  <c r="D81" i="18"/>
  <c r="L81" i="18" s="1"/>
  <c r="B81" i="18"/>
  <c r="Z80" i="18"/>
  <c r="X80" i="18"/>
  <c r="P80" i="18"/>
  <c r="N80" i="18"/>
  <c r="D80" i="18"/>
  <c r="L80" i="18" s="1"/>
  <c r="B80" i="18"/>
  <c r="Z79" i="18"/>
  <c r="P79" i="18"/>
  <c r="X79" i="18" s="1"/>
  <c r="N79" i="18"/>
  <c r="L79" i="18"/>
  <c r="D79" i="18"/>
  <c r="B79" i="18"/>
  <c r="Z78" i="18"/>
  <c r="P78" i="18"/>
  <c r="X78" i="18" s="1"/>
  <c r="N78" i="18"/>
  <c r="D78" i="18"/>
  <c r="L78" i="18" s="1"/>
  <c r="B78" i="18"/>
  <c r="Z77" i="18"/>
  <c r="P77" i="18"/>
  <c r="X77" i="18" s="1"/>
  <c r="N77" i="18"/>
  <c r="D77" i="18"/>
  <c r="L77" i="18" s="1"/>
  <c r="B77" i="18"/>
  <c r="Z76" i="18"/>
  <c r="P76" i="18"/>
  <c r="X76" i="18" s="1"/>
  <c r="N76" i="18"/>
  <c r="L76" i="18"/>
  <c r="D76" i="18"/>
  <c r="B76" i="18"/>
  <c r="Z75" i="18"/>
  <c r="X75" i="18"/>
  <c r="P75" i="18"/>
  <c r="N75" i="18"/>
  <c r="L75" i="18"/>
  <c r="D75" i="18"/>
  <c r="B75" i="18"/>
  <c r="Z74" i="18"/>
  <c r="X74" i="18"/>
  <c r="P74" i="18"/>
  <c r="N74" i="18"/>
  <c r="D74" i="18"/>
  <c r="L74" i="18" s="1"/>
  <c r="B74" i="18"/>
  <c r="Z73" i="18"/>
  <c r="X73" i="18"/>
  <c r="P73" i="18"/>
  <c r="N73" i="18"/>
  <c r="D73" i="18"/>
  <c r="L73" i="18" s="1"/>
  <c r="B73" i="18"/>
  <c r="Z72" i="18"/>
  <c r="X72" i="18"/>
  <c r="P72" i="18"/>
  <c r="N72" i="18"/>
  <c r="L72" i="18"/>
  <c r="D72" i="18"/>
  <c r="B72" i="18"/>
  <c r="Z71" i="18"/>
  <c r="P71" i="18"/>
  <c r="X71" i="18" s="1"/>
  <c r="N71" i="18"/>
  <c r="L71" i="18"/>
  <c r="D71" i="18"/>
  <c r="B71" i="18"/>
  <c r="Z70" i="18"/>
  <c r="P70" i="18"/>
  <c r="X70" i="18" s="1"/>
  <c r="N70" i="18"/>
  <c r="L70" i="18"/>
  <c r="D70" i="18"/>
  <c r="B70" i="18"/>
  <c r="Z69" i="18"/>
  <c r="P69" i="18"/>
  <c r="X69" i="18" s="1"/>
  <c r="N69" i="18"/>
  <c r="L69" i="18"/>
  <c r="D69" i="18"/>
  <c r="B69" i="18"/>
  <c r="Z68" i="18"/>
  <c r="P68" i="18"/>
  <c r="X68" i="18" s="1"/>
  <c r="N68" i="18"/>
  <c r="D68" i="18"/>
  <c r="L68" i="18" s="1"/>
  <c r="B68" i="18"/>
  <c r="Z67" i="18"/>
  <c r="X67" i="18"/>
  <c r="P67" i="18"/>
  <c r="N67" i="18"/>
  <c r="D67" i="18"/>
  <c r="L67" i="18" s="1"/>
  <c r="B67" i="18"/>
  <c r="Z66" i="18"/>
  <c r="X66" i="18"/>
  <c r="P66" i="18"/>
  <c r="N66" i="18"/>
  <c r="D66" i="18"/>
  <c r="L66" i="18" s="1"/>
  <c r="B66" i="18"/>
  <c r="Z65" i="18"/>
  <c r="P65" i="18"/>
  <c r="X65" i="18" s="1"/>
  <c r="N65" i="18"/>
  <c r="D65" i="18"/>
  <c r="L65" i="18" s="1"/>
  <c r="B65" i="18"/>
  <c r="Z64" i="18"/>
  <c r="P64" i="18"/>
  <c r="X64" i="18" s="1"/>
  <c r="N64" i="18"/>
  <c r="L64" i="18"/>
  <c r="D64" i="18"/>
  <c r="B64" i="18"/>
  <c r="Z63" i="18"/>
  <c r="X63" i="18"/>
  <c r="P63" i="18"/>
  <c r="N63" i="18"/>
  <c r="L63" i="18"/>
  <c r="D63" i="18"/>
  <c r="B63" i="18"/>
  <c r="Z62" i="18"/>
  <c r="X62" i="18"/>
  <c r="P62" i="18"/>
  <c r="N62" i="18"/>
  <c r="D62" i="18"/>
  <c r="L62" i="18" s="1"/>
  <c r="B62" i="18"/>
  <c r="Z61" i="18"/>
  <c r="X61" i="18"/>
  <c r="P61" i="18"/>
  <c r="N61" i="18"/>
  <c r="D61" i="18"/>
  <c r="L61" i="18" s="1"/>
  <c r="B61" i="18"/>
  <c r="Z60" i="18"/>
  <c r="X60" i="18"/>
  <c r="P60" i="18"/>
  <c r="N60" i="18"/>
  <c r="L60" i="18"/>
  <c r="D60" i="18"/>
  <c r="B60" i="18"/>
  <c r="Z59" i="18"/>
  <c r="P59" i="18"/>
  <c r="X59" i="18" s="1"/>
  <c r="N59" i="18"/>
  <c r="L59" i="18"/>
  <c r="D59" i="18"/>
  <c r="B59" i="18"/>
  <c r="Z58" i="18"/>
  <c r="P58" i="18"/>
  <c r="X58" i="18" s="1"/>
  <c r="N58" i="18"/>
  <c r="L58" i="18"/>
  <c r="D58" i="18"/>
  <c r="B58" i="18"/>
  <c r="Z57" i="18"/>
  <c r="P57" i="18"/>
  <c r="X57" i="18" s="1"/>
  <c r="N57" i="18"/>
  <c r="L57" i="18"/>
  <c r="D57" i="18"/>
  <c r="B57" i="18"/>
  <c r="Z56" i="18"/>
  <c r="P56" i="18"/>
  <c r="X56" i="18" s="1"/>
  <c r="N56" i="18"/>
  <c r="D56" i="18"/>
  <c r="L56" i="18" s="1"/>
  <c r="B56" i="18"/>
  <c r="Z55" i="18"/>
  <c r="X55" i="18"/>
  <c r="P55" i="18"/>
  <c r="N55" i="18"/>
  <c r="L55" i="18"/>
  <c r="D55" i="18"/>
  <c r="B55" i="18"/>
  <c r="Z54" i="18"/>
  <c r="X54" i="18"/>
  <c r="P54" i="18"/>
  <c r="N54" i="18"/>
  <c r="D54" i="18"/>
  <c r="L54" i="18" s="1"/>
  <c r="B54" i="18"/>
  <c r="Z53" i="18"/>
  <c r="P53" i="18"/>
  <c r="X53" i="18" s="1"/>
  <c r="N53" i="18"/>
  <c r="D53" i="18"/>
  <c r="L53" i="18" s="1"/>
  <c r="B53" i="18"/>
  <c r="Z52" i="18"/>
  <c r="P52" i="18"/>
  <c r="X52" i="18" s="1"/>
  <c r="N52" i="18"/>
  <c r="L52" i="18"/>
  <c r="D52" i="18"/>
  <c r="B52" i="18"/>
  <c r="Z51" i="18"/>
  <c r="X51" i="18"/>
  <c r="P51" i="18"/>
  <c r="N51" i="18"/>
  <c r="L51" i="18"/>
  <c r="D51" i="18"/>
  <c r="B51" i="18"/>
  <c r="X50" i="18"/>
  <c r="Z50" i="18" s="1"/>
  <c r="P50" i="18"/>
  <c r="D50" i="18"/>
  <c r="L50" i="18" s="1"/>
  <c r="N50" i="18" s="1"/>
  <c r="B50" i="18"/>
  <c r="Z49" i="18"/>
  <c r="X49" i="18"/>
  <c r="P49" i="18"/>
  <c r="N49" i="18"/>
  <c r="D49" i="18"/>
  <c r="L49" i="18" s="1"/>
  <c r="B49" i="18"/>
  <c r="Z48" i="18"/>
  <c r="P48" i="18"/>
  <c r="X48" i="18" s="1"/>
  <c r="N48" i="18"/>
  <c r="L48" i="18"/>
  <c r="D48" i="18"/>
  <c r="B48" i="18"/>
  <c r="Z47" i="18"/>
  <c r="P47" i="18"/>
  <c r="X47" i="18" s="1"/>
  <c r="N47" i="18"/>
  <c r="L47" i="18"/>
  <c r="D47" i="18"/>
  <c r="B47" i="18"/>
  <c r="Z46" i="18"/>
  <c r="P46" i="18"/>
  <c r="X46" i="18" s="1"/>
  <c r="N46" i="18"/>
  <c r="L46" i="18"/>
  <c r="D46" i="18"/>
  <c r="B46" i="18"/>
  <c r="Z45" i="18"/>
  <c r="P45" i="18"/>
  <c r="X45" i="18" s="1"/>
  <c r="N45" i="18"/>
  <c r="D45" i="18"/>
  <c r="L45" i="18" s="1"/>
  <c r="B45" i="18"/>
  <c r="Z44" i="18"/>
  <c r="P44" i="18"/>
  <c r="X44" i="18" s="1"/>
  <c r="N44" i="18"/>
  <c r="D44" i="18"/>
  <c r="L44" i="18" s="1"/>
  <c r="B44" i="18"/>
  <c r="Z43" i="18"/>
  <c r="X43" i="18"/>
  <c r="P43" i="18"/>
  <c r="N43" i="18"/>
  <c r="D43" i="18"/>
  <c r="L43" i="18" s="1"/>
  <c r="B43" i="18"/>
  <c r="Z42" i="18"/>
  <c r="X42" i="18"/>
  <c r="P42" i="18"/>
  <c r="N42" i="18"/>
  <c r="D42" i="18"/>
  <c r="L42" i="18" s="1"/>
  <c r="B42" i="18"/>
  <c r="Z41" i="18"/>
  <c r="P41" i="18"/>
  <c r="X41" i="18" s="1"/>
  <c r="N41" i="18"/>
  <c r="D41" i="18"/>
  <c r="L41" i="18" s="1"/>
  <c r="B41" i="18"/>
  <c r="Z40" i="18"/>
  <c r="P40" i="18"/>
  <c r="X40" i="18" s="1"/>
  <c r="N40" i="18"/>
  <c r="L40" i="18"/>
  <c r="D40" i="18"/>
  <c r="B40" i="18"/>
  <c r="Z39" i="18"/>
  <c r="X39" i="18"/>
  <c r="P39" i="18"/>
  <c r="N39" i="18"/>
  <c r="L39" i="18"/>
  <c r="D39" i="18"/>
  <c r="B39" i="18"/>
  <c r="Z38" i="18"/>
  <c r="X38" i="18"/>
  <c r="P38" i="18"/>
  <c r="N38" i="18"/>
  <c r="D38" i="18"/>
  <c r="L38" i="18" s="1"/>
  <c r="B38" i="18"/>
  <c r="Z37" i="18"/>
  <c r="X37" i="18"/>
  <c r="P37" i="18"/>
  <c r="N37" i="18"/>
  <c r="D37" i="18"/>
  <c r="L37" i="18" s="1"/>
  <c r="B37" i="18"/>
  <c r="Z36" i="18"/>
  <c r="P36" i="18"/>
  <c r="X36" i="18" s="1"/>
  <c r="N36" i="18"/>
  <c r="L36" i="18"/>
  <c r="D36" i="18"/>
  <c r="B36" i="18"/>
  <c r="Z35" i="18"/>
  <c r="P35" i="18"/>
  <c r="X35" i="18" s="1"/>
  <c r="N35" i="18"/>
  <c r="L35" i="18"/>
  <c r="D35" i="18"/>
  <c r="B35" i="18"/>
  <c r="Z34" i="18"/>
  <c r="P34" i="18"/>
  <c r="X34" i="18" s="1"/>
  <c r="N34" i="18"/>
  <c r="L34" i="18"/>
  <c r="D34" i="18"/>
  <c r="B34" i="18"/>
  <c r="Z33" i="18"/>
  <c r="P33" i="18"/>
  <c r="X33" i="18" s="1"/>
  <c r="N33" i="18"/>
  <c r="D33" i="18"/>
  <c r="L33" i="18" s="1"/>
  <c r="B33" i="18"/>
  <c r="Z32" i="18"/>
  <c r="P32" i="18"/>
  <c r="X32" i="18" s="1"/>
  <c r="N32" i="18"/>
  <c r="D32" i="18"/>
  <c r="L32" i="18" s="1"/>
  <c r="B32" i="18"/>
  <c r="Z31" i="18"/>
  <c r="X31" i="18"/>
  <c r="P31" i="18"/>
  <c r="N31" i="18"/>
  <c r="D31" i="18"/>
  <c r="L31" i="18" s="1"/>
  <c r="B31" i="18"/>
  <c r="Z30" i="18"/>
  <c r="X30" i="18"/>
  <c r="P30" i="18"/>
  <c r="N30" i="18"/>
  <c r="D30" i="18"/>
  <c r="L30" i="18" s="1"/>
  <c r="B30" i="18"/>
  <c r="Z29" i="18"/>
  <c r="P29" i="18"/>
  <c r="X29" i="18" s="1"/>
  <c r="N29" i="18"/>
  <c r="D29" i="18"/>
  <c r="L29" i="18" s="1"/>
  <c r="B29" i="18"/>
  <c r="Z28" i="18"/>
  <c r="P28" i="18"/>
  <c r="X28" i="18" s="1"/>
  <c r="N28" i="18"/>
  <c r="L28" i="18"/>
  <c r="D28" i="18"/>
  <c r="B28" i="18"/>
  <c r="Z27" i="18"/>
  <c r="X27" i="18"/>
  <c r="P27" i="18"/>
  <c r="N27" i="18"/>
  <c r="L27" i="18"/>
  <c r="D27" i="18"/>
  <c r="B27" i="18"/>
  <c r="Z26" i="18"/>
  <c r="X26" i="18"/>
  <c r="P26" i="18"/>
  <c r="N26" i="18"/>
  <c r="D26" i="18"/>
  <c r="L26" i="18" s="1"/>
  <c r="B26" i="18"/>
  <c r="Z25" i="18"/>
  <c r="X25" i="18"/>
  <c r="P25" i="18"/>
  <c r="N25" i="18"/>
  <c r="D25" i="18"/>
  <c r="L25" i="18" s="1"/>
  <c r="B25" i="18"/>
  <c r="Z24" i="18"/>
  <c r="P24" i="18"/>
  <c r="X24" i="18" s="1"/>
  <c r="N24" i="18"/>
  <c r="L24" i="18"/>
  <c r="D24" i="18"/>
  <c r="B24" i="18"/>
  <c r="Z23" i="18"/>
  <c r="P23" i="18"/>
  <c r="X23" i="18" s="1"/>
  <c r="N23" i="18"/>
  <c r="L23" i="18"/>
  <c r="D23" i="18"/>
  <c r="B23" i="18"/>
  <c r="Z22" i="18"/>
  <c r="P22" i="18"/>
  <c r="N22" i="18"/>
  <c r="L22" i="18"/>
  <c r="D22" i="18"/>
  <c r="B22" i="18"/>
  <c r="Z21" i="18"/>
  <c r="P21" i="18"/>
  <c r="X21" i="18" s="1"/>
  <c r="N21" i="18"/>
  <c r="D21" i="18"/>
  <c r="L21" i="18" s="1"/>
  <c r="B21" i="18"/>
  <c r="Z20" i="18"/>
  <c r="P20" i="18"/>
  <c r="X20" i="18" s="1"/>
  <c r="N20" i="18"/>
  <c r="D20" i="18"/>
  <c r="L20" i="18" s="1"/>
  <c r="B20" i="18"/>
  <c r="Z19" i="18"/>
  <c r="X19" i="18"/>
  <c r="P19" i="18"/>
  <c r="N19" i="18"/>
  <c r="D19" i="18"/>
  <c r="L19" i="18" s="1"/>
  <c r="B19" i="18"/>
  <c r="Z18" i="18"/>
  <c r="X18" i="18"/>
  <c r="P18" i="18"/>
  <c r="N18" i="18"/>
  <c r="D18" i="18"/>
  <c r="L18" i="18" s="1"/>
  <c r="B18" i="18"/>
  <c r="Z17" i="18"/>
  <c r="P17" i="18"/>
  <c r="X17" i="18" s="1"/>
  <c r="N17" i="18"/>
  <c r="D17" i="18"/>
  <c r="L17" i="18" s="1"/>
  <c r="B17" i="18"/>
  <c r="Z16" i="18"/>
  <c r="P16" i="18"/>
  <c r="X16" i="18" s="1"/>
  <c r="N16" i="18"/>
  <c r="L16" i="18"/>
  <c r="D16" i="18"/>
  <c r="B16" i="18"/>
  <c r="Z15" i="18"/>
  <c r="X15" i="18"/>
  <c r="P15" i="18"/>
  <c r="N15" i="18"/>
  <c r="L15" i="18"/>
  <c r="D15" i="18"/>
  <c r="B15" i="18"/>
  <c r="Z14" i="18"/>
  <c r="X14" i="18"/>
  <c r="P14" i="18"/>
  <c r="N14" i="18"/>
  <c r="D14" i="18"/>
  <c r="L14" i="18" s="1"/>
  <c r="B14" i="18"/>
  <c r="X13" i="18"/>
  <c r="Z13" i="18" s="1"/>
  <c r="P13" i="18"/>
  <c r="D13" i="18"/>
  <c r="B13" i="18"/>
  <c r="T12" i="18"/>
  <c r="H12" i="18"/>
  <c r="J283" i="18" s="1"/>
  <c r="D4" i="18"/>
  <c r="Z267" i="15"/>
  <c r="X267" i="15"/>
  <c r="L267" i="15"/>
  <c r="N267" i="15" s="1"/>
  <c r="Z263" i="15"/>
  <c r="P263" i="15"/>
  <c r="X263" i="15" s="1"/>
  <c r="N263" i="15"/>
  <c r="D263" i="15"/>
  <c r="L263" i="15" s="1"/>
  <c r="B263" i="15"/>
  <c r="P262" i="15"/>
  <c r="X262" i="15" s="1"/>
  <c r="Z262" i="15" s="1"/>
  <c r="D262" i="15"/>
  <c r="L262" i="15" s="1"/>
  <c r="N262" i="15" s="1"/>
  <c r="B262" i="15"/>
  <c r="Z261" i="15"/>
  <c r="X261" i="15"/>
  <c r="P261" i="15"/>
  <c r="N261" i="15"/>
  <c r="D261" i="15"/>
  <c r="L261" i="15" s="1"/>
  <c r="B261" i="15"/>
  <c r="Z260" i="15"/>
  <c r="X260" i="15"/>
  <c r="P260" i="15"/>
  <c r="N260" i="15"/>
  <c r="L260" i="15"/>
  <c r="D260" i="15"/>
  <c r="B260" i="15"/>
  <c r="Z259" i="15"/>
  <c r="X259" i="15"/>
  <c r="P259" i="15"/>
  <c r="D259" i="15"/>
  <c r="L259" i="15" s="1"/>
  <c r="N259" i="15" s="1"/>
  <c r="B259" i="15"/>
  <c r="X258" i="15"/>
  <c r="Z258" i="15" s="1"/>
  <c r="V258" i="15"/>
  <c r="P258" i="15"/>
  <c r="D258" i="15"/>
  <c r="L258" i="15" s="1"/>
  <c r="N258" i="15" s="1"/>
  <c r="B258" i="15"/>
  <c r="Z257" i="15"/>
  <c r="X257" i="15"/>
  <c r="V257" i="15"/>
  <c r="P257" i="15"/>
  <c r="N257" i="15"/>
  <c r="D257" i="15"/>
  <c r="L257" i="15" s="1"/>
  <c r="B257" i="15"/>
  <c r="Z256" i="15"/>
  <c r="P256" i="15"/>
  <c r="X256" i="15" s="1"/>
  <c r="N256" i="15"/>
  <c r="D256" i="15"/>
  <c r="L256" i="15" s="1"/>
  <c r="B256" i="15"/>
  <c r="Z255" i="15"/>
  <c r="P255" i="15"/>
  <c r="X255" i="15" s="1"/>
  <c r="N255" i="15"/>
  <c r="L255" i="15"/>
  <c r="D255" i="15"/>
  <c r="B255" i="15"/>
  <c r="T254" i="15"/>
  <c r="P254" i="15"/>
  <c r="X254" i="15" s="1"/>
  <c r="Z254" i="15" s="1"/>
  <c r="H254" i="15"/>
  <c r="X252" i="15"/>
  <c r="Z252" i="15" s="1"/>
  <c r="L252" i="15"/>
  <c r="N252" i="15" s="1"/>
  <c r="J252" i="15"/>
  <c r="B252" i="15"/>
  <c r="Z251" i="15"/>
  <c r="T251" i="15"/>
  <c r="P251" i="15"/>
  <c r="X251" i="15" s="1"/>
  <c r="H251" i="15"/>
  <c r="D251" i="15"/>
  <c r="B251" i="15"/>
  <c r="X250" i="15"/>
  <c r="Z250" i="15" s="1"/>
  <c r="N250" i="15"/>
  <c r="L250" i="15"/>
  <c r="F250" i="15"/>
  <c r="B250" i="15"/>
  <c r="X249" i="15"/>
  <c r="Z249" i="15" s="1"/>
  <c r="V249" i="15"/>
  <c r="L249" i="15"/>
  <c r="N249" i="15" s="1"/>
  <c r="B249" i="15"/>
  <c r="Z248" i="15"/>
  <c r="X248" i="15"/>
  <c r="V248" i="15"/>
  <c r="N248" i="15"/>
  <c r="L248" i="15"/>
  <c r="B248" i="15"/>
  <c r="T247" i="15"/>
  <c r="Z247" i="15" s="1"/>
  <c r="P247" i="15"/>
  <c r="X247" i="15" s="1"/>
  <c r="J247" i="15"/>
  <c r="H247" i="15"/>
  <c r="D247" i="15"/>
  <c r="L247" i="15" s="1"/>
  <c r="B247" i="15"/>
  <c r="Z246" i="15"/>
  <c r="X246" i="15"/>
  <c r="N246" i="15"/>
  <c r="L246" i="15"/>
  <c r="F246" i="15"/>
  <c r="B246" i="15"/>
  <c r="T245" i="15"/>
  <c r="Z245" i="15" s="1"/>
  <c r="P245" i="15"/>
  <c r="X245" i="15" s="1"/>
  <c r="L245" i="15"/>
  <c r="N245" i="15" s="1"/>
  <c r="H245" i="15"/>
  <c r="D245" i="15"/>
  <c r="B245" i="15"/>
  <c r="X244" i="15"/>
  <c r="Z244" i="15" s="1"/>
  <c r="L244" i="15"/>
  <c r="N244" i="15" s="1"/>
  <c r="J244" i="15"/>
  <c r="B244" i="15"/>
  <c r="Z243" i="15"/>
  <c r="X243" i="15"/>
  <c r="N243" i="15"/>
  <c r="L243" i="15"/>
  <c r="B243" i="15"/>
  <c r="T242" i="15"/>
  <c r="P242" i="15"/>
  <c r="H242" i="15"/>
  <c r="D242" i="15"/>
  <c r="L242" i="15" s="1"/>
  <c r="N242" i="15" s="1"/>
  <c r="B242" i="15"/>
  <c r="X241" i="15"/>
  <c r="Z241" i="15" s="1"/>
  <c r="V241" i="15"/>
  <c r="L241" i="15"/>
  <c r="N241" i="15" s="1"/>
  <c r="B241" i="15"/>
  <c r="X240" i="15"/>
  <c r="Z240" i="15" s="1"/>
  <c r="V240" i="15"/>
  <c r="L240" i="15"/>
  <c r="N240" i="15" s="1"/>
  <c r="B240" i="15"/>
  <c r="Z239" i="15"/>
  <c r="X239" i="15"/>
  <c r="N239" i="15"/>
  <c r="L239" i="15"/>
  <c r="B239" i="15"/>
  <c r="X238" i="15"/>
  <c r="Z238" i="15" s="1"/>
  <c r="N238" i="15"/>
  <c r="L238" i="15"/>
  <c r="B238" i="15"/>
  <c r="X237" i="15"/>
  <c r="Z237" i="15" s="1"/>
  <c r="V237" i="15"/>
  <c r="L237" i="15"/>
  <c r="N237" i="15" s="1"/>
  <c r="B237" i="15"/>
  <c r="X236" i="15"/>
  <c r="Z236" i="15" s="1"/>
  <c r="V236" i="15"/>
  <c r="L236" i="15"/>
  <c r="N236" i="15" s="1"/>
  <c r="B236" i="15"/>
  <c r="Z235" i="15"/>
  <c r="X235" i="15"/>
  <c r="L235" i="15"/>
  <c r="N235" i="15" s="1"/>
  <c r="B235" i="15"/>
  <c r="T234" i="15"/>
  <c r="P234" i="15"/>
  <c r="L234" i="15"/>
  <c r="N234" i="15" s="1"/>
  <c r="J234" i="15"/>
  <c r="H234" i="15"/>
  <c r="D234" i="15"/>
  <c r="B234" i="15"/>
  <c r="X233" i="15"/>
  <c r="Z233" i="15" s="1"/>
  <c r="L233" i="15"/>
  <c r="N233" i="15" s="1"/>
  <c r="J233" i="15"/>
  <c r="B233" i="15"/>
  <c r="X232" i="15"/>
  <c r="Z232" i="15" s="1"/>
  <c r="L232" i="15"/>
  <c r="N232" i="15" s="1"/>
  <c r="B232" i="15"/>
  <c r="X231" i="15"/>
  <c r="Z231" i="15" s="1"/>
  <c r="T231" i="15"/>
  <c r="P231" i="15"/>
  <c r="H231" i="15"/>
  <c r="D231" i="15"/>
  <c r="L231" i="15" s="1"/>
  <c r="N231" i="15" s="1"/>
  <c r="B231" i="15"/>
  <c r="Z230" i="15"/>
  <c r="X230" i="15"/>
  <c r="L230" i="15"/>
  <c r="N230" i="15" s="1"/>
  <c r="B230" i="15"/>
  <c r="X229" i="15"/>
  <c r="Z229" i="15" s="1"/>
  <c r="V229" i="15"/>
  <c r="L229" i="15"/>
  <c r="N229" i="15" s="1"/>
  <c r="J229" i="15"/>
  <c r="B229" i="15"/>
  <c r="X228" i="15"/>
  <c r="Z228" i="15" s="1"/>
  <c r="L228" i="15"/>
  <c r="N228" i="15" s="1"/>
  <c r="J228" i="15"/>
  <c r="B228" i="15"/>
  <c r="Z227" i="15"/>
  <c r="X227" i="15"/>
  <c r="N227" i="15"/>
  <c r="L227" i="15"/>
  <c r="B227" i="15"/>
  <c r="T226" i="15"/>
  <c r="Z226" i="15" s="1"/>
  <c r="P226" i="15"/>
  <c r="X226" i="15" s="1"/>
  <c r="H226" i="15"/>
  <c r="D226" i="15"/>
  <c r="L226" i="15" s="1"/>
  <c r="N226" i="15" s="1"/>
  <c r="B226" i="15"/>
  <c r="Z225" i="15"/>
  <c r="X225" i="15"/>
  <c r="V225" i="15"/>
  <c r="N225" i="15"/>
  <c r="L225" i="15"/>
  <c r="B225" i="15"/>
  <c r="X224" i="15"/>
  <c r="Z224" i="15" s="1"/>
  <c r="V224" i="15"/>
  <c r="L224" i="15"/>
  <c r="N224" i="15" s="1"/>
  <c r="B224" i="15"/>
  <c r="Z223" i="15"/>
  <c r="X223" i="15"/>
  <c r="L223" i="15"/>
  <c r="N223" i="15" s="1"/>
  <c r="B223" i="15"/>
  <c r="X222" i="15"/>
  <c r="Z222" i="15" s="1"/>
  <c r="N222" i="15"/>
  <c r="L222" i="15"/>
  <c r="B222" i="15"/>
  <c r="V221" i="15"/>
  <c r="T221" i="15"/>
  <c r="P221" i="15"/>
  <c r="X221" i="15" s="1"/>
  <c r="H221" i="15"/>
  <c r="D221" i="15"/>
  <c r="L221" i="15" s="1"/>
  <c r="B221" i="15"/>
  <c r="X220" i="15"/>
  <c r="Z220" i="15" s="1"/>
  <c r="L220" i="15"/>
  <c r="N220" i="15" s="1"/>
  <c r="B220" i="15"/>
  <c r="X219" i="15"/>
  <c r="Z219" i="15" s="1"/>
  <c r="N219" i="15"/>
  <c r="L219" i="15"/>
  <c r="B219" i="15"/>
  <c r="Z218" i="15"/>
  <c r="X218" i="15"/>
  <c r="N218" i="15"/>
  <c r="L218" i="15"/>
  <c r="B218" i="15"/>
  <c r="T217" i="15"/>
  <c r="P217" i="15"/>
  <c r="X217" i="15" s="1"/>
  <c r="Z217" i="15" s="1"/>
  <c r="L217" i="15"/>
  <c r="N217" i="15" s="1"/>
  <c r="H217" i="15"/>
  <c r="D217" i="15"/>
  <c r="B217" i="15"/>
  <c r="X216" i="15"/>
  <c r="Z216" i="15" s="1"/>
  <c r="L216" i="15"/>
  <c r="N216" i="15" s="1"/>
  <c r="J216" i="15"/>
  <c r="B216" i="15"/>
  <c r="T215" i="15"/>
  <c r="P215" i="15"/>
  <c r="X215" i="15" s="1"/>
  <c r="Z215" i="15" s="1"/>
  <c r="H215" i="15"/>
  <c r="D215" i="15"/>
  <c r="B215" i="15"/>
  <c r="X214" i="15"/>
  <c r="Z214" i="15" s="1"/>
  <c r="N214" i="15"/>
  <c r="L214" i="15"/>
  <c r="B214" i="15"/>
  <c r="V213" i="15"/>
  <c r="T213" i="15"/>
  <c r="P213" i="15"/>
  <c r="X213" i="15" s="1"/>
  <c r="H213" i="15"/>
  <c r="N213" i="15" s="1"/>
  <c r="D213" i="15"/>
  <c r="L213" i="15" s="1"/>
  <c r="B213" i="15"/>
  <c r="X212" i="15"/>
  <c r="Z212" i="15" s="1"/>
  <c r="L212" i="15"/>
  <c r="N212" i="15" s="1"/>
  <c r="B212" i="15"/>
  <c r="X211" i="15"/>
  <c r="Z211" i="15" s="1"/>
  <c r="T211" i="15"/>
  <c r="P211" i="15"/>
  <c r="H211" i="15"/>
  <c r="D211" i="15"/>
  <c r="L211" i="15" s="1"/>
  <c r="N211" i="15" s="1"/>
  <c r="B211" i="15"/>
  <c r="Z210" i="15"/>
  <c r="X210" i="15"/>
  <c r="L210" i="15"/>
  <c r="N210" i="15" s="1"/>
  <c r="B210" i="15"/>
  <c r="V209" i="15"/>
  <c r="T209" i="15"/>
  <c r="P209" i="15"/>
  <c r="H209" i="15"/>
  <c r="D209" i="15"/>
  <c r="L209" i="15" s="1"/>
  <c r="N209" i="15" s="1"/>
  <c r="B209" i="15"/>
  <c r="X208" i="15"/>
  <c r="Z208" i="15" s="1"/>
  <c r="V208" i="15"/>
  <c r="L208" i="15"/>
  <c r="N208" i="15" s="1"/>
  <c r="B208" i="15"/>
  <c r="T207" i="15"/>
  <c r="Z207" i="15" s="1"/>
  <c r="P207" i="15"/>
  <c r="X207" i="15" s="1"/>
  <c r="J207" i="15"/>
  <c r="H207" i="15"/>
  <c r="D207" i="15"/>
  <c r="L207" i="15" s="1"/>
  <c r="B207" i="15"/>
  <c r="Z206" i="15"/>
  <c r="X206" i="15"/>
  <c r="N206" i="15"/>
  <c r="L206" i="15"/>
  <c r="B206" i="15"/>
  <c r="X205" i="15"/>
  <c r="Z205" i="15" s="1"/>
  <c r="L205" i="15"/>
  <c r="N205" i="15" s="1"/>
  <c r="J205" i="15"/>
  <c r="B205" i="15"/>
  <c r="X204" i="15"/>
  <c r="T204" i="15"/>
  <c r="P204" i="15"/>
  <c r="H204" i="15"/>
  <c r="D204" i="15"/>
  <c r="B204" i="15"/>
  <c r="Z203" i="15"/>
  <c r="X203" i="15"/>
  <c r="N203" i="15"/>
  <c r="L203" i="15"/>
  <c r="B203" i="15"/>
  <c r="T202" i="15"/>
  <c r="P202" i="15"/>
  <c r="X202" i="15" s="1"/>
  <c r="Z202" i="15" s="1"/>
  <c r="H202" i="15"/>
  <c r="D202" i="15"/>
  <c r="L202" i="15" s="1"/>
  <c r="N202" i="15" s="1"/>
  <c r="B202" i="15"/>
  <c r="X201" i="15"/>
  <c r="Z201" i="15" s="1"/>
  <c r="V201" i="15"/>
  <c r="L201" i="15"/>
  <c r="N201" i="15" s="1"/>
  <c r="B201" i="15"/>
  <c r="X200" i="15"/>
  <c r="Z200" i="15" s="1"/>
  <c r="V200" i="15"/>
  <c r="T200" i="15"/>
  <c r="P200" i="15"/>
  <c r="H200" i="15"/>
  <c r="D200" i="15"/>
  <c r="B200" i="15"/>
  <c r="Z199" i="15"/>
  <c r="X199" i="15"/>
  <c r="N199" i="15"/>
  <c r="L199" i="15"/>
  <c r="B199" i="15"/>
  <c r="Z198" i="15"/>
  <c r="X198" i="15"/>
  <c r="N198" i="15"/>
  <c r="L198" i="15"/>
  <c r="B198" i="15"/>
  <c r="T197" i="15"/>
  <c r="P197" i="15"/>
  <c r="X197" i="15" s="1"/>
  <c r="Z197" i="15" s="1"/>
  <c r="L197" i="15"/>
  <c r="N197" i="15" s="1"/>
  <c r="H197" i="15"/>
  <c r="D197" i="15"/>
  <c r="B197" i="15"/>
  <c r="Z196" i="15"/>
  <c r="X196" i="15"/>
  <c r="N196" i="15"/>
  <c r="L196" i="15"/>
  <c r="J196" i="15"/>
  <c r="B196" i="15"/>
  <c r="Z195" i="15"/>
  <c r="X195" i="15"/>
  <c r="N195" i="15"/>
  <c r="L195" i="15"/>
  <c r="B195" i="15"/>
  <c r="T194" i="15"/>
  <c r="P194" i="15"/>
  <c r="X194" i="15" s="1"/>
  <c r="Z194" i="15" s="1"/>
  <c r="H194" i="15"/>
  <c r="D194" i="15"/>
  <c r="L194" i="15" s="1"/>
  <c r="N194" i="15" s="1"/>
  <c r="B194" i="15"/>
  <c r="X193" i="15"/>
  <c r="Z193" i="15" s="1"/>
  <c r="V193" i="15"/>
  <c r="L193" i="15"/>
  <c r="N193" i="15" s="1"/>
  <c r="B193" i="15"/>
  <c r="X192" i="15"/>
  <c r="Z192" i="15" s="1"/>
  <c r="V192" i="15"/>
  <c r="L192" i="15"/>
  <c r="N192" i="15" s="1"/>
  <c r="B192" i="15"/>
  <c r="Z191" i="15"/>
  <c r="X191" i="15"/>
  <c r="N191" i="15"/>
  <c r="L191" i="15"/>
  <c r="B191" i="15"/>
  <c r="X190" i="15"/>
  <c r="Z190" i="15" s="1"/>
  <c r="N190" i="15"/>
  <c r="L190" i="15"/>
  <c r="B190" i="15"/>
  <c r="V189" i="15"/>
  <c r="T189" i="15"/>
  <c r="P189" i="15"/>
  <c r="X189" i="15" s="1"/>
  <c r="H189" i="15"/>
  <c r="N189" i="15" s="1"/>
  <c r="F189" i="15"/>
  <c r="D189" i="15"/>
  <c r="L189" i="15" s="1"/>
  <c r="B189" i="15"/>
  <c r="X188" i="15"/>
  <c r="Z188" i="15" s="1"/>
  <c r="L188" i="15"/>
  <c r="N188" i="15" s="1"/>
  <c r="B188" i="15"/>
  <c r="X187" i="15"/>
  <c r="Z187" i="15" s="1"/>
  <c r="T187" i="15"/>
  <c r="P187" i="15"/>
  <c r="H187" i="15"/>
  <c r="D187" i="15"/>
  <c r="L187" i="15" s="1"/>
  <c r="N187" i="15" s="1"/>
  <c r="B187" i="15"/>
  <c r="Z186" i="15"/>
  <c r="X186" i="15"/>
  <c r="L186" i="15"/>
  <c r="N186" i="15" s="1"/>
  <c r="B186" i="15"/>
  <c r="X185" i="15"/>
  <c r="Z185" i="15" s="1"/>
  <c r="V185" i="15"/>
  <c r="L185" i="15"/>
  <c r="N185" i="15" s="1"/>
  <c r="J185" i="15"/>
  <c r="B185" i="15"/>
  <c r="T184" i="15"/>
  <c r="P184" i="15"/>
  <c r="X184" i="15" s="1"/>
  <c r="Z184" i="15" s="1"/>
  <c r="H184" i="15"/>
  <c r="N184" i="15" s="1"/>
  <c r="D184" i="15"/>
  <c r="L184" i="15" s="1"/>
  <c r="B184" i="15"/>
  <c r="Z183" i="15"/>
  <c r="X183" i="15"/>
  <c r="L183" i="15"/>
  <c r="N183" i="15" s="1"/>
  <c r="B183" i="15"/>
  <c r="T182" i="15"/>
  <c r="P182" i="15"/>
  <c r="J182" i="15"/>
  <c r="H182" i="15"/>
  <c r="D182" i="15"/>
  <c r="L182" i="15" s="1"/>
  <c r="N182" i="15" s="1"/>
  <c r="B182" i="15"/>
  <c r="Z181" i="15"/>
  <c r="X181" i="15"/>
  <c r="N181" i="15"/>
  <c r="L181" i="15"/>
  <c r="J181" i="15"/>
  <c r="F181" i="15"/>
  <c r="B181" i="15"/>
  <c r="Z180" i="15"/>
  <c r="X180" i="15"/>
  <c r="N180" i="15"/>
  <c r="L180" i="15"/>
  <c r="B180" i="15"/>
  <c r="Z179" i="15"/>
  <c r="X179" i="15"/>
  <c r="N179" i="15"/>
  <c r="L179" i="15"/>
  <c r="B179" i="15"/>
  <c r="Z178" i="15"/>
  <c r="X178" i="15"/>
  <c r="N178" i="15"/>
  <c r="L178" i="15"/>
  <c r="B178" i="15"/>
  <c r="Z177" i="15"/>
  <c r="X177" i="15"/>
  <c r="N177" i="15"/>
  <c r="L177" i="15"/>
  <c r="J177" i="15"/>
  <c r="B177" i="15"/>
  <c r="X176" i="15"/>
  <c r="Z176" i="15" s="1"/>
  <c r="L176" i="15"/>
  <c r="N176" i="15" s="1"/>
  <c r="B176" i="15"/>
  <c r="X175" i="15"/>
  <c r="Z175" i="15" s="1"/>
  <c r="N175" i="15"/>
  <c r="L175" i="15"/>
  <c r="B175" i="15"/>
  <c r="Z174" i="15"/>
  <c r="X174" i="15"/>
  <c r="N174" i="15"/>
  <c r="L174" i="15"/>
  <c r="B174" i="15"/>
  <c r="X173" i="15"/>
  <c r="Z173" i="15" s="1"/>
  <c r="L173" i="15"/>
  <c r="N173" i="15" s="1"/>
  <c r="J173" i="15"/>
  <c r="B173" i="15"/>
  <c r="X172" i="15"/>
  <c r="Z172" i="15" s="1"/>
  <c r="L172" i="15"/>
  <c r="N172" i="15" s="1"/>
  <c r="B172" i="15"/>
  <c r="Z171" i="15"/>
  <c r="X171" i="15"/>
  <c r="T171" i="15"/>
  <c r="P171" i="15"/>
  <c r="H171" i="15"/>
  <c r="D171" i="15"/>
  <c r="L171" i="15" s="1"/>
  <c r="N171" i="15" s="1"/>
  <c r="B171" i="15"/>
  <c r="Z170" i="15"/>
  <c r="X170" i="15"/>
  <c r="L170" i="15"/>
  <c r="N170" i="15" s="1"/>
  <c r="B170" i="15"/>
  <c r="X169" i="15"/>
  <c r="Z169" i="15" s="1"/>
  <c r="V169" i="15"/>
  <c r="N169" i="15"/>
  <c r="L169" i="15"/>
  <c r="J169" i="15"/>
  <c r="B169" i="15"/>
  <c r="X168" i="15"/>
  <c r="Z168" i="15" s="1"/>
  <c r="L168" i="15"/>
  <c r="N168" i="15" s="1"/>
  <c r="J168" i="15"/>
  <c r="B168" i="15"/>
  <c r="Z167" i="15"/>
  <c r="X167" i="15"/>
  <c r="N167" i="15"/>
  <c r="L167" i="15"/>
  <c r="B167" i="15"/>
  <c r="Z166" i="15"/>
  <c r="X166" i="15"/>
  <c r="N166" i="15"/>
  <c r="L166" i="15"/>
  <c r="B166" i="15"/>
  <c r="X165" i="15"/>
  <c r="Z165" i="15" s="1"/>
  <c r="V165" i="15"/>
  <c r="N165" i="15"/>
  <c r="L165" i="15"/>
  <c r="J165" i="15"/>
  <c r="B165" i="15"/>
  <c r="X164" i="15"/>
  <c r="Z164" i="15" s="1"/>
  <c r="L164" i="15"/>
  <c r="N164" i="15" s="1"/>
  <c r="J164" i="15"/>
  <c r="B164" i="15"/>
  <c r="Z163" i="15"/>
  <c r="X163" i="15"/>
  <c r="N163" i="15"/>
  <c r="L163" i="15"/>
  <c r="B163" i="15"/>
  <c r="Z162" i="15"/>
  <c r="X162" i="15"/>
  <c r="L162" i="15"/>
  <c r="N162" i="15" s="1"/>
  <c r="B162" i="15"/>
  <c r="X161" i="15"/>
  <c r="Z161" i="15" s="1"/>
  <c r="V161" i="15"/>
  <c r="N161" i="15"/>
  <c r="L161" i="15"/>
  <c r="J161" i="15"/>
  <c r="B161" i="15"/>
  <c r="T160" i="15"/>
  <c r="P160" i="15"/>
  <c r="X160" i="15" s="1"/>
  <c r="Z160" i="15" s="1"/>
  <c r="H160" i="15"/>
  <c r="D160" i="15"/>
  <c r="B160" i="15"/>
  <c r="T159" i="15"/>
  <c r="P159" i="15"/>
  <c r="X159" i="15" s="1"/>
  <c r="J159" i="15"/>
  <c r="H159" i="15"/>
  <c r="N159" i="15" s="1"/>
  <c r="D159" i="15"/>
  <c r="L159" i="15" s="1"/>
  <c r="Z155" i="15"/>
  <c r="X155" i="15"/>
  <c r="N155" i="15"/>
  <c r="L155" i="15"/>
  <c r="B155" i="15"/>
  <c r="Z154" i="15"/>
  <c r="X154" i="15"/>
  <c r="N154" i="15"/>
  <c r="L154" i="15"/>
  <c r="B154" i="15"/>
  <c r="Z153" i="15"/>
  <c r="X153" i="15"/>
  <c r="V153" i="15"/>
  <c r="N153" i="15"/>
  <c r="L153" i="15"/>
  <c r="B153" i="15"/>
  <c r="Z152" i="15"/>
  <c r="X152" i="15"/>
  <c r="V152" i="15"/>
  <c r="N152" i="15"/>
  <c r="L152" i="15"/>
  <c r="B152" i="15"/>
  <c r="Z151" i="15"/>
  <c r="X151" i="15"/>
  <c r="N151" i="15"/>
  <c r="L151" i="15"/>
  <c r="B151" i="15"/>
  <c r="Z150" i="15"/>
  <c r="X150" i="15"/>
  <c r="N150" i="15"/>
  <c r="L150" i="15"/>
  <c r="B150" i="15"/>
  <c r="Z149" i="15"/>
  <c r="X149" i="15"/>
  <c r="V149" i="15"/>
  <c r="N149" i="15"/>
  <c r="L149" i="15"/>
  <c r="B149" i="15"/>
  <c r="Z148" i="15"/>
  <c r="X148" i="15"/>
  <c r="V148" i="15"/>
  <c r="N148" i="15"/>
  <c r="L148" i="15"/>
  <c r="B148" i="15"/>
  <c r="Z147" i="15"/>
  <c r="X147" i="15"/>
  <c r="N147" i="15"/>
  <c r="L147" i="15"/>
  <c r="B147" i="15"/>
  <c r="Z146" i="15"/>
  <c r="X146" i="15"/>
  <c r="N146" i="15"/>
  <c r="L146" i="15"/>
  <c r="B146" i="15"/>
  <c r="Z145" i="15"/>
  <c r="X145" i="15"/>
  <c r="V145" i="15"/>
  <c r="N145" i="15"/>
  <c r="L145" i="15"/>
  <c r="B145" i="15"/>
  <c r="Z144" i="15"/>
  <c r="X144" i="15"/>
  <c r="V144" i="15"/>
  <c r="N144" i="15"/>
  <c r="L144" i="15"/>
  <c r="B144" i="15"/>
  <c r="Z143" i="15"/>
  <c r="X143" i="15"/>
  <c r="N143" i="15"/>
  <c r="L143" i="15"/>
  <c r="B143" i="15"/>
  <c r="Z142" i="15"/>
  <c r="X142" i="15"/>
  <c r="N142" i="15"/>
  <c r="L142" i="15"/>
  <c r="B142" i="15"/>
  <c r="Z141" i="15"/>
  <c r="X141" i="15"/>
  <c r="V141" i="15"/>
  <c r="N141" i="15"/>
  <c r="L141" i="15"/>
  <c r="B141" i="15"/>
  <c r="Z140" i="15"/>
  <c r="X140" i="15"/>
  <c r="V140" i="15"/>
  <c r="N140" i="15"/>
  <c r="L140" i="15"/>
  <c r="B140" i="15"/>
  <c r="Z139" i="15"/>
  <c r="X139" i="15"/>
  <c r="N139" i="15"/>
  <c r="L139" i="15"/>
  <c r="B139" i="15"/>
  <c r="Z138" i="15"/>
  <c r="X138" i="15"/>
  <c r="N138" i="15"/>
  <c r="L138" i="15"/>
  <c r="F138" i="15"/>
  <c r="B138" i="15"/>
  <c r="Z137" i="15"/>
  <c r="X137" i="15"/>
  <c r="V137" i="15"/>
  <c r="N137" i="15"/>
  <c r="L137" i="15"/>
  <c r="B137" i="15"/>
  <c r="Z136" i="15"/>
  <c r="X136" i="15"/>
  <c r="V136" i="15"/>
  <c r="N136" i="15"/>
  <c r="L136" i="15"/>
  <c r="B136" i="15"/>
  <c r="Z135" i="15"/>
  <c r="X135" i="15"/>
  <c r="N135" i="15"/>
  <c r="L135" i="15"/>
  <c r="B135" i="15"/>
  <c r="Z134" i="15"/>
  <c r="X134" i="15"/>
  <c r="N134" i="15"/>
  <c r="L134" i="15"/>
  <c r="B134" i="15"/>
  <c r="Z133" i="15"/>
  <c r="X133" i="15"/>
  <c r="V133" i="15"/>
  <c r="N133" i="15"/>
  <c r="L133" i="15"/>
  <c r="B133" i="15"/>
  <c r="Z132" i="15"/>
  <c r="X132" i="15"/>
  <c r="V132" i="15"/>
  <c r="N132" i="15"/>
  <c r="L132" i="15"/>
  <c r="B132" i="15"/>
  <c r="Z131" i="15"/>
  <c r="X131" i="15"/>
  <c r="N131" i="15"/>
  <c r="L131" i="15"/>
  <c r="B131" i="15"/>
  <c r="Z130" i="15"/>
  <c r="X130" i="15"/>
  <c r="N130" i="15"/>
  <c r="L130" i="15"/>
  <c r="B130" i="15"/>
  <c r="Z129" i="15"/>
  <c r="X129" i="15"/>
  <c r="V129" i="15"/>
  <c r="N129" i="15"/>
  <c r="L129" i="15"/>
  <c r="B129" i="15"/>
  <c r="Z128" i="15"/>
  <c r="X128" i="15"/>
  <c r="V128" i="15"/>
  <c r="N128" i="15"/>
  <c r="L128" i="15"/>
  <c r="B128" i="15"/>
  <c r="Z127" i="15"/>
  <c r="X127" i="15"/>
  <c r="N127" i="15"/>
  <c r="L127" i="15"/>
  <c r="B127" i="15"/>
  <c r="Z126" i="15"/>
  <c r="X126" i="15"/>
  <c r="N126" i="15"/>
  <c r="L126" i="15"/>
  <c r="B126" i="15"/>
  <c r="Z125" i="15"/>
  <c r="X125" i="15"/>
  <c r="V125" i="15"/>
  <c r="N125" i="15"/>
  <c r="L125" i="15"/>
  <c r="B125" i="15"/>
  <c r="Z124" i="15"/>
  <c r="X124" i="15"/>
  <c r="V124" i="15"/>
  <c r="N124" i="15"/>
  <c r="L124" i="15"/>
  <c r="B124" i="15"/>
  <c r="Z123" i="15"/>
  <c r="X123" i="15"/>
  <c r="N123" i="15"/>
  <c r="L123" i="15"/>
  <c r="B123" i="15"/>
  <c r="Z122" i="15"/>
  <c r="X122" i="15"/>
  <c r="N122" i="15"/>
  <c r="L122" i="15"/>
  <c r="B122" i="15"/>
  <c r="Z121" i="15"/>
  <c r="X121" i="15"/>
  <c r="V121" i="15"/>
  <c r="N121" i="15"/>
  <c r="L121" i="15"/>
  <c r="B121" i="15"/>
  <c r="Z120" i="15"/>
  <c r="X120" i="15"/>
  <c r="V120" i="15"/>
  <c r="N120" i="15"/>
  <c r="L120" i="15"/>
  <c r="B120" i="15"/>
  <c r="Z119" i="15"/>
  <c r="X119" i="15"/>
  <c r="N119" i="15"/>
  <c r="L119" i="15"/>
  <c r="B119" i="15"/>
  <c r="Z118" i="15"/>
  <c r="X118" i="15"/>
  <c r="N118" i="15"/>
  <c r="L118" i="15"/>
  <c r="B118" i="15"/>
  <c r="Z117" i="15"/>
  <c r="X117" i="15"/>
  <c r="V117" i="15"/>
  <c r="N117" i="15"/>
  <c r="L117" i="15"/>
  <c r="B117" i="15"/>
  <c r="Z116" i="15"/>
  <c r="X116" i="15"/>
  <c r="V116" i="15"/>
  <c r="N116" i="15"/>
  <c r="L116" i="15"/>
  <c r="B116" i="15"/>
  <c r="Z115" i="15"/>
  <c r="X115" i="15"/>
  <c r="N115" i="15"/>
  <c r="L115" i="15"/>
  <c r="B115" i="15"/>
  <c r="Z114" i="15"/>
  <c r="X114" i="15"/>
  <c r="N114" i="15"/>
  <c r="L114" i="15"/>
  <c r="B114" i="15"/>
  <c r="Z113" i="15"/>
  <c r="X113" i="15"/>
  <c r="V113" i="15"/>
  <c r="N113" i="15"/>
  <c r="L113" i="15"/>
  <c r="B113" i="15"/>
  <c r="Z112" i="15"/>
  <c r="X112" i="15"/>
  <c r="V112" i="15"/>
  <c r="N112" i="15"/>
  <c r="L112" i="15"/>
  <c r="B112" i="15"/>
  <c r="Z111" i="15"/>
  <c r="X111" i="15"/>
  <c r="N111" i="15"/>
  <c r="L111" i="15"/>
  <c r="B111" i="15"/>
  <c r="Z110" i="15"/>
  <c r="X110" i="15"/>
  <c r="N110" i="15"/>
  <c r="L110" i="15"/>
  <c r="B110" i="15"/>
  <c r="Z109" i="15"/>
  <c r="X109" i="15"/>
  <c r="V109" i="15"/>
  <c r="N109" i="15"/>
  <c r="L109" i="15"/>
  <c r="B109" i="15"/>
  <c r="Z108" i="15"/>
  <c r="X108" i="15"/>
  <c r="V108" i="15"/>
  <c r="N108" i="15"/>
  <c r="L108" i="15"/>
  <c r="B108" i="15"/>
  <c r="Z107" i="15"/>
  <c r="X107" i="15"/>
  <c r="N107" i="15"/>
  <c r="L107" i="15"/>
  <c r="B107" i="15"/>
  <c r="Z106" i="15"/>
  <c r="X106" i="15"/>
  <c r="N106" i="15"/>
  <c r="L106" i="15"/>
  <c r="B106" i="15"/>
  <c r="X105" i="15"/>
  <c r="Z105" i="15" s="1"/>
  <c r="V105" i="15"/>
  <c r="N105" i="15"/>
  <c r="L105" i="15"/>
  <c r="B105" i="15"/>
  <c r="X104" i="15"/>
  <c r="Z104" i="15" s="1"/>
  <c r="V104" i="15"/>
  <c r="T104" i="15"/>
  <c r="P104" i="15"/>
  <c r="L104" i="15"/>
  <c r="H104" i="15"/>
  <c r="N104" i="15" s="1"/>
  <c r="D104" i="15"/>
  <c r="Z102" i="15"/>
  <c r="X102" i="15"/>
  <c r="P102" i="15"/>
  <c r="N102" i="15"/>
  <c r="D102" i="15"/>
  <c r="L102" i="15" s="1"/>
  <c r="B102" i="15"/>
  <c r="Z101" i="15"/>
  <c r="P101" i="15"/>
  <c r="X101" i="15" s="1"/>
  <c r="N101" i="15"/>
  <c r="D101" i="15"/>
  <c r="L101" i="15" s="1"/>
  <c r="B101" i="15"/>
  <c r="Z100" i="15"/>
  <c r="P100" i="15"/>
  <c r="X100" i="15" s="1"/>
  <c r="N100" i="15"/>
  <c r="D100" i="15"/>
  <c r="L100" i="15" s="1"/>
  <c r="B100" i="15"/>
  <c r="Z99" i="15"/>
  <c r="P99" i="15"/>
  <c r="X99" i="15" s="1"/>
  <c r="N99" i="15"/>
  <c r="L99" i="15"/>
  <c r="D99" i="15"/>
  <c r="B99" i="15"/>
  <c r="Z98" i="15"/>
  <c r="X98" i="15"/>
  <c r="P98" i="15"/>
  <c r="N98" i="15"/>
  <c r="D98" i="15"/>
  <c r="L98" i="15" s="1"/>
  <c r="B98" i="15"/>
  <c r="Z97" i="15"/>
  <c r="P97" i="15"/>
  <c r="X97" i="15" s="1"/>
  <c r="N97" i="15"/>
  <c r="L97" i="15"/>
  <c r="D97" i="15"/>
  <c r="B97" i="15"/>
  <c r="Z96" i="15"/>
  <c r="X96" i="15"/>
  <c r="P96" i="15"/>
  <c r="N96" i="15"/>
  <c r="D96" i="15"/>
  <c r="L96" i="15" s="1"/>
  <c r="B96" i="15"/>
  <c r="Z95" i="15"/>
  <c r="X95" i="15"/>
  <c r="P95" i="15"/>
  <c r="N95" i="15"/>
  <c r="L95" i="15"/>
  <c r="D95" i="15"/>
  <c r="B95" i="15"/>
  <c r="Z94" i="15"/>
  <c r="X94" i="15"/>
  <c r="P94" i="15"/>
  <c r="N94" i="15"/>
  <c r="D94" i="15"/>
  <c r="L94" i="15" s="1"/>
  <c r="B94" i="15"/>
  <c r="Z93" i="15"/>
  <c r="P93" i="15"/>
  <c r="X93" i="15" s="1"/>
  <c r="N93" i="15"/>
  <c r="L93" i="15"/>
  <c r="D93" i="15"/>
  <c r="B93" i="15"/>
  <c r="Z92" i="15"/>
  <c r="P92" i="15"/>
  <c r="X92" i="15" s="1"/>
  <c r="N92" i="15"/>
  <c r="L92" i="15"/>
  <c r="D92" i="15"/>
  <c r="B92" i="15"/>
  <c r="Z91" i="15"/>
  <c r="P91" i="15"/>
  <c r="X91" i="15" s="1"/>
  <c r="N91" i="15"/>
  <c r="L91" i="15"/>
  <c r="D91" i="15"/>
  <c r="B91" i="15"/>
  <c r="Z90" i="15"/>
  <c r="P90" i="15"/>
  <c r="X90" i="15" s="1"/>
  <c r="N90" i="15"/>
  <c r="D90" i="15"/>
  <c r="L90" i="15" s="1"/>
  <c r="B90" i="15"/>
  <c r="Z89" i="15"/>
  <c r="P89" i="15"/>
  <c r="X89" i="15" s="1"/>
  <c r="N89" i="15"/>
  <c r="D89" i="15"/>
  <c r="L89" i="15" s="1"/>
  <c r="B89" i="15"/>
  <c r="Z88" i="15"/>
  <c r="P88" i="15"/>
  <c r="X88" i="15" s="1"/>
  <c r="N88" i="15"/>
  <c r="D88" i="15"/>
  <c r="L88" i="15" s="1"/>
  <c r="B88" i="15"/>
  <c r="Z87" i="15"/>
  <c r="P87" i="15"/>
  <c r="X87" i="15" s="1"/>
  <c r="N87" i="15"/>
  <c r="L87" i="15"/>
  <c r="D87" i="15"/>
  <c r="B87" i="15"/>
  <c r="Z86" i="15"/>
  <c r="X86" i="15"/>
  <c r="P86" i="15"/>
  <c r="N86" i="15"/>
  <c r="D86" i="15"/>
  <c r="L86" i="15" s="1"/>
  <c r="B86" i="15"/>
  <c r="Z85" i="15"/>
  <c r="P85" i="15"/>
  <c r="X85" i="15" s="1"/>
  <c r="N85" i="15"/>
  <c r="L85" i="15"/>
  <c r="D85" i="15"/>
  <c r="B85" i="15"/>
  <c r="Z84" i="15"/>
  <c r="X84" i="15"/>
  <c r="P84" i="15"/>
  <c r="N84" i="15"/>
  <c r="D84" i="15"/>
  <c r="L84" i="15" s="1"/>
  <c r="B84" i="15"/>
  <c r="Z83" i="15"/>
  <c r="X83" i="15"/>
  <c r="P83" i="15"/>
  <c r="N83" i="15"/>
  <c r="L83" i="15"/>
  <c r="D83" i="15"/>
  <c r="B83" i="15"/>
  <c r="Z82" i="15"/>
  <c r="X82" i="15"/>
  <c r="P82" i="15"/>
  <c r="N82" i="15"/>
  <c r="D82" i="15"/>
  <c r="L82" i="15" s="1"/>
  <c r="B82" i="15"/>
  <c r="Z81" i="15"/>
  <c r="P81" i="15"/>
  <c r="X81" i="15" s="1"/>
  <c r="N81" i="15"/>
  <c r="L81" i="15"/>
  <c r="D81" i="15"/>
  <c r="B81" i="15"/>
  <c r="Z80" i="15"/>
  <c r="P80" i="15"/>
  <c r="X80" i="15" s="1"/>
  <c r="N80" i="15"/>
  <c r="L80" i="15"/>
  <c r="D80" i="15"/>
  <c r="B80" i="15"/>
  <c r="Z79" i="15"/>
  <c r="P79" i="15"/>
  <c r="X79" i="15" s="1"/>
  <c r="N79" i="15"/>
  <c r="L79" i="15"/>
  <c r="D79" i="15"/>
  <c r="B79" i="15"/>
  <c r="Z78" i="15"/>
  <c r="P78" i="15"/>
  <c r="X78" i="15" s="1"/>
  <c r="N78" i="15"/>
  <c r="D78" i="15"/>
  <c r="L78" i="15" s="1"/>
  <c r="B78" i="15"/>
  <c r="Z77" i="15"/>
  <c r="P77" i="15"/>
  <c r="X77" i="15" s="1"/>
  <c r="N77" i="15"/>
  <c r="D77" i="15"/>
  <c r="L77" i="15" s="1"/>
  <c r="B77" i="15"/>
  <c r="Z76" i="15"/>
  <c r="P76" i="15"/>
  <c r="X76" i="15" s="1"/>
  <c r="N76" i="15"/>
  <c r="D76" i="15"/>
  <c r="L76" i="15" s="1"/>
  <c r="B76" i="15"/>
  <c r="Z75" i="15"/>
  <c r="P75" i="15"/>
  <c r="X75" i="15" s="1"/>
  <c r="N75" i="15"/>
  <c r="L75" i="15"/>
  <c r="D75" i="15"/>
  <c r="B75" i="15"/>
  <c r="Z74" i="15"/>
  <c r="X74" i="15"/>
  <c r="P74" i="15"/>
  <c r="N74" i="15"/>
  <c r="D74" i="15"/>
  <c r="L74" i="15" s="1"/>
  <c r="B74" i="15"/>
  <c r="Z73" i="15"/>
  <c r="P73" i="15"/>
  <c r="X73" i="15" s="1"/>
  <c r="N73" i="15"/>
  <c r="D73" i="15"/>
  <c r="L73" i="15" s="1"/>
  <c r="B73" i="15"/>
  <c r="Z72" i="15"/>
  <c r="X72" i="15"/>
  <c r="P72" i="15"/>
  <c r="N72" i="15"/>
  <c r="D72" i="15"/>
  <c r="L72" i="15" s="1"/>
  <c r="B72" i="15"/>
  <c r="Z71" i="15"/>
  <c r="X71" i="15"/>
  <c r="P71" i="15"/>
  <c r="N71" i="15"/>
  <c r="L71" i="15"/>
  <c r="D71" i="15"/>
  <c r="B71" i="15"/>
  <c r="Z70" i="15"/>
  <c r="X70" i="15"/>
  <c r="P70" i="15"/>
  <c r="N70" i="15"/>
  <c r="D70" i="15"/>
  <c r="L70" i="15" s="1"/>
  <c r="B70" i="15"/>
  <c r="Z69" i="15"/>
  <c r="P69" i="15"/>
  <c r="X69" i="15" s="1"/>
  <c r="N69" i="15"/>
  <c r="L69" i="15"/>
  <c r="D69" i="15"/>
  <c r="B69" i="15"/>
  <c r="Z68" i="15"/>
  <c r="P68" i="15"/>
  <c r="X68" i="15" s="1"/>
  <c r="N68" i="15"/>
  <c r="L68" i="15"/>
  <c r="D68" i="15"/>
  <c r="B68" i="15"/>
  <c r="Z67" i="15"/>
  <c r="P67" i="15"/>
  <c r="X67" i="15" s="1"/>
  <c r="N67" i="15"/>
  <c r="L67" i="15"/>
  <c r="D67" i="15"/>
  <c r="B67" i="15"/>
  <c r="Z66" i="15"/>
  <c r="P66" i="15"/>
  <c r="X66" i="15" s="1"/>
  <c r="N66" i="15"/>
  <c r="D66" i="15"/>
  <c r="L66" i="15" s="1"/>
  <c r="B66" i="15"/>
  <c r="Z65" i="15"/>
  <c r="P65" i="15"/>
  <c r="X65" i="15" s="1"/>
  <c r="N65" i="15"/>
  <c r="D65" i="15"/>
  <c r="L65" i="15" s="1"/>
  <c r="B65" i="15"/>
  <c r="Z64" i="15"/>
  <c r="P64" i="15"/>
  <c r="X64" i="15" s="1"/>
  <c r="N64" i="15"/>
  <c r="D64" i="15"/>
  <c r="L64" i="15" s="1"/>
  <c r="B64" i="15"/>
  <c r="Z63" i="15"/>
  <c r="P63" i="15"/>
  <c r="X63" i="15" s="1"/>
  <c r="N63" i="15"/>
  <c r="D63" i="15"/>
  <c r="L63" i="15" s="1"/>
  <c r="B63" i="15"/>
  <c r="Z62" i="15"/>
  <c r="X62" i="15"/>
  <c r="P62" i="15"/>
  <c r="N62" i="15"/>
  <c r="D62" i="15"/>
  <c r="L62" i="15" s="1"/>
  <c r="B62" i="15"/>
  <c r="Z61" i="15"/>
  <c r="P61" i="15"/>
  <c r="X61" i="15" s="1"/>
  <c r="N61" i="15"/>
  <c r="L61" i="15"/>
  <c r="D61" i="15"/>
  <c r="B61" i="15"/>
  <c r="Z60" i="15"/>
  <c r="X60" i="15"/>
  <c r="P60" i="15"/>
  <c r="N60" i="15"/>
  <c r="D60" i="15"/>
  <c r="L60" i="15" s="1"/>
  <c r="B60" i="15"/>
  <c r="Z59" i="15"/>
  <c r="X59" i="15"/>
  <c r="P59" i="15"/>
  <c r="N59" i="15"/>
  <c r="L59" i="15"/>
  <c r="D59" i="15"/>
  <c r="B59" i="15"/>
  <c r="Z58" i="15"/>
  <c r="X58" i="15"/>
  <c r="P58" i="15"/>
  <c r="N58" i="15"/>
  <c r="D58" i="15"/>
  <c r="L58" i="15" s="1"/>
  <c r="B58" i="15"/>
  <c r="Z57" i="15"/>
  <c r="P57" i="15"/>
  <c r="X57" i="15" s="1"/>
  <c r="N57" i="15"/>
  <c r="L57" i="15"/>
  <c r="D57" i="15"/>
  <c r="B57" i="15"/>
  <c r="Z56" i="15"/>
  <c r="P56" i="15"/>
  <c r="X56" i="15" s="1"/>
  <c r="N56" i="15"/>
  <c r="L56" i="15"/>
  <c r="D56" i="15"/>
  <c r="B56" i="15"/>
  <c r="Z55" i="15"/>
  <c r="P55" i="15"/>
  <c r="X55" i="15" s="1"/>
  <c r="N55" i="15"/>
  <c r="L55" i="15"/>
  <c r="D55" i="15"/>
  <c r="B55" i="15"/>
  <c r="Z54" i="15"/>
  <c r="X54" i="15"/>
  <c r="P54" i="15"/>
  <c r="N54" i="15"/>
  <c r="D54" i="15"/>
  <c r="L54" i="15" s="1"/>
  <c r="B54" i="15"/>
  <c r="Z53" i="15"/>
  <c r="P53" i="15"/>
  <c r="X53" i="15" s="1"/>
  <c r="N53" i="15"/>
  <c r="D53" i="15"/>
  <c r="L53" i="15" s="1"/>
  <c r="B53" i="15"/>
  <c r="Z52" i="15"/>
  <c r="P52" i="15"/>
  <c r="X52" i="15" s="1"/>
  <c r="N52" i="15"/>
  <c r="D52" i="15"/>
  <c r="L52" i="15" s="1"/>
  <c r="B52" i="15"/>
  <c r="Z51" i="15"/>
  <c r="P51" i="15"/>
  <c r="X51" i="15" s="1"/>
  <c r="N51" i="15"/>
  <c r="L51" i="15"/>
  <c r="D51" i="15"/>
  <c r="B51" i="15"/>
  <c r="Z50" i="15"/>
  <c r="X50" i="15"/>
  <c r="P50" i="15"/>
  <c r="N50" i="15"/>
  <c r="D50" i="15"/>
  <c r="L50" i="15" s="1"/>
  <c r="B50" i="15"/>
  <c r="Z49" i="15"/>
  <c r="P49" i="15"/>
  <c r="X49" i="15" s="1"/>
  <c r="N49" i="15"/>
  <c r="L49" i="15"/>
  <c r="D49" i="15"/>
  <c r="B49" i="15"/>
  <c r="Z48" i="15"/>
  <c r="X48" i="15"/>
  <c r="P48" i="15"/>
  <c r="N48" i="15"/>
  <c r="L48" i="15"/>
  <c r="D48" i="15"/>
  <c r="B48" i="15"/>
  <c r="X47" i="15"/>
  <c r="Z47" i="15" s="1"/>
  <c r="P47" i="15"/>
  <c r="L47" i="15"/>
  <c r="N47" i="15" s="1"/>
  <c r="D47" i="15"/>
  <c r="B47" i="15"/>
  <c r="Z46" i="15"/>
  <c r="X46" i="15"/>
  <c r="P46" i="15"/>
  <c r="N46" i="15"/>
  <c r="D46" i="15"/>
  <c r="L46" i="15" s="1"/>
  <c r="B46" i="15"/>
  <c r="Z45" i="15"/>
  <c r="P45" i="15"/>
  <c r="X45" i="15" s="1"/>
  <c r="N45" i="15"/>
  <c r="L45" i="15"/>
  <c r="D45" i="15"/>
  <c r="B45" i="15"/>
  <c r="Z44" i="15"/>
  <c r="P44" i="15"/>
  <c r="X44" i="15" s="1"/>
  <c r="N44" i="15"/>
  <c r="L44" i="15"/>
  <c r="D44" i="15"/>
  <c r="B44" i="15"/>
  <c r="Z43" i="15"/>
  <c r="P43" i="15"/>
  <c r="X43" i="15" s="1"/>
  <c r="N43" i="15"/>
  <c r="L43" i="15"/>
  <c r="D43" i="15"/>
  <c r="B43" i="15"/>
  <c r="Z42" i="15"/>
  <c r="P42" i="15"/>
  <c r="X42" i="15" s="1"/>
  <c r="N42" i="15"/>
  <c r="D42" i="15"/>
  <c r="L42" i="15" s="1"/>
  <c r="B42" i="15"/>
  <c r="Z41" i="15"/>
  <c r="P41" i="15"/>
  <c r="X41" i="15" s="1"/>
  <c r="N41" i="15"/>
  <c r="D41" i="15"/>
  <c r="L41" i="15" s="1"/>
  <c r="B41" i="15"/>
  <c r="Z40" i="15"/>
  <c r="P40" i="15"/>
  <c r="X40" i="15" s="1"/>
  <c r="N40" i="15"/>
  <c r="D40" i="15"/>
  <c r="L40" i="15" s="1"/>
  <c r="B40" i="15"/>
  <c r="Z39" i="15"/>
  <c r="X39" i="15"/>
  <c r="P39" i="15"/>
  <c r="N39" i="15"/>
  <c r="L39" i="15"/>
  <c r="D39" i="15"/>
  <c r="B39" i="15"/>
  <c r="Z38" i="15"/>
  <c r="X38" i="15"/>
  <c r="P38" i="15"/>
  <c r="N38" i="15"/>
  <c r="D38" i="15"/>
  <c r="L38" i="15" s="1"/>
  <c r="B38" i="15"/>
  <c r="Z37" i="15"/>
  <c r="P37" i="15"/>
  <c r="X37" i="15" s="1"/>
  <c r="N37" i="15"/>
  <c r="D37" i="15"/>
  <c r="L37" i="15" s="1"/>
  <c r="B37" i="15"/>
  <c r="Z36" i="15"/>
  <c r="X36" i="15"/>
  <c r="P36" i="15"/>
  <c r="N36" i="15"/>
  <c r="L36" i="15"/>
  <c r="D36" i="15"/>
  <c r="B36" i="15"/>
  <c r="Z35" i="15"/>
  <c r="X35" i="15"/>
  <c r="P35" i="15"/>
  <c r="N35" i="15"/>
  <c r="L35" i="15"/>
  <c r="D35" i="15"/>
  <c r="B35" i="15"/>
  <c r="Z34" i="15"/>
  <c r="X34" i="15"/>
  <c r="P34" i="15"/>
  <c r="N34" i="15"/>
  <c r="D34" i="15"/>
  <c r="L34" i="15" s="1"/>
  <c r="B34" i="15"/>
  <c r="Z33" i="15"/>
  <c r="P33" i="15"/>
  <c r="X33" i="15" s="1"/>
  <c r="N33" i="15"/>
  <c r="L33" i="15"/>
  <c r="D33" i="15"/>
  <c r="B33" i="15"/>
  <c r="Z32" i="15"/>
  <c r="P32" i="15"/>
  <c r="X32" i="15" s="1"/>
  <c r="N32" i="15"/>
  <c r="L32" i="15"/>
  <c r="D32" i="15"/>
  <c r="B32" i="15"/>
  <c r="Z31" i="15"/>
  <c r="P31" i="15"/>
  <c r="X31" i="15" s="1"/>
  <c r="N31" i="15"/>
  <c r="L31" i="15"/>
  <c r="D31" i="15"/>
  <c r="B31" i="15"/>
  <c r="Z30" i="15"/>
  <c r="P30" i="15"/>
  <c r="X30" i="15" s="1"/>
  <c r="N30" i="15"/>
  <c r="D30" i="15"/>
  <c r="L30" i="15" s="1"/>
  <c r="B30" i="15"/>
  <c r="Z29" i="15"/>
  <c r="P29" i="15"/>
  <c r="X29" i="15" s="1"/>
  <c r="N29" i="15"/>
  <c r="D29" i="15"/>
  <c r="L29" i="15" s="1"/>
  <c r="B29" i="15"/>
  <c r="Z28" i="15"/>
  <c r="P28" i="15"/>
  <c r="X28" i="15" s="1"/>
  <c r="N28" i="15"/>
  <c r="D28" i="15"/>
  <c r="L28" i="15" s="1"/>
  <c r="B28" i="15"/>
  <c r="Z27" i="15"/>
  <c r="X27" i="15"/>
  <c r="P27" i="15"/>
  <c r="N27" i="15"/>
  <c r="L27" i="15"/>
  <c r="D27" i="15"/>
  <c r="B27" i="15"/>
  <c r="Z26" i="15"/>
  <c r="X26" i="15"/>
  <c r="P26" i="15"/>
  <c r="N26" i="15"/>
  <c r="D26" i="15"/>
  <c r="L26" i="15" s="1"/>
  <c r="B26" i="15"/>
  <c r="Z25" i="15"/>
  <c r="P25" i="15"/>
  <c r="X25" i="15" s="1"/>
  <c r="N25" i="15"/>
  <c r="D25" i="15"/>
  <c r="L25" i="15" s="1"/>
  <c r="B25" i="15"/>
  <c r="Z24" i="15"/>
  <c r="X24" i="15"/>
  <c r="P24" i="15"/>
  <c r="N24" i="15"/>
  <c r="L24" i="15"/>
  <c r="D24" i="15"/>
  <c r="B24" i="15"/>
  <c r="Z23" i="15"/>
  <c r="X23" i="15"/>
  <c r="P23" i="15"/>
  <c r="N23" i="15"/>
  <c r="L23" i="15"/>
  <c r="D23" i="15"/>
  <c r="B23" i="15"/>
  <c r="Z22" i="15"/>
  <c r="X22" i="15"/>
  <c r="P22" i="15"/>
  <c r="N22" i="15"/>
  <c r="D22" i="15"/>
  <c r="L22" i="15" s="1"/>
  <c r="B22" i="15"/>
  <c r="Z21" i="15"/>
  <c r="P21" i="15"/>
  <c r="X21" i="15" s="1"/>
  <c r="N21" i="15"/>
  <c r="L21" i="15"/>
  <c r="D21" i="15"/>
  <c r="B21" i="15"/>
  <c r="Z20" i="15"/>
  <c r="P20" i="15"/>
  <c r="X20" i="15" s="1"/>
  <c r="N20" i="15"/>
  <c r="L20" i="15"/>
  <c r="D20" i="15"/>
  <c r="B20" i="15"/>
  <c r="Z19" i="15"/>
  <c r="P19" i="15"/>
  <c r="X19" i="15" s="1"/>
  <c r="N19" i="15"/>
  <c r="L19" i="15"/>
  <c r="D19" i="15"/>
  <c r="B19" i="15"/>
  <c r="Z18" i="15"/>
  <c r="X18" i="15"/>
  <c r="P18" i="15"/>
  <c r="N18" i="15"/>
  <c r="D18" i="15"/>
  <c r="L18" i="15" s="1"/>
  <c r="B18" i="15"/>
  <c r="Z17" i="15"/>
  <c r="P17" i="15"/>
  <c r="X17" i="15" s="1"/>
  <c r="N17" i="15"/>
  <c r="D17" i="15"/>
  <c r="L17" i="15" s="1"/>
  <c r="B17" i="15"/>
  <c r="Z16" i="15"/>
  <c r="P16" i="15"/>
  <c r="X16" i="15" s="1"/>
  <c r="N16" i="15"/>
  <c r="D16" i="15"/>
  <c r="L16" i="15" s="1"/>
  <c r="B16" i="15"/>
  <c r="Z15" i="15"/>
  <c r="X15" i="15"/>
  <c r="P15" i="15"/>
  <c r="N15" i="15"/>
  <c r="L15" i="15"/>
  <c r="D15" i="15"/>
  <c r="B15" i="15"/>
  <c r="Z14" i="15"/>
  <c r="X14" i="15"/>
  <c r="P14" i="15"/>
  <c r="N14" i="15"/>
  <c r="D14" i="15"/>
  <c r="L14" i="15" s="1"/>
  <c r="B14" i="15"/>
  <c r="P13" i="15"/>
  <c r="D13" i="15"/>
  <c r="L13" i="15" s="1"/>
  <c r="N13" i="15" s="1"/>
  <c r="B13" i="15"/>
  <c r="T12" i="15"/>
  <c r="V259" i="15" s="1"/>
  <c r="H12" i="15"/>
  <c r="J267" i="15" s="1"/>
  <c r="D12" i="15"/>
  <c r="F134" i="15" s="1"/>
  <c r="D4" i="15"/>
  <c r="Z280" i="12"/>
  <c r="X280" i="12"/>
  <c r="N280" i="12"/>
  <c r="L280" i="12"/>
  <c r="Z276" i="12"/>
  <c r="P276" i="12"/>
  <c r="X276" i="12" s="1"/>
  <c r="N276" i="12"/>
  <c r="L276" i="12"/>
  <c r="D276" i="12"/>
  <c r="B276" i="12"/>
  <c r="X275" i="12"/>
  <c r="Z275" i="12" s="1"/>
  <c r="V275" i="12"/>
  <c r="P275" i="12"/>
  <c r="N275" i="12"/>
  <c r="D275" i="12"/>
  <c r="L275" i="12" s="1"/>
  <c r="B275" i="12"/>
  <c r="Z274" i="12"/>
  <c r="X274" i="12"/>
  <c r="P274" i="12"/>
  <c r="N274" i="12"/>
  <c r="L274" i="12"/>
  <c r="D274" i="12"/>
  <c r="B274" i="12"/>
  <c r="Z273" i="12"/>
  <c r="P273" i="12"/>
  <c r="X273" i="12" s="1"/>
  <c r="N273" i="12"/>
  <c r="D273" i="12"/>
  <c r="L273" i="12" s="1"/>
  <c r="B273" i="12"/>
  <c r="P272" i="12"/>
  <c r="D272" i="12"/>
  <c r="L272" i="12" s="1"/>
  <c r="N272" i="12" s="1"/>
  <c r="B272" i="12"/>
  <c r="X271" i="12"/>
  <c r="Z271" i="12" s="1"/>
  <c r="P271" i="12"/>
  <c r="D271" i="12"/>
  <c r="L271" i="12" s="1"/>
  <c r="N271" i="12" s="1"/>
  <c r="B271" i="12"/>
  <c r="Z270" i="12"/>
  <c r="X270" i="12"/>
  <c r="P270" i="12"/>
  <c r="N270" i="12"/>
  <c r="L270" i="12"/>
  <c r="D270" i="12"/>
  <c r="B270" i="12"/>
  <c r="Z269" i="12"/>
  <c r="X269" i="12"/>
  <c r="P269" i="12"/>
  <c r="N269" i="12"/>
  <c r="L269" i="12"/>
  <c r="D269" i="12"/>
  <c r="B269" i="12"/>
  <c r="Z268" i="12"/>
  <c r="P268" i="12"/>
  <c r="X268" i="12" s="1"/>
  <c r="N268" i="12"/>
  <c r="D268" i="12"/>
  <c r="B268" i="12"/>
  <c r="T267" i="12"/>
  <c r="H267" i="12"/>
  <c r="X265" i="12"/>
  <c r="Z265" i="12" s="1"/>
  <c r="L265" i="12"/>
  <c r="N265" i="12" s="1"/>
  <c r="B265" i="12"/>
  <c r="Z264" i="12"/>
  <c r="X264" i="12"/>
  <c r="T264" i="12"/>
  <c r="P264" i="12"/>
  <c r="N264" i="12"/>
  <c r="L264" i="12"/>
  <c r="H264" i="12"/>
  <c r="D264" i="12"/>
  <c r="B264" i="12"/>
  <c r="Z263" i="12"/>
  <c r="X263" i="12"/>
  <c r="N263" i="12"/>
  <c r="L263" i="12"/>
  <c r="B263" i="12"/>
  <c r="X262" i="12"/>
  <c r="Z262" i="12" s="1"/>
  <c r="L262" i="12"/>
  <c r="N262" i="12" s="1"/>
  <c r="B262" i="12"/>
  <c r="X261" i="12"/>
  <c r="Z261" i="12" s="1"/>
  <c r="N261" i="12"/>
  <c r="L261" i="12"/>
  <c r="B261" i="12"/>
  <c r="T260" i="12"/>
  <c r="X260" i="12" s="1"/>
  <c r="Z260" i="12" s="1"/>
  <c r="P260" i="12"/>
  <c r="H260" i="12"/>
  <c r="D260" i="12"/>
  <c r="B260" i="12"/>
  <c r="X259" i="12"/>
  <c r="Z259" i="12" s="1"/>
  <c r="N259" i="12"/>
  <c r="L259" i="12"/>
  <c r="B259" i="12"/>
  <c r="T258" i="12"/>
  <c r="P258" i="12"/>
  <c r="X258" i="12" s="1"/>
  <c r="H258" i="12"/>
  <c r="D258" i="12"/>
  <c r="L258" i="12" s="1"/>
  <c r="N258" i="12" s="1"/>
  <c r="B258" i="12"/>
  <c r="X257" i="12"/>
  <c r="Z257" i="12" s="1"/>
  <c r="L257" i="12"/>
  <c r="N257" i="12" s="1"/>
  <c r="B257" i="12"/>
  <c r="Z256" i="12"/>
  <c r="X256" i="12"/>
  <c r="N256" i="12"/>
  <c r="L256" i="12"/>
  <c r="B256" i="12"/>
  <c r="T255" i="12"/>
  <c r="P255" i="12"/>
  <c r="L255" i="12"/>
  <c r="H255" i="12"/>
  <c r="N255" i="12" s="1"/>
  <c r="D255" i="12"/>
  <c r="B255" i="12"/>
  <c r="X254" i="12"/>
  <c r="Z254" i="12" s="1"/>
  <c r="L254" i="12"/>
  <c r="N254" i="12" s="1"/>
  <c r="B254" i="12"/>
  <c r="X253" i="12"/>
  <c r="Z253" i="12" s="1"/>
  <c r="L253" i="12"/>
  <c r="N253" i="12" s="1"/>
  <c r="B253" i="12"/>
  <c r="Z252" i="12"/>
  <c r="X252" i="12"/>
  <c r="N252" i="12"/>
  <c r="L252" i="12"/>
  <c r="B252" i="12"/>
  <c r="Z251" i="12"/>
  <c r="X251" i="12"/>
  <c r="N251" i="12"/>
  <c r="L251" i="12"/>
  <c r="B251" i="12"/>
  <c r="X250" i="12"/>
  <c r="Z250" i="12" s="1"/>
  <c r="V250" i="12"/>
  <c r="R250" i="12"/>
  <c r="L250" i="12"/>
  <c r="N250" i="12" s="1"/>
  <c r="B250" i="12"/>
  <c r="X249" i="12"/>
  <c r="Z249" i="12" s="1"/>
  <c r="L249" i="12"/>
  <c r="N249" i="12" s="1"/>
  <c r="B249" i="12"/>
  <c r="Z248" i="12"/>
  <c r="X248" i="12"/>
  <c r="N248" i="12"/>
  <c r="L248" i="12"/>
  <c r="B248" i="12"/>
  <c r="Z247" i="12"/>
  <c r="X247" i="12"/>
  <c r="L247" i="12"/>
  <c r="N247" i="12" s="1"/>
  <c r="B247" i="12"/>
  <c r="T246" i="12"/>
  <c r="P246" i="12"/>
  <c r="H246" i="12"/>
  <c r="D246" i="12"/>
  <c r="L246" i="12" s="1"/>
  <c r="N246" i="12" s="1"/>
  <c r="B246" i="12"/>
  <c r="X245" i="12"/>
  <c r="Z245" i="12" s="1"/>
  <c r="L245" i="12"/>
  <c r="N245" i="12" s="1"/>
  <c r="B245" i="12"/>
  <c r="Z244" i="12"/>
  <c r="X244" i="12"/>
  <c r="N244" i="12"/>
  <c r="L244" i="12"/>
  <c r="B244" i="12"/>
  <c r="X243" i="12"/>
  <c r="T243" i="12"/>
  <c r="Z243" i="12" s="1"/>
  <c r="P243" i="12"/>
  <c r="L243" i="12"/>
  <c r="N243" i="12" s="1"/>
  <c r="H243" i="12"/>
  <c r="D243" i="12"/>
  <c r="B243" i="12"/>
  <c r="Z242" i="12"/>
  <c r="X242" i="12"/>
  <c r="L242" i="12"/>
  <c r="N242" i="12" s="1"/>
  <c r="B242" i="12"/>
  <c r="X241" i="12"/>
  <c r="Z241" i="12" s="1"/>
  <c r="L241" i="12"/>
  <c r="N241" i="12" s="1"/>
  <c r="B241" i="12"/>
  <c r="X240" i="12"/>
  <c r="Z240" i="12" s="1"/>
  <c r="N240" i="12"/>
  <c r="L240" i="12"/>
  <c r="B240" i="12"/>
  <c r="Z239" i="12"/>
  <c r="X239" i="12"/>
  <c r="N239" i="12"/>
  <c r="L239" i="12"/>
  <c r="B239" i="12"/>
  <c r="Z238" i="12"/>
  <c r="X238" i="12"/>
  <c r="L238" i="12"/>
  <c r="N238" i="12" s="1"/>
  <c r="B238" i="12"/>
  <c r="Z237" i="12"/>
  <c r="X237" i="12"/>
  <c r="N237" i="12"/>
  <c r="L237" i="12"/>
  <c r="B237" i="12"/>
  <c r="Z236" i="12"/>
  <c r="X236" i="12"/>
  <c r="T236" i="12"/>
  <c r="P236" i="12"/>
  <c r="N236" i="12"/>
  <c r="L236" i="12"/>
  <c r="H236" i="12"/>
  <c r="D236" i="12"/>
  <c r="B236" i="12"/>
  <c r="Z235" i="12"/>
  <c r="X235" i="12"/>
  <c r="L235" i="12"/>
  <c r="N235" i="12" s="1"/>
  <c r="B235" i="12"/>
  <c r="X234" i="12"/>
  <c r="Z234" i="12" s="1"/>
  <c r="L234" i="12"/>
  <c r="N234" i="12" s="1"/>
  <c r="B234" i="12"/>
  <c r="X233" i="12"/>
  <c r="Z233" i="12" s="1"/>
  <c r="L233" i="12"/>
  <c r="N233" i="12" s="1"/>
  <c r="B233" i="12"/>
  <c r="Z232" i="12"/>
  <c r="X232" i="12"/>
  <c r="N232" i="12"/>
  <c r="L232" i="12"/>
  <c r="B232" i="12"/>
  <c r="T231" i="12"/>
  <c r="P231" i="12"/>
  <c r="X231" i="12" s="1"/>
  <c r="Z231" i="12" s="1"/>
  <c r="H231" i="12"/>
  <c r="D231" i="12"/>
  <c r="L231" i="12" s="1"/>
  <c r="N231" i="12" s="1"/>
  <c r="B231" i="12"/>
  <c r="X230" i="12"/>
  <c r="Z230" i="12" s="1"/>
  <c r="N230" i="12"/>
  <c r="L230" i="12"/>
  <c r="B230" i="12"/>
  <c r="X229" i="12"/>
  <c r="Z229" i="12" s="1"/>
  <c r="L229" i="12"/>
  <c r="N229" i="12" s="1"/>
  <c r="B229" i="12"/>
  <c r="Z228" i="12"/>
  <c r="X228" i="12"/>
  <c r="N228" i="12"/>
  <c r="L228" i="12"/>
  <c r="B228" i="12"/>
  <c r="X227" i="12"/>
  <c r="T227" i="12"/>
  <c r="Z227" i="12" s="1"/>
  <c r="P227" i="12"/>
  <c r="H227" i="12"/>
  <c r="D227" i="12"/>
  <c r="L227" i="12" s="1"/>
  <c r="N227" i="12" s="1"/>
  <c r="B227" i="12"/>
  <c r="Z226" i="12"/>
  <c r="X226" i="12"/>
  <c r="L226" i="12"/>
  <c r="N226" i="12" s="1"/>
  <c r="B226" i="12"/>
  <c r="X225" i="12"/>
  <c r="T225" i="12"/>
  <c r="Z225" i="12" s="1"/>
  <c r="P225" i="12"/>
  <c r="H225" i="12"/>
  <c r="D225" i="12"/>
  <c r="L225" i="12" s="1"/>
  <c r="B225" i="12"/>
  <c r="Z224" i="12"/>
  <c r="X224" i="12"/>
  <c r="N224" i="12"/>
  <c r="L224" i="12"/>
  <c r="B224" i="12"/>
  <c r="T223" i="12"/>
  <c r="Z223" i="12" s="1"/>
  <c r="P223" i="12"/>
  <c r="N223" i="12"/>
  <c r="H223" i="12"/>
  <c r="D223" i="12"/>
  <c r="L223" i="12" s="1"/>
  <c r="B223" i="12"/>
  <c r="X222" i="12"/>
  <c r="Z222" i="12" s="1"/>
  <c r="N222" i="12"/>
  <c r="L222" i="12"/>
  <c r="B222" i="12"/>
  <c r="X221" i="12"/>
  <c r="Z221" i="12" s="1"/>
  <c r="V221" i="12"/>
  <c r="T221" i="12"/>
  <c r="P221" i="12"/>
  <c r="L221" i="12"/>
  <c r="H221" i="12"/>
  <c r="N221" i="12" s="1"/>
  <c r="D221" i="12"/>
  <c r="B221" i="12"/>
  <c r="Z220" i="12"/>
  <c r="X220" i="12"/>
  <c r="N220" i="12"/>
  <c r="L220" i="12"/>
  <c r="B220" i="12"/>
  <c r="T219" i="12"/>
  <c r="P219" i="12"/>
  <c r="L219" i="12"/>
  <c r="H219" i="12"/>
  <c r="N219" i="12" s="1"/>
  <c r="D219" i="12"/>
  <c r="B219" i="12"/>
  <c r="X218" i="12"/>
  <c r="Z218" i="12" s="1"/>
  <c r="L218" i="12"/>
  <c r="N218" i="12" s="1"/>
  <c r="B218" i="12"/>
  <c r="T217" i="12"/>
  <c r="P217" i="12"/>
  <c r="X217" i="12" s="1"/>
  <c r="Z217" i="12" s="1"/>
  <c r="H217" i="12"/>
  <c r="D217" i="12"/>
  <c r="L217" i="12" s="1"/>
  <c r="B217" i="12"/>
  <c r="Z216" i="12"/>
  <c r="X216" i="12"/>
  <c r="L216" i="12"/>
  <c r="N216" i="12" s="1"/>
  <c r="B216" i="12"/>
  <c r="X215" i="12"/>
  <c r="T215" i="12"/>
  <c r="Z215" i="12" s="1"/>
  <c r="P215" i="12"/>
  <c r="L215" i="12"/>
  <c r="N215" i="12" s="1"/>
  <c r="H215" i="12"/>
  <c r="D215" i="12"/>
  <c r="B215" i="12"/>
  <c r="Z214" i="12"/>
  <c r="X214" i="12"/>
  <c r="L214" i="12"/>
  <c r="N214" i="12" s="1"/>
  <c r="B214" i="12"/>
  <c r="X213" i="12"/>
  <c r="T213" i="12"/>
  <c r="Z213" i="12" s="1"/>
  <c r="P213" i="12"/>
  <c r="H213" i="12"/>
  <c r="D213" i="12"/>
  <c r="B213" i="12"/>
  <c r="Z212" i="12"/>
  <c r="X212" i="12"/>
  <c r="N212" i="12"/>
  <c r="L212" i="12"/>
  <c r="B212" i="12"/>
  <c r="Z211" i="12"/>
  <c r="X211" i="12"/>
  <c r="L211" i="12"/>
  <c r="N211" i="12" s="1"/>
  <c r="B211" i="12"/>
  <c r="T210" i="12"/>
  <c r="P210" i="12"/>
  <c r="H210" i="12"/>
  <c r="D210" i="12"/>
  <c r="L210" i="12" s="1"/>
  <c r="N210" i="12" s="1"/>
  <c r="B210" i="12"/>
  <c r="X209" i="12"/>
  <c r="Z209" i="12" s="1"/>
  <c r="V209" i="12"/>
  <c r="L209" i="12"/>
  <c r="N209" i="12" s="1"/>
  <c r="B209" i="12"/>
  <c r="T208" i="12"/>
  <c r="P208" i="12"/>
  <c r="X208" i="12" s="1"/>
  <c r="Z208" i="12" s="1"/>
  <c r="H208" i="12"/>
  <c r="D208" i="12"/>
  <c r="L208" i="12" s="1"/>
  <c r="N208" i="12" s="1"/>
  <c r="B208" i="12"/>
  <c r="Z207" i="12"/>
  <c r="X207" i="12"/>
  <c r="N207" i="12"/>
  <c r="L207" i="12"/>
  <c r="B207" i="12"/>
  <c r="Z206" i="12"/>
  <c r="X206" i="12"/>
  <c r="T206" i="12"/>
  <c r="P206" i="12"/>
  <c r="N206" i="12"/>
  <c r="L206" i="12"/>
  <c r="H206" i="12"/>
  <c r="D206" i="12"/>
  <c r="B206" i="12"/>
  <c r="Z205" i="12"/>
  <c r="X205" i="12"/>
  <c r="N205" i="12"/>
  <c r="L205" i="12"/>
  <c r="B205" i="12"/>
  <c r="Z204" i="12"/>
  <c r="X204" i="12"/>
  <c r="N204" i="12"/>
  <c r="L204" i="12"/>
  <c r="B204" i="12"/>
  <c r="T203" i="12"/>
  <c r="P203" i="12"/>
  <c r="H203" i="12"/>
  <c r="D203" i="12"/>
  <c r="L203" i="12" s="1"/>
  <c r="N203" i="12" s="1"/>
  <c r="B203" i="12"/>
  <c r="Z202" i="12"/>
  <c r="X202" i="12"/>
  <c r="N202" i="12"/>
  <c r="L202" i="12"/>
  <c r="B202" i="12"/>
  <c r="X201" i="12"/>
  <c r="Z201" i="12" s="1"/>
  <c r="L201" i="12"/>
  <c r="N201" i="12" s="1"/>
  <c r="B201" i="12"/>
  <c r="T200" i="12"/>
  <c r="P200" i="12"/>
  <c r="X200" i="12" s="1"/>
  <c r="Z200" i="12" s="1"/>
  <c r="H200" i="12"/>
  <c r="N200" i="12" s="1"/>
  <c r="D200" i="12"/>
  <c r="L200" i="12" s="1"/>
  <c r="B200" i="12"/>
  <c r="Z199" i="12"/>
  <c r="X199" i="12"/>
  <c r="N199" i="12"/>
  <c r="L199" i="12"/>
  <c r="B199" i="12"/>
  <c r="Z198" i="12"/>
  <c r="X198" i="12"/>
  <c r="L198" i="12"/>
  <c r="N198" i="12" s="1"/>
  <c r="B198" i="12"/>
  <c r="X197" i="12"/>
  <c r="Z197" i="12" s="1"/>
  <c r="L197" i="12"/>
  <c r="N197" i="12" s="1"/>
  <c r="B197" i="12"/>
  <c r="X196" i="12"/>
  <c r="Z196" i="12" s="1"/>
  <c r="N196" i="12"/>
  <c r="L196" i="12"/>
  <c r="B196" i="12"/>
  <c r="T195" i="12"/>
  <c r="P195" i="12"/>
  <c r="X195" i="12" s="1"/>
  <c r="L195" i="12"/>
  <c r="H195" i="12"/>
  <c r="D195" i="12"/>
  <c r="B195" i="12"/>
  <c r="X194" i="12"/>
  <c r="Z194" i="12" s="1"/>
  <c r="V194" i="12"/>
  <c r="N194" i="12"/>
  <c r="L194" i="12"/>
  <c r="B194" i="12"/>
  <c r="T193" i="12"/>
  <c r="P193" i="12"/>
  <c r="X193" i="12" s="1"/>
  <c r="Z193" i="12" s="1"/>
  <c r="H193" i="12"/>
  <c r="D193" i="12"/>
  <c r="B193" i="12"/>
  <c r="Z192" i="12"/>
  <c r="X192" i="12"/>
  <c r="N192" i="12"/>
  <c r="L192" i="12"/>
  <c r="B192" i="12"/>
  <c r="X191" i="12"/>
  <c r="Z191" i="12" s="1"/>
  <c r="N191" i="12"/>
  <c r="L191" i="12"/>
  <c r="B191" i="12"/>
  <c r="T190" i="12"/>
  <c r="P190" i="12"/>
  <c r="X190" i="12" s="1"/>
  <c r="H190" i="12"/>
  <c r="D190" i="12"/>
  <c r="L190" i="12" s="1"/>
  <c r="N190" i="12" s="1"/>
  <c r="B190" i="12"/>
  <c r="X189" i="12"/>
  <c r="Z189" i="12" s="1"/>
  <c r="R189" i="12"/>
  <c r="L189" i="12"/>
  <c r="N189" i="12" s="1"/>
  <c r="B189" i="12"/>
  <c r="X188" i="12"/>
  <c r="Z188" i="12" s="1"/>
  <c r="T188" i="12"/>
  <c r="P188" i="12"/>
  <c r="N188" i="12"/>
  <c r="L188" i="12"/>
  <c r="H188" i="12"/>
  <c r="D188" i="12"/>
  <c r="B188" i="12"/>
  <c r="Z187" i="12"/>
  <c r="X187" i="12"/>
  <c r="N187" i="12"/>
  <c r="L187" i="12"/>
  <c r="B187" i="12"/>
  <c r="Z186" i="12"/>
  <c r="X186" i="12"/>
  <c r="N186" i="12"/>
  <c r="L186" i="12"/>
  <c r="B186" i="12"/>
  <c r="X185" i="12"/>
  <c r="Z185" i="12" s="1"/>
  <c r="L185" i="12"/>
  <c r="N185" i="12" s="1"/>
  <c r="B185" i="12"/>
  <c r="Z184" i="12"/>
  <c r="X184" i="12"/>
  <c r="N184" i="12"/>
  <c r="L184" i="12"/>
  <c r="B184" i="12"/>
  <c r="Z183" i="12"/>
  <c r="X183" i="12"/>
  <c r="N183" i="12"/>
  <c r="L183" i="12"/>
  <c r="B183" i="12"/>
  <c r="X182" i="12"/>
  <c r="Z182" i="12" s="1"/>
  <c r="N182" i="12"/>
  <c r="L182" i="12"/>
  <c r="B182" i="12"/>
  <c r="X181" i="12"/>
  <c r="Z181" i="12" s="1"/>
  <c r="L181" i="12"/>
  <c r="N181" i="12" s="1"/>
  <c r="B181" i="12"/>
  <c r="Z180" i="12"/>
  <c r="X180" i="12"/>
  <c r="N180" i="12"/>
  <c r="L180" i="12"/>
  <c r="B180" i="12"/>
  <c r="Z179" i="12"/>
  <c r="X179" i="12"/>
  <c r="L179" i="12"/>
  <c r="N179" i="12" s="1"/>
  <c r="B179" i="12"/>
  <c r="X178" i="12"/>
  <c r="Z178" i="12" s="1"/>
  <c r="L178" i="12"/>
  <c r="N178" i="12" s="1"/>
  <c r="B178" i="12"/>
  <c r="T177" i="12"/>
  <c r="P177" i="12"/>
  <c r="X177" i="12" s="1"/>
  <c r="Z177" i="12" s="1"/>
  <c r="H177" i="12"/>
  <c r="D177" i="12"/>
  <c r="B177" i="12"/>
  <c r="Z176" i="12"/>
  <c r="X176" i="12"/>
  <c r="N176" i="12"/>
  <c r="L176" i="12"/>
  <c r="B176" i="12"/>
  <c r="X175" i="12"/>
  <c r="Z175" i="12" s="1"/>
  <c r="N175" i="12"/>
  <c r="L175" i="12"/>
  <c r="B175" i="12"/>
  <c r="X174" i="12"/>
  <c r="Z174" i="12" s="1"/>
  <c r="N174" i="12"/>
  <c r="L174" i="12"/>
  <c r="B174" i="12"/>
  <c r="Z173" i="12"/>
  <c r="X173" i="12"/>
  <c r="V173" i="12"/>
  <c r="N173" i="12"/>
  <c r="L173" i="12"/>
  <c r="B173" i="12"/>
  <c r="Z172" i="12"/>
  <c r="X172" i="12"/>
  <c r="N172" i="12"/>
  <c r="L172" i="12"/>
  <c r="B172" i="12"/>
  <c r="X171" i="12"/>
  <c r="Z171" i="12" s="1"/>
  <c r="N171" i="12"/>
  <c r="L171" i="12"/>
  <c r="B171" i="12"/>
  <c r="X170" i="12"/>
  <c r="Z170" i="12" s="1"/>
  <c r="N170" i="12"/>
  <c r="L170" i="12"/>
  <c r="B170" i="12"/>
  <c r="X169" i="12"/>
  <c r="Z169" i="12" s="1"/>
  <c r="V169" i="12"/>
  <c r="L169" i="12"/>
  <c r="N169" i="12" s="1"/>
  <c r="B169" i="12"/>
  <c r="Z168" i="12"/>
  <c r="X168" i="12"/>
  <c r="N168" i="12"/>
  <c r="L168" i="12"/>
  <c r="B168" i="12"/>
  <c r="X167" i="12"/>
  <c r="Z167" i="12" s="1"/>
  <c r="N167" i="12"/>
  <c r="L167" i="12"/>
  <c r="B167" i="12"/>
  <c r="T166" i="12"/>
  <c r="P166" i="12"/>
  <c r="X166" i="12" s="1"/>
  <c r="H166" i="12"/>
  <c r="D166" i="12"/>
  <c r="L166" i="12" s="1"/>
  <c r="N166" i="12" s="1"/>
  <c r="B166" i="12"/>
  <c r="X165" i="12"/>
  <c r="T165" i="12"/>
  <c r="P165" i="12"/>
  <c r="H165" i="12"/>
  <c r="D165" i="12"/>
  <c r="L165" i="12" s="1"/>
  <c r="T163" i="12"/>
  <c r="Z161" i="12"/>
  <c r="X161" i="12"/>
  <c r="N161" i="12"/>
  <c r="L161" i="12"/>
  <c r="B161" i="12"/>
  <c r="Z160" i="12"/>
  <c r="X160" i="12"/>
  <c r="N160" i="12"/>
  <c r="L160" i="12"/>
  <c r="B160" i="12"/>
  <c r="Z159" i="12"/>
  <c r="X159" i="12"/>
  <c r="N159" i="12"/>
  <c r="L159" i="12"/>
  <c r="B159" i="12"/>
  <c r="Z158" i="12"/>
  <c r="X158" i="12"/>
  <c r="N158" i="12"/>
  <c r="L158" i="12"/>
  <c r="B158" i="12"/>
  <c r="Z157" i="12"/>
  <c r="X157" i="12"/>
  <c r="N157" i="12"/>
  <c r="L157" i="12"/>
  <c r="B157" i="12"/>
  <c r="Z156" i="12"/>
  <c r="X156" i="12"/>
  <c r="N156" i="12"/>
  <c r="L156" i="12"/>
  <c r="B156" i="12"/>
  <c r="Z155" i="12"/>
  <c r="X155" i="12"/>
  <c r="N155" i="12"/>
  <c r="L155" i="12"/>
  <c r="B155" i="12"/>
  <c r="Z154" i="12"/>
  <c r="X154" i="12"/>
  <c r="N154" i="12"/>
  <c r="L154" i="12"/>
  <c r="B154" i="12"/>
  <c r="Z153" i="12"/>
  <c r="X153" i="12"/>
  <c r="N153" i="12"/>
  <c r="L153" i="12"/>
  <c r="B153" i="12"/>
  <c r="Z152" i="12"/>
  <c r="X152" i="12"/>
  <c r="N152" i="12"/>
  <c r="L152" i="12"/>
  <c r="B152" i="12"/>
  <c r="Z151" i="12"/>
  <c r="X151" i="12"/>
  <c r="N151" i="12"/>
  <c r="L151" i="12"/>
  <c r="B151" i="12"/>
  <c r="Z150" i="12"/>
  <c r="X150" i="12"/>
  <c r="V150" i="12"/>
  <c r="N150" i="12"/>
  <c r="L150" i="12"/>
  <c r="B150" i="12"/>
  <c r="Z149" i="12"/>
  <c r="X149" i="12"/>
  <c r="N149" i="12"/>
  <c r="L149" i="12"/>
  <c r="B149" i="12"/>
  <c r="Z148" i="12"/>
  <c r="X148" i="12"/>
  <c r="N148" i="12"/>
  <c r="L148" i="12"/>
  <c r="B148" i="12"/>
  <c r="Z147" i="12"/>
  <c r="X147" i="12"/>
  <c r="N147" i="12"/>
  <c r="L147" i="12"/>
  <c r="B147" i="12"/>
  <c r="Z146" i="12"/>
  <c r="X146" i="12"/>
  <c r="V146" i="12"/>
  <c r="N146" i="12"/>
  <c r="L146" i="12"/>
  <c r="J146" i="12"/>
  <c r="B146" i="12"/>
  <c r="Z145" i="12"/>
  <c r="X145" i="12"/>
  <c r="N145" i="12"/>
  <c r="L145" i="12"/>
  <c r="B145" i="12"/>
  <c r="Z144" i="12"/>
  <c r="X144" i="12"/>
  <c r="N144" i="12"/>
  <c r="L144" i="12"/>
  <c r="J144" i="12"/>
  <c r="B144" i="12"/>
  <c r="Z143" i="12"/>
  <c r="X143" i="12"/>
  <c r="N143" i="12"/>
  <c r="L143" i="12"/>
  <c r="B143" i="12"/>
  <c r="Z142" i="12"/>
  <c r="X142" i="12"/>
  <c r="V142" i="12"/>
  <c r="N142" i="12"/>
  <c r="L142" i="12"/>
  <c r="B142" i="12"/>
  <c r="Z141" i="12"/>
  <c r="X141" i="12"/>
  <c r="N141" i="12"/>
  <c r="L141" i="12"/>
  <c r="B141" i="12"/>
  <c r="Z140" i="12"/>
  <c r="X140" i="12"/>
  <c r="N140" i="12"/>
  <c r="L140" i="12"/>
  <c r="B140" i="12"/>
  <c r="Z139" i="12"/>
  <c r="X139" i="12"/>
  <c r="N139" i="12"/>
  <c r="L139" i="12"/>
  <c r="B139" i="12"/>
  <c r="Z138" i="12"/>
  <c r="X138" i="12"/>
  <c r="N138" i="12"/>
  <c r="L138" i="12"/>
  <c r="B138" i="12"/>
  <c r="Z137" i="12"/>
  <c r="X137" i="12"/>
  <c r="N137" i="12"/>
  <c r="L137" i="12"/>
  <c r="B137" i="12"/>
  <c r="Z136" i="12"/>
  <c r="X136" i="12"/>
  <c r="N136" i="12"/>
  <c r="L136" i="12"/>
  <c r="B136" i="12"/>
  <c r="Z135" i="12"/>
  <c r="X135" i="12"/>
  <c r="N135" i="12"/>
  <c r="L135" i="12"/>
  <c r="B135" i="12"/>
  <c r="Z134" i="12"/>
  <c r="X134" i="12"/>
  <c r="V134" i="12"/>
  <c r="N134" i="12"/>
  <c r="L134" i="12"/>
  <c r="B134" i="12"/>
  <c r="Z133" i="12"/>
  <c r="X133" i="12"/>
  <c r="N133" i="12"/>
  <c r="L133" i="12"/>
  <c r="B133" i="12"/>
  <c r="Z132" i="12"/>
  <c r="X132" i="12"/>
  <c r="N132" i="12"/>
  <c r="L132" i="12"/>
  <c r="B132" i="12"/>
  <c r="Z131" i="12"/>
  <c r="X131" i="12"/>
  <c r="N131" i="12"/>
  <c r="L131" i="12"/>
  <c r="B131" i="12"/>
  <c r="Z130" i="12"/>
  <c r="X130" i="12"/>
  <c r="V130" i="12"/>
  <c r="N130" i="12"/>
  <c r="L130" i="12"/>
  <c r="B130" i="12"/>
  <c r="Z129" i="12"/>
  <c r="X129" i="12"/>
  <c r="N129" i="12"/>
  <c r="L129" i="12"/>
  <c r="B129" i="12"/>
  <c r="Z128" i="12"/>
  <c r="X128" i="12"/>
  <c r="N128" i="12"/>
  <c r="L128" i="12"/>
  <c r="B128" i="12"/>
  <c r="Z127" i="12"/>
  <c r="X127" i="12"/>
  <c r="N127" i="12"/>
  <c r="L127" i="12"/>
  <c r="B127" i="12"/>
  <c r="Z126" i="12"/>
  <c r="X126" i="12"/>
  <c r="V126" i="12"/>
  <c r="N126" i="12"/>
  <c r="L126" i="12"/>
  <c r="B126" i="12"/>
  <c r="Z125" i="12"/>
  <c r="X125" i="12"/>
  <c r="N125" i="12"/>
  <c r="L125" i="12"/>
  <c r="B125" i="12"/>
  <c r="Z124" i="12"/>
  <c r="X124" i="12"/>
  <c r="N124" i="12"/>
  <c r="L124" i="12"/>
  <c r="B124" i="12"/>
  <c r="Z123" i="12"/>
  <c r="X123" i="12"/>
  <c r="N123" i="12"/>
  <c r="L123" i="12"/>
  <c r="B123" i="12"/>
  <c r="Z122" i="12"/>
  <c r="X122" i="12"/>
  <c r="N122" i="12"/>
  <c r="L122" i="12"/>
  <c r="B122" i="12"/>
  <c r="Z121" i="12"/>
  <c r="X121" i="12"/>
  <c r="N121" i="12"/>
  <c r="L121" i="12"/>
  <c r="B121" i="12"/>
  <c r="Z120" i="12"/>
  <c r="X120" i="12"/>
  <c r="N120" i="12"/>
  <c r="L120" i="12"/>
  <c r="B120" i="12"/>
  <c r="Z119" i="12"/>
  <c r="X119" i="12"/>
  <c r="N119" i="12"/>
  <c r="L119" i="12"/>
  <c r="B119" i="12"/>
  <c r="Z118" i="12"/>
  <c r="X118" i="12"/>
  <c r="V118" i="12"/>
  <c r="N118" i="12"/>
  <c r="L118" i="12"/>
  <c r="B118" i="12"/>
  <c r="Z117" i="12"/>
  <c r="X117" i="12"/>
  <c r="N117" i="12"/>
  <c r="L117" i="12"/>
  <c r="B117" i="12"/>
  <c r="Z116" i="12"/>
  <c r="X116" i="12"/>
  <c r="N116" i="12"/>
  <c r="L116" i="12"/>
  <c r="B116" i="12"/>
  <c r="Z115" i="12"/>
  <c r="X115" i="12"/>
  <c r="N115" i="12"/>
  <c r="L115" i="12"/>
  <c r="B115" i="12"/>
  <c r="Z114" i="12"/>
  <c r="X114" i="12"/>
  <c r="V114" i="12"/>
  <c r="N114" i="12"/>
  <c r="L114" i="12"/>
  <c r="B114" i="12"/>
  <c r="Z113" i="12"/>
  <c r="X113" i="12"/>
  <c r="N113" i="12"/>
  <c r="L113" i="12"/>
  <c r="B113" i="12"/>
  <c r="Z112" i="12"/>
  <c r="X112" i="12"/>
  <c r="N112" i="12"/>
  <c r="L112" i="12"/>
  <c r="B112" i="12"/>
  <c r="Z111" i="12"/>
  <c r="X111" i="12"/>
  <c r="N111" i="12"/>
  <c r="L111" i="12"/>
  <c r="B111" i="12"/>
  <c r="Z110" i="12"/>
  <c r="X110" i="12"/>
  <c r="V110" i="12"/>
  <c r="N110" i="12"/>
  <c r="L110" i="12"/>
  <c r="B110" i="12"/>
  <c r="X109" i="12"/>
  <c r="Z109" i="12" s="1"/>
  <c r="L109" i="12"/>
  <c r="N109" i="12" s="1"/>
  <c r="B109" i="12"/>
  <c r="X108" i="12"/>
  <c r="Z108" i="12" s="1"/>
  <c r="T108" i="12"/>
  <c r="R108" i="12"/>
  <c r="P108" i="12"/>
  <c r="N108" i="12"/>
  <c r="L108" i="12"/>
  <c r="H108" i="12"/>
  <c r="D108" i="12"/>
  <c r="Z106" i="12"/>
  <c r="X106" i="12"/>
  <c r="P106" i="12"/>
  <c r="N106" i="12"/>
  <c r="L106" i="12"/>
  <c r="D106" i="12"/>
  <c r="B106" i="12"/>
  <c r="Z105" i="12"/>
  <c r="X105" i="12"/>
  <c r="P105" i="12"/>
  <c r="N105" i="12"/>
  <c r="D105" i="12"/>
  <c r="L105" i="12" s="1"/>
  <c r="B105" i="12"/>
  <c r="Z104" i="12"/>
  <c r="P104" i="12"/>
  <c r="X104" i="12" s="1"/>
  <c r="N104" i="12"/>
  <c r="L104" i="12"/>
  <c r="D104" i="12"/>
  <c r="B104" i="12"/>
  <c r="Z103" i="12"/>
  <c r="P103" i="12"/>
  <c r="X103" i="12" s="1"/>
  <c r="N103" i="12"/>
  <c r="L103" i="12"/>
  <c r="D103" i="12"/>
  <c r="B103" i="12"/>
  <c r="Z102" i="12"/>
  <c r="P102" i="12"/>
  <c r="X102" i="12" s="1"/>
  <c r="N102" i="12"/>
  <c r="L102" i="12"/>
  <c r="D102" i="12"/>
  <c r="B102" i="12"/>
  <c r="Z101" i="12"/>
  <c r="P101" i="12"/>
  <c r="X101" i="12" s="1"/>
  <c r="N101" i="12"/>
  <c r="D101" i="12"/>
  <c r="L101" i="12" s="1"/>
  <c r="B101" i="12"/>
  <c r="Z100" i="12"/>
  <c r="P100" i="12"/>
  <c r="X100" i="12" s="1"/>
  <c r="N100" i="12"/>
  <c r="D100" i="12"/>
  <c r="L100" i="12" s="1"/>
  <c r="B100" i="12"/>
  <c r="Z99" i="12"/>
  <c r="X99" i="12"/>
  <c r="P99" i="12"/>
  <c r="N99" i="12"/>
  <c r="D99" i="12"/>
  <c r="L99" i="12" s="1"/>
  <c r="B99" i="12"/>
  <c r="Z98" i="12"/>
  <c r="X98" i="12"/>
  <c r="P98" i="12"/>
  <c r="N98" i="12"/>
  <c r="D98" i="12"/>
  <c r="L98" i="12" s="1"/>
  <c r="B98" i="12"/>
  <c r="Z97" i="12"/>
  <c r="X97" i="12"/>
  <c r="P97" i="12"/>
  <c r="N97" i="12"/>
  <c r="D97" i="12"/>
  <c r="L97" i="12" s="1"/>
  <c r="B97" i="12"/>
  <c r="Z96" i="12"/>
  <c r="P96" i="12"/>
  <c r="X96" i="12" s="1"/>
  <c r="N96" i="12"/>
  <c r="L96" i="12"/>
  <c r="D96" i="12"/>
  <c r="B96" i="12"/>
  <c r="Z95" i="12"/>
  <c r="X95" i="12"/>
  <c r="P95" i="12"/>
  <c r="N95" i="12"/>
  <c r="L95" i="12"/>
  <c r="D95" i="12"/>
  <c r="B95" i="12"/>
  <c r="Z94" i="12"/>
  <c r="X94" i="12"/>
  <c r="P94" i="12"/>
  <c r="N94" i="12"/>
  <c r="L94" i="12"/>
  <c r="D94" i="12"/>
  <c r="B94" i="12"/>
  <c r="Z93" i="12"/>
  <c r="X93" i="12"/>
  <c r="P93" i="12"/>
  <c r="N93" i="12"/>
  <c r="D93" i="12"/>
  <c r="L93" i="12" s="1"/>
  <c r="B93" i="12"/>
  <c r="Z92" i="12"/>
  <c r="P92" i="12"/>
  <c r="X92" i="12" s="1"/>
  <c r="N92" i="12"/>
  <c r="L92" i="12"/>
  <c r="D92" i="12"/>
  <c r="B92" i="12"/>
  <c r="Z91" i="12"/>
  <c r="P91" i="12"/>
  <c r="X91" i="12" s="1"/>
  <c r="N91" i="12"/>
  <c r="L91" i="12"/>
  <c r="D91" i="12"/>
  <c r="B91" i="12"/>
  <c r="Z90" i="12"/>
  <c r="P90" i="12"/>
  <c r="X90" i="12" s="1"/>
  <c r="N90" i="12"/>
  <c r="L90" i="12"/>
  <c r="D90" i="12"/>
  <c r="B90" i="12"/>
  <c r="Z89" i="12"/>
  <c r="X89" i="12"/>
  <c r="P89" i="12"/>
  <c r="N89" i="12"/>
  <c r="D89" i="12"/>
  <c r="L89" i="12" s="1"/>
  <c r="B89" i="12"/>
  <c r="Z88" i="12"/>
  <c r="P88" i="12"/>
  <c r="X88" i="12" s="1"/>
  <c r="N88" i="12"/>
  <c r="D88" i="12"/>
  <c r="L88" i="12" s="1"/>
  <c r="B88" i="12"/>
  <c r="Z87" i="12"/>
  <c r="X87" i="12"/>
  <c r="P87" i="12"/>
  <c r="N87" i="12"/>
  <c r="D87" i="12"/>
  <c r="L87" i="12" s="1"/>
  <c r="B87" i="12"/>
  <c r="Z86" i="12"/>
  <c r="X86" i="12"/>
  <c r="P86" i="12"/>
  <c r="N86" i="12"/>
  <c r="L86" i="12"/>
  <c r="D86" i="12"/>
  <c r="B86" i="12"/>
  <c r="Z85" i="12"/>
  <c r="X85" i="12"/>
  <c r="P85" i="12"/>
  <c r="N85" i="12"/>
  <c r="D85" i="12"/>
  <c r="L85" i="12" s="1"/>
  <c r="B85" i="12"/>
  <c r="Z84" i="12"/>
  <c r="P84" i="12"/>
  <c r="X84" i="12" s="1"/>
  <c r="N84" i="12"/>
  <c r="L84" i="12"/>
  <c r="D84" i="12"/>
  <c r="B84" i="12"/>
  <c r="Z83" i="12"/>
  <c r="X83" i="12"/>
  <c r="P83" i="12"/>
  <c r="N83" i="12"/>
  <c r="L83" i="12"/>
  <c r="D83" i="12"/>
  <c r="B83" i="12"/>
  <c r="Z82" i="12"/>
  <c r="X82" i="12"/>
  <c r="P82" i="12"/>
  <c r="N82" i="12"/>
  <c r="L82" i="12"/>
  <c r="D82" i="12"/>
  <c r="B82" i="12"/>
  <c r="Z81" i="12"/>
  <c r="X81" i="12"/>
  <c r="P81" i="12"/>
  <c r="N81" i="12"/>
  <c r="D81" i="12"/>
  <c r="L81" i="12" s="1"/>
  <c r="B81" i="12"/>
  <c r="Z80" i="12"/>
  <c r="P80" i="12"/>
  <c r="X80" i="12" s="1"/>
  <c r="N80" i="12"/>
  <c r="L80" i="12"/>
  <c r="D80" i="12"/>
  <c r="B80" i="12"/>
  <c r="Z79" i="12"/>
  <c r="P79" i="12"/>
  <c r="X79" i="12" s="1"/>
  <c r="N79" i="12"/>
  <c r="L79" i="12"/>
  <c r="D79" i="12"/>
  <c r="B79" i="12"/>
  <c r="Z78" i="12"/>
  <c r="P78" i="12"/>
  <c r="X78" i="12" s="1"/>
  <c r="N78" i="12"/>
  <c r="L78" i="12"/>
  <c r="D78" i="12"/>
  <c r="B78" i="12"/>
  <c r="Z77" i="12"/>
  <c r="X77" i="12"/>
  <c r="P77" i="12"/>
  <c r="N77" i="12"/>
  <c r="D77" i="12"/>
  <c r="L77" i="12" s="1"/>
  <c r="B77" i="12"/>
  <c r="Z76" i="12"/>
  <c r="P76" i="12"/>
  <c r="X76" i="12" s="1"/>
  <c r="N76" i="12"/>
  <c r="D76" i="12"/>
  <c r="L76" i="12" s="1"/>
  <c r="B76" i="12"/>
  <c r="Z75" i="12"/>
  <c r="X75" i="12"/>
  <c r="P75" i="12"/>
  <c r="N75" i="12"/>
  <c r="D75" i="12"/>
  <c r="L75" i="12" s="1"/>
  <c r="B75" i="12"/>
  <c r="Z74" i="12"/>
  <c r="X74" i="12"/>
  <c r="P74" i="12"/>
  <c r="N74" i="12"/>
  <c r="D74" i="12"/>
  <c r="L74" i="12" s="1"/>
  <c r="B74" i="12"/>
  <c r="Z73" i="12"/>
  <c r="X73" i="12"/>
  <c r="P73" i="12"/>
  <c r="N73" i="12"/>
  <c r="D73" i="12"/>
  <c r="L73" i="12" s="1"/>
  <c r="B73" i="12"/>
  <c r="Z72" i="12"/>
  <c r="P72" i="12"/>
  <c r="X72" i="12" s="1"/>
  <c r="N72" i="12"/>
  <c r="L72" i="12"/>
  <c r="D72" i="12"/>
  <c r="B72" i="12"/>
  <c r="Z71" i="12"/>
  <c r="X71" i="12"/>
  <c r="P71" i="12"/>
  <c r="N71" i="12"/>
  <c r="L71" i="12"/>
  <c r="D71" i="12"/>
  <c r="B71" i="12"/>
  <c r="Z70" i="12"/>
  <c r="X70" i="12"/>
  <c r="P70" i="12"/>
  <c r="N70" i="12"/>
  <c r="L70" i="12"/>
  <c r="D70" i="12"/>
  <c r="B70" i="12"/>
  <c r="Z69" i="12"/>
  <c r="X69" i="12"/>
  <c r="P69" i="12"/>
  <c r="N69" i="12"/>
  <c r="D69" i="12"/>
  <c r="L69" i="12" s="1"/>
  <c r="B69" i="12"/>
  <c r="Z68" i="12"/>
  <c r="P68" i="12"/>
  <c r="X68" i="12" s="1"/>
  <c r="N68" i="12"/>
  <c r="L68" i="12"/>
  <c r="D68" i="12"/>
  <c r="B68" i="12"/>
  <c r="Z67" i="12"/>
  <c r="P67" i="12"/>
  <c r="X67" i="12" s="1"/>
  <c r="N67" i="12"/>
  <c r="L67" i="12"/>
  <c r="D67" i="12"/>
  <c r="B67" i="12"/>
  <c r="Z66" i="12"/>
  <c r="P66" i="12"/>
  <c r="X66" i="12" s="1"/>
  <c r="N66" i="12"/>
  <c r="L66" i="12"/>
  <c r="D66" i="12"/>
  <c r="B66" i="12"/>
  <c r="Z65" i="12"/>
  <c r="P65" i="12"/>
  <c r="X65" i="12" s="1"/>
  <c r="N65" i="12"/>
  <c r="D65" i="12"/>
  <c r="L65" i="12" s="1"/>
  <c r="B65" i="12"/>
  <c r="Z64" i="12"/>
  <c r="P64" i="12"/>
  <c r="X64" i="12" s="1"/>
  <c r="N64" i="12"/>
  <c r="D64" i="12"/>
  <c r="L64" i="12" s="1"/>
  <c r="B64" i="12"/>
  <c r="Z63" i="12"/>
  <c r="X63" i="12"/>
  <c r="P63" i="12"/>
  <c r="N63" i="12"/>
  <c r="D63" i="12"/>
  <c r="L63" i="12" s="1"/>
  <c r="B63" i="12"/>
  <c r="Z62" i="12"/>
  <c r="X62" i="12"/>
  <c r="P62" i="12"/>
  <c r="N62" i="12"/>
  <c r="L62" i="12"/>
  <c r="D62" i="12"/>
  <c r="B62" i="12"/>
  <c r="Z61" i="12"/>
  <c r="X61" i="12"/>
  <c r="P61" i="12"/>
  <c r="N61" i="12"/>
  <c r="D61" i="12"/>
  <c r="L61" i="12" s="1"/>
  <c r="B61" i="12"/>
  <c r="Z60" i="12"/>
  <c r="P60" i="12"/>
  <c r="X60" i="12" s="1"/>
  <c r="N60" i="12"/>
  <c r="L60" i="12"/>
  <c r="D60" i="12"/>
  <c r="B60" i="12"/>
  <c r="Z59" i="12"/>
  <c r="X59" i="12"/>
  <c r="P59" i="12"/>
  <c r="N59" i="12"/>
  <c r="L59" i="12"/>
  <c r="D59" i="12"/>
  <c r="B59" i="12"/>
  <c r="Z58" i="12"/>
  <c r="X58" i="12"/>
  <c r="P58" i="12"/>
  <c r="N58" i="12"/>
  <c r="L58" i="12"/>
  <c r="D58" i="12"/>
  <c r="B58" i="12"/>
  <c r="Z57" i="12"/>
  <c r="X57" i="12"/>
  <c r="P57" i="12"/>
  <c r="N57" i="12"/>
  <c r="D57" i="12"/>
  <c r="L57" i="12" s="1"/>
  <c r="B57" i="12"/>
  <c r="Z56" i="12"/>
  <c r="P56" i="12"/>
  <c r="X56" i="12" s="1"/>
  <c r="N56" i="12"/>
  <c r="L56" i="12"/>
  <c r="D56" i="12"/>
  <c r="B56" i="12"/>
  <c r="Z55" i="12"/>
  <c r="P55" i="12"/>
  <c r="X55" i="12" s="1"/>
  <c r="N55" i="12"/>
  <c r="L55" i="12"/>
  <c r="D55" i="12"/>
  <c r="B55" i="12"/>
  <c r="Z54" i="12"/>
  <c r="P54" i="12"/>
  <c r="X54" i="12" s="1"/>
  <c r="N54" i="12"/>
  <c r="L54" i="12"/>
  <c r="D54" i="12"/>
  <c r="B54" i="12"/>
  <c r="Z53" i="12"/>
  <c r="X53" i="12"/>
  <c r="P53" i="12"/>
  <c r="P12" i="12" s="1"/>
  <c r="N53" i="12"/>
  <c r="D53" i="12"/>
  <c r="L53" i="12" s="1"/>
  <c r="B53" i="12"/>
  <c r="Z52" i="12"/>
  <c r="P52" i="12"/>
  <c r="X52" i="12" s="1"/>
  <c r="N52" i="12"/>
  <c r="D52" i="12"/>
  <c r="L52" i="12" s="1"/>
  <c r="B52" i="12"/>
  <c r="Z51" i="12"/>
  <c r="X51" i="12"/>
  <c r="P51" i="12"/>
  <c r="N51" i="12"/>
  <c r="D51" i="12"/>
  <c r="L51" i="12" s="1"/>
  <c r="B51" i="12"/>
  <c r="Z50" i="12"/>
  <c r="X50" i="12"/>
  <c r="P50" i="12"/>
  <c r="N50" i="12"/>
  <c r="L50" i="12"/>
  <c r="D50" i="12"/>
  <c r="B50" i="12"/>
  <c r="Z49" i="12"/>
  <c r="X49" i="12"/>
  <c r="P49" i="12"/>
  <c r="N49" i="12"/>
  <c r="D49" i="12"/>
  <c r="L49" i="12" s="1"/>
  <c r="B49" i="12"/>
  <c r="P48" i="12"/>
  <c r="X48" i="12" s="1"/>
  <c r="Z48" i="12" s="1"/>
  <c r="N48" i="12"/>
  <c r="L48" i="12"/>
  <c r="D48" i="12"/>
  <c r="B48" i="12"/>
  <c r="Z47" i="12"/>
  <c r="X47" i="12"/>
  <c r="P47" i="12"/>
  <c r="N47" i="12"/>
  <c r="L47" i="12"/>
  <c r="D47" i="12"/>
  <c r="B47" i="12"/>
  <c r="Z46" i="12"/>
  <c r="X46" i="12"/>
  <c r="P46" i="12"/>
  <c r="N46" i="12"/>
  <c r="L46" i="12"/>
  <c r="D46" i="12"/>
  <c r="B46" i="12"/>
  <c r="Z45" i="12"/>
  <c r="X45" i="12"/>
  <c r="P45" i="12"/>
  <c r="N45" i="12"/>
  <c r="D45" i="12"/>
  <c r="L45" i="12" s="1"/>
  <c r="B45" i="12"/>
  <c r="Z44" i="12"/>
  <c r="P44" i="12"/>
  <c r="X44" i="12" s="1"/>
  <c r="N44" i="12"/>
  <c r="L44" i="12"/>
  <c r="D44" i="12"/>
  <c r="B44" i="12"/>
  <c r="Z43" i="12"/>
  <c r="P43" i="12"/>
  <c r="X43" i="12" s="1"/>
  <c r="N43" i="12"/>
  <c r="L43" i="12"/>
  <c r="D43" i="12"/>
  <c r="B43" i="12"/>
  <c r="Z42" i="12"/>
  <c r="P42" i="12"/>
  <c r="X42" i="12" s="1"/>
  <c r="N42" i="12"/>
  <c r="L42" i="12"/>
  <c r="D42" i="12"/>
  <c r="B42" i="12"/>
  <c r="Z41" i="12"/>
  <c r="X41" i="12"/>
  <c r="P41" i="12"/>
  <c r="N41" i="12"/>
  <c r="D41" i="12"/>
  <c r="L41" i="12" s="1"/>
  <c r="B41" i="12"/>
  <c r="Z40" i="12"/>
  <c r="P40" i="12"/>
  <c r="X40" i="12" s="1"/>
  <c r="N40" i="12"/>
  <c r="D40" i="12"/>
  <c r="L40" i="12" s="1"/>
  <c r="B40" i="12"/>
  <c r="Z39" i="12"/>
  <c r="X39" i="12"/>
  <c r="P39" i="12"/>
  <c r="N39" i="12"/>
  <c r="D39" i="12"/>
  <c r="L39" i="12" s="1"/>
  <c r="B39" i="12"/>
  <c r="Z38" i="12"/>
  <c r="X38" i="12"/>
  <c r="P38" i="12"/>
  <c r="N38" i="12"/>
  <c r="L38" i="12"/>
  <c r="D38" i="12"/>
  <c r="B38" i="12"/>
  <c r="Z37" i="12"/>
  <c r="X37" i="12"/>
  <c r="P37" i="12"/>
  <c r="N37" i="12"/>
  <c r="D37" i="12"/>
  <c r="L37" i="12" s="1"/>
  <c r="B37" i="12"/>
  <c r="Z36" i="12"/>
  <c r="P36" i="12"/>
  <c r="X36" i="12" s="1"/>
  <c r="N36" i="12"/>
  <c r="L36" i="12"/>
  <c r="D36" i="12"/>
  <c r="B36" i="12"/>
  <c r="Z35" i="12"/>
  <c r="X35" i="12"/>
  <c r="P35" i="12"/>
  <c r="N35" i="12"/>
  <c r="L35" i="12"/>
  <c r="D35" i="12"/>
  <c r="B35" i="12"/>
  <c r="Z34" i="12"/>
  <c r="X34" i="12"/>
  <c r="P34" i="12"/>
  <c r="N34" i="12"/>
  <c r="L34" i="12"/>
  <c r="D34" i="12"/>
  <c r="B34" i="12"/>
  <c r="Z33" i="12"/>
  <c r="X33" i="12"/>
  <c r="P33" i="12"/>
  <c r="N33" i="12"/>
  <c r="D33" i="12"/>
  <c r="L33" i="12" s="1"/>
  <c r="B33" i="12"/>
  <c r="Z32" i="12"/>
  <c r="P32" i="12"/>
  <c r="X32" i="12" s="1"/>
  <c r="N32" i="12"/>
  <c r="L32" i="12"/>
  <c r="D32" i="12"/>
  <c r="B32" i="12"/>
  <c r="Z31" i="12"/>
  <c r="P31" i="12"/>
  <c r="X31" i="12" s="1"/>
  <c r="N31" i="12"/>
  <c r="L31" i="12"/>
  <c r="D31" i="12"/>
  <c r="B31" i="12"/>
  <c r="Z30" i="12"/>
  <c r="P30" i="12"/>
  <c r="X30" i="12" s="1"/>
  <c r="N30" i="12"/>
  <c r="L30" i="12"/>
  <c r="D30" i="12"/>
  <c r="B30" i="12"/>
  <c r="Z29" i="12"/>
  <c r="X29" i="12"/>
  <c r="P29" i="12"/>
  <c r="N29" i="12"/>
  <c r="D29" i="12"/>
  <c r="L29" i="12" s="1"/>
  <c r="B29" i="12"/>
  <c r="Z28" i="12"/>
  <c r="P28" i="12"/>
  <c r="X28" i="12" s="1"/>
  <c r="N28" i="12"/>
  <c r="D28" i="12"/>
  <c r="L28" i="12" s="1"/>
  <c r="B28" i="12"/>
  <c r="Z27" i="12"/>
  <c r="X27" i="12"/>
  <c r="P27" i="12"/>
  <c r="N27" i="12"/>
  <c r="D27" i="12"/>
  <c r="L27" i="12" s="1"/>
  <c r="B27" i="12"/>
  <c r="Z26" i="12"/>
  <c r="X26" i="12"/>
  <c r="P26" i="12"/>
  <c r="N26" i="12"/>
  <c r="D26" i="12"/>
  <c r="L26" i="12" s="1"/>
  <c r="B26" i="12"/>
  <c r="Z25" i="12"/>
  <c r="X25" i="12"/>
  <c r="P25" i="12"/>
  <c r="N25" i="12"/>
  <c r="D25" i="12"/>
  <c r="L25" i="12" s="1"/>
  <c r="B25" i="12"/>
  <c r="Z24" i="12"/>
  <c r="P24" i="12"/>
  <c r="X24" i="12" s="1"/>
  <c r="N24" i="12"/>
  <c r="L24" i="12"/>
  <c r="D24" i="12"/>
  <c r="B24" i="12"/>
  <c r="Z23" i="12"/>
  <c r="X23" i="12"/>
  <c r="P23" i="12"/>
  <c r="N23" i="12"/>
  <c r="L23" i="12"/>
  <c r="D23" i="12"/>
  <c r="B23" i="12"/>
  <c r="Z22" i="12"/>
  <c r="X22" i="12"/>
  <c r="P22" i="12"/>
  <c r="N22" i="12"/>
  <c r="L22" i="12"/>
  <c r="D22" i="12"/>
  <c r="B22" i="12"/>
  <c r="Z21" i="12"/>
  <c r="X21" i="12"/>
  <c r="P21" i="12"/>
  <c r="N21" i="12"/>
  <c r="D21" i="12"/>
  <c r="L21" i="12" s="1"/>
  <c r="B21" i="12"/>
  <c r="Z20" i="12"/>
  <c r="P20" i="12"/>
  <c r="X20" i="12" s="1"/>
  <c r="N20" i="12"/>
  <c r="L20" i="12"/>
  <c r="D20" i="12"/>
  <c r="B20" i="12"/>
  <c r="Z19" i="12"/>
  <c r="P19" i="12"/>
  <c r="X19" i="12" s="1"/>
  <c r="N19" i="12"/>
  <c r="L19" i="12"/>
  <c r="D19" i="12"/>
  <c r="B19" i="12"/>
  <c r="Z18" i="12"/>
  <c r="P18" i="12"/>
  <c r="X18" i="12" s="1"/>
  <c r="N18" i="12"/>
  <c r="L18" i="12"/>
  <c r="D18" i="12"/>
  <c r="B18" i="12"/>
  <c r="Z17" i="12"/>
  <c r="P17" i="12"/>
  <c r="X17" i="12" s="1"/>
  <c r="N17" i="12"/>
  <c r="D17" i="12"/>
  <c r="L17" i="12" s="1"/>
  <c r="B17" i="12"/>
  <c r="Z16" i="12"/>
  <c r="P16" i="12"/>
  <c r="X16" i="12" s="1"/>
  <c r="N16" i="12"/>
  <c r="D16" i="12"/>
  <c r="L16" i="12" s="1"/>
  <c r="B16" i="12"/>
  <c r="Z15" i="12"/>
  <c r="X15" i="12"/>
  <c r="P15" i="12"/>
  <c r="N15" i="12"/>
  <c r="D15" i="12"/>
  <c r="L15" i="12" s="1"/>
  <c r="B15" i="12"/>
  <c r="Z14" i="12"/>
  <c r="X14" i="12"/>
  <c r="P14" i="12"/>
  <c r="N14" i="12"/>
  <c r="L14" i="12"/>
  <c r="D14" i="12"/>
  <c r="B14" i="12"/>
  <c r="P13" i="12"/>
  <c r="X13" i="12" s="1"/>
  <c r="Z13" i="12" s="1"/>
  <c r="D13" i="12"/>
  <c r="L13" i="12" s="1"/>
  <c r="N13" i="12" s="1"/>
  <c r="B13" i="12"/>
  <c r="T12" i="12"/>
  <c r="H12" i="12"/>
  <c r="D12" i="12"/>
  <c r="F114" i="12" s="1"/>
  <c r="D4" i="12"/>
  <c r="F106" i="9"/>
  <c r="J103" i="9"/>
  <c r="Z101" i="9"/>
  <c r="X101" i="9"/>
  <c r="N101" i="9"/>
  <c r="L101" i="9"/>
  <c r="F101" i="9"/>
  <c r="T97" i="9"/>
  <c r="Z97" i="9" s="1"/>
  <c r="P97" i="9"/>
  <c r="N97" i="9"/>
  <c r="L97" i="9"/>
  <c r="J97" i="9"/>
  <c r="H97" i="9"/>
  <c r="D97" i="9"/>
  <c r="X95" i="9"/>
  <c r="Z95" i="9" s="1"/>
  <c r="N95" i="9"/>
  <c r="L95" i="9"/>
  <c r="F95" i="9"/>
  <c r="B95" i="9"/>
  <c r="Z94" i="9"/>
  <c r="X94" i="9"/>
  <c r="L94" i="9"/>
  <c r="N94" i="9" s="1"/>
  <c r="J94" i="9"/>
  <c r="F94" i="9"/>
  <c r="B94" i="9"/>
  <c r="V93" i="9"/>
  <c r="T93" i="9"/>
  <c r="P93" i="9"/>
  <c r="H93" i="9"/>
  <c r="F93" i="9"/>
  <c r="D93" i="9"/>
  <c r="B93" i="9"/>
  <c r="X92" i="9"/>
  <c r="Z92" i="9" s="1"/>
  <c r="V92" i="9"/>
  <c r="N92" i="9"/>
  <c r="L92" i="9"/>
  <c r="B92" i="9"/>
  <c r="T91" i="9"/>
  <c r="P91" i="9"/>
  <c r="J91" i="9"/>
  <c r="H91" i="9"/>
  <c r="D91" i="9"/>
  <c r="B91" i="9"/>
  <c r="X90" i="9"/>
  <c r="Z90" i="9" s="1"/>
  <c r="N90" i="9"/>
  <c r="L90" i="9"/>
  <c r="F90" i="9"/>
  <c r="B90" i="9"/>
  <c r="Z89" i="9"/>
  <c r="X89" i="9"/>
  <c r="L89" i="9"/>
  <c r="N89" i="9" s="1"/>
  <c r="J89" i="9"/>
  <c r="F89" i="9"/>
  <c r="B89" i="9"/>
  <c r="T88" i="9"/>
  <c r="P88" i="9"/>
  <c r="H88" i="9"/>
  <c r="F88" i="9"/>
  <c r="D88" i="9"/>
  <c r="B88" i="9"/>
  <c r="Z87" i="9"/>
  <c r="X87" i="9"/>
  <c r="N87" i="9"/>
  <c r="L87" i="9"/>
  <c r="B87" i="9"/>
  <c r="Z86" i="9"/>
  <c r="X86" i="9"/>
  <c r="L86" i="9"/>
  <c r="N86" i="9" s="1"/>
  <c r="J86" i="9"/>
  <c r="F86" i="9"/>
  <c r="B86" i="9"/>
  <c r="Z85" i="9"/>
  <c r="X85" i="9"/>
  <c r="L85" i="9"/>
  <c r="N85" i="9" s="1"/>
  <c r="J85" i="9"/>
  <c r="B85" i="9"/>
  <c r="X84" i="9"/>
  <c r="Z84" i="9" s="1"/>
  <c r="N84" i="9"/>
  <c r="L84" i="9"/>
  <c r="B84" i="9"/>
  <c r="Z83" i="9"/>
  <c r="X83" i="9"/>
  <c r="T83" i="9"/>
  <c r="P83" i="9"/>
  <c r="L83" i="9"/>
  <c r="N83" i="9" s="1"/>
  <c r="H83" i="9"/>
  <c r="D83" i="9"/>
  <c r="B83" i="9"/>
  <c r="Z82" i="9"/>
  <c r="X82" i="9"/>
  <c r="L82" i="9"/>
  <c r="N82" i="9" s="1"/>
  <c r="J82" i="9"/>
  <c r="F82" i="9"/>
  <c r="B82" i="9"/>
  <c r="X81" i="9"/>
  <c r="Z81" i="9" s="1"/>
  <c r="N81" i="9"/>
  <c r="L81" i="9"/>
  <c r="J81" i="9"/>
  <c r="B81" i="9"/>
  <c r="T80" i="9"/>
  <c r="P80" i="9"/>
  <c r="X80" i="9" s="1"/>
  <c r="Z80" i="9" s="1"/>
  <c r="H80" i="9"/>
  <c r="F80" i="9"/>
  <c r="D80" i="9"/>
  <c r="L80" i="9" s="1"/>
  <c r="B80" i="9"/>
  <c r="X79" i="9"/>
  <c r="Z79" i="9" s="1"/>
  <c r="N79" i="9"/>
  <c r="L79" i="9"/>
  <c r="B79" i="9"/>
  <c r="Z78" i="9"/>
  <c r="X78" i="9"/>
  <c r="N78" i="9"/>
  <c r="L78" i="9"/>
  <c r="J78" i="9"/>
  <c r="F78" i="9"/>
  <c r="B78" i="9"/>
  <c r="T77" i="9"/>
  <c r="Z77" i="9" s="1"/>
  <c r="P77" i="9"/>
  <c r="X77" i="9" s="1"/>
  <c r="J77" i="9"/>
  <c r="H77" i="9"/>
  <c r="F77" i="9"/>
  <c r="D77" i="9"/>
  <c r="L77" i="9" s="1"/>
  <c r="B77" i="9"/>
  <c r="Z76" i="9"/>
  <c r="X76" i="9"/>
  <c r="N76" i="9"/>
  <c r="L76" i="9"/>
  <c r="F76" i="9"/>
  <c r="B76" i="9"/>
  <c r="Z75" i="9"/>
  <c r="X75" i="9"/>
  <c r="L75" i="9"/>
  <c r="N75" i="9" s="1"/>
  <c r="J75" i="9"/>
  <c r="F75" i="9"/>
  <c r="B75" i="9"/>
  <c r="X74" i="9"/>
  <c r="Z74" i="9" s="1"/>
  <c r="R74" i="9"/>
  <c r="N74" i="9"/>
  <c r="L74" i="9"/>
  <c r="B74" i="9"/>
  <c r="X73" i="9"/>
  <c r="Z73" i="9" s="1"/>
  <c r="L73" i="9"/>
  <c r="N73" i="9" s="1"/>
  <c r="J73" i="9"/>
  <c r="B73" i="9"/>
  <c r="T72" i="9"/>
  <c r="Z72" i="9" s="1"/>
  <c r="P72" i="9"/>
  <c r="X72" i="9" s="1"/>
  <c r="J72" i="9"/>
  <c r="H72" i="9"/>
  <c r="D72" i="9"/>
  <c r="B72" i="9"/>
  <c r="X71" i="9"/>
  <c r="Z71" i="9" s="1"/>
  <c r="N71" i="9"/>
  <c r="L71" i="9"/>
  <c r="J71" i="9"/>
  <c r="F71" i="9"/>
  <c r="B71" i="9"/>
  <c r="Z70" i="9"/>
  <c r="X70" i="9"/>
  <c r="N70" i="9"/>
  <c r="L70" i="9"/>
  <c r="J70" i="9"/>
  <c r="F70" i="9"/>
  <c r="B70" i="9"/>
  <c r="X69" i="9"/>
  <c r="Z69" i="9" s="1"/>
  <c r="N69" i="9"/>
  <c r="L69" i="9"/>
  <c r="F69" i="9"/>
  <c r="B69" i="9"/>
  <c r="Z68" i="9"/>
  <c r="X68" i="9"/>
  <c r="N68" i="9"/>
  <c r="L68" i="9"/>
  <c r="B68" i="9"/>
  <c r="T67" i="9"/>
  <c r="P67" i="9"/>
  <c r="L67" i="9"/>
  <c r="N67" i="9" s="1"/>
  <c r="J67" i="9"/>
  <c r="H67" i="9"/>
  <c r="D67" i="9"/>
  <c r="B67" i="9"/>
  <c r="Z66" i="9"/>
  <c r="X66" i="9"/>
  <c r="N66" i="9"/>
  <c r="L66" i="9"/>
  <c r="J66" i="9"/>
  <c r="F66" i="9"/>
  <c r="B66" i="9"/>
  <c r="Z65" i="9"/>
  <c r="X65" i="9"/>
  <c r="N65" i="9"/>
  <c r="L65" i="9"/>
  <c r="J65" i="9"/>
  <c r="B65" i="9"/>
  <c r="Z64" i="9"/>
  <c r="X64" i="9"/>
  <c r="N64" i="9"/>
  <c r="L64" i="9"/>
  <c r="J64" i="9"/>
  <c r="F64" i="9"/>
  <c r="B64" i="9"/>
  <c r="T63" i="9"/>
  <c r="Z63" i="9" s="1"/>
  <c r="P63" i="9"/>
  <c r="X63" i="9" s="1"/>
  <c r="H63" i="9"/>
  <c r="N63" i="9" s="1"/>
  <c r="F63" i="9"/>
  <c r="D63" i="9"/>
  <c r="L63" i="9" s="1"/>
  <c r="B63" i="9"/>
  <c r="X62" i="9"/>
  <c r="Z62" i="9" s="1"/>
  <c r="V62" i="9"/>
  <c r="R62" i="9"/>
  <c r="N62" i="9"/>
  <c r="L62" i="9"/>
  <c r="B62" i="9"/>
  <c r="T61" i="9"/>
  <c r="P61" i="9"/>
  <c r="X61" i="9" s="1"/>
  <c r="Z61" i="9" s="1"/>
  <c r="H61" i="9"/>
  <c r="D61" i="9"/>
  <c r="L61" i="9" s="1"/>
  <c r="N61" i="9" s="1"/>
  <c r="B61" i="9"/>
  <c r="Z60" i="9"/>
  <c r="X60" i="9"/>
  <c r="N60" i="9"/>
  <c r="L60" i="9"/>
  <c r="B60" i="9"/>
  <c r="T59" i="9"/>
  <c r="P59" i="9"/>
  <c r="L59" i="9"/>
  <c r="N59" i="9" s="1"/>
  <c r="J59" i="9"/>
  <c r="H59" i="9"/>
  <c r="D59" i="9"/>
  <c r="B59" i="9"/>
  <c r="Z58" i="9"/>
  <c r="X58" i="9"/>
  <c r="L58" i="9"/>
  <c r="N58" i="9" s="1"/>
  <c r="J58" i="9"/>
  <c r="F58" i="9"/>
  <c r="B58" i="9"/>
  <c r="T57" i="9"/>
  <c r="P57" i="9"/>
  <c r="X57" i="9" s="1"/>
  <c r="J57" i="9"/>
  <c r="H57" i="9"/>
  <c r="F57" i="9"/>
  <c r="D57" i="9"/>
  <c r="L57" i="9" s="1"/>
  <c r="B57" i="9"/>
  <c r="X56" i="9"/>
  <c r="Z56" i="9" s="1"/>
  <c r="N56" i="9"/>
  <c r="L56" i="9"/>
  <c r="F56" i="9"/>
  <c r="B56" i="9"/>
  <c r="T55" i="9"/>
  <c r="P55" i="9"/>
  <c r="X55" i="9" s="1"/>
  <c r="Z55" i="9" s="1"/>
  <c r="J55" i="9"/>
  <c r="H55" i="9"/>
  <c r="F55" i="9"/>
  <c r="D55" i="9"/>
  <c r="L55" i="9" s="1"/>
  <c r="N55" i="9" s="1"/>
  <c r="B55" i="9"/>
  <c r="Z54" i="9"/>
  <c r="X54" i="9"/>
  <c r="N54" i="9"/>
  <c r="L54" i="9"/>
  <c r="J54" i="9"/>
  <c r="F54" i="9"/>
  <c r="B54" i="9"/>
  <c r="X53" i="9"/>
  <c r="Z53" i="9" s="1"/>
  <c r="V53" i="9"/>
  <c r="T53" i="9"/>
  <c r="P53" i="9"/>
  <c r="J53" i="9"/>
  <c r="H53" i="9"/>
  <c r="F53" i="9"/>
  <c r="D53" i="9"/>
  <c r="B53" i="9"/>
  <c r="X52" i="9"/>
  <c r="Z52" i="9" s="1"/>
  <c r="L52" i="9"/>
  <c r="N52" i="9" s="1"/>
  <c r="J52" i="9"/>
  <c r="F52" i="9"/>
  <c r="B52" i="9"/>
  <c r="Z51" i="9"/>
  <c r="X51" i="9"/>
  <c r="R51" i="9"/>
  <c r="N51" i="9"/>
  <c r="L51" i="9"/>
  <c r="B51" i="9"/>
  <c r="T50" i="9"/>
  <c r="P50" i="9"/>
  <c r="X50" i="9" s="1"/>
  <c r="Z50" i="9" s="1"/>
  <c r="N50" i="9"/>
  <c r="L50" i="9"/>
  <c r="H50" i="9"/>
  <c r="D50" i="9"/>
  <c r="B50" i="9"/>
  <c r="X49" i="9"/>
  <c r="Z49" i="9" s="1"/>
  <c r="L49" i="9"/>
  <c r="N49" i="9" s="1"/>
  <c r="J49" i="9"/>
  <c r="F49" i="9"/>
  <c r="B49" i="9"/>
  <c r="T48" i="9"/>
  <c r="P48" i="9"/>
  <c r="X48" i="9" s="1"/>
  <c r="J48" i="9"/>
  <c r="H48" i="9"/>
  <c r="F48" i="9"/>
  <c r="D48" i="9"/>
  <c r="B48" i="9"/>
  <c r="X47" i="9"/>
  <c r="Z47" i="9" s="1"/>
  <c r="N47" i="9"/>
  <c r="L47" i="9"/>
  <c r="J47" i="9"/>
  <c r="F47" i="9"/>
  <c r="B47" i="9"/>
  <c r="T46" i="9"/>
  <c r="P46" i="9"/>
  <c r="X46" i="9" s="1"/>
  <c r="Z46" i="9" s="1"/>
  <c r="H46" i="9"/>
  <c r="N46" i="9" s="1"/>
  <c r="F46" i="9"/>
  <c r="D46" i="9"/>
  <c r="L46" i="9" s="1"/>
  <c r="B46" i="9"/>
  <c r="Z45" i="9"/>
  <c r="X45" i="9"/>
  <c r="L45" i="9"/>
  <c r="N45" i="9" s="1"/>
  <c r="J45" i="9"/>
  <c r="B45" i="9"/>
  <c r="X44" i="9"/>
  <c r="Z44" i="9" s="1"/>
  <c r="T44" i="9"/>
  <c r="P44" i="9"/>
  <c r="J44" i="9"/>
  <c r="H44" i="9"/>
  <c r="D44" i="9"/>
  <c r="L44" i="9" s="1"/>
  <c r="N44" i="9" s="1"/>
  <c r="B44" i="9"/>
  <c r="Z43" i="9"/>
  <c r="X43" i="9"/>
  <c r="L43" i="9"/>
  <c r="N43" i="9" s="1"/>
  <c r="J43" i="9"/>
  <c r="F43" i="9"/>
  <c r="B43" i="9"/>
  <c r="T42" i="9"/>
  <c r="P42" i="9"/>
  <c r="J42" i="9"/>
  <c r="H42" i="9"/>
  <c r="F42" i="9"/>
  <c r="D42" i="9"/>
  <c r="L42" i="9" s="1"/>
  <c r="B42" i="9"/>
  <c r="Z41" i="9"/>
  <c r="X41" i="9"/>
  <c r="N41" i="9"/>
  <c r="L41" i="9"/>
  <c r="F41" i="9"/>
  <c r="B41" i="9"/>
  <c r="Z40" i="9"/>
  <c r="X40" i="9"/>
  <c r="N40" i="9"/>
  <c r="L40" i="9"/>
  <c r="J40" i="9"/>
  <c r="B40" i="9"/>
  <c r="X39" i="9"/>
  <c r="Z39" i="9" s="1"/>
  <c r="N39" i="9"/>
  <c r="L39" i="9"/>
  <c r="J39" i="9"/>
  <c r="F39" i="9"/>
  <c r="B39" i="9"/>
  <c r="Z38" i="9"/>
  <c r="X38" i="9"/>
  <c r="N38" i="9"/>
  <c r="L38" i="9"/>
  <c r="J38" i="9"/>
  <c r="F38" i="9"/>
  <c r="B38" i="9"/>
  <c r="Z37" i="9"/>
  <c r="X37" i="9"/>
  <c r="N37" i="9"/>
  <c r="L37" i="9"/>
  <c r="F37" i="9"/>
  <c r="B37" i="9"/>
  <c r="Z36" i="9"/>
  <c r="X36" i="9"/>
  <c r="N36" i="9"/>
  <c r="L36" i="9"/>
  <c r="J36" i="9"/>
  <c r="B36" i="9"/>
  <c r="X35" i="9"/>
  <c r="Z35" i="9" s="1"/>
  <c r="N35" i="9"/>
  <c r="L35" i="9"/>
  <c r="J35" i="9"/>
  <c r="F35" i="9"/>
  <c r="B35" i="9"/>
  <c r="Z34" i="9"/>
  <c r="X34" i="9"/>
  <c r="N34" i="9"/>
  <c r="L34" i="9"/>
  <c r="J34" i="9"/>
  <c r="F34" i="9"/>
  <c r="B34" i="9"/>
  <c r="X33" i="9"/>
  <c r="Z33" i="9" s="1"/>
  <c r="L33" i="9"/>
  <c r="N33" i="9" s="1"/>
  <c r="F33" i="9"/>
  <c r="B33" i="9"/>
  <c r="Z32" i="9"/>
  <c r="X32" i="9"/>
  <c r="N32" i="9"/>
  <c r="L32" i="9"/>
  <c r="J32" i="9"/>
  <c r="B32" i="9"/>
  <c r="T31" i="9"/>
  <c r="P31" i="9"/>
  <c r="L31" i="9"/>
  <c r="N31" i="9" s="1"/>
  <c r="J31" i="9"/>
  <c r="H31" i="9"/>
  <c r="D31" i="9"/>
  <c r="B31" i="9"/>
  <c r="Z30" i="9"/>
  <c r="X30" i="9"/>
  <c r="L30" i="9"/>
  <c r="N30" i="9" s="1"/>
  <c r="J30" i="9"/>
  <c r="F30" i="9"/>
  <c r="B30" i="9"/>
  <c r="X29" i="9"/>
  <c r="Z29" i="9" s="1"/>
  <c r="L29" i="9"/>
  <c r="N29" i="9" s="1"/>
  <c r="J29" i="9"/>
  <c r="B29" i="9"/>
  <c r="X28" i="9"/>
  <c r="Z28" i="9" s="1"/>
  <c r="N28" i="9"/>
  <c r="L28" i="9"/>
  <c r="J28" i="9"/>
  <c r="F28" i="9"/>
  <c r="B28" i="9"/>
  <c r="Z27" i="9"/>
  <c r="X27" i="9"/>
  <c r="N27" i="9"/>
  <c r="L27" i="9"/>
  <c r="B27" i="9"/>
  <c r="Z26" i="9"/>
  <c r="X26" i="9"/>
  <c r="N26" i="9"/>
  <c r="L26" i="9"/>
  <c r="J26" i="9"/>
  <c r="F26" i="9"/>
  <c r="B26" i="9"/>
  <c r="X25" i="9"/>
  <c r="Z25" i="9" s="1"/>
  <c r="L25" i="9"/>
  <c r="N25" i="9" s="1"/>
  <c r="J25" i="9"/>
  <c r="B25" i="9"/>
  <c r="X24" i="9"/>
  <c r="Z24" i="9" s="1"/>
  <c r="N24" i="9"/>
  <c r="L24" i="9"/>
  <c r="J24" i="9"/>
  <c r="F24" i="9"/>
  <c r="B24" i="9"/>
  <c r="Z23" i="9"/>
  <c r="X23" i="9"/>
  <c r="N23" i="9"/>
  <c r="L23" i="9"/>
  <c r="B23" i="9"/>
  <c r="Z22" i="9"/>
  <c r="X22" i="9"/>
  <c r="L22" i="9"/>
  <c r="N22" i="9" s="1"/>
  <c r="J22" i="9"/>
  <c r="F22" i="9"/>
  <c r="B22" i="9"/>
  <c r="X21" i="9"/>
  <c r="Z21" i="9" s="1"/>
  <c r="L21" i="9"/>
  <c r="N21" i="9" s="1"/>
  <c r="J21" i="9"/>
  <c r="B21" i="9"/>
  <c r="X20" i="9"/>
  <c r="Z20" i="9" s="1"/>
  <c r="N20" i="9"/>
  <c r="L20" i="9"/>
  <c r="J20" i="9"/>
  <c r="F20" i="9"/>
  <c r="B20" i="9"/>
  <c r="T19" i="9"/>
  <c r="R19" i="9"/>
  <c r="P19" i="9"/>
  <c r="H19" i="9"/>
  <c r="N19" i="9" s="1"/>
  <c r="F19" i="9"/>
  <c r="D19" i="9"/>
  <c r="L19" i="9" s="1"/>
  <c r="B19" i="9"/>
  <c r="V18" i="9"/>
  <c r="T18" i="9"/>
  <c r="P18" i="9"/>
  <c r="J18" i="9"/>
  <c r="H18" i="9"/>
  <c r="F18" i="9"/>
  <c r="D18" i="9"/>
  <c r="L18" i="9" s="1"/>
  <c r="J16" i="9"/>
  <c r="F16" i="9"/>
  <c r="V14" i="9"/>
  <c r="T14" i="9"/>
  <c r="P14" i="9"/>
  <c r="J14" i="9"/>
  <c r="H14" i="9"/>
  <c r="N14" i="9" s="1"/>
  <c r="F14" i="9"/>
  <c r="D14" i="9"/>
  <c r="L14" i="9" s="1"/>
  <c r="T12" i="9"/>
  <c r="V42" i="9" s="1"/>
  <c r="P12" i="9"/>
  <c r="R80" i="9" s="1"/>
  <c r="N12" i="9"/>
  <c r="L12" i="9"/>
  <c r="H12" i="9"/>
  <c r="J101" i="9" s="1"/>
  <c r="D12" i="9"/>
  <c r="F85" i="9" s="1"/>
  <c r="D4" i="9"/>
  <c r="V31" i="6"/>
  <c r="R31" i="6"/>
  <c r="V29" i="6"/>
  <c r="T29" i="6"/>
  <c r="R29" i="6"/>
  <c r="P29" i="6"/>
  <c r="H29" i="6"/>
  <c r="D29" i="6"/>
  <c r="L29" i="6" s="1"/>
  <c r="V28" i="6"/>
  <c r="T28" i="6"/>
  <c r="R28" i="6"/>
  <c r="P28" i="6"/>
  <c r="X28" i="6" s="1"/>
  <c r="H28" i="6"/>
  <c r="N28" i="6" s="1"/>
  <c r="D28" i="6"/>
  <c r="L28" i="6" s="1"/>
  <c r="V26" i="6"/>
  <c r="R26" i="6"/>
  <c r="Z24" i="6"/>
  <c r="X24" i="6"/>
  <c r="V24" i="6"/>
  <c r="R24" i="6"/>
  <c r="N24" i="6"/>
  <c r="L24" i="6"/>
  <c r="J22" i="6"/>
  <c r="T20" i="6"/>
  <c r="Z20" i="6" s="1"/>
  <c r="P20" i="6"/>
  <c r="N20" i="6"/>
  <c r="L20" i="6"/>
  <c r="J20" i="6"/>
  <c r="H20" i="6"/>
  <c r="D20" i="6"/>
  <c r="T18" i="6"/>
  <c r="Z18" i="6" s="1"/>
  <c r="P18" i="6"/>
  <c r="N18" i="6"/>
  <c r="L18" i="6"/>
  <c r="J18" i="6"/>
  <c r="H18" i="6"/>
  <c r="D18" i="6"/>
  <c r="J16" i="6"/>
  <c r="T14" i="6"/>
  <c r="Z14" i="6" s="1"/>
  <c r="P14" i="6"/>
  <c r="N14" i="6"/>
  <c r="L14" i="6"/>
  <c r="J14" i="6"/>
  <c r="H14" i="6"/>
  <c r="D14" i="6"/>
  <c r="T12" i="6"/>
  <c r="Z12" i="6" s="1"/>
  <c r="P12" i="6"/>
  <c r="X12" i="6" s="1"/>
  <c r="H12" i="6"/>
  <c r="H16" i="6" s="1"/>
  <c r="D12" i="6"/>
  <c r="D4" i="6"/>
  <c r="T325" i="3"/>
  <c r="P325" i="3"/>
  <c r="X325" i="3" s="1"/>
  <c r="J325" i="3"/>
  <c r="H325" i="3"/>
  <c r="D325" i="3"/>
  <c r="T324" i="3"/>
  <c r="P324" i="3"/>
  <c r="X324" i="3" s="1"/>
  <c r="H324" i="3"/>
  <c r="J324" i="3" s="1"/>
  <c r="D324" i="3"/>
  <c r="X320" i="3"/>
  <c r="Z320" i="3" s="1"/>
  <c r="N320" i="3"/>
  <c r="L320" i="3"/>
  <c r="Z316" i="3"/>
  <c r="X316" i="3"/>
  <c r="P316" i="3"/>
  <c r="N316" i="3"/>
  <c r="L316" i="3"/>
  <c r="D316" i="3"/>
  <c r="B316" i="3"/>
  <c r="Z315" i="3"/>
  <c r="X315" i="3"/>
  <c r="V315" i="3"/>
  <c r="P315" i="3"/>
  <c r="N315" i="3"/>
  <c r="D315" i="3"/>
  <c r="L315" i="3" s="1"/>
  <c r="B315" i="3"/>
  <c r="X314" i="3"/>
  <c r="Z314" i="3" s="1"/>
  <c r="V314" i="3"/>
  <c r="P314" i="3"/>
  <c r="D314" i="3"/>
  <c r="L314" i="3" s="1"/>
  <c r="N314" i="3" s="1"/>
  <c r="B314" i="3"/>
  <c r="Z313" i="3"/>
  <c r="V313" i="3"/>
  <c r="P313" i="3"/>
  <c r="X313" i="3" s="1"/>
  <c r="N313" i="3"/>
  <c r="D313" i="3"/>
  <c r="L313" i="3" s="1"/>
  <c r="B313" i="3"/>
  <c r="Z312" i="3"/>
  <c r="P312" i="3"/>
  <c r="X312" i="3" s="1"/>
  <c r="N312" i="3"/>
  <c r="D312" i="3"/>
  <c r="L312" i="3" s="1"/>
  <c r="B312" i="3"/>
  <c r="P311" i="3"/>
  <c r="X311" i="3" s="1"/>
  <c r="Z311" i="3" s="1"/>
  <c r="N311" i="3"/>
  <c r="L311" i="3"/>
  <c r="D311" i="3"/>
  <c r="B311" i="3"/>
  <c r="Z310" i="3"/>
  <c r="X310" i="3"/>
  <c r="V310" i="3"/>
  <c r="P310" i="3"/>
  <c r="L310" i="3"/>
  <c r="N310" i="3" s="1"/>
  <c r="J310" i="3"/>
  <c r="D310" i="3"/>
  <c r="B310" i="3"/>
  <c r="Z309" i="3"/>
  <c r="X309" i="3"/>
  <c r="P309" i="3"/>
  <c r="N309" i="3"/>
  <c r="L309" i="3"/>
  <c r="J309" i="3"/>
  <c r="D309" i="3"/>
  <c r="B309" i="3"/>
  <c r="Z308" i="3"/>
  <c r="P308" i="3"/>
  <c r="X308" i="3" s="1"/>
  <c r="N308" i="3"/>
  <c r="J308" i="3"/>
  <c r="D308" i="3"/>
  <c r="L308" i="3" s="1"/>
  <c r="B308" i="3"/>
  <c r="Z307" i="3"/>
  <c r="P307" i="3"/>
  <c r="X307" i="3" s="1"/>
  <c r="N307" i="3"/>
  <c r="D307" i="3"/>
  <c r="B307" i="3"/>
  <c r="Z306" i="3"/>
  <c r="P306" i="3"/>
  <c r="X306" i="3" s="1"/>
  <c r="N306" i="3"/>
  <c r="D306" i="3"/>
  <c r="L306" i="3" s="1"/>
  <c r="B306" i="3"/>
  <c r="Z305" i="3"/>
  <c r="P305" i="3"/>
  <c r="X305" i="3" s="1"/>
  <c r="N305" i="3"/>
  <c r="L305" i="3"/>
  <c r="D305" i="3"/>
  <c r="B305" i="3"/>
  <c r="T304" i="3"/>
  <c r="H304" i="3"/>
  <c r="Z302" i="3"/>
  <c r="X302" i="3"/>
  <c r="L302" i="3"/>
  <c r="N302" i="3" s="1"/>
  <c r="B302" i="3"/>
  <c r="T301" i="3"/>
  <c r="P301" i="3"/>
  <c r="X301" i="3" s="1"/>
  <c r="H301" i="3"/>
  <c r="N301" i="3" s="1"/>
  <c r="D301" i="3"/>
  <c r="L301" i="3" s="1"/>
  <c r="B301" i="3"/>
  <c r="X300" i="3"/>
  <c r="Z300" i="3" s="1"/>
  <c r="V300" i="3"/>
  <c r="L300" i="3"/>
  <c r="N300" i="3" s="1"/>
  <c r="B300" i="3"/>
  <c r="X299" i="3"/>
  <c r="Z299" i="3" s="1"/>
  <c r="L299" i="3"/>
  <c r="N299" i="3" s="1"/>
  <c r="J299" i="3"/>
  <c r="B299" i="3"/>
  <c r="X298" i="3"/>
  <c r="Z298" i="3" s="1"/>
  <c r="N298" i="3"/>
  <c r="L298" i="3"/>
  <c r="B298" i="3"/>
  <c r="Z297" i="3"/>
  <c r="T297" i="3"/>
  <c r="P297" i="3"/>
  <c r="X297" i="3" s="1"/>
  <c r="H297" i="3"/>
  <c r="D297" i="3"/>
  <c r="L297" i="3" s="1"/>
  <c r="N297" i="3" s="1"/>
  <c r="B297" i="3"/>
  <c r="X296" i="3"/>
  <c r="Z296" i="3" s="1"/>
  <c r="N296" i="3"/>
  <c r="L296" i="3"/>
  <c r="B296" i="3"/>
  <c r="X295" i="3"/>
  <c r="Z295" i="3" s="1"/>
  <c r="V295" i="3"/>
  <c r="T295" i="3"/>
  <c r="P295" i="3"/>
  <c r="H295" i="3"/>
  <c r="D295" i="3"/>
  <c r="B295" i="3"/>
  <c r="X294" i="3"/>
  <c r="Z294" i="3" s="1"/>
  <c r="L294" i="3"/>
  <c r="N294" i="3" s="1"/>
  <c r="B294" i="3"/>
  <c r="Z293" i="3"/>
  <c r="X293" i="3"/>
  <c r="V293" i="3"/>
  <c r="N293" i="3"/>
  <c r="L293" i="3"/>
  <c r="B293" i="3"/>
  <c r="V292" i="3"/>
  <c r="T292" i="3"/>
  <c r="P292" i="3"/>
  <c r="X292" i="3" s="1"/>
  <c r="Z292" i="3" s="1"/>
  <c r="N292" i="3"/>
  <c r="L292" i="3"/>
  <c r="H292" i="3"/>
  <c r="D292" i="3"/>
  <c r="B292" i="3"/>
  <c r="X291" i="3"/>
  <c r="Z291" i="3" s="1"/>
  <c r="L291" i="3"/>
  <c r="N291" i="3" s="1"/>
  <c r="J291" i="3"/>
  <c r="B291" i="3"/>
  <c r="X290" i="3"/>
  <c r="Z290" i="3" s="1"/>
  <c r="N290" i="3"/>
  <c r="L290" i="3"/>
  <c r="B290" i="3"/>
  <c r="Z289" i="3"/>
  <c r="X289" i="3"/>
  <c r="N289" i="3"/>
  <c r="L289" i="3"/>
  <c r="B289" i="3"/>
  <c r="X288" i="3"/>
  <c r="Z288" i="3" s="1"/>
  <c r="V288" i="3"/>
  <c r="L288" i="3"/>
  <c r="N288" i="3" s="1"/>
  <c r="B288" i="3"/>
  <c r="X287" i="3"/>
  <c r="Z287" i="3" s="1"/>
  <c r="L287" i="3"/>
  <c r="N287" i="3" s="1"/>
  <c r="J287" i="3"/>
  <c r="B287" i="3"/>
  <c r="X286" i="3"/>
  <c r="Z286" i="3" s="1"/>
  <c r="N286" i="3"/>
  <c r="L286" i="3"/>
  <c r="B286" i="3"/>
  <c r="Z285" i="3"/>
  <c r="X285" i="3"/>
  <c r="L285" i="3"/>
  <c r="N285" i="3" s="1"/>
  <c r="B285" i="3"/>
  <c r="X284" i="3"/>
  <c r="Z284" i="3" s="1"/>
  <c r="V284" i="3"/>
  <c r="L284" i="3"/>
  <c r="N284" i="3" s="1"/>
  <c r="B284" i="3"/>
  <c r="X283" i="3"/>
  <c r="Z283" i="3" s="1"/>
  <c r="L283" i="3"/>
  <c r="N283" i="3" s="1"/>
  <c r="J283" i="3"/>
  <c r="B283" i="3"/>
  <c r="X282" i="3"/>
  <c r="Z282" i="3" s="1"/>
  <c r="N282" i="3"/>
  <c r="L282" i="3"/>
  <c r="B282" i="3"/>
  <c r="Z281" i="3"/>
  <c r="T281" i="3"/>
  <c r="P281" i="3"/>
  <c r="X281" i="3" s="1"/>
  <c r="H281" i="3"/>
  <c r="D281" i="3"/>
  <c r="L281" i="3" s="1"/>
  <c r="N281" i="3" s="1"/>
  <c r="B281" i="3"/>
  <c r="X280" i="3"/>
  <c r="Z280" i="3" s="1"/>
  <c r="N280" i="3"/>
  <c r="L280" i="3"/>
  <c r="B280" i="3"/>
  <c r="X279" i="3"/>
  <c r="Z279" i="3" s="1"/>
  <c r="V279" i="3"/>
  <c r="L279" i="3"/>
  <c r="N279" i="3" s="1"/>
  <c r="B279" i="3"/>
  <c r="T278" i="3"/>
  <c r="P278" i="3"/>
  <c r="X278" i="3" s="1"/>
  <c r="H278" i="3"/>
  <c r="N278" i="3" s="1"/>
  <c r="D278" i="3"/>
  <c r="L278" i="3" s="1"/>
  <c r="B278" i="3"/>
  <c r="Z277" i="3"/>
  <c r="X277" i="3"/>
  <c r="V277" i="3"/>
  <c r="N277" i="3"/>
  <c r="L277" i="3"/>
  <c r="B277" i="3"/>
  <c r="Z276" i="3"/>
  <c r="X276" i="3"/>
  <c r="V276" i="3"/>
  <c r="L276" i="3"/>
  <c r="N276" i="3" s="1"/>
  <c r="J276" i="3"/>
  <c r="B276" i="3"/>
  <c r="X275" i="3"/>
  <c r="Z275" i="3" s="1"/>
  <c r="L275" i="3"/>
  <c r="N275" i="3" s="1"/>
  <c r="B275" i="3"/>
  <c r="Z274" i="3"/>
  <c r="X274" i="3"/>
  <c r="N274" i="3"/>
  <c r="L274" i="3"/>
  <c r="B274" i="3"/>
  <c r="Z273" i="3"/>
  <c r="X273" i="3"/>
  <c r="V273" i="3"/>
  <c r="N273" i="3"/>
  <c r="L273" i="3"/>
  <c r="B273" i="3"/>
  <c r="Z272" i="3"/>
  <c r="X272" i="3"/>
  <c r="V272" i="3"/>
  <c r="N272" i="3"/>
  <c r="L272" i="3"/>
  <c r="J272" i="3"/>
  <c r="B272" i="3"/>
  <c r="T271" i="3"/>
  <c r="P271" i="3"/>
  <c r="X271" i="3" s="1"/>
  <c r="H271" i="3"/>
  <c r="D271" i="3"/>
  <c r="B271" i="3"/>
  <c r="X270" i="3"/>
  <c r="Z270" i="3" s="1"/>
  <c r="N270" i="3"/>
  <c r="L270" i="3"/>
  <c r="B270" i="3"/>
  <c r="Z269" i="3"/>
  <c r="X269" i="3"/>
  <c r="L269" i="3"/>
  <c r="N269" i="3" s="1"/>
  <c r="B269" i="3"/>
  <c r="X268" i="3"/>
  <c r="Z268" i="3" s="1"/>
  <c r="V268" i="3"/>
  <c r="N268" i="3"/>
  <c r="L268" i="3"/>
  <c r="B268" i="3"/>
  <c r="X267" i="3"/>
  <c r="Z267" i="3" s="1"/>
  <c r="L267" i="3"/>
  <c r="N267" i="3" s="1"/>
  <c r="J267" i="3"/>
  <c r="B267" i="3"/>
  <c r="T266" i="3"/>
  <c r="P266" i="3"/>
  <c r="X266" i="3" s="1"/>
  <c r="H266" i="3"/>
  <c r="J266" i="3" s="1"/>
  <c r="D266" i="3"/>
  <c r="B266" i="3"/>
  <c r="X265" i="3"/>
  <c r="Z265" i="3" s="1"/>
  <c r="N265" i="3"/>
  <c r="L265" i="3"/>
  <c r="J265" i="3"/>
  <c r="B265" i="3"/>
  <c r="Z264" i="3"/>
  <c r="X264" i="3"/>
  <c r="N264" i="3"/>
  <c r="L264" i="3"/>
  <c r="B264" i="3"/>
  <c r="X263" i="3"/>
  <c r="Z263" i="3" s="1"/>
  <c r="V263" i="3"/>
  <c r="N263" i="3"/>
  <c r="L263" i="3"/>
  <c r="B263" i="3"/>
  <c r="Z262" i="3"/>
  <c r="X262" i="3"/>
  <c r="L262" i="3"/>
  <c r="N262" i="3" s="1"/>
  <c r="B262" i="3"/>
  <c r="T261" i="3"/>
  <c r="P261" i="3"/>
  <c r="L261" i="3"/>
  <c r="N261" i="3" s="1"/>
  <c r="J261" i="3"/>
  <c r="H261" i="3"/>
  <c r="D261" i="3"/>
  <c r="B261" i="3"/>
  <c r="Z260" i="3"/>
  <c r="X260" i="3"/>
  <c r="V260" i="3"/>
  <c r="L260" i="3"/>
  <c r="N260" i="3" s="1"/>
  <c r="J260" i="3"/>
  <c r="B260" i="3"/>
  <c r="T259" i="3"/>
  <c r="P259" i="3"/>
  <c r="X259" i="3" s="1"/>
  <c r="H259" i="3"/>
  <c r="D259" i="3"/>
  <c r="B259" i="3"/>
  <c r="X258" i="3"/>
  <c r="Z258" i="3" s="1"/>
  <c r="N258" i="3"/>
  <c r="L258" i="3"/>
  <c r="B258" i="3"/>
  <c r="Z257" i="3"/>
  <c r="T257" i="3"/>
  <c r="P257" i="3"/>
  <c r="X257" i="3" s="1"/>
  <c r="H257" i="3"/>
  <c r="D257" i="3"/>
  <c r="L257" i="3" s="1"/>
  <c r="N257" i="3" s="1"/>
  <c r="B257" i="3"/>
  <c r="X256" i="3"/>
  <c r="Z256" i="3" s="1"/>
  <c r="N256" i="3"/>
  <c r="L256" i="3"/>
  <c r="B256" i="3"/>
  <c r="X255" i="3"/>
  <c r="Z255" i="3" s="1"/>
  <c r="V255" i="3"/>
  <c r="T255" i="3"/>
  <c r="P255" i="3"/>
  <c r="H255" i="3"/>
  <c r="D255" i="3"/>
  <c r="B255" i="3"/>
  <c r="Z254" i="3"/>
  <c r="X254" i="3"/>
  <c r="L254" i="3"/>
  <c r="N254" i="3" s="1"/>
  <c r="B254" i="3"/>
  <c r="T253" i="3"/>
  <c r="P253" i="3"/>
  <c r="H253" i="3"/>
  <c r="N253" i="3" s="1"/>
  <c r="D253" i="3"/>
  <c r="L253" i="3" s="1"/>
  <c r="B253" i="3"/>
  <c r="X252" i="3"/>
  <c r="Z252" i="3" s="1"/>
  <c r="V252" i="3"/>
  <c r="L252" i="3"/>
  <c r="N252" i="3" s="1"/>
  <c r="B252" i="3"/>
  <c r="T251" i="3"/>
  <c r="P251" i="3"/>
  <c r="X251" i="3" s="1"/>
  <c r="Z251" i="3" s="1"/>
  <c r="H251" i="3"/>
  <c r="D251" i="3"/>
  <c r="L251" i="3" s="1"/>
  <c r="N251" i="3" s="1"/>
  <c r="B251" i="3"/>
  <c r="Z250" i="3"/>
  <c r="X250" i="3"/>
  <c r="L250" i="3"/>
  <c r="N250" i="3" s="1"/>
  <c r="B250" i="3"/>
  <c r="T249" i="3"/>
  <c r="P249" i="3"/>
  <c r="L249" i="3"/>
  <c r="N249" i="3" s="1"/>
  <c r="J249" i="3"/>
  <c r="H249" i="3"/>
  <c r="D249" i="3"/>
  <c r="B249" i="3"/>
  <c r="Z248" i="3"/>
  <c r="X248" i="3"/>
  <c r="V248" i="3"/>
  <c r="L248" i="3"/>
  <c r="N248" i="3" s="1"/>
  <c r="J248" i="3"/>
  <c r="B248" i="3"/>
  <c r="Z247" i="3"/>
  <c r="X247" i="3"/>
  <c r="L247" i="3"/>
  <c r="N247" i="3" s="1"/>
  <c r="B247" i="3"/>
  <c r="Z246" i="3"/>
  <c r="X246" i="3"/>
  <c r="T246" i="3"/>
  <c r="P246" i="3"/>
  <c r="H246" i="3"/>
  <c r="D246" i="3"/>
  <c r="L246" i="3" s="1"/>
  <c r="N246" i="3" s="1"/>
  <c r="B246" i="3"/>
  <c r="Z245" i="3"/>
  <c r="X245" i="3"/>
  <c r="L245" i="3"/>
  <c r="N245" i="3" s="1"/>
  <c r="B245" i="3"/>
  <c r="X244" i="3"/>
  <c r="Z244" i="3" s="1"/>
  <c r="V244" i="3"/>
  <c r="N244" i="3"/>
  <c r="L244" i="3"/>
  <c r="B244" i="3"/>
  <c r="T243" i="3"/>
  <c r="P243" i="3"/>
  <c r="X243" i="3" s="1"/>
  <c r="Z243" i="3" s="1"/>
  <c r="N243" i="3"/>
  <c r="H243" i="3"/>
  <c r="D243" i="3"/>
  <c r="L243" i="3" s="1"/>
  <c r="B243" i="3"/>
  <c r="Z242" i="3"/>
  <c r="X242" i="3"/>
  <c r="L242" i="3"/>
  <c r="N242" i="3" s="1"/>
  <c r="B242" i="3"/>
  <c r="T241" i="3"/>
  <c r="P241" i="3"/>
  <c r="L241" i="3"/>
  <c r="N241" i="3" s="1"/>
  <c r="J241" i="3"/>
  <c r="H241" i="3"/>
  <c r="D241" i="3"/>
  <c r="B241" i="3"/>
  <c r="Z240" i="3"/>
  <c r="X240" i="3"/>
  <c r="V240" i="3"/>
  <c r="L240" i="3"/>
  <c r="N240" i="3" s="1"/>
  <c r="J240" i="3"/>
  <c r="B240" i="3"/>
  <c r="T239" i="3"/>
  <c r="P239" i="3"/>
  <c r="X239" i="3" s="1"/>
  <c r="H239" i="3"/>
  <c r="D239" i="3"/>
  <c r="B239" i="3"/>
  <c r="Z238" i="3"/>
  <c r="X238" i="3"/>
  <c r="N238" i="3"/>
  <c r="L238" i="3"/>
  <c r="B238" i="3"/>
  <c r="Z237" i="3"/>
  <c r="X237" i="3"/>
  <c r="L237" i="3"/>
  <c r="N237" i="3" s="1"/>
  <c r="B237" i="3"/>
  <c r="X236" i="3"/>
  <c r="Z236" i="3" s="1"/>
  <c r="V236" i="3"/>
  <c r="N236" i="3"/>
  <c r="L236" i="3"/>
  <c r="B236" i="3"/>
  <c r="T235" i="3"/>
  <c r="P235" i="3"/>
  <c r="X235" i="3" s="1"/>
  <c r="Z235" i="3" s="1"/>
  <c r="H235" i="3"/>
  <c r="D235" i="3"/>
  <c r="L235" i="3" s="1"/>
  <c r="N235" i="3" s="1"/>
  <c r="B235" i="3"/>
  <c r="Z234" i="3"/>
  <c r="X234" i="3"/>
  <c r="N234" i="3"/>
  <c r="L234" i="3"/>
  <c r="B234" i="3"/>
  <c r="X233" i="3"/>
  <c r="Z233" i="3" s="1"/>
  <c r="N233" i="3"/>
  <c r="L233" i="3"/>
  <c r="J233" i="3"/>
  <c r="B233" i="3"/>
  <c r="T232" i="3"/>
  <c r="P232" i="3"/>
  <c r="X232" i="3" s="1"/>
  <c r="Z232" i="3" s="1"/>
  <c r="H232" i="3"/>
  <c r="N232" i="3" s="1"/>
  <c r="D232" i="3"/>
  <c r="L232" i="3" s="1"/>
  <c r="B232" i="3"/>
  <c r="X231" i="3"/>
  <c r="Z231" i="3" s="1"/>
  <c r="L231" i="3"/>
  <c r="N231" i="3" s="1"/>
  <c r="B231" i="3"/>
  <c r="Z230" i="3"/>
  <c r="X230" i="3"/>
  <c r="N230" i="3"/>
  <c r="L230" i="3"/>
  <c r="B230" i="3"/>
  <c r="Z229" i="3"/>
  <c r="X229" i="3"/>
  <c r="V229" i="3"/>
  <c r="N229" i="3"/>
  <c r="L229" i="3"/>
  <c r="B229" i="3"/>
  <c r="Z228" i="3"/>
  <c r="X228" i="3"/>
  <c r="V228" i="3"/>
  <c r="L228" i="3"/>
  <c r="N228" i="3" s="1"/>
  <c r="J228" i="3"/>
  <c r="B228" i="3"/>
  <c r="T227" i="3"/>
  <c r="Z227" i="3" s="1"/>
  <c r="P227" i="3"/>
  <c r="X227" i="3" s="1"/>
  <c r="H227" i="3"/>
  <c r="D227" i="3"/>
  <c r="B227" i="3"/>
  <c r="Z226" i="3"/>
  <c r="X226" i="3"/>
  <c r="N226" i="3"/>
  <c r="L226" i="3"/>
  <c r="B226" i="3"/>
  <c r="Z225" i="3"/>
  <c r="T225" i="3"/>
  <c r="P225" i="3"/>
  <c r="X225" i="3" s="1"/>
  <c r="H225" i="3"/>
  <c r="D225" i="3"/>
  <c r="L225" i="3" s="1"/>
  <c r="N225" i="3" s="1"/>
  <c r="B225" i="3"/>
  <c r="Z224" i="3"/>
  <c r="X224" i="3"/>
  <c r="N224" i="3"/>
  <c r="L224" i="3"/>
  <c r="B224" i="3"/>
  <c r="X223" i="3"/>
  <c r="Z223" i="3" s="1"/>
  <c r="V223" i="3"/>
  <c r="L223" i="3"/>
  <c r="N223" i="3" s="1"/>
  <c r="B223" i="3"/>
  <c r="T222" i="3"/>
  <c r="P222" i="3"/>
  <c r="X222" i="3" s="1"/>
  <c r="H222" i="3"/>
  <c r="D222" i="3"/>
  <c r="L222" i="3" s="1"/>
  <c r="N222" i="3" s="1"/>
  <c r="B222" i="3"/>
  <c r="X221" i="3"/>
  <c r="Z221" i="3" s="1"/>
  <c r="V221" i="3"/>
  <c r="N221" i="3"/>
  <c r="L221" i="3"/>
  <c r="B221" i="3"/>
  <c r="V220" i="3"/>
  <c r="T220" i="3"/>
  <c r="P220" i="3"/>
  <c r="X220" i="3" s="1"/>
  <c r="Z220" i="3" s="1"/>
  <c r="N220" i="3"/>
  <c r="L220" i="3"/>
  <c r="H220" i="3"/>
  <c r="D220" i="3"/>
  <c r="B220" i="3"/>
  <c r="Z219" i="3"/>
  <c r="X219" i="3"/>
  <c r="N219" i="3"/>
  <c r="L219" i="3"/>
  <c r="J219" i="3"/>
  <c r="B219" i="3"/>
  <c r="Z218" i="3"/>
  <c r="X218" i="3"/>
  <c r="N218" i="3"/>
  <c r="L218" i="3"/>
  <c r="B218" i="3"/>
  <c r="Z217" i="3"/>
  <c r="X217" i="3"/>
  <c r="L217" i="3"/>
  <c r="N217" i="3" s="1"/>
  <c r="B217" i="3"/>
  <c r="X216" i="3"/>
  <c r="Z216" i="3" s="1"/>
  <c r="V216" i="3"/>
  <c r="N216" i="3"/>
  <c r="L216" i="3"/>
  <c r="B216" i="3"/>
  <c r="Z215" i="3"/>
  <c r="X215" i="3"/>
  <c r="N215" i="3"/>
  <c r="L215" i="3"/>
  <c r="J215" i="3"/>
  <c r="B215" i="3"/>
  <c r="X214" i="3"/>
  <c r="Z214" i="3" s="1"/>
  <c r="N214" i="3"/>
  <c r="L214" i="3"/>
  <c r="B214" i="3"/>
  <c r="Z213" i="3"/>
  <c r="X213" i="3"/>
  <c r="L213" i="3"/>
  <c r="N213" i="3" s="1"/>
  <c r="B213" i="3"/>
  <c r="Z212" i="3"/>
  <c r="X212" i="3"/>
  <c r="V212" i="3"/>
  <c r="N212" i="3"/>
  <c r="L212" i="3"/>
  <c r="B212" i="3"/>
  <c r="X211" i="3"/>
  <c r="Z211" i="3" s="1"/>
  <c r="L211" i="3"/>
  <c r="N211" i="3" s="1"/>
  <c r="J211" i="3"/>
  <c r="B211" i="3"/>
  <c r="X210" i="3"/>
  <c r="Z210" i="3" s="1"/>
  <c r="N210" i="3"/>
  <c r="L210" i="3"/>
  <c r="B210" i="3"/>
  <c r="T209" i="3"/>
  <c r="P209" i="3"/>
  <c r="X209" i="3" s="1"/>
  <c r="Z209" i="3" s="1"/>
  <c r="H209" i="3"/>
  <c r="D209" i="3"/>
  <c r="L209" i="3" s="1"/>
  <c r="N209" i="3" s="1"/>
  <c r="B209" i="3"/>
  <c r="Z208" i="3"/>
  <c r="X208" i="3"/>
  <c r="N208" i="3"/>
  <c r="L208" i="3"/>
  <c r="B208" i="3"/>
  <c r="X207" i="3"/>
  <c r="Z207" i="3" s="1"/>
  <c r="V207" i="3"/>
  <c r="N207" i="3"/>
  <c r="L207" i="3"/>
  <c r="B207" i="3"/>
  <c r="Z206" i="3"/>
  <c r="X206" i="3"/>
  <c r="L206" i="3"/>
  <c r="N206" i="3" s="1"/>
  <c r="B206" i="3"/>
  <c r="Z205" i="3"/>
  <c r="X205" i="3"/>
  <c r="N205" i="3"/>
  <c r="L205" i="3"/>
  <c r="J205" i="3"/>
  <c r="B205" i="3"/>
  <c r="X204" i="3"/>
  <c r="Z204" i="3" s="1"/>
  <c r="N204" i="3"/>
  <c r="L204" i="3"/>
  <c r="B204" i="3"/>
  <c r="X203" i="3"/>
  <c r="Z203" i="3" s="1"/>
  <c r="V203" i="3"/>
  <c r="N203" i="3"/>
  <c r="L203" i="3"/>
  <c r="B203" i="3"/>
  <c r="Z202" i="3"/>
  <c r="X202" i="3"/>
  <c r="L202" i="3"/>
  <c r="N202" i="3" s="1"/>
  <c r="B202" i="3"/>
  <c r="X201" i="3"/>
  <c r="Z201" i="3" s="1"/>
  <c r="N201" i="3"/>
  <c r="L201" i="3"/>
  <c r="J201" i="3"/>
  <c r="B201" i="3"/>
  <c r="X200" i="3"/>
  <c r="Z200" i="3" s="1"/>
  <c r="N200" i="3"/>
  <c r="L200" i="3"/>
  <c r="B200" i="3"/>
  <c r="X199" i="3"/>
  <c r="Z199" i="3" s="1"/>
  <c r="V199" i="3"/>
  <c r="L199" i="3"/>
  <c r="N199" i="3" s="1"/>
  <c r="B199" i="3"/>
  <c r="T198" i="3"/>
  <c r="P198" i="3"/>
  <c r="X198" i="3" s="1"/>
  <c r="H198" i="3"/>
  <c r="N198" i="3" s="1"/>
  <c r="D198" i="3"/>
  <c r="L198" i="3" s="1"/>
  <c r="B198" i="3"/>
  <c r="T197" i="3"/>
  <c r="P197" i="3"/>
  <c r="X197" i="3" s="1"/>
  <c r="H197" i="3"/>
  <c r="N197" i="3" s="1"/>
  <c r="D197" i="3"/>
  <c r="L197" i="3" s="1"/>
  <c r="Z193" i="3"/>
  <c r="X193" i="3"/>
  <c r="V193" i="3"/>
  <c r="N193" i="3"/>
  <c r="L193" i="3"/>
  <c r="B193" i="3"/>
  <c r="Z192" i="3"/>
  <c r="X192" i="3"/>
  <c r="V192" i="3"/>
  <c r="N192" i="3"/>
  <c r="L192" i="3"/>
  <c r="J192" i="3"/>
  <c r="B192" i="3"/>
  <c r="Z191" i="3"/>
  <c r="X191" i="3"/>
  <c r="N191" i="3"/>
  <c r="L191" i="3"/>
  <c r="B191" i="3"/>
  <c r="Z190" i="3"/>
  <c r="X190" i="3"/>
  <c r="N190" i="3"/>
  <c r="L190" i="3"/>
  <c r="B190" i="3"/>
  <c r="Z189" i="3"/>
  <c r="X189" i="3"/>
  <c r="V189" i="3"/>
  <c r="N189" i="3"/>
  <c r="L189" i="3"/>
  <c r="B189" i="3"/>
  <c r="Z188" i="3"/>
  <c r="X188" i="3"/>
  <c r="V188" i="3"/>
  <c r="N188" i="3"/>
  <c r="L188" i="3"/>
  <c r="J188" i="3"/>
  <c r="B188" i="3"/>
  <c r="Z187" i="3"/>
  <c r="X187" i="3"/>
  <c r="N187" i="3"/>
  <c r="L187" i="3"/>
  <c r="B187" i="3"/>
  <c r="Z186" i="3"/>
  <c r="X186" i="3"/>
  <c r="N186" i="3"/>
  <c r="L186" i="3"/>
  <c r="B186" i="3"/>
  <c r="Z185" i="3"/>
  <c r="X185" i="3"/>
  <c r="V185" i="3"/>
  <c r="N185" i="3"/>
  <c r="L185" i="3"/>
  <c r="B185" i="3"/>
  <c r="Z184" i="3"/>
  <c r="X184" i="3"/>
  <c r="V184" i="3"/>
  <c r="N184" i="3"/>
  <c r="L184" i="3"/>
  <c r="J184" i="3"/>
  <c r="B184" i="3"/>
  <c r="Z183" i="3"/>
  <c r="X183" i="3"/>
  <c r="N183" i="3"/>
  <c r="L183" i="3"/>
  <c r="B183" i="3"/>
  <c r="Z182" i="3"/>
  <c r="X182" i="3"/>
  <c r="N182" i="3"/>
  <c r="L182" i="3"/>
  <c r="B182" i="3"/>
  <c r="Z181" i="3"/>
  <c r="X181" i="3"/>
  <c r="V181" i="3"/>
  <c r="N181" i="3"/>
  <c r="L181" i="3"/>
  <c r="B181" i="3"/>
  <c r="Z180" i="3"/>
  <c r="X180" i="3"/>
  <c r="V180" i="3"/>
  <c r="N180" i="3"/>
  <c r="L180" i="3"/>
  <c r="J180" i="3"/>
  <c r="B180" i="3"/>
  <c r="Z179" i="3"/>
  <c r="X179" i="3"/>
  <c r="N179" i="3"/>
  <c r="L179" i="3"/>
  <c r="B179" i="3"/>
  <c r="Z178" i="3"/>
  <c r="X178" i="3"/>
  <c r="N178" i="3"/>
  <c r="L178" i="3"/>
  <c r="B178" i="3"/>
  <c r="Z177" i="3"/>
  <c r="X177" i="3"/>
  <c r="V177" i="3"/>
  <c r="N177" i="3"/>
  <c r="L177" i="3"/>
  <c r="B177" i="3"/>
  <c r="Z176" i="3"/>
  <c r="X176" i="3"/>
  <c r="V176" i="3"/>
  <c r="N176" i="3"/>
  <c r="L176" i="3"/>
  <c r="J176" i="3"/>
  <c r="B176" i="3"/>
  <c r="Z175" i="3"/>
  <c r="X175" i="3"/>
  <c r="N175" i="3"/>
  <c r="L175" i="3"/>
  <c r="B175" i="3"/>
  <c r="Z174" i="3"/>
  <c r="X174" i="3"/>
  <c r="N174" i="3"/>
  <c r="L174" i="3"/>
  <c r="B174" i="3"/>
  <c r="Z173" i="3"/>
  <c r="X173" i="3"/>
  <c r="V173" i="3"/>
  <c r="N173" i="3"/>
  <c r="L173" i="3"/>
  <c r="B173" i="3"/>
  <c r="Z172" i="3"/>
  <c r="X172" i="3"/>
  <c r="V172" i="3"/>
  <c r="N172" i="3"/>
  <c r="L172" i="3"/>
  <c r="J172" i="3"/>
  <c r="B172" i="3"/>
  <c r="Z171" i="3"/>
  <c r="X171" i="3"/>
  <c r="N171" i="3"/>
  <c r="L171" i="3"/>
  <c r="B171" i="3"/>
  <c r="Z170" i="3"/>
  <c r="X170" i="3"/>
  <c r="N170" i="3"/>
  <c r="L170" i="3"/>
  <c r="B170" i="3"/>
  <c r="Z169" i="3"/>
  <c r="X169" i="3"/>
  <c r="V169" i="3"/>
  <c r="N169" i="3"/>
  <c r="L169" i="3"/>
  <c r="B169" i="3"/>
  <c r="Z168" i="3"/>
  <c r="X168" i="3"/>
  <c r="V168" i="3"/>
  <c r="N168" i="3"/>
  <c r="L168" i="3"/>
  <c r="J168" i="3"/>
  <c r="B168" i="3"/>
  <c r="Z167" i="3"/>
  <c r="X167" i="3"/>
  <c r="N167" i="3"/>
  <c r="L167" i="3"/>
  <c r="B167" i="3"/>
  <c r="Z166" i="3"/>
  <c r="X166" i="3"/>
  <c r="N166" i="3"/>
  <c r="L166" i="3"/>
  <c r="B166" i="3"/>
  <c r="Z165" i="3"/>
  <c r="X165" i="3"/>
  <c r="V165" i="3"/>
  <c r="N165" i="3"/>
  <c r="L165" i="3"/>
  <c r="B165" i="3"/>
  <c r="Z164" i="3"/>
  <c r="X164" i="3"/>
  <c r="V164" i="3"/>
  <c r="N164" i="3"/>
  <c r="L164" i="3"/>
  <c r="J164" i="3"/>
  <c r="B164" i="3"/>
  <c r="Z163" i="3"/>
  <c r="X163" i="3"/>
  <c r="N163" i="3"/>
  <c r="L163" i="3"/>
  <c r="B163" i="3"/>
  <c r="Z162" i="3"/>
  <c r="X162" i="3"/>
  <c r="N162" i="3"/>
  <c r="L162" i="3"/>
  <c r="B162" i="3"/>
  <c r="Z161" i="3"/>
  <c r="X161" i="3"/>
  <c r="V161" i="3"/>
  <c r="N161" i="3"/>
  <c r="L161" i="3"/>
  <c r="B161" i="3"/>
  <c r="Z160" i="3"/>
  <c r="X160" i="3"/>
  <c r="V160" i="3"/>
  <c r="N160" i="3"/>
  <c r="L160" i="3"/>
  <c r="J160" i="3"/>
  <c r="B160" i="3"/>
  <c r="Z159" i="3"/>
  <c r="X159" i="3"/>
  <c r="N159" i="3"/>
  <c r="L159" i="3"/>
  <c r="B159" i="3"/>
  <c r="Z158" i="3"/>
  <c r="X158" i="3"/>
  <c r="N158" i="3"/>
  <c r="L158" i="3"/>
  <c r="B158" i="3"/>
  <c r="Z157" i="3"/>
  <c r="X157" i="3"/>
  <c r="V157" i="3"/>
  <c r="N157" i="3"/>
  <c r="L157" i="3"/>
  <c r="B157" i="3"/>
  <c r="Z156" i="3"/>
  <c r="X156" i="3"/>
  <c r="V156" i="3"/>
  <c r="N156" i="3"/>
  <c r="L156" i="3"/>
  <c r="J156" i="3"/>
  <c r="B156" i="3"/>
  <c r="Z155" i="3"/>
  <c r="X155" i="3"/>
  <c r="N155" i="3"/>
  <c r="L155" i="3"/>
  <c r="B155" i="3"/>
  <c r="Z154" i="3"/>
  <c r="X154" i="3"/>
  <c r="N154" i="3"/>
  <c r="L154" i="3"/>
  <c r="B154" i="3"/>
  <c r="Z153" i="3"/>
  <c r="X153" i="3"/>
  <c r="V153" i="3"/>
  <c r="N153" i="3"/>
  <c r="L153" i="3"/>
  <c r="B153" i="3"/>
  <c r="Z152" i="3"/>
  <c r="X152" i="3"/>
  <c r="V152" i="3"/>
  <c r="N152" i="3"/>
  <c r="L152" i="3"/>
  <c r="J152" i="3"/>
  <c r="B152" i="3"/>
  <c r="Z151" i="3"/>
  <c r="X151" i="3"/>
  <c r="N151" i="3"/>
  <c r="L151" i="3"/>
  <c r="B151" i="3"/>
  <c r="Z150" i="3"/>
  <c r="X150" i="3"/>
  <c r="N150" i="3"/>
  <c r="L150" i="3"/>
  <c r="B150" i="3"/>
  <c r="Z149" i="3"/>
  <c r="X149" i="3"/>
  <c r="V149" i="3"/>
  <c r="N149" i="3"/>
  <c r="L149" i="3"/>
  <c r="B149" i="3"/>
  <c r="Z148" i="3"/>
  <c r="X148" i="3"/>
  <c r="V148" i="3"/>
  <c r="N148" i="3"/>
  <c r="L148" i="3"/>
  <c r="J148" i="3"/>
  <c r="B148" i="3"/>
  <c r="Z147" i="3"/>
  <c r="X147" i="3"/>
  <c r="N147" i="3"/>
  <c r="L147" i="3"/>
  <c r="B147" i="3"/>
  <c r="Z146" i="3"/>
  <c r="X146" i="3"/>
  <c r="N146" i="3"/>
  <c r="L146" i="3"/>
  <c r="B146" i="3"/>
  <c r="Z145" i="3"/>
  <c r="X145" i="3"/>
  <c r="V145" i="3"/>
  <c r="N145" i="3"/>
  <c r="L145" i="3"/>
  <c r="B145" i="3"/>
  <c r="Z144" i="3"/>
  <c r="X144" i="3"/>
  <c r="V144" i="3"/>
  <c r="N144" i="3"/>
  <c r="L144" i="3"/>
  <c r="J144" i="3"/>
  <c r="B144" i="3"/>
  <c r="Z143" i="3"/>
  <c r="X143" i="3"/>
  <c r="N143" i="3"/>
  <c r="L143" i="3"/>
  <c r="B143" i="3"/>
  <c r="Z142" i="3"/>
  <c r="X142" i="3"/>
  <c r="N142" i="3"/>
  <c r="L142" i="3"/>
  <c r="B142" i="3"/>
  <c r="Z141" i="3"/>
  <c r="X141" i="3"/>
  <c r="V141" i="3"/>
  <c r="N141" i="3"/>
  <c r="L141" i="3"/>
  <c r="B141" i="3"/>
  <c r="Z140" i="3"/>
  <c r="X140" i="3"/>
  <c r="V140" i="3"/>
  <c r="N140" i="3"/>
  <c r="L140" i="3"/>
  <c r="J140" i="3"/>
  <c r="B140" i="3"/>
  <c r="Z139" i="3"/>
  <c r="X139" i="3"/>
  <c r="N139" i="3"/>
  <c r="L139" i="3"/>
  <c r="B139" i="3"/>
  <c r="Z138" i="3"/>
  <c r="X138" i="3"/>
  <c r="N138" i="3"/>
  <c r="L138" i="3"/>
  <c r="B138" i="3"/>
  <c r="Z137" i="3"/>
  <c r="X137" i="3"/>
  <c r="V137" i="3"/>
  <c r="N137" i="3"/>
  <c r="L137" i="3"/>
  <c r="B137" i="3"/>
  <c r="Z136" i="3"/>
  <c r="X136" i="3"/>
  <c r="V136" i="3"/>
  <c r="N136" i="3"/>
  <c r="L136" i="3"/>
  <c r="J136" i="3"/>
  <c r="B136" i="3"/>
  <c r="Z135" i="3"/>
  <c r="X135" i="3"/>
  <c r="N135" i="3"/>
  <c r="L135" i="3"/>
  <c r="B135" i="3"/>
  <c r="Z134" i="3"/>
  <c r="X134" i="3"/>
  <c r="L134" i="3"/>
  <c r="N134" i="3" s="1"/>
  <c r="B134" i="3"/>
  <c r="T133" i="3"/>
  <c r="P133" i="3"/>
  <c r="H133" i="3"/>
  <c r="D133" i="3"/>
  <c r="L133" i="3" s="1"/>
  <c r="Z131" i="3"/>
  <c r="P131" i="3"/>
  <c r="X131" i="3" s="1"/>
  <c r="N131" i="3"/>
  <c r="L131" i="3"/>
  <c r="D131" i="3"/>
  <c r="B131" i="3"/>
  <c r="Z130" i="3"/>
  <c r="P130" i="3"/>
  <c r="X130" i="3" s="1"/>
  <c r="N130" i="3"/>
  <c r="L130" i="3"/>
  <c r="D130" i="3"/>
  <c r="B130" i="3"/>
  <c r="Z129" i="3"/>
  <c r="X129" i="3"/>
  <c r="P129" i="3"/>
  <c r="N129" i="3"/>
  <c r="D129" i="3"/>
  <c r="L129" i="3" s="1"/>
  <c r="B129" i="3"/>
  <c r="Z128" i="3"/>
  <c r="P128" i="3"/>
  <c r="X128" i="3" s="1"/>
  <c r="N128" i="3"/>
  <c r="D128" i="3"/>
  <c r="L128" i="3" s="1"/>
  <c r="B128" i="3"/>
  <c r="Z127" i="3"/>
  <c r="X127" i="3"/>
  <c r="P127" i="3"/>
  <c r="N127" i="3"/>
  <c r="D127" i="3"/>
  <c r="L127" i="3" s="1"/>
  <c r="B127" i="3"/>
  <c r="Z126" i="3"/>
  <c r="X126" i="3"/>
  <c r="P126" i="3"/>
  <c r="N126" i="3"/>
  <c r="D126" i="3"/>
  <c r="L126" i="3" s="1"/>
  <c r="B126" i="3"/>
  <c r="Z125" i="3"/>
  <c r="P125" i="3"/>
  <c r="X125" i="3" s="1"/>
  <c r="N125" i="3"/>
  <c r="D125" i="3"/>
  <c r="L125" i="3" s="1"/>
  <c r="B125" i="3"/>
  <c r="Z124" i="3"/>
  <c r="P124" i="3"/>
  <c r="X124" i="3" s="1"/>
  <c r="N124" i="3"/>
  <c r="L124" i="3"/>
  <c r="D124" i="3"/>
  <c r="B124" i="3"/>
  <c r="Z123" i="3"/>
  <c r="P123" i="3"/>
  <c r="X123" i="3" s="1"/>
  <c r="N123" i="3"/>
  <c r="L123" i="3"/>
  <c r="D123" i="3"/>
  <c r="B123" i="3"/>
  <c r="Z122" i="3"/>
  <c r="X122" i="3"/>
  <c r="P122" i="3"/>
  <c r="N122" i="3"/>
  <c r="D122" i="3"/>
  <c r="L122" i="3" s="1"/>
  <c r="B122" i="3"/>
  <c r="Z121" i="3"/>
  <c r="X121" i="3"/>
  <c r="P121" i="3"/>
  <c r="N121" i="3"/>
  <c r="D121" i="3"/>
  <c r="L121" i="3" s="1"/>
  <c r="B121" i="3"/>
  <c r="Z120" i="3"/>
  <c r="P120" i="3"/>
  <c r="X120" i="3" s="1"/>
  <c r="N120" i="3"/>
  <c r="D120" i="3"/>
  <c r="L120" i="3" s="1"/>
  <c r="B120" i="3"/>
  <c r="Z119" i="3"/>
  <c r="P119" i="3"/>
  <c r="X119" i="3" s="1"/>
  <c r="N119" i="3"/>
  <c r="L119" i="3"/>
  <c r="D119" i="3"/>
  <c r="B119" i="3"/>
  <c r="Z118" i="3"/>
  <c r="P118" i="3"/>
  <c r="X118" i="3" s="1"/>
  <c r="N118" i="3"/>
  <c r="L118" i="3"/>
  <c r="D118" i="3"/>
  <c r="B118" i="3"/>
  <c r="Z117" i="3"/>
  <c r="P117" i="3"/>
  <c r="X117" i="3" s="1"/>
  <c r="N117" i="3"/>
  <c r="L117" i="3"/>
  <c r="D117" i="3"/>
  <c r="B117" i="3"/>
  <c r="Z116" i="3"/>
  <c r="P116" i="3"/>
  <c r="X116" i="3" s="1"/>
  <c r="N116" i="3"/>
  <c r="D116" i="3"/>
  <c r="L116" i="3" s="1"/>
  <c r="B116" i="3"/>
  <c r="Z115" i="3"/>
  <c r="X115" i="3"/>
  <c r="P115" i="3"/>
  <c r="N115" i="3"/>
  <c r="D115" i="3"/>
  <c r="L115" i="3" s="1"/>
  <c r="B115" i="3"/>
  <c r="Z114" i="3"/>
  <c r="X114" i="3"/>
  <c r="P114" i="3"/>
  <c r="N114" i="3"/>
  <c r="L114" i="3"/>
  <c r="D114" i="3"/>
  <c r="B114" i="3"/>
  <c r="Z113" i="3"/>
  <c r="P113" i="3"/>
  <c r="X113" i="3" s="1"/>
  <c r="N113" i="3"/>
  <c r="D113" i="3"/>
  <c r="L113" i="3" s="1"/>
  <c r="B113" i="3"/>
  <c r="Z112" i="3"/>
  <c r="P112" i="3"/>
  <c r="X112" i="3" s="1"/>
  <c r="N112" i="3"/>
  <c r="L112" i="3"/>
  <c r="D112" i="3"/>
  <c r="B112" i="3"/>
  <c r="Z111" i="3"/>
  <c r="P111" i="3"/>
  <c r="X111" i="3" s="1"/>
  <c r="N111" i="3"/>
  <c r="L111" i="3"/>
  <c r="D111" i="3"/>
  <c r="B111" i="3"/>
  <c r="Z110" i="3"/>
  <c r="X110" i="3"/>
  <c r="P110" i="3"/>
  <c r="N110" i="3"/>
  <c r="D110" i="3"/>
  <c r="L110" i="3" s="1"/>
  <c r="B110" i="3"/>
  <c r="Z109" i="3"/>
  <c r="X109" i="3"/>
  <c r="P109" i="3"/>
  <c r="N109" i="3"/>
  <c r="D109" i="3"/>
  <c r="L109" i="3" s="1"/>
  <c r="B109" i="3"/>
  <c r="Z108" i="3"/>
  <c r="X108" i="3"/>
  <c r="P108" i="3"/>
  <c r="N108" i="3"/>
  <c r="D108" i="3"/>
  <c r="L108" i="3" s="1"/>
  <c r="B108" i="3"/>
  <c r="Z107" i="3"/>
  <c r="P107" i="3"/>
  <c r="X107" i="3" s="1"/>
  <c r="N107" i="3"/>
  <c r="L107" i="3"/>
  <c r="D107" i="3"/>
  <c r="B107" i="3"/>
  <c r="Z106" i="3"/>
  <c r="P106" i="3"/>
  <c r="X106" i="3" s="1"/>
  <c r="N106" i="3"/>
  <c r="L106" i="3"/>
  <c r="D106" i="3"/>
  <c r="B106" i="3"/>
  <c r="Z105" i="3"/>
  <c r="P105" i="3"/>
  <c r="X105" i="3" s="1"/>
  <c r="N105" i="3"/>
  <c r="L105" i="3"/>
  <c r="D105" i="3"/>
  <c r="B105" i="3"/>
  <c r="Z104" i="3"/>
  <c r="P104" i="3"/>
  <c r="X104" i="3" s="1"/>
  <c r="N104" i="3"/>
  <c r="D104" i="3"/>
  <c r="L104" i="3" s="1"/>
  <c r="B104" i="3"/>
  <c r="Z103" i="3"/>
  <c r="X103" i="3"/>
  <c r="P103" i="3"/>
  <c r="N103" i="3"/>
  <c r="D103" i="3"/>
  <c r="L103" i="3" s="1"/>
  <c r="B103" i="3"/>
  <c r="Z102" i="3"/>
  <c r="X102" i="3"/>
  <c r="P102" i="3"/>
  <c r="N102" i="3"/>
  <c r="L102" i="3"/>
  <c r="D102" i="3"/>
  <c r="B102" i="3"/>
  <c r="Z101" i="3"/>
  <c r="P101" i="3"/>
  <c r="X101" i="3" s="1"/>
  <c r="N101" i="3"/>
  <c r="D101" i="3"/>
  <c r="L101" i="3" s="1"/>
  <c r="B101" i="3"/>
  <c r="Z100" i="3"/>
  <c r="P100" i="3"/>
  <c r="X100" i="3" s="1"/>
  <c r="N100" i="3"/>
  <c r="L100" i="3"/>
  <c r="D100" i="3"/>
  <c r="B100" i="3"/>
  <c r="Z99" i="3"/>
  <c r="P99" i="3"/>
  <c r="X99" i="3" s="1"/>
  <c r="N99" i="3"/>
  <c r="L99" i="3"/>
  <c r="D99" i="3"/>
  <c r="B99" i="3"/>
  <c r="Z98" i="3"/>
  <c r="X98" i="3"/>
  <c r="P98" i="3"/>
  <c r="N98" i="3"/>
  <c r="D98" i="3"/>
  <c r="L98" i="3" s="1"/>
  <c r="B98" i="3"/>
  <c r="Z97" i="3"/>
  <c r="X97" i="3"/>
  <c r="P97" i="3"/>
  <c r="N97" i="3"/>
  <c r="D97" i="3"/>
  <c r="L97" i="3" s="1"/>
  <c r="B97" i="3"/>
  <c r="Z96" i="3"/>
  <c r="X96" i="3"/>
  <c r="P96" i="3"/>
  <c r="N96" i="3"/>
  <c r="D96" i="3"/>
  <c r="L96" i="3" s="1"/>
  <c r="B96" i="3"/>
  <c r="Z95" i="3"/>
  <c r="P95" i="3"/>
  <c r="X95" i="3" s="1"/>
  <c r="N95" i="3"/>
  <c r="L95" i="3"/>
  <c r="D95" i="3"/>
  <c r="B95" i="3"/>
  <c r="Z94" i="3"/>
  <c r="P94" i="3"/>
  <c r="X94" i="3" s="1"/>
  <c r="N94" i="3"/>
  <c r="L94" i="3"/>
  <c r="D94" i="3"/>
  <c r="B94" i="3"/>
  <c r="Z93" i="3"/>
  <c r="P93" i="3"/>
  <c r="X93" i="3" s="1"/>
  <c r="N93" i="3"/>
  <c r="L93" i="3"/>
  <c r="D93" i="3"/>
  <c r="B93" i="3"/>
  <c r="Z92" i="3"/>
  <c r="P92" i="3"/>
  <c r="X92" i="3" s="1"/>
  <c r="N92" i="3"/>
  <c r="D92" i="3"/>
  <c r="L92" i="3" s="1"/>
  <c r="B92" i="3"/>
  <c r="Z91" i="3"/>
  <c r="X91" i="3"/>
  <c r="P91" i="3"/>
  <c r="N91" i="3"/>
  <c r="D91" i="3"/>
  <c r="L91" i="3" s="1"/>
  <c r="B91" i="3"/>
  <c r="Z90" i="3"/>
  <c r="X90" i="3"/>
  <c r="P90" i="3"/>
  <c r="N90" i="3"/>
  <c r="L90" i="3"/>
  <c r="D90" i="3"/>
  <c r="B90" i="3"/>
  <c r="Z89" i="3"/>
  <c r="P89" i="3"/>
  <c r="X89" i="3" s="1"/>
  <c r="N89" i="3"/>
  <c r="D89" i="3"/>
  <c r="L89" i="3" s="1"/>
  <c r="B89" i="3"/>
  <c r="Z88" i="3"/>
  <c r="P88" i="3"/>
  <c r="X88" i="3" s="1"/>
  <c r="N88" i="3"/>
  <c r="L88" i="3"/>
  <c r="D88" i="3"/>
  <c r="B88" i="3"/>
  <c r="Z87" i="3"/>
  <c r="P87" i="3"/>
  <c r="X87" i="3" s="1"/>
  <c r="N87" i="3"/>
  <c r="L87" i="3"/>
  <c r="D87" i="3"/>
  <c r="B87" i="3"/>
  <c r="Z86" i="3"/>
  <c r="X86" i="3"/>
  <c r="P86" i="3"/>
  <c r="N86" i="3"/>
  <c r="D86" i="3"/>
  <c r="L86" i="3" s="1"/>
  <c r="B86" i="3"/>
  <c r="Z85" i="3"/>
  <c r="X85" i="3"/>
  <c r="P85" i="3"/>
  <c r="N85" i="3"/>
  <c r="D85" i="3"/>
  <c r="L85" i="3" s="1"/>
  <c r="B85" i="3"/>
  <c r="Z84" i="3"/>
  <c r="X84" i="3"/>
  <c r="P84" i="3"/>
  <c r="N84" i="3"/>
  <c r="D84" i="3"/>
  <c r="L84" i="3" s="1"/>
  <c r="B84" i="3"/>
  <c r="Z83" i="3"/>
  <c r="P83" i="3"/>
  <c r="X83" i="3" s="1"/>
  <c r="N83" i="3"/>
  <c r="L83" i="3"/>
  <c r="D83" i="3"/>
  <c r="B83" i="3"/>
  <c r="Z82" i="3"/>
  <c r="P82" i="3"/>
  <c r="X82" i="3" s="1"/>
  <c r="N82" i="3"/>
  <c r="L82" i="3"/>
  <c r="D82" i="3"/>
  <c r="B82" i="3"/>
  <c r="Z81" i="3"/>
  <c r="P81" i="3"/>
  <c r="X81" i="3" s="1"/>
  <c r="N81" i="3"/>
  <c r="L81" i="3"/>
  <c r="D81" i="3"/>
  <c r="B81" i="3"/>
  <c r="Z80" i="3"/>
  <c r="P80" i="3"/>
  <c r="X80" i="3" s="1"/>
  <c r="N80" i="3"/>
  <c r="D80" i="3"/>
  <c r="L80" i="3" s="1"/>
  <c r="B80" i="3"/>
  <c r="Z79" i="3"/>
  <c r="X79" i="3"/>
  <c r="P79" i="3"/>
  <c r="N79" i="3"/>
  <c r="D79" i="3"/>
  <c r="L79" i="3" s="1"/>
  <c r="B79" i="3"/>
  <c r="Z78" i="3"/>
  <c r="X78" i="3"/>
  <c r="P78" i="3"/>
  <c r="N78" i="3"/>
  <c r="L78" i="3"/>
  <c r="D78" i="3"/>
  <c r="B78" i="3"/>
  <c r="Z77" i="3"/>
  <c r="P77" i="3"/>
  <c r="X77" i="3" s="1"/>
  <c r="N77" i="3"/>
  <c r="D77" i="3"/>
  <c r="L77" i="3" s="1"/>
  <c r="B77" i="3"/>
  <c r="Z76" i="3"/>
  <c r="P76" i="3"/>
  <c r="X76" i="3" s="1"/>
  <c r="N76" i="3"/>
  <c r="L76" i="3"/>
  <c r="D76" i="3"/>
  <c r="B76" i="3"/>
  <c r="Z75" i="3"/>
  <c r="P75" i="3"/>
  <c r="X75" i="3" s="1"/>
  <c r="N75" i="3"/>
  <c r="L75" i="3"/>
  <c r="D75" i="3"/>
  <c r="B75" i="3"/>
  <c r="Z74" i="3"/>
  <c r="X74" i="3"/>
  <c r="P74" i="3"/>
  <c r="N74" i="3"/>
  <c r="D74" i="3"/>
  <c r="L74" i="3" s="1"/>
  <c r="B74" i="3"/>
  <c r="Z73" i="3"/>
  <c r="X73" i="3"/>
  <c r="P73" i="3"/>
  <c r="N73" i="3"/>
  <c r="D73" i="3"/>
  <c r="L73" i="3" s="1"/>
  <c r="B73" i="3"/>
  <c r="Z72" i="3"/>
  <c r="X72" i="3"/>
  <c r="P72" i="3"/>
  <c r="N72" i="3"/>
  <c r="D72" i="3"/>
  <c r="L72" i="3" s="1"/>
  <c r="B72" i="3"/>
  <c r="Z71" i="3"/>
  <c r="P71" i="3"/>
  <c r="X71" i="3" s="1"/>
  <c r="N71" i="3"/>
  <c r="L71" i="3"/>
  <c r="D71" i="3"/>
  <c r="B71" i="3"/>
  <c r="Z70" i="3"/>
  <c r="P70" i="3"/>
  <c r="X70" i="3" s="1"/>
  <c r="N70" i="3"/>
  <c r="L70" i="3"/>
  <c r="D70" i="3"/>
  <c r="B70" i="3"/>
  <c r="Z69" i="3"/>
  <c r="P69" i="3"/>
  <c r="X69" i="3" s="1"/>
  <c r="N69" i="3"/>
  <c r="L69" i="3"/>
  <c r="D69" i="3"/>
  <c r="B69" i="3"/>
  <c r="Z68" i="3"/>
  <c r="P68" i="3"/>
  <c r="X68" i="3" s="1"/>
  <c r="N68" i="3"/>
  <c r="D68" i="3"/>
  <c r="L68" i="3" s="1"/>
  <c r="B68" i="3"/>
  <c r="Z67" i="3"/>
  <c r="X67" i="3"/>
  <c r="P67" i="3"/>
  <c r="N67" i="3"/>
  <c r="D67" i="3"/>
  <c r="L67" i="3" s="1"/>
  <c r="B67" i="3"/>
  <c r="Z66" i="3"/>
  <c r="X66" i="3"/>
  <c r="P66" i="3"/>
  <c r="N66" i="3"/>
  <c r="L66" i="3"/>
  <c r="D66" i="3"/>
  <c r="B66" i="3"/>
  <c r="Z65" i="3"/>
  <c r="P65" i="3"/>
  <c r="X65" i="3" s="1"/>
  <c r="N65" i="3"/>
  <c r="D65" i="3"/>
  <c r="L65" i="3" s="1"/>
  <c r="B65" i="3"/>
  <c r="Z64" i="3"/>
  <c r="P64" i="3"/>
  <c r="X64" i="3" s="1"/>
  <c r="N64" i="3"/>
  <c r="L64" i="3"/>
  <c r="D64" i="3"/>
  <c r="B64" i="3"/>
  <c r="Z63" i="3"/>
  <c r="P63" i="3"/>
  <c r="X63" i="3" s="1"/>
  <c r="N63" i="3"/>
  <c r="L63" i="3"/>
  <c r="D63" i="3"/>
  <c r="B63" i="3"/>
  <c r="Z62" i="3"/>
  <c r="X62" i="3"/>
  <c r="P62" i="3"/>
  <c r="N62" i="3"/>
  <c r="D62" i="3"/>
  <c r="L62" i="3" s="1"/>
  <c r="B62" i="3"/>
  <c r="Z61" i="3"/>
  <c r="X61" i="3"/>
  <c r="P61" i="3"/>
  <c r="N61" i="3"/>
  <c r="D61" i="3"/>
  <c r="L61" i="3" s="1"/>
  <c r="B61" i="3"/>
  <c r="Z60" i="3"/>
  <c r="X60" i="3"/>
  <c r="P60" i="3"/>
  <c r="N60" i="3"/>
  <c r="D60" i="3"/>
  <c r="L60" i="3" s="1"/>
  <c r="B60" i="3"/>
  <c r="Z59" i="3"/>
  <c r="P59" i="3"/>
  <c r="X59" i="3" s="1"/>
  <c r="N59" i="3"/>
  <c r="L59" i="3"/>
  <c r="D59" i="3"/>
  <c r="B59" i="3"/>
  <c r="Z58" i="3"/>
  <c r="P58" i="3"/>
  <c r="X58" i="3" s="1"/>
  <c r="N58" i="3"/>
  <c r="L58" i="3"/>
  <c r="D58" i="3"/>
  <c r="B58" i="3"/>
  <c r="Z57" i="3"/>
  <c r="P57" i="3"/>
  <c r="X57" i="3" s="1"/>
  <c r="N57" i="3"/>
  <c r="L57" i="3"/>
  <c r="D57" i="3"/>
  <c r="B57" i="3"/>
  <c r="Z56" i="3"/>
  <c r="P56" i="3"/>
  <c r="X56" i="3" s="1"/>
  <c r="N56" i="3"/>
  <c r="D56" i="3"/>
  <c r="L56" i="3" s="1"/>
  <c r="B56" i="3"/>
  <c r="Z55" i="3"/>
  <c r="X55" i="3"/>
  <c r="P55" i="3"/>
  <c r="D55" i="3"/>
  <c r="L55" i="3" s="1"/>
  <c r="N55" i="3" s="1"/>
  <c r="B55" i="3"/>
  <c r="Z54" i="3"/>
  <c r="X54" i="3"/>
  <c r="P54" i="3"/>
  <c r="N54" i="3"/>
  <c r="L54" i="3"/>
  <c r="D54" i="3"/>
  <c r="B54" i="3"/>
  <c r="Z53" i="3"/>
  <c r="P53" i="3"/>
  <c r="X53" i="3" s="1"/>
  <c r="N53" i="3"/>
  <c r="D53" i="3"/>
  <c r="L53" i="3" s="1"/>
  <c r="B53" i="3"/>
  <c r="Z52" i="3"/>
  <c r="P52" i="3"/>
  <c r="X52" i="3" s="1"/>
  <c r="N52" i="3"/>
  <c r="L52" i="3"/>
  <c r="D52" i="3"/>
  <c r="B52" i="3"/>
  <c r="Z51" i="3"/>
  <c r="P51" i="3"/>
  <c r="X51" i="3" s="1"/>
  <c r="N51" i="3"/>
  <c r="L51" i="3"/>
  <c r="D51" i="3"/>
  <c r="B51" i="3"/>
  <c r="Z50" i="3"/>
  <c r="X50" i="3"/>
  <c r="P50" i="3"/>
  <c r="N50" i="3"/>
  <c r="D50" i="3"/>
  <c r="L50" i="3" s="1"/>
  <c r="B50" i="3"/>
  <c r="Z49" i="3"/>
  <c r="X49" i="3"/>
  <c r="P49" i="3"/>
  <c r="N49" i="3"/>
  <c r="D49" i="3"/>
  <c r="L49" i="3" s="1"/>
  <c r="B49" i="3"/>
  <c r="Z48" i="3"/>
  <c r="X48" i="3"/>
  <c r="P48" i="3"/>
  <c r="N48" i="3"/>
  <c r="D48" i="3"/>
  <c r="L48" i="3" s="1"/>
  <c r="B48" i="3"/>
  <c r="Z47" i="3"/>
  <c r="P47" i="3"/>
  <c r="X47" i="3" s="1"/>
  <c r="N47" i="3"/>
  <c r="L47" i="3"/>
  <c r="D47" i="3"/>
  <c r="B47" i="3"/>
  <c r="Z46" i="3"/>
  <c r="P46" i="3"/>
  <c r="X46" i="3" s="1"/>
  <c r="N46" i="3"/>
  <c r="L46" i="3"/>
  <c r="D46" i="3"/>
  <c r="B46" i="3"/>
  <c r="Z45" i="3"/>
  <c r="P45" i="3"/>
  <c r="X45" i="3" s="1"/>
  <c r="N45" i="3"/>
  <c r="L45" i="3"/>
  <c r="D45" i="3"/>
  <c r="B45" i="3"/>
  <c r="Z44" i="3"/>
  <c r="P44" i="3"/>
  <c r="X44" i="3" s="1"/>
  <c r="N44" i="3"/>
  <c r="D44" i="3"/>
  <c r="L44" i="3" s="1"/>
  <c r="B44" i="3"/>
  <c r="Z43" i="3"/>
  <c r="X43" i="3"/>
  <c r="P43" i="3"/>
  <c r="N43" i="3"/>
  <c r="D43" i="3"/>
  <c r="L43" i="3" s="1"/>
  <c r="B43" i="3"/>
  <c r="Z42" i="3"/>
  <c r="X42" i="3"/>
  <c r="P42" i="3"/>
  <c r="N42" i="3"/>
  <c r="L42" i="3"/>
  <c r="D42" i="3"/>
  <c r="B42" i="3"/>
  <c r="Z41" i="3"/>
  <c r="P41" i="3"/>
  <c r="X41" i="3" s="1"/>
  <c r="N41" i="3"/>
  <c r="D41" i="3"/>
  <c r="L41" i="3" s="1"/>
  <c r="B41" i="3"/>
  <c r="Z40" i="3"/>
  <c r="P40" i="3"/>
  <c r="X40" i="3" s="1"/>
  <c r="N40" i="3"/>
  <c r="L40" i="3"/>
  <c r="D40" i="3"/>
  <c r="B40" i="3"/>
  <c r="Z39" i="3"/>
  <c r="P39" i="3"/>
  <c r="X39" i="3" s="1"/>
  <c r="N39" i="3"/>
  <c r="L39" i="3"/>
  <c r="D39" i="3"/>
  <c r="B39" i="3"/>
  <c r="Z38" i="3"/>
  <c r="X38" i="3"/>
  <c r="P38" i="3"/>
  <c r="N38" i="3"/>
  <c r="D38" i="3"/>
  <c r="L38" i="3" s="1"/>
  <c r="B38" i="3"/>
  <c r="Z37" i="3"/>
  <c r="X37" i="3"/>
  <c r="P37" i="3"/>
  <c r="N37" i="3"/>
  <c r="D37" i="3"/>
  <c r="L37" i="3" s="1"/>
  <c r="B37" i="3"/>
  <c r="Z36" i="3"/>
  <c r="X36" i="3"/>
  <c r="P36" i="3"/>
  <c r="N36" i="3"/>
  <c r="D36" i="3"/>
  <c r="L36" i="3" s="1"/>
  <c r="B36" i="3"/>
  <c r="Z35" i="3"/>
  <c r="P35" i="3"/>
  <c r="X35" i="3" s="1"/>
  <c r="N35" i="3"/>
  <c r="L35" i="3"/>
  <c r="D35" i="3"/>
  <c r="B35" i="3"/>
  <c r="Z34" i="3"/>
  <c r="P34" i="3"/>
  <c r="X34" i="3" s="1"/>
  <c r="N34" i="3"/>
  <c r="L34" i="3"/>
  <c r="D34" i="3"/>
  <c r="B34" i="3"/>
  <c r="Z33" i="3"/>
  <c r="P33" i="3"/>
  <c r="X33" i="3" s="1"/>
  <c r="N33" i="3"/>
  <c r="L33" i="3"/>
  <c r="D33" i="3"/>
  <c r="B33" i="3"/>
  <c r="Z32" i="3"/>
  <c r="P32" i="3"/>
  <c r="X32" i="3" s="1"/>
  <c r="N32" i="3"/>
  <c r="D32" i="3"/>
  <c r="L32" i="3" s="1"/>
  <c r="B32" i="3"/>
  <c r="Z31" i="3"/>
  <c r="X31" i="3"/>
  <c r="P31" i="3"/>
  <c r="N31" i="3"/>
  <c r="D31" i="3"/>
  <c r="L31" i="3" s="1"/>
  <c r="B31" i="3"/>
  <c r="Z30" i="3"/>
  <c r="X30" i="3"/>
  <c r="P30" i="3"/>
  <c r="N30" i="3"/>
  <c r="L30" i="3"/>
  <c r="D30" i="3"/>
  <c r="B30" i="3"/>
  <c r="Z29" i="3"/>
  <c r="P29" i="3"/>
  <c r="X29" i="3" s="1"/>
  <c r="N29" i="3"/>
  <c r="D29" i="3"/>
  <c r="L29" i="3" s="1"/>
  <c r="B29" i="3"/>
  <c r="Z28" i="3"/>
  <c r="P28" i="3"/>
  <c r="X28" i="3" s="1"/>
  <c r="N28" i="3"/>
  <c r="L28" i="3"/>
  <c r="D28" i="3"/>
  <c r="B28" i="3"/>
  <c r="Z27" i="3"/>
  <c r="P27" i="3"/>
  <c r="X27" i="3" s="1"/>
  <c r="N27" i="3"/>
  <c r="L27" i="3"/>
  <c r="D27" i="3"/>
  <c r="B27" i="3"/>
  <c r="Z26" i="3"/>
  <c r="X26" i="3"/>
  <c r="P26" i="3"/>
  <c r="N26" i="3"/>
  <c r="D26" i="3"/>
  <c r="L26" i="3" s="1"/>
  <c r="B26" i="3"/>
  <c r="Z25" i="3"/>
  <c r="X25" i="3"/>
  <c r="P25" i="3"/>
  <c r="N25" i="3"/>
  <c r="L25" i="3"/>
  <c r="D25" i="3"/>
  <c r="B25" i="3"/>
  <c r="Z24" i="3"/>
  <c r="X24" i="3"/>
  <c r="P24" i="3"/>
  <c r="N24" i="3"/>
  <c r="D24" i="3"/>
  <c r="L24" i="3" s="1"/>
  <c r="B24" i="3"/>
  <c r="Z23" i="3"/>
  <c r="P23" i="3"/>
  <c r="X23" i="3" s="1"/>
  <c r="N23" i="3"/>
  <c r="L23" i="3"/>
  <c r="D23" i="3"/>
  <c r="B23" i="3"/>
  <c r="Z22" i="3"/>
  <c r="P22" i="3"/>
  <c r="X22" i="3" s="1"/>
  <c r="N22" i="3"/>
  <c r="L22" i="3"/>
  <c r="D22" i="3"/>
  <c r="B22" i="3"/>
  <c r="Z21" i="3"/>
  <c r="P21" i="3"/>
  <c r="X21" i="3" s="1"/>
  <c r="N21" i="3"/>
  <c r="L21" i="3"/>
  <c r="D21" i="3"/>
  <c r="B21" i="3"/>
  <c r="Z20" i="3"/>
  <c r="P20" i="3"/>
  <c r="X20" i="3" s="1"/>
  <c r="N20" i="3"/>
  <c r="D20" i="3"/>
  <c r="L20" i="3" s="1"/>
  <c r="B20" i="3"/>
  <c r="Z19" i="3"/>
  <c r="X19" i="3"/>
  <c r="P19" i="3"/>
  <c r="N19" i="3"/>
  <c r="D19" i="3"/>
  <c r="L19" i="3" s="1"/>
  <c r="B19" i="3"/>
  <c r="Z18" i="3"/>
  <c r="X18" i="3"/>
  <c r="P18" i="3"/>
  <c r="N18" i="3"/>
  <c r="L18" i="3"/>
  <c r="D18" i="3"/>
  <c r="B18" i="3"/>
  <c r="Z17" i="3"/>
  <c r="P17" i="3"/>
  <c r="X17" i="3" s="1"/>
  <c r="N17" i="3"/>
  <c r="D17" i="3"/>
  <c r="L17" i="3" s="1"/>
  <c r="B17" i="3"/>
  <c r="Z16" i="3"/>
  <c r="P16" i="3"/>
  <c r="X16" i="3" s="1"/>
  <c r="N16" i="3"/>
  <c r="L16" i="3"/>
  <c r="D16" i="3"/>
  <c r="B16" i="3"/>
  <c r="Z15" i="3"/>
  <c r="P15" i="3"/>
  <c r="X15" i="3" s="1"/>
  <c r="N15" i="3"/>
  <c r="L15" i="3"/>
  <c r="D15" i="3"/>
  <c r="B15" i="3"/>
  <c r="Z14" i="3"/>
  <c r="X14" i="3"/>
  <c r="P14" i="3"/>
  <c r="P12" i="3" s="1"/>
  <c r="R221" i="3" s="1"/>
  <c r="N14" i="3"/>
  <c r="D14" i="3"/>
  <c r="L14" i="3" s="1"/>
  <c r="B14" i="3"/>
  <c r="X13" i="3"/>
  <c r="Z13" i="3" s="1"/>
  <c r="P13" i="3"/>
  <c r="L13" i="3"/>
  <c r="N13" i="3" s="1"/>
  <c r="D13" i="3"/>
  <c r="B13" i="3"/>
  <c r="T12" i="3"/>
  <c r="H12" i="3"/>
  <c r="J311" i="3" s="1"/>
  <c r="D4" i="3"/>
  <c r="B39" i="113"/>
  <c r="H24" i="113"/>
  <c r="H22" i="113"/>
  <c r="H13" i="113"/>
  <c r="D5" i="113"/>
  <c r="P20" i="112"/>
  <c r="P16" i="112"/>
  <c r="D12" i="112"/>
  <c r="P24" i="111"/>
  <c r="P22" i="111"/>
  <c r="T20" i="111"/>
  <c r="T16" i="111"/>
  <c r="T13" i="111"/>
  <c r="B38" i="113"/>
  <c r="D34" i="113"/>
  <c r="D33" i="113"/>
  <c r="D29" i="113"/>
  <c r="D25" i="113"/>
  <c r="H21" i="113"/>
  <c r="D13" i="113"/>
  <c r="D4" i="113"/>
  <c r="H34" i="112"/>
  <c r="H33" i="112"/>
  <c r="H29" i="112"/>
  <c r="H25" i="112"/>
  <c r="P15" i="112"/>
  <c r="D6" i="112"/>
  <c r="P21" i="111"/>
  <c r="T15" i="111"/>
  <c r="P13" i="111"/>
  <c r="H12" i="111"/>
  <c r="B25" i="113"/>
  <c r="D24" i="113"/>
  <c r="D22" i="113"/>
  <c r="H20" i="113"/>
  <c r="H16" i="113"/>
  <c r="B13" i="113"/>
  <c r="B39" i="112"/>
  <c r="H24" i="112"/>
  <c r="H22" i="112"/>
  <c r="H13" i="112"/>
  <c r="D5" i="112"/>
  <c r="P20" i="111"/>
  <c r="P16" i="111"/>
  <c r="D12" i="111"/>
  <c r="B22" i="113"/>
  <c r="D21" i="113"/>
  <c r="H15" i="113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B21" i="113"/>
  <c r="T34" i="113"/>
  <c r="T33" i="113"/>
  <c r="T29" i="113"/>
  <c r="T25" i="113"/>
  <c r="B16" i="113"/>
  <c r="D15" i="113"/>
  <c r="T12" i="113"/>
  <c r="B22" i="112"/>
  <c r="D21" i="112"/>
  <c r="H15" i="112"/>
  <c r="B38" i="111"/>
  <c r="D34" i="111"/>
  <c r="D33" i="111"/>
  <c r="D29" i="111"/>
  <c r="D25" i="111"/>
  <c r="H21" i="111"/>
  <c r="D13" i="111"/>
  <c r="D4" i="111"/>
  <c r="T24" i="113"/>
  <c r="T22" i="113"/>
  <c r="P12" i="113"/>
  <c r="B21" i="112"/>
  <c r="D20" i="112"/>
  <c r="D16" i="112"/>
  <c r="B25" i="111"/>
  <c r="D24" i="111"/>
  <c r="D22" i="111"/>
  <c r="H20" i="111"/>
  <c r="H16" i="111"/>
  <c r="B13" i="111"/>
  <c r="P34" i="113"/>
  <c r="P33" i="113"/>
  <c r="P29" i="113"/>
  <c r="P25" i="113"/>
  <c r="T21" i="113"/>
  <c r="T34" i="112"/>
  <c r="T33" i="112"/>
  <c r="T29" i="112"/>
  <c r="T25" i="112"/>
  <c r="B16" i="112"/>
  <c r="D15" i="112"/>
  <c r="T12" i="112"/>
  <c r="B22" i="111"/>
  <c r="D21" i="111"/>
  <c r="H15" i="111"/>
  <c r="P24" i="113"/>
  <c r="P22" i="113"/>
  <c r="T20" i="113"/>
  <c r="T16" i="113"/>
  <c r="T13" i="113"/>
  <c r="T24" i="112"/>
  <c r="T22" i="112"/>
  <c r="P12" i="112"/>
  <c r="B21" i="111"/>
  <c r="D20" i="111"/>
  <c r="D16" i="111"/>
  <c r="P21" i="113"/>
  <c r="P20" i="113"/>
  <c r="P16" i="113"/>
  <c r="D12" i="113"/>
  <c r="P24" i="112"/>
  <c r="P22" i="112"/>
  <c r="T20" i="112"/>
  <c r="T16" i="112"/>
  <c r="T13" i="112"/>
  <c r="T24" i="111"/>
  <c r="T22" i="111"/>
  <c r="P12" i="111"/>
  <c r="H12" i="113"/>
  <c r="T12" i="111"/>
  <c r="H34" i="113"/>
  <c r="D6" i="113"/>
  <c r="H12" i="112"/>
  <c r="H33" i="113"/>
  <c r="D24" i="112"/>
  <c r="B39" i="111"/>
  <c r="H24" i="111"/>
  <c r="D5" i="111"/>
  <c r="P29" i="112"/>
  <c r="T29" i="111"/>
  <c r="H29" i="113"/>
  <c r="P29" i="111"/>
  <c r="D16" i="113"/>
  <c r="D22" i="112"/>
  <c r="H16" i="112"/>
  <c r="H22" i="111"/>
  <c r="H25" i="113"/>
  <c r="T15" i="113"/>
  <c r="P34" i="112"/>
  <c r="T21" i="112"/>
  <c r="T34" i="111"/>
  <c r="B16" i="111"/>
  <c r="P15" i="113"/>
  <c r="P21" i="112"/>
  <c r="T15" i="112"/>
  <c r="P34" i="111"/>
  <c r="T21" i="111"/>
  <c r="D20" i="113"/>
  <c r="H20" i="112"/>
  <c r="P13" i="113"/>
  <c r="D15" i="111"/>
  <c r="P13" i="112"/>
  <c r="B13" i="112"/>
  <c r="H13" i="111"/>
  <c r="P33" i="112"/>
  <c r="T33" i="111"/>
  <c r="P33" i="111"/>
  <c r="P25" i="112"/>
  <c r="B25" i="112"/>
  <c r="T25" i="111"/>
  <c r="P25" i="111"/>
  <c r="B21" i="53"/>
  <c r="D20" i="53"/>
  <c r="D16" i="53"/>
  <c r="B22" i="52"/>
  <c r="D21" i="52"/>
  <c r="H15" i="52"/>
  <c r="P20" i="53"/>
  <c r="P16" i="53"/>
  <c r="D12" i="53"/>
  <c r="P21" i="52"/>
  <c r="T15" i="52"/>
  <c r="P13" i="52"/>
  <c r="H12" i="52"/>
  <c r="D34" i="53"/>
  <c r="H25" i="53"/>
  <c r="B22" i="53"/>
  <c r="P34" i="52"/>
  <c r="T25" i="52"/>
  <c r="H20" i="52"/>
  <c r="D4" i="52"/>
  <c r="H34" i="50"/>
  <c r="H33" i="50"/>
  <c r="H29" i="50"/>
  <c r="H25" i="50"/>
  <c r="P15" i="50"/>
  <c r="D5" i="50"/>
  <c r="P20" i="49"/>
  <c r="P16" i="49"/>
  <c r="D12" i="49"/>
  <c r="B39" i="47"/>
  <c r="H24" i="47"/>
  <c r="H22" i="47"/>
  <c r="H13" i="47"/>
  <c r="D4" i="47"/>
  <c r="H34" i="46"/>
  <c r="H33" i="46"/>
  <c r="H29" i="46"/>
  <c r="H25" i="46"/>
  <c r="P29" i="53"/>
  <c r="D24" i="53"/>
  <c r="T12" i="53"/>
  <c r="H33" i="52"/>
  <c r="P24" i="52"/>
  <c r="H21" i="52"/>
  <c r="D20" i="52"/>
  <c r="B39" i="50"/>
  <c r="H24" i="50"/>
  <c r="H22" i="50"/>
  <c r="H13" i="50"/>
  <c r="D4" i="50"/>
  <c r="H34" i="49"/>
  <c r="H33" i="49"/>
  <c r="H29" i="49"/>
  <c r="H25" i="49"/>
  <c r="P15" i="49"/>
  <c r="D5" i="49"/>
  <c r="D25" i="53"/>
  <c r="T20" i="53"/>
  <c r="H15" i="53"/>
  <c r="P12" i="53"/>
  <c r="P25" i="52"/>
  <c r="H22" i="52"/>
  <c r="H13" i="52"/>
  <c r="B38" i="50"/>
  <c r="D34" i="50"/>
  <c r="D33" i="50"/>
  <c r="D29" i="50"/>
  <c r="D25" i="50"/>
  <c r="H21" i="50"/>
  <c r="D13" i="50"/>
  <c r="B39" i="49"/>
  <c r="H24" i="49"/>
  <c r="H22" i="49"/>
  <c r="H13" i="49"/>
  <c r="D4" i="49"/>
  <c r="B39" i="53"/>
  <c r="T33" i="53"/>
  <c r="B25" i="53"/>
  <c r="T21" i="53"/>
  <c r="H16" i="53"/>
  <c r="D15" i="53"/>
  <c r="H34" i="52"/>
  <c r="D33" i="52"/>
  <c r="B21" i="52"/>
  <c r="T16" i="52"/>
  <c r="P15" i="52"/>
  <c r="D13" i="52"/>
  <c r="B25" i="50"/>
  <c r="D24" i="50"/>
  <c r="D22" i="50"/>
  <c r="H20" i="50"/>
  <c r="H16" i="50"/>
  <c r="B13" i="50"/>
  <c r="B38" i="49"/>
  <c r="D34" i="49"/>
  <c r="D33" i="49"/>
  <c r="D29" i="49"/>
  <c r="D25" i="49"/>
  <c r="H21" i="49"/>
  <c r="D13" i="49"/>
  <c r="B38" i="53"/>
  <c r="H29" i="53"/>
  <c r="T22" i="53"/>
  <c r="T29" i="52"/>
  <c r="H24" i="52"/>
  <c r="D22" i="52"/>
  <c r="P16" i="52"/>
  <c r="B13" i="52"/>
  <c r="B22" i="50"/>
  <c r="D21" i="50"/>
  <c r="H15" i="50"/>
  <c r="B25" i="49"/>
  <c r="D24" i="49"/>
  <c r="D22" i="49"/>
  <c r="H20" i="49"/>
  <c r="H16" i="49"/>
  <c r="B13" i="49"/>
  <c r="T34" i="53"/>
  <c r="P33" i="53"/>
  <c r="P21" i="53"/>
  <c r="B16" i="53"/>
  <c r="H12" i="53"/>
  <c r="D34" i="52"/>
  <c r="H25" i="52"/>
  <c r="B21" i="50"/>
  <c r="D20" i="50"/>
  <c r="D16" i="50"/>
  <c r="B22" i="49"/>
  <c r="D21" i="49"/>
  <c r="H15" i="49"/>
  <c r="T34" i="47"/>
  <c r="T33" i="47"/>
  <c r="T29" i="47"/>
  <c r="T25" i="47"/>
  <c r="D29" i="53"/>
  <c r="T24" i="53"/>
  <c r="P22" i="53"/>
  <c r="T13" i="53"/>
  <c r="D5" i="53"/>
  <c r="P29" i="52"/>
  <c r="D24" i="52"/>
  <c r="T12" i="52"/>
  <c r="T34" i="50"/>
  <c r="T33" i="50"/>
  <c r="T29" i="50"/>
  <c r="T25" i="50"/>
  <c r="B16" i="50"/>
  <c r="D15" i="50"/>
  <c r="T12" i="50"/>
  <c r="B21" i="49"/>
  <c r="D20" i="49"/>
  <c r="D16" i="49"/>
  <c r="P34" i="53"/>
  <c r="T25" i="53"/>
  <c r="H20" i="53"/>
  <c r="P13" i="53"/>
  <c r="D4" i="53"/>
  <c r="D25" i="52"/>
  <c r="T20" i="52"/>
  <c r="P12" i="52"/>
  <c r="H33" i="53"/>
  <c r="P24" i="53"/>
  <c r="H21" i="53"/>
  <c r="B39" i="52"/>
  <c r="T33" i="52"/>
  <c r="B25" i="52"/>
  <c r="T21" i="52"/>
  <c r="P20" i="52"/>
  <c r="H16" i="52"/>
  <c r="D15" i="52"/>
  <c r="P34" i="50"/>
  <c r="P33" i="50"/>
  <c r="P29" i="50"/>
  <c r="P25" i="50"/>
  <c r="T21" i="50"/>
  <c r="T24" i="49"/>
  <c r="T22" i="49"/>
  <c r="P12" i="49"/>
  <c r="H34" i="53"/>
  <c r="D33" i="53"/>
  <c r="D21" i="53"/>
  <c r="T16" i="53"/>
  <c r="P15" i="53"/>
  <c r="D13" i="53"/>
  <c r="T34" i="52"/>
  <c r="P33" i="52"/>
  <c r="B16" i="52"/>
  <c r="D12" i="52"/>
  <c r="P21" i="50"/>
  <c r="T15" i="50"/>
  <c r="P13" i="50"/>
  <c r="H12" i="50"/>
  <c r="P24" i="49"/>
  <c r="P22" i="49"/>
  <c r="T20" i="49"/>
  <c r="T16" i="49"/>
  <c r="T13" i="49"/>
  <c r="P20" i="47"/>
  <c r="P16" i="47"/>
  <c r="D12" i="47"/>
  <c r="P25" i="53"/>
  <c r="T15" i="53"/>
  <c r="H29" i="52"/>
  <c r="D12" i="50"/>
  <c r="H12" i="49"/>
  <c r="P33" i="47"/>
  <c r="P25" i="47"/>
  <c r="B22" i="47"/>
  <c r="H16" i="47"/>
  <c r="P12" i="47"/>
  <c r="D33" i="46"/>
  <c r="T22" i="46"/>
  <c r="T21" i="46"/>
  <c r="B38" i="44"/>
  <c r="D34" i="44"/>
  <c r="D33" i="44"/>
  <c r="D29" i="44"/>
  <c r="D25" i="44"/>
  <c r="H21" i="44"/>
  <c r="D13" i="44"/>
  <c r="B39" i="43"/>
  <c r="H24" i="43"/>
  <c r="H22" i="43"/>
  <c r="H13" i="43"/>
  <c r="D4" i="43"/>
  <c r="D29" i="52"/>
  <c r="T22" i="50"/>
  <c r="T29" i="49"/>
  <c r="B38" i="47"/>
  <c r="T20" i="47"/>
  <c r="D15" i="47"/>
  <c r="T25" i="46"/>
  <c r="T24" i="46"/>
  <c r="T20" i="46"/>
  <c r="T16" i="46"/>
  <c r="T13" i="46"/>
  <c r="B25" i="44"/>
  <c r="D24" i="44"/>
  <c r="D22" i="44"/>
  <c r="H20" i="44"/>
  <c r="H16" i="44"/>
  <c r="B13" i="44"/>
  <c r="B38" i="43"/>
  <c r="D34" i="43"/>
  <c r="D33" i="43"/>
  <c r="D29" i="43"/>
  <c r="D25" i="43"/>
  <c r="H21" i="43"/>
  <c r="D13" i="43"/>
  <c r="H13" i="53"/>
  <c r="D16" i="52"/>
  <c r="P22" i="50"/>
  <c r="T16" i="50"/>
  <c r="P29" i="49"/>
  <c r="D24" i="47"/>
  <c r="D16" i="47"/>
  <c r="D34" i="46"/>
  <c r="P22" i="46"/>
  <c r="P21" i="46"/>
  <c r="T15" i="46"/>
  <c r="P13" i="46"/>
  <c r="H12" i="46"/>
  <c r="B22" i="44"/>
  <c r="D21" i="44"/>
  <c r="H15" i="44"/>
  <c r="B25" i="43"/>
  <c r="D24" i="43"/>
  <c r="D22" i="43"/>
  <c r="H20" i="43"/>
  <c r="H16" i="43"/>
  <c r="B13" i="43"/>
  <c r="H24" i="53"/>
  <c r="B13" i="53"/>
  <c r="P16" i="50"/>
  <c r="P34" i="47"/>
  <c r="H33" i="47"/>
  <c r="H25" i="47"/>
  <c r="T21" i="47"/>
  <c r="B16" i="47"/>
  <c r="H12" i="47"/>
  <c r="T29" i="46"/>
  <c r="P25" i="46"/>
  <c r="P24" i="46"/>
  <c r="P20" i="46"/>
  <c r="P16" i="46"/>
  <c r="D12" i="46"/>
  <c r="B21" i="44"/>
  <c r="D20" i="44"/>
  <c r="D16" i="44"/>
  <c r="B22" i="43"/>
  <c r="D21" i="43"/>
  <c r="H15" i="43"/>
  <c r="H22" i="53"/>
  <c r="B38" i="52"/>
  <c r="T34" i="49"/>
  <c r="B16" i="49"/>
  <c r="D33" i="47"/>
  <c r="D25" i="47"/>
  <c r="T13" i="47"/>
  <c r="D5" i="47"/>
  <c r="P15" i="46"/>
  <c r="D5" i="46"/>
  <c r="T34" i="44"/>
  <c r="T33" i="44"/>
  <c r="T29" i="44"/>
  <c r="T25" i="44"/>
  <c r="B16" i="44"/>
  <c r="D15" i="44"/>
  <c r="T12" i="44"/>
  <c r="B21" i="43"/>
  <c r="D20" i="43"/>
  <c r="D16" i="43"/>
  <c r="D22" i="53"/>
  <c r="T24" i="52"/>
  <c r="T13" i="52"/>
  <c r="P34" i="49"/>
  <c r="T21" i="49"/>
  <c r="B25" i="47"/>
  <c r="T22" i="47"/>
  <c r="P21" i="47"/>
  <c r="H20" i="47"/>
  <c r="P13" i="47"/>
  <c r="B39" i="46"/>
  <c r="P29" i="46"/>
  <c r="H22" i="46"/>
  <c r="H13" i="46"/>
  <c r="D4" i="46"/>
  <c r="T24" i="44"/>
  <c r="T22" i="44"/>
  <c r="P12" i="44"/>
  <c r="T34" i="43"/>
  <c r="T33" i="43"/>
  <c r="T29" i="43"/>
  <c r="T25" i="43"/>
  <c r="B16" i="43"/>
  <c r="D15" i="43"/>
  <c r="T12" i="43"/>
  <c r="T22" i="52"/>
  <c r="P21" i="49"/>
  <c r="T15" i="49"/>
  <c r="H34" i="47"/>
  <c r="P29" i="47"/>
  <c r="B38" i="46"/>
  <c r="T33" i="46"/>
  <c r="H24" i="46"/>
  <c r="H21" i="46"/>
  <c r="D13" i="46"/>
  <c r="P34" i="44"/>
  <c r="P33" i="44"/>
  <c r="P29" i="44"/>
  <c r="P25" i="44"/>
  <c r="T21" i="44"/>
  <c r="T24" i="43"/>
  <c r="T22" i="43"/>
  <c r="P12" i="43"/>
  <c r="P22" i="52"/>
  <c r="D5" i="52"/>
  <c r="T33" i="49"/>
  <c r="T25" i="49"/>
  <c r="D15" i="49"/>
  <c r="D34" i="47"/>
  <c r="P22" i="47"/>
  <c r="H21" i="47"/>
  <c r="D20" i="47"/>
  <c r="T15" i="47"/>
  <c r="D13" i="47"/>
  <c r="D22" i="46"/>
  <c r="H20" i="46"/>
  <c r="H16" i="46"/>
  <c r="B13" i="46"/>
  <c r="P24" i="44"/>
  <c r="P22" i="44"/>
  <c r="T20" i="44"/>
  <c r="T16" i="44"/>
  <c r="T13" i="44"/>
  <c r="P34" i="43"/>
  <c r="P33" i="43"/>
  <c r="P29" i="43"/>
  <c r="P25" i="43"/>
  <c r="T21" i="43"/>
  <c r="T20" i="50"/>
  <c r="T13" i="50"/>
  <c r="P33" i="49"/>
  <c r="P25" i="49"/>
  <c r="T24" i="47"/>
  <c r="T16" i="47"/>
  <c r="P15" i="47"/>
  <c r="B13" i="47"/>
  <c r="T34" i="46"/>
  <c r="P33" i="46"/>
  <c r="D25" i="46"/>
  <c r="D24" i="46"/>
  <c r="B22" i="46"/>
  <c r="D21" i="46"/>
  <c r="H15" i="46"/>
  <c r="P21" i="44"/>
  <c r="T15" i="44"/>
  <c r="P13" i="44"/>
  <c r="H12" i="44"/>
  <c r="P24" i="43"/>
  <c r="P22" i="43"/>
  <c r="T20" i="43"/>
  <c r="T16" i="43"/>
  <c r="T13" i="43"/>
  <c r="T24" i="50"/>
  <c r="B21" i="46"/>
  <c r="P21" i="43"/>
  <c r="T15" i="43"/>
  <c r="P24" i="50"/>
  <c r="P24" i="47"/>
  <c r="P34" i="46"/>
  <c r="D15" i="46"/>
  <c r="H34" i="44"/>
  <c r="P15" i="44"/>
  <c r="T29" i="53"/>
  <c r="P20" i="50"/>
  <c r="H34" i="43"/>
  <c r="P15" i="43"/>
  <c r="B25" i="46"/>
  <c r="D20" i="46"/>
  <c r="P20" i="44"/>
  <c r="P13" i="43"/>
  <c r="T24" i="41"/>
  <c r="T22" i="41"/>
  <c r="P12" i="41"/>
  <c r="T34" i="40"/>
  <c r="T33" i="40"/>
  <c r="T29" i="40"/>
  <c r="T25" i="40"/>
  <c r="B16" i="40"/>
  <c r="D15" i="40"/>
  <c r="T12" i="40"/>
  <c r="T12" i="46"/>
  <c r="H33" i="44"/>
  <c r="H25" i="44"/>
  <c r="P20" i="43"/>
  <c r="P13" i="49"/>
  <c r="D22" i="47"/>
  <c r="H15" i="47"/>
  <c r="P12" i="46"/>
  <c r="P12" i="50"/>
  <c r="T12" i="49"/>
  <c r="H29" i="47"/>
  <c r="D21" i="47"/>
  <c r="D29" i="47"/>
  <c r="B21" i="47"/>
  <c r="D5" i="44"/>
  <c r="D12" i="43"/>
  <c r="T12" i="47"/>
  <c r="B39" i="44"/>
  <c r="H24" i="44"/>
  <c r="D4" i="44"/>
  <c r="D5" i="43"/>
  <c r="D16" i="46"/>
  <c r="P16" i="44"/>
  <c r="B39" i="41"/>
  <c r="H24" i="41"/>
  <c r="H22" i="41"/>
  <c r="H13" i="41"/>
  <c r="D4" i="41"/>
  <c r="H34" i="40"/>
  <c r="H33" i="40"/>
  <c r="H29" i="40"/>
  <c r="H25" i="40"/>
  <c r="H29" i="44"/>
  <c r="P16" i="43"/>
  <c r="D33" i="41"/>
  <c r="D21" i="41"/>
  <c r="T16" i="41"/>
  <c r="D13" i="41"/>
  <c r="P33" i="40"/>
  <c r="P21" i="40"/>
  <c r="H16" i="40"/>
  <c r="H15" i="40"/>
  <c r="T24" i="38"/>
  <c r="T22" i="38"/>
  <c r="P12" i="38"/>
  <c r="T34" i="37"/>
  <c r="T33" i="37"/>
  <c r="T29" i="37"/>
  <c r="T25" i="37"/>
  <c r="B16" i="37"/>
  <c r="D15" i="37"/>
  <c r="T12" i="37"/>
  <c r="T34" i="35"/>
  <c r="T33" i="35"/>
  <c r="T29" i="35"/>
  <c r="T25" i="35"/>
  <c r="B16" i="35"/>
  <c r="D15" i="35"/>
  <c r="T12" i="35"/>
  <c r="B21" i="34"/>
  <c r="D20" i="34"/>
  <c r="D16" i="34"/>
  <c r="P20" i="32"/>
  <c r="P16" i="32"/>
  <c r="D12" i="32"/>
  <c r="P21" i="31"/>
  <c r="T15" i="31"/>
  <c r="P13" i="31"/>
  <c r="H12" i="31"/>
  <c r="H34" i="41"/>
  <c r="D22" i="41"/>
  <c r="B21" i="41"/>
  <c r="P15" i="41"/>
  <c r="B13" i="41"/>
  <c r="D29" i="40"/>
  <c r="T24" i="40"/>
  <c r="P22" i="40"/>
  <c r="P12" i="40"/>
  <c r="P34" i="38"/>
  <c r="P33" i="38"/>
  <c r="P29" i="38"/>
  <c r="P25" i="38"/>
  <c r="T21" i="38"/>
  <c r="T24" i="37"/>
  <c r="T22" i="37"/>
  <c r="P12" i="37"/>
  <c r="T24" i="35"/>
  <c r="T22" i="35"/>
  <c r="P12" i="35"/>
  <c r="T34" i="34"/>
  <c r="T33" i="34"/>
  <c r="T29" i="34"/>
  <c r="T25" i="34"/>
  <c r="B16" i="34"/>
  <c r="D15" i="34"/>
  <c r="T12" i="34"/>
  <c r="H33" i="43"/>
  <c r="D34" i="41"/>
  <c r="T29" i="41"/>
  <c r="B22" i="41"/>
  <c r="P16" i="41"/>
  <c r="P34" i="40"/>
  <c r="H20" i="40"/>
  <c r="D16" i="40"/>
  <c r="P24" i="38"/>
  <c r="P22" i="38"/>
  <c r="T20" i="38"/>
  <c r="T16" i="38"/>
  <c r="T13" i="38"/>
  <c r="P34" i="37"/>
  <c r="P33" i="37"/>
  <c r="P29" i="37"/>
  <c r="P25" i="37"/>
  <c r="T21" i="37"/>
  <c r="P34" i="35"/>
  <c r="P33" i="35"/>
  <c r="P29" i="35"/>
  <c r="P25" i="35"/>
  <c r="T21" i="35"/>
  <c r="T24" i="34"/>
  <c r="T22" i="34"/>
  <c r="P12" i="34"/>
  <c r="B39" i="32"/>
  <c r="H24" i="32"/>
  <c r="H22" i="32"/>
  <c r="H13" i="32"/>
  <c r="D4" i="32"/>
  <c r="H34" i="31"/>
  <c r="H33" i="31"/>
  <c r="H29" i="31"/>
  <c r="H25" i="31"/>
  <c r="P15" i="31"/>
  <c r="D5" i="31"/>
  <c r="H12" i="43"/>
  <c r="P29" i="41"/>
  <c r="H25" i="41"/>
  <c r="D24" i="41"/>
  <c r="P24" i="40"/>
  <c r="H21" i="40"/>
  <c r="P21" i="38"/>
  <c r="T15" i="38"/>
  <c r="P13" i="38"/>
  <c r="H12" i="38"/>
  <c r="P24" i="37"/>
  <c r="P22" i="37"/>
  <c r="T20" i="37"/>
  <c r="T16" i="37"/>
  <c r="T13" i="37"/>
  <c r="P24" i="35"/>
  <c r="P22" i="35"/>
  <c r="T20" i="35"/>
  <c r="T16" i="35"/>
  <c r="T13" i="35"/>
  <c r="P34" i="34"/>
  <c r="P33" i="34"/>
  <c r="P29" i="34"/>
  <c r="P25" i="34"/>
  <c r="T21" i="34"/>
  <c r="B38" i="32"/>
  <c r="D34" i="32"/>
  <c r="D33" i="32"/>
  <c r="D29" i="32"/>
  <c r="D25" i="32"/>
  <c r="H21" i="32"/>
  <c r="D13" i="32"/>
  <c r="B39" i="31"/>
  <c r="H24" i="31"/>
  <c r="H22" i="31"/>
  <c r="H13" i="31"/>
  <c r="D4" i="31"/>
  <c r="D29" i="46"/>
  <c r="D25" i="41"/>
  <c r="T20" i="41"/>
  <c r="H15" i="41"/>
  <c r="T12" i="41"/>
  <c r="P25" i="40"/>
  <c r="H22" i="40"/>
  <c r="D20" i="40"/>
  <c r="T13" i="40"/>
  <c r="H12" i="40"/>
  <c r="P20" i="38"/>
  <c r="P16" i="38"/>
  <c r="D12" i="38"/>
  <c r="P21" i="37"/>
  <c r="T15" i="37"/>
  <c r="P13" i="37"/>
  <c r="H12" i="37"/>
  <c r="P21" i="35"/>
  <c r="T15" i="35"/>
  <c r="P13" i="35"/>
  <c r="H12" i="35"/>
  <c r="P24" i="34"/>
  <c r="P22" i="34"/>
  <c r="T20" i="34"/>
  <c r="T16" i="34"/>
  <c r="T13" i="34"/>
  <c r="B25" i="32"/>
  <c r="D24" i="32"/>
  <c r="D22" i="32"/>
  <c r="H20" i="32"/>
  <c r="H16" i="32"/>
  <c r="B13" i="32"/>
  <c r="B38" i="31"/>
  <c r="H22" i="44"/>
  <c r="H29" i="43"/>
  <c r="B25" i="41"/>
  <c r="T21" i="41"/>
  <c r="H16" i="41"/>
  <c r="D33" i="40"/>
  <c r="D21" i="40"/>
  <c r="P13" i="40"/>
  <c r="D12" i="40"/>
  <c r="H34" i="38"/>
  <c r="H33" i="38"/>
  <c r="H29" i="38"/>
  <c r="H25" i="38"/>
  <c r="P15" i="38"/>
  <c r="D5" i="38"/>
  <c r="P20" i="37"/>
  <c r="P16" i="37"/>
  <c r="D12" i="37"/>
  <c r="P20" i="35"/>
  <c r="P16" i="35"/>
  <c r="D12" i="35"/>
  <c r="P21" i="34"/>
  <c r="T15" i="34"/>
  <c r="P13" i="34"/>
  <c r="H12" i="34"/>
  <c r="H25" i="43"/>
  <c r="B38" i="41"/>
  <c r="T33" i="41"/>
  <c r="P20" i="41"/>
  <c r="D15" i="41"/>
  <c r="H24" i="40"/>
  <c r="D22" i="40"/>
  <c r="B21" i="40"/>
  <c r="T16" i="40"/>
  <c r="T15" i="40"/>
  <c r="D5" i="40"/>
  <c r="B39" i="38"/>
  <c r="H24" i="38"/>
  <c r="H22" i="38"/>
  <c r="H13" i="38"/>
  <c r="D4" i="38"/>
  <c r="H34" i="37"/>
  <c r="H33" i="37"/>
  <c r="H29" i="37"/>
  <c r="H25" i="37"/>
  <c r="P15" i="37"/>
  <c r="D5" i="37"/>
  <c r="H34" i="35"/>
  <c r="H33" i="35"/>
  <c r="H29" i="35"/>
  <c r="H25" i="35"/>
  <c r="P15" i="35"/>
  <c r="D5" i="35"/>
  <c r="P20" i="34"/>
  <c r="P16" i="34"/>
  <c r="D12" i="34"/>
  <c r="P33" i="41"/>
  <c r="H29" i="41"/>
  <c r="P21" i="41"/>
  <c r="D16" i="41"/>
  <c r="H12" i="41"/>
  <c r="D34" i="40"/>
  <c r="B22" i="40"/>
  <c r="D4" i="40"/>
  <c r="B38" i="38"/>
  <c r="D34" i="38"/>
  <c r="D33" i="38"/>
  <c r="D29" i="38"/>
  <c r="D25" i="38"/>
  <c r="H21" i="38"/>
  <c r="D13" i="38"/>
  <c r="B39" i="37"/>
  <c r="H24" i="37"/>
  <c r="H22" i="37"/>
  <c r="H13" i="37"/>
  <c r="D4" i="37"/>
  <c r="B39" i="35"/>
  <c r="H24" i="35"/>
  <c r="H22" i="35"/>
  <c r="H13" i="35"/>
  <c r="D4" i="35"/>
  <c r="H34" i="34"/>
  <c r="H33" i="34"/>
  <c r="H29" i="34"/>
  <c r="H25" i="34"/>
  <c r="P15" i="34"/>
  <c r="D5" i="34"/>
  <c r="T34" i="32"/>
  <c r="T33" i="32"/>
  <c r="T29" i="32"/>
  <c r="T25" i="32"/>
  <c r="B16" i="32"/>
  <c r="D15" i="32"/>
  <c r="T12" i="32"/>
  <c r="B21" i="31"/>
  <c r="D20" i="31"/>
  <c r="D16" i="31"/>
  <c r="B16" i="46"/>
  <c r="T34" i="41"/>
  <c r="D29" i="41"/>
  <c r="P22" i="41"/>
  <c r="B16" i="41"/>
  <c r="T13" i="41"/>
  <c r="D12" i="41"/>
  <c r="P29" i="40"/>
  <c r="D24" i="40"/>
  <c r="P16" i="40"/>
  <c r="P15" i="40"/>
  <c r="H13" i="40"/>
  <c r="B25" i="38"/>
  <c r="D24" i="38"/>
  <c r="D22" i="38"/>
  <c r="H20" i="38"/>
  <c r="H16" i="38"/>
  <c r="B13" i="38"/>
  <c r="B38" i="37"/>
  <c r="D34" i="37"/>
  <c r="D33" i="37"/>
  <c r="D29" i="37"/>
  <c r="D25" i="37"/>
  <c r="H21" i="37"/>
  <c r="D13" i="37"/>
  <c r="B38" i="35"/>
  <c r="D34" i="35"/>
  <c r="D33" i="35"/>
  <c r="D29" i="35"/>
  <c r="D25" i="35"/>
  <c r="H21" i="35"/>
  <c r="D13" i="35"/>
  <c r="B39" i="34"/>
  <c r="H24" i="34"/>
  <c r="H22" i="34"/>
  <c r="H13" i="34"/>
  <c r="D4" i="34"/>
  <c r="T24" i="32"/>
  <c r="T22" i="32"/>
  <c r="P12" i="32"/>
  <c r="T34" i="31"/>
  <c r="T33" i="31"/>
  <c r="T29" i="31"/>
  <c r="T25" i="31"/>
  <c r="B16" i="31"/>
  <c r="D15" i="31"/>
  <c r="T12" i="31"/>
  <c r="P34" i="41"/>
  <c r="H20" i="41"/>
  <c r="P13" i="41"/>
  <c r="D5" i="41"/>
  <c r="D25" i="40"/>
  <c r="T20" i="40"/>
  <c r="D13" i="40"/>
  <c r="P24" i="41"/>
  <c r="T34" i="38"/>
  <c r="B16" i="38"/>
  <c r="D16" i="37"/>
  <c r="D22" i="35"/>
  <c r="H16" i="35"/>
  <c r="D29" i="34"/>
  <c r="B21" i="32"/>
  <c r="D34" i="31"/>
  <c r="B25" i="31"/>
  <c r="P34" i="29"/>
  <c r="P33" i="29"/>
  <c r="P29" i="29"/>
  <c r="P25" i="29"/>
  <c r="T21" i="29"/>
  <c r="T24" i="28"/>
  <c r="T22" i="28"/>
  <c r="P12" i="28"/>
  <c r="D21" i="38"/>
  <c r="H15" i="38"/>
  <c r="B22" i="35"/>
  <c r="D22" i="34"/>
  <c r="H16" i="34"/>
  <c r="P33" i="32"/>
  <c r="P29" i="32"/>
  <c r="P25" i="32"/>
  <c r="T20" i="31"/>
  <c r="D12" i="31"/>
  <c r="P24" i="29"/>
  <c r="P22" i="29"/>
  <c r="T20" i="29"/>
  <c r="T16" i="29"/>
  <c r="T13" i="29"/>
  <c r="P34" i="28"/>
  <c r="P33" i="28"/>
  <c r="P29" i="28"/>
  <c r="P25" i="28"/>
  <c r="T21" i="28"/>
  <c r="B39" i="40"/>
  <c r="B25" i="40"/>
  <c r="B21" i="38"/>
  <c r="D21" i="37"/>
  <c r="H15" i="37"/>
  <c r="D16" i="35"/>
  <c r="B22" i="34"/>
  <c r="P22" i="32"/>
  <c r="T20" i="32"/>
  <c r="T16" i="32"/>
  <c r="T13" i="32"/>
  <c r="T24" i="31"/>
  <c r="D22" i="31"/>
  <c r="P20" i="31"/>
  <c r="H15" i="31"/>
  <c r="P21" i="29"/>
  <c r="T15" i="29"/>
  <c r="P13" i="29"/>
  <c r="H12" i="29"/>
  <c r="P24" i="28"/>
  <c r="P22" i="28"/>
  <c r="T20" i="28"/>
  <c r="T16" i="28"/>
  <c r="T13" i="28"/>
  <c r="B38" i="40"/>
  <c r="T33" i="38"/>
  <c r="T25" i="38"/>
  <c r="D15" i="38"/>
  <c r="B21" i="37"/>
  <c r="D34" i="34"/>
  <c r="H21" i="34"/>
  <c r="P13" i="32"/>
  <c r="B22" i="31"/>
  <c r="T16" i="31"/>
  <c r="P20" i="29"/>
  <c r="P16" i="29"/>
  <c r="D12" i="29"/>
  <c r="P21" i="28"/>
  <c r="T15" i="28"/>
  <c r="P13" i="28"/>
  <c r="H12" i="28"/>
  <c r="H21" i="41"/>
  <c r="B13" i="40"/>
  <c r="B25" i="37"/>
  <c r="H20" i="37"/>
  <c r="B13" i="37"/>
  <c r="D21" i="35"/>
  <c r="H15" i="35"/>
  <c r="H33" i="32"/>
  <c r="H29" i="32"/>
  <c r="H25" i="32"/>
  <c r="P33" i="31"/>
  <c r="P24" i="31"/>
  <c r="H20" i="31"/>
  <c r="P16" i="31"/>
  <c r="H34" i="29"/>
  <c r="H33" i="29"/>
  <c r="H29" i="29"/>
  <c r="H25" i="29"/>
  <c r="P15" i="29"/>
  <c r="D5" i="29"/>
  <c r="P20" i="28"/>
  <c r="P16" i="28"/>
  <c r="D12" i="28"/>
  <c r="H33" i="41"/>
  <c r="T22" i="40"/>
  <c r="D20" i="38"/>
  <c r="B21" i="35"/>
  <c r="D21" i="34"/>
  <c r="H15" i="34"/>
  <c r="B22" i="32"/>
  <c r="T21" i="31"/>
  <c r="T13" i="31"/>
  <c r="B39" i="29"/>
  <c r="H24" i="29"/>
  <c r="H22" i="29"/>
  <c r="H13" i="29"/>
  <c r="D4" i="29"/>
  <c r="H34" i="28"/>
  <c r="H33" i="28"/>
  <c r="H29" i="28"/>
  <c r="H25" i="28"/>
  <c r="P15" i="28"/>
  <c r="D5" i="28"/>
  <c r="T21" i="40"/>
  <c r="T12" i="38"/>
  <c r="D20" i="37"/>
  <c r="B25" i="35"/>
  <c r="H20" i="35"/>
  <c r="B13" i="35"/>
  <c r="D33" i="34"/>
  <c r="D25" i="34"/>
  <c r="D13" i="34"/>
  <c r="D20" i="32"/>
  <c r="D16" i="32"/>
  <c r="P29" i="31"/>
  <c r="H16" i="31"/>
  <c r="D20" i="41"/>
  <c r="D24" i="37"/>
  <c r="B25" i="34"/>
  <c r="H20" i="34"/>
  <c r="B13" i="34"/>
  <c r="P34" i="32"/>
  <c r="T21" i="32"/>
  <c r="D33" i="31"/>
  <c r="D24" i="31"/>
  <c r="D13" i="31"/>
  <c r="B25" i="29"/>
  <c r="D24" i="29"/>
  <c r="D22" i="29"/>
  <c r="H20" i="29"/>
  <c r="H16" i="29"/>
  <c r="B13" i="29"/>
  <c r="B38" i="28"/>
  <c r="D34" i="28"/>
  <c r="D33" i="28"/>
  <c r="D29" i="28"/>
  <c r="D25" i="28"/>
  <c r="H21" i="28"/>
  <c r="D13" i="28"/>
  <c r="D20" i="35"/>
  <c r="P24" i="32"/>
  <c r="P25" i="31"/>
  <c r="H21" i="31"/>
  <c r="B13" i="31"/>
  <c r="B22" i="29"/>
  <c r="D21" i="29"/>
  <c r="H15" i="29"/>
  <c r="B25" i="28"/>
  <c r="D24" i="28"/>
  <c r="D22" i="28"/>
  <c r="H20" i="28"/>
  <c r="H16" i="28"/>
  <c r="B13" i="28"/>
  <c r="H13" i="44"/>
  <c r="P20" i="40"/>
  <c r="T29" i="38"/>
  <c r="D24" i="35"/>
  <c r="B38" i="34"/>
  <c r="P21" i="32"/>
  <c r="T15" i="32"/>
  <c r="H12" i="32"/>
  <c r="P34" i="31"/>
  <c r="D29" i="31"/>
  <c r="T22" i="31"/>
  <c r="B21" i="29"/>
  <c r="D20" i="29"/>
  <c r="D16" i="29"/>
  <c r="B22" i="28"/>
  <c r="D21" i="28"/>
  <c r="H15" i="28"/>
  <c r="H16" i="37"/>
  <c r="D21" i="32"/>
  <c r="D29" i="29"/>
  <c r="H22" i="28"/>
  <c r="B22" i="26"/>
  <c r="D21" i="26"/>
  <c r="H15" i="26"/>
  <c r="B25" i="25"/>
  <c r="D24" i="25"/>
  <c r="D22" i="25"/>
  <c r="H20" i="25"/>
  <c r="H16" i="25"/>
  <c r="B13" i="25"/>
  <c r="T34" i="23"/>
  <c r="T33" i="23"/>
  <c r="T29" i="23"/>
  <c r="T25" i="23"/>
  <c r="B16" i="23"/>
  <c r="D15" i="23"/>
  <c r="T12" i="23"/>
  <c r="B21" i="22"/>
  <c r="D20" i="22"/>
  <c r="D16" i="22"/>
  <c r="B39" i="20"/>
  <c r="H24" i="20"/>
  <c r="H22" i="20"/>
  <c r="H13" i="20"/>
  <c r="D4" i="20"/>
  <c r="H34" i="19"/>
  <c r="H33" i="19"/>
  <c r="H29" i="19"/>
  <c r="H25" i="19"/>
  <c r="P15" i="19"/>
  <c r="D5" i="19"/>
  <c r="T34" i="29"/>
  <c r="B16" i="29"/>
  <c r="D16" i="28"/>
  <c r="B21" i="26"/>
  <c r="D20" i="26"/>
  <c r="D16" i="26"/>
  <c r="B22" i="25"/>
  <c r="D21" i="25"/>
  <c r="H15" i="25"/>
  <c r="T24" i="23"/>
  <c r="T22" i="23"/>
  <c r="P12" i="23"/>
  <c r="T34" i="22"/>
  <c r="T33" i="22"/>
  <c r="T29" i="22"/>
  <c r="T25" i="22"/>
  <c r="B16" i="22"/>
  <c r="D15" i="22"/>
  <c r="T12" i="22"/>
  <c r="B38" i="20"/>
  <c r="D34" i="20"/>
  <c r="D33" i="20"/>
  <c r="D29" i="20"/>
  <c r="D25" i="20"/>
  <c r="H21" i="20"/>
  <c r="D13" i="20"/>
  <c r="B39" i="19"/>
  <c r="H24" i="19"/>
  <c r="H22" i="19"/>
  <c r="H13" i="19"/>
  <c r="D4" i="19"/>
  <c r="D12" i="44"/>
  <c r="B22" i="38"/>
  <c r="D25" i="31"/>
  <c r="T34" i="28"/>
  <c r="B16" i="28"/>
  <c r="T34" i="26"/>
  <c r="T33" i="26"/>
  <c r="T29" i="26"/>
  <c r="T25" i="26"/>
  <c r="B16" i="26"/>
  <c r="D15" i="26"/>
  <c r="T12" i="26"/>
  <c r="B21" i="25"/>
  <c r="D20" i="25"/>
  <c r="D16" i="25"/>
  <c r="P34" i="23"/>
  <c r="P33" i="23"/>
  <c r="P29" i="23"/>
  <c r="P25" i="23"/>
  <c r="T21" i="23"/>
  <c r="T24" i="22"/>
  <c r="T22" i="22"/>
  <c r="P12" i="22"/>
  <c r="B25" i="20"/>
  <c r="D24" i="20"/>
  <c r="D22" i="20"/>
  <c r="H20" i="20"/>
  <c r="H16" i="20"/>
  <c r="B13" i="20"/>
  <c r="B38" i="19"/>
  <c r="D34" i="19"/>
  <c r="D33" i="19"/>
  <c r="D29" i="19"/>
  <c r="D25" i="19"/>
  <c r="H21" i="19"/>
  <c r="D13" i="19"/>
  <c r="H34" i="32"/>
  <c r="P15" i="32"/>
  <c r="D34" i="29"/>
  <c r="H21" i="29"/>
  <c r="T24" i="26"/>
  <c r="T22" i="26"/>
  <c r="P12" i="26"/>
  <c r="T34" i="25"/>
  <c r="T33" i="25"/>
  <c r="T29" i="25"/>
  <c r="T25" i="25"/>
  <c r="B16" i="25"/>
  <c r="D15" i="25"/>
  <c r="T12" i="25"/>
  <c r="P24" i="23"/>
  <c r="P22" i="23"/>
  <c r="T20" i="23"/>
  <c r="T16" i="23"/>
  <c r="T13" i="23"/>
  <c r="P34" i="22"/>
  <c r="P33" i="22"/>
  <c r="P29" i="22"/>
  <c r="P25" i="22"/>
  <c r="T21" i="22"/>
  <c r="B22" i="20"/>
  <c r="D21" i="20"/>
  <c r="H15" i="20"/>
  <c r="B25" i="19"/>
  <c r="D24" i="19"/>
  <c r="D22" i="19"/>
  <c r="H20" i="19"/>
  <c r="H16" i="19"/>
  <c r="B13" i="19"/>
  <c r="T25" i="41"/>
  <c r="H15" i="32"/>
  <c r="P22" i="31"/>
  <c r="T33" i="29"/>
  <c r="T25" i="29"/>
  <c r="D15" i="29"/>
  <c r="B21" i="28"/>
  <c r="P34" i="26"/>
  <c r="P33" i="26"/>
  <c r="P29" i="26"/>
  <c r="P25" i="26"/>
  <c r="T21" i="26"/>
  <c r="T24" i="25"/>
  <c r="T22" i="25"/>
  <c r="P12" i="25"/>
  <c r="P21" i="23"/>
  <c r="T15" i="23"/>
  <c r="P13" i="23"/>
  <c r="H12" i="23"/>
  <c r="P24" i="22"/>
  <c r="P22" i="22"/>
  <c r="T20" i="22"/>
  <c r="T16" i="22"/>
  <c r="T13" i="22"/>
  <c r="B21" i="20"/>
  <c r="D20" i="20"/>
  <c r="D16" i="20"/>
  <c r="B22" i="19"/>
  <c r="D21" i="19"/>
  <c r="H15" i="19"/>
  <c r="P25" i="41"/>
  <c r="D16" i="38"/>
  <c r="D5" i="32"/>
  <c r="D21" i="31"/>
  <c r="T33" i="28"/>
  <c r="T25" i="28"/>
  <c r="D15" i="28"/>
  <c r="P24" i="26"/>
  <c r="P22" i="26"/>
  <c r="T20" i="26"/>
  <c r="T16" i="26"/>
  <c r="T13" i="26"/>
  <c r="P34" i="25"/>
  <c r="P33" i="25"/>
  <c r="P29" i="25"/>
  <c r="P25" i="25"/>
  <c r="T21" i="25"/>
  <c r="P20" i="23"/>
  <c r="P16" i="23"/>
  <c r="D12" i="23"/>
  <c r="P21" i="22"/>
  <c r="T15" i="22"/>
  <c r="P13" i="22"/>
  <c r="H12" i="22"/>
  <c r="T34" i="20"/>
  <c r="T33" i="20"/>
  <c r="T29" i="20"/>
  <c r="T25" i="20"/>
  <c r="B16" i="20"/>
  <c r="D15" i="20"/>
  <c r="T12" i="20"/>
  <c r="B21" i="19"/>
  <c r="D20" i="19"/>
  <c r="D16" i="19"/>
  <c r="D33" i="29"/>
  <c r="D25" i="29"/>
  <c r="D13" i="29"/>
  <c r="H13" i="28"/>
  <c r="P21" i="26"/>
  <c r="T15" i="26"/>
  <c r="P13" i="26"/>
  <c r="H12" i="26"/>
  <c r="P24" i="25"/>
  <c r="P22" i="25"/>
  <c r="T20" i="25"/>
  <c r="T16" i="25"/>
  <c r="T13" i="25"/>
  <c r="H34" i="23"/>
  <c r="H33" i="23"/>
  <c r="H29" i="23"/>
  <c r="H25" i="23"/>
  <c r="P15" i="23"/>
  <c r="D5" i="23"/>
  <c r="P20" i="22"/>
  <c r="P16" i="22"/>
  <c r="D12" i="22"/>
  <c r="T24" i="20"/>
  <c r="T22" i="20"/>
  <c r="P12" i="20"/>
  <c r="T34" i="19"/>
  <c r="T33" i="19"/>
  <c r="T29" i="19"/>
  <c r="T25" i="19"/>
  <c r="B16" i="19"/>
  <c r="D15" i="19"/>
  <c r="T12" i="19"/>
  <c r="T15" i="41"/>
  <c r="T12" i="29"/>
  <c r="D20" i="28"/>
  <c r="P20" i="26"/>
  <c r="P16" i="26"/>
  <c r="D12" i="26"/>
  <c r="P21" i="25"/>
  <c r="T15" i="25"/>
  <c r="P13" i="25"/>
  <c r="H12" i="25"/>
  <c r="B39" i="23"/>
  <c r="H24" i="23"/>
  <c r="H22" i="23"/>
  <c r="H13" i="23"/>
  <c r="D4" i="23"/>
  <c r="H34" i="22"/>
  <c r="H33" i="22"/>
  <c r="H29" i="22"/>
  <c r="H25" i="22"/>
  <c r="P15" i="22"/>
  <c r="D5" i="22"/>
  <c r="P34" i="20"/>
  <c r="P33" i="20"/>
  <c r="P29" i="20"/>
  <c r="P25" i="20"/>
  <c r="T21" i="20"/>
  <c r="T24" i="19"/>
  <c r="T22" i="19"/>
  <c r="P12" i="19"/>
  <c r="T24" i="29"/>
  <c r="P12" i="29"/>
  <c r="T12" i="28"/>
  <c r="H34" i="26"/>
  <c r="H33" i="26"/>
  <c r="H29" i="26"/>
  <c r="H25" i="26"/>
  <c r="P15" i="26"/>
  <c r="D5" i="26"/>
  <c r="P20" i="25"/>
  <c r="P16" i="25"/>
  <c r="D12" i="25"/>
  <c r="B38" i="23"/>
  <c r="D34" i="23"/>
  <c r="D33" i="23"/>
  <c r="D29" i="23"/>
  <c r="D25" i="23"/>
  <c r="H21" i="23"/>
  <c r="D13" i="23"/>
  <c r="B39" i="22"/>
  <c r="H24" i="22"/>
  <c r="H22" i="22"/>
  <c r="H13" i="22"/>
  <c r="D4" i="22"/>
  <c r="P24" i="20"/>
  <c r="P22" i="20"/>
  <c r="T20" i="20"/>
  <c r="T16" i="20"/>
  <c r="T13" i="20"/>
  <c r="P34" i="19"/>
  <c r="P33" i="19"/>
  <c r="P29" i="19"/>
  <c r="P25" i="19"/>
  <c r="T21" i="19"/>
  <c r="D24" i="34"/>
  <c r="B38" i="29"/>
  <c r="B39" i="28"/>
  <c r="H24" i="28"/>
  <c r="D4" i="28"/>
  <c r="B39" i="26"/>
  <c r="H24" i="26"/>
  <c r="H22" i="26"/>
  <c r="H13" i="26"/>
  <c r="D4" i="26"/>
  <c r="H34" i="25"/>
  <c r="H33" i="25"/>
  <c r="H29" i="25"/>
  <c r="H25" i="25"/>
  <c r="P15" i="25"/>
  <c r="D5" i="25"/>
  <c r="B25" i="23"/>
  <c r="D24" i="23"/>
  <c r="D22" i="23"/>
  <c r="H20" i="23"/>
  <c r="H16" i="23"/>
  <c r="B13" i="23"/>
  <c r="B38" i="22"/>
  <c r="D34" i="22"/>
  <c r="D33" i="22"/>
  <c r="D29" i="22"/>
  <c r="D25" i="22"/>
  <c r="H21" i="22"/>
  <c r="D13" i="22"/>
  <c r="P21" i="20"/>
  <c r="T15" i="20"/>
  <c r="P13" i="20"/>
  <c r="H12" i="20"/>
  <c r="P24" i="19"/>
  <c r="P22" i="19"/>
  <c r="T20" i="19"/>
  <c r="T16" i="19"/>
  <c r="T13" i="19"/>
  <c r="D22" i="37"/>
  <c r="B38" i="26"/>
  <c r="H24" i="25"/>
  <c r="D22" i="22"/>
  <c r="B13" i="22"/>
  <c r="P24" i="17"/>
  <c r="P22" i="17"/>
  <c r="T20" i="17"/>
  <c r="T16" i="17"/>
  <c r="T13" i="17"/>
  <c r="P34" i="16"/>
  <c r="P33" i="16"/>
  <c r="P29" i="16"/>
  <c r="P25" i="16"/>
  <c r="T21" i="16"/>
  <c r="B39" i="14"/>
  <c r="H24" i="14"/>
  <c r="H22" i="14"/>
  <c r="H13" i="14"/>
  <c r="D4" i="14"/>
  <c r="H34" i="13"/>
  <c r="H33" i="13"/>
  <c r="H29" i="13"/>
  <c r="H25" i="13"/>
  <c r="P15" i="13"/>
  <c r="D5" i="13"/>
  <c r="P34" i="11"/>
  <c r="P33" i="11"/>
  <c r="P29" i="11"/>
  <c r="P25" i="11"/>
  <c r="T21" i="11"/>
  <c r="T24" i="10"/>
  <c r="T22" i="10"/>
  <c r="B22" i="37"/>
  <c r="T29" i="29"/>
  <c r="D34" i="25"/>
  <c r="D16" i="23"/>
  <c r="B22" i="22"/>
  <c r="P16" i="20"/>
  <c r="P13" i="19"/>
  <c r="P21" i="17"/>
  <c r="T15" i="17"/>
  <c r="P13" i="17"/>
  <c r="H12" i="17"/>
  <c r="P24" i="16"/>
  <c r="P22" i="16"/>
  <c r="T20" i="16"/>
  <c r="T16" i="16"/>
  <c r="T13" i="16"/>
  <c r="B38" i="14"/>
  <c r="D34" i="14"/>
  <c r="D33" i="14"/>
  <c r="D29" i="14"/>
  <c r="D25" i="14"/>
  <c r="H21" i="14"/>
  <c r="D13" i="14"/>
  <c r="B39" i="13"/>
  <c r="H24" i="13"/>
  <c r="H22" i="13"/>
  <c r="H13" i="13"/>
  <c r="D4" i="13"/>
  <c r="P24" i="11"/>
  <c r="P22" i="11"/>
  <c r="T20" i="11"/>
  <c r="T16" i="11"/>
  <c r="T13" i="11"/>
  <c r="P34" i="10"/>
  <c r="P33" i="10"/>
  <c r="P29" i="10"/>
  <c r="P25" i="10"/>
  <c r="T21" i="10"/>
  <c r="D25" i="26"/>
  <c r="H22" i="25"/>
  <c r="H13" i="25"/>
  <c r="H15" i="23"/>
  <c r="H25" i="20"/>
  <c r="P20" i="17"/>
  <c r="P16" i="17"/>
  <c r="D12" i="17"/>
  <c r="P21" i="16"/>
  <c r="T15" i="16"/>
  <c r="P13" i="16"/>
  <c r="H12" i="16"/>
  <c r="P12" i="31"/>
  <c r="B25" i="26"/>
  <c r="H16" i="26"/>
  <c r="D33" i="25"/>
  <c r="D13" i="25"/>
  <c r="D21" i="22"/>
  <c r="P21" i="19"/>
  <c r="H12" i="19"/>
  <c r="H34" i="17"/>
  <c r="H33" i="17"/>
  <c r="H29" i="17"/>
  <c r="H25" i="17"/>
  <c r="P15" i="17"/>
  <c r="D5" i="17"/>
  <c r="P20" i="16"/>
  <c r="P16" i="16"/>
  <c r="D12" i="16"/>
  <c r="B22" i="14"/>
  <c r="D21" i="14"/>
  <c r="H15" i="14"/>
  <c r="B25" i="13"/>
  <c r="D24" i="13"/>
  <c r="D22" i="13"/>
  <c r="H20" i="13"/>
  <c r="H16" i="13"/>
  <c r="B13" i="13"/>
  <c r="T22" i="29"/>
  <c r="D34" i="26"/>
  <c r="D4" i="25"/>
  <c r="B22" i="23"/>
  <c r="H20" i="22"/>
  <c r="H34" i="20"/>
  <c r="P15" i="20"/>
  <c r="D12" i="19"/>
  <c r="B39" i="17"/>
  <c r="H24" i="17"/>
  <c r="H22" i="17"/>
  <c r="H13" i="17"/>
  <c r="D4" i="17"/>
  <c r="H34" i="16"/>
  <c r="H33" i="16"/>
  <c r="H29" i="16"/>
  <c r="H25" i="16"/>
  <c r="P15" i="16"/>
  <c r="D5" i="16"/>
  <c r="B21" i="14"/>
  <c r="D20" i="14"/>
  <c r="D16" i="14"/>
  <c r="B22" i="13"/>
  <c r="D21" i="13"/>
  <c r="H15" i="13"/>
  <c r="D24" i="26"/>
  <c r="H21" i="25"/>
  <c r="B38" i="17"/>
  <c r="D34" i="17"/>
  <c r="D33" i="17"/>
  <c r="D29" i="17"/>
  <c r="D25" i="17"/>
  <c r="H21" i="17"/>
  <c r="D13" i="17"/>
  <c r="B39" i="16"/>
  <c r="H24" i="16"/>
  <c r="H22" i="16"/>
  <c r="H13" i="16"/>
  <c r="D4" i="16"/>
  <c r="T34" i="14"/>
  <c r="T33" i="14"/>
  <c r="T29" i="14"/>
  <c r="T25" i="14"/>
  <c r="B16" i="14"/>
  <c r="D15" i="14"/>
  <c r="T12" i="14"/>
  <c r="B21" i="13"/>
  <c r="D20" i="13"/>
  <c r="D16" i="13"/>
  <c r="B39" i="11"/>
  <c r="H24" i="11"/>
  <c r="D33" i="26"/>
  <c r="D13" i="26"/>
  <c r="D21" i="23"/>
  <c r="H33" i="20"/>
  <c r="P20" i="19"/>
  <c r="B25" i="17"/>
  <c r="D24" i="17"/>
  <c r="D22" i="17"/>
  <c r="H20" i="17"/>
  <c r="H16" i="17"/>
  <c r="B13" i="17"/>
  <c r="B38" i="16"/>
  <c r="D34" i="16"/>
  <c r="D33" i="16"/>
  <c r="D29" i="16"/>
  <c r="D25" i="16"/>
  <c r="H21" i="16"/>
  <c r="D13" i="16"/>
  <c r="T24" i="14"/>
  <c r="T22" i="14"/>
  <c r="P12" i="14"/>
  <c r="T34" i="13"/>
  <c r="T33" i="13"/>
  <c r="T29" i="13"/>
  <c r="T25" i="13"/>
  <c r="B16" i="13"/>
  <c r="D15" i="13"/>
  <c r="T12" i="13"/>
  <c r="D22" i="26"/>
  <c r="B13" i="26"/>
  <c r="D29" i="25"/>
  <c r="B21" i="23"/>
  <c r="D12" i="20"/>
  <c r="B22" i="17"/>
  <c r="D21" i="17"/>
  <c r="H15" i="17"/>
  <c r="B25" i="16"/>
  <c r="D24" i="16"/>
  <c r="D22" i="16"/>
  <c r="H20" i="16"/>
  <c r="H16" i="16"/>
  <c r="B13" i="16"/>
  <c r="P34" i="14"/>
  <c r="P33" i="14"/>
  <c r="P29" i="14"/>
  <c r="P25" i="14"/>
  <c r="T21" i="14"/>
  <c r="T24" i="13"/>
  <c r="T22" i="13"/>
  <c r="P12" i="13"/>
  <c r="B25" i="11"/>
  <c r="D24" i="11"/>
  <c r="D22" i="11"/>
  <c r="H20" i="11"/>
  <c r="H16" i="11"/>
  <c r="B13" i="11"/>
  <c r="B38" i="10"/>
  <c r="H21" i="26"/>
  <c r="B39" i="25"/>
  <c r="B25" i="22"/>
  <c r="H16" i="22"/>
  <c r="D5" i="20"/>
  <c r="B21" i="17"/>
  <c r="D20" i="17"/>
  <c r="D16" i="17"/>
  <c r="B22" i="16"/>
  <c r="D21" i="16"/>
  <c r="H15" i="16"/>
  <c r="P24" i="14"/>
  <c r="P22" i="14"/>
  <c r="T20" i="14"/>
  <c r="T16" i="14"/>
  <c r="T13" i="14"/>
  <c r="P34" i="13"/>
  <c r="P33" i="13"/>
  <c r="P29" i="13"/>
  <c r="P25" i="13"/>
  <c r="T21" i="13"/>
  <c r="B22" i="11"/>
  <c r="D21" i="11"/>
  <c r="H15" i="11"/>
  <c r="B25" i="10"/>
  <c r="D24" i="10"/>
  <c r="D22" i="10"/>
  <c r="H20" i="10"/>
  <c r="H16" i="10"/>
  <c r="B13" i="10"/>
  <c r="B38" i="25"/>
  <c r="D20" i="23"/>
  <c r="P20" i="20"/>
  <c r="T34" i="17"/>
  <c r="T33" i="17"/>
  <c r="T29" i="17"/>
  <c r="T25" i="17"/>
  <c r="B16" i="17"/>
  <c r="D15" i="17"/>
  <c r="T12" i="17"/>
  <c r="B21" i="16"/>
  <c r="D20" i="16"/>
  <c r="D16" i="16"/>
  <c r="P21" i="14"/>
  <c r="T15" i="14"/>
  <c r="P13" i="14"/>
  <c r="H12" i="14"/>
  <c r="P24" i="13"/>
  <c r="P22" i="13"/>
  <c r="T20" i="13"/>
  <c r="T16" i="13"/>
  <c r="T13" i="13"/>
  <c r="B21" i="11"/>
  <c r="D20" i="11"/>
  <c r="D16" i="11"/>
  <c r="D25" i="25"/>
  <c r="P16" i="19"/>
  <c r="P25" i="17"/>
  <c r="T22" i="16"/>
  <c r="D24" i="14"/>
  <c r="B38" i="13"/>
  <c r="H34" i="11"/>
  <c r="P13" i="10"/>
  <c r="D5" i="10"/>
  <c r="P34" i="8"/>
  <c r="P33" i="8"/>
  <c r="P29" i="8"/>
  <c r="P25" i="8"/>
  <c r="T21" i="8"/>
  <c r="T24" i="7"/>
  <c r="T22" i="7"/>
  <c r="P12" i="7"/>
  <c r="B39" i="5"/>
  <c r="H24" i="5"/>
  <c r="H22" i="5"/>
  <c r="H13" i="5"/>
  <c r="D4" i="5"/>
  <c r="H34" i="4"/>
  <c r="H33" i="4"/>
  <c r="H29" i="4"/>
  <c r="H25" i="4"/>
  <c r="P15" i="4"/>
  <c r="D5" i="4"/>
  <c r="B25" i="14"/>
  <c r="D21" i="7"/>
  <c r="T15" i="5"/>
  <c r="T20" i="4"/>
  <c r="H15" i="22"/>
  <c r="T15" i="19"/>
  <c r="T24" i="17"/>
  <c r="T12" i="16"/>
  <c r="P16" i="14"/>
  <c r="B38" i="11"/>
  <c r="D34" i="11"/>
  <c r="B16" i="11"/>
  <c r="H13" i="11"/>
  <c r="D34" i="10"/>
  <c r="D4" i="10"/>
  <c r="P24" i="8"/>
  <c r="P22" i="8"/>
  <c r="T20" i="8"/>
  <c r="T16" i="8"/>
  <c r="T13" i="8"/>
  <c r="P34" i="7"/>
  <c r="P33" i="7"/>
  <c r="P29" i="7"/>
  <c r="P25" i="7"/>
  <c r="T21" i="7"/>
  <c r="B38" i="5"/>
  <c r="D34" i="5"/>
  <c r="D33" i="5"/>
  <c r="D29" i="5"/>
  <c r="D25" i="5"/>
  <c r="H21" i="5"/>
  <c r="D13" i="5"/>
  <c r="B39" i="4"/>
  <c r="H24" i="4"/>
  <c r="H22" i="4"/>
  <c r="H13" i="4"/>
  <c r="D4" i="4"/>
  <c r="T34" i="16"/>
  <c r="P16" i="11"/>
  <c r="D16" i="8"/>
  <c r="H15" i="7"/>
  <c r="P22" i="4"/>
  <c r="T29" i="28"/>
  <c r="P34" i="17"/>
  <c r="P12" i="16"/>
  <c r="H29" i="14"/>
  <c r="P16" i="13"/>
  <c r="T33" i="11"/>
  <c r="T29" i="11"/>
  <c r="T25" i="11"/>
  <c r="D13" i="11"/>
  <c r="H29" i="10"/>
  <c r="P24" i="10"/>
  <c r="H21" i="10"/>
  <c r="D20" i="10"/>
  <c r="T15" i="10"/>
  <c r="P21" i="8"/>
  <c r="T15" i="8"/>
  <c r="P13" i="8"/>
  <c r="H12" i="8"/>
  <c r="P24" i="7"/>
  <c r="P22" i="7"/>
  <c r="T20" i="7"/>
  <c r="T16" i="7"/>
  <c r="T13" i="7"/>
  <c r="B25" i="5"/>
  <c r="D24" i="5"/>
  <c r="D22" i="5"/>
  <c r="H20" i="5"/>
  <c r="H16" i="5"/>
  <c r="B13" i="5"/>
  <c r="B38" i="4"/>
  <c r="D34" i="4"/>
  <c r="D33" i="4"/>
  <c r="D29" i="4"/>
  <c r="D25" i="4"/>
  <c r="H21" i="4"/>
  <c r="D13" i="4"/>
  <c r="B16" i="16"/>
  <c r="D25" i="13"/>
  <c r="T24" i="11"/>
  <c r="T16" i="4"/>
  <c r="T22" i="17"/>
  <c r="T29" i="16"/>
  <c r="D22" i="14"/>
  <c r="H16" i="14"/>
  <c r="D29" i="13"/>
  <c r="T22" i="11"/>
  <c r="H21" i="11"/>
  <c r="T15" i="11"/>
  <c r="T12" i="11"/>
  <c r="H22" i="10"/>
  <c r="D21" i="10"/>
  <c r="T16" i="10"/>
  <c r="H13" i="10"/>
  <c r="P20" i="8"/>
  <c r="P16" i="8"/>
  <c r="D12" i="8"/>
  <c r="P21" i="7"/>
  <c r="T15" i="7"/>
  <c r="P13" i="7"/>
  <c r="H12" i="7"/>
  <c r="B22" i="5"/>
  <c r="D21" i="5"/>
  <c r="H15" i="5"/>
  <c r="B25" i="4"/>
  <c r="D24" i="4"/>
  <c r="D22" i="4"/>
  <c r="H20" i="4"/>
  <c r="H16" i="4"/>
  <c r="B13" i="4"/>
  <c r="D13" i="13"/>
  <c r="D20" i="8"/>
  <c r="B22" i="7"/>
  <c r="P21" i="5"/>
  <c r="H12" i="5"/>
  <c r="H29" i="20"/>
  <c r="P33" i="17"/>
  <c r="P21" i="13"/>
  <c r="T15" i="13"/>
  <c r="P12" i="11"/>
  <c r="T33" i="10"/>
  <c r="D29" i="10"/>
  <c r="T25" i="10"/>
  <c r="B21" i="10"/>
  <c r="P15" i="10"/>
  <c r="D13" i="10"/>
  <c r="H34" i="8"/>
  <c r="H33" i="8"/>
  <c r="H29" i="8"/>
  <c r="H25" i="8"/>
  <c r="P15" i="8"/>
  <c r="D5" i="8"/>
  <c r="P20" i="7"/>
  <c r="P16" i="7"/>
  <c r="D12" i="7"/>
  <c r="B21" i="5"/>
  <c r="D20" i="5"/>
  <c r="D16" i="5"/>
  <c r="B22" i="4"/>
  <c r="D21" i="4"/>
  <c r="H15" i="4"/>
  <c r="D29" i="26"/>
  <c r="P12" i="17"/>
  <c r="H34" i="14"/>
  <c r="P15" i="14"/>
  <c r="P15" i="11"/>
  <c r="H12" i="11"/>
  <c r="B22" i="10"/>
  <c r="P16" i="10"/>
  <c r="B39" i="8"/>
  <c r="H24" i="8"/>
  <c r="H22" i="8"/>
  <c r="H13" i="8"/>
  <c r="D4" i="8"/>
  <c r="H34" i="7"/>
  <c r="H33" i="7"/>
  <c r="H29" i="7"/>
  <c r="H25" i="7"/>
  <c r="P15" i="7"/>
  <c r="D5" i="7"/>
  <c r="T34" i="5"/>
  <c r="T33" i="5"/>
  <c r="T29" i="5"/>
  <c r="T25" i="5"/>
  <c r="B16" i="5"/>
  <c r="D15" i="5"/>
  <c r="T12" i="5"/>
  <c r="B21" i="4"/>
  <c r="D20" i="4"/>
  <c r="D16" i="4"/>
  <c r="D33" i="13"/>
  <c r="B39" i="10"/>
  <c r="B21" i="8"/>
  <c r="T21" i="17"/>
  <c r="D34" i="13"/>
  <c r="H21" i="13"/>
  <c r="H33" i="11"/>
  <c r="H29" i="11"/>
  <c r="H25" i="11"/>
  <c r="D12" i="11"/>
  <c r="H24" i="10"/>
  <c r="B38" i="8"/>
  <c r="D34" i="8"/>
  <c r="D33" i="8"/>
  <c r="D29" i="8"/>
  <c r="D25" i="8"/>
  <c r="H21" i="8"/>
  <c r="D13" i="8"/>
  <c r="B39" i="7"/>
  <c r="H24" i="7"/>
  <c r="H22" i="7"/>
  <c r="H13" i="7"/>
  <c r="D4" i="7"/>
  <c r="T24" i="5"/>
  <c r="T22" i="5"/>
  <c r="P12" i="5"/>
  <c r="T34" i="4"/>
  <c r="T33" i="4"/>
  <c r="T29" i="4"/>
  <c r="T25" i="4"/>
  <c r="B16" i="4"/>
  <c r="D15" i="4"/>
  <c r="T12" i="4"/>
  <c r="B13" i="14"/>
  <c r="P20" i="10"/>
  <c r="T25" i="16"/>
  <c r="P20" i="14"/>
  <c r="P13" i="13"/>
  <c r="D33" i="11"/>
  <c r="D29" i="11"/>
  <c r="D25" i="11"/>
  <c r="H22" i="11"/>
  <c r="P20" i="11"/>
  <c r="D5" i="11"/>
  <c r="T34" i="10"/>
  <c r="T20" i="10"/>
  <c r="H15" i="10"/>
  <c r="T12" i="10"/>
  <c r="B25" i="8"/>
  <c r="D24" i="8"/>
  <c r="D22" i="8"/>
  <c r="H20" i="8"/>
  <c r="H16" i="8"/>
  <c r="B13" i="8"/>
  <c r="B38" i="7"/>
  <c r="D34" i="7"/>
  <c r="D33" i="7"/>
  <c r="D29" i="7"/>
  <c r="D25" i="7"/>
  <c r="H21" i="7"/>
  <c r="D13" i="7"/>
  <c r="P34" i="5"/>
  <c r="P33" i="5"/>
  <c r="P29" i="5"/>
  <c r="P25" i="5"/>
  <c r="T21" i="5"/>
  <c r="T24" i="4"/>
  <c r="T22" i="4"/>
  <c r="P12" i="4"/>
  <c r="H20" i="14"/>
  <c r="D15" i="10"/>
  <c r="P13" i="5"/>
  <c r="P24" i="4"/>
  <c r="T13" i="4"/>
  <c r="H20" i="26"/>
  <c r="P29" i="17"/>
  <c r="H33" i="14"/>
  <c r="H25" i="14"/>
  <c r="P20" i="13"/>
  <c r="T34" i="11"/>
  <c r="D15" i="11"/>
  <c r="D4" i="11"/>
  <c r="H33" i="10"/>
  <c r="H25" i="10"/>
  <c r="P12" i="10"/>
  <c r="B22" i="8"/>
  <c r="D21" i="8"/>
  <c r="H15" i="8"/>
  <c r="B25" i="7"/>
  <c r="D24" i="7"/>
  <c r="D22" i="7"/>
  <c r="H20" i="7"/>
  <c r="H16" i="7"/>
  <c r="B13" i="7"/>
  <c r="P24" i="5"/>
  <c r="P22" i="5"/>
  <c r="T20" i="5"/>
  <c r="T16" i="5"/>
  <c r="T13" i="5"/>
  <c r="P34" i="4"/>
  <c r="P33" i="4"/>
  <c r="P29" i="4"/>
  <c r="P25" i="4"/>
  <c r="T21" i="4"/>
  <c r="T33" i="7"/>
  <c r="D15" i="7"/>
  <c r="H34" i="5"/>
  <c r="P15" i="5"/>
  <c r="D12" i="4"/>
  <c r="P21" i="10"/>
  <c r="D15" i="16"/>
  <c r="D12" i="14"/>
  <c r="D16" i="10"/>
  <c r="T34" i="8"/>
  <c r="B16" i="8"/>
  <c r="T25" i="8"/>
  <c r="D5" i="14"/>
  <c r="B16" i="10"/>
  <c r="T24" i="8"/>
  <c r="T12" i="7"/>
  <c r="H33" i="5"/>
  <c r="P20" i="4"/>
  <c r="P13" i="11"/>
  <c r="D25" i="10"/>
  <c r="T33" i="8"/>
  <c r="D15" i="8"/>
  <c r="B21" i="7"/>
  <c r="D12" i="5"/>
  <c r="T13" i="10"/>
  <c r="T22" i="8"/>
  <c r="T29" i="7"/>
  <c r="D5" i="5"/>
  <c r="H12" i="10"/>
  <c r="T12" i="8"/>
  <c r="D20" i="7"/>
  <c r="P20" i="5"/>
  <c r="T29" i="8"/>
  <c r="T15" i="4"/>
  <c r="P22" i="10"/>
  <c r="D12" i="10"/>
  <c r="P12" i="8"/>
  <c r="H29" i="5"/>
  <c r="P16" i="4"/>
  <c r="H34" i="10"/>
  <c r="T25" i="7"/>
  <c r="P16" i="5"/>
  <c r="P13" i="4"/>
  <c r="P21" i="11"/>
  <c r="T29" i="10"/>
  <c r="H12" i="4"/>
  <c r="D24" i="22"/>
  <c r="T33" i="16"/>
  <c r="H12" i="13"/>
  <c r="D33" i="10"/>
  <c r="D16" i="7"/>
  <c r="B16" i="7"/>
  <c r="H25" i="5"/>
  <c r="P21" i="4"/>
  <c r="T24" i="16"/>
  <c r="D12" i="13"/>
  <c r="T34" i="7"/>
  <c r="Z34" i="7" l="1"/>
  <c r="F36" i="13"/>
  <c r="F34" i="13"/>
  <c r="F33" i="13"/>
  <c r="F31" i="13"/>
  <c r="F29" i="13"/>
  <c r="F27" i="13"/>
  <c r="F25" i="13"/>
  <c r="F21" i="13"/>
  <c r="F20" i="13"/>
  <c r="F18" i="13"/>
  <c r="F16" i="13"/>
  <c r="D18" i="13"/>
  <c r="F15" i="13"/>
  <c r="L12" i="13"/>
  <c r="F24" i="13"/>
  <c r="F22" i="13"/>
  <c r="Z24" i="16"/>
  <c r="X21" i="4"/>
  <c r="N25" i="5"/>
  <c r="L16" i="7"/>
  <c r="L33" i="10"/>
  <c r="J24" i="13"/>
  <c r="J22" i="13"/>
  <c r="J21" i="13"/>
  <c r="H18" i="13"/>
  <c r="J15" i="13"/>
  <c r="N12" i="13"/>
  <c r="J18" i="13"/>
  <c r="J36" i="13"/>
  <c r="J29" i="13"/>
  <c r="J16" i="13"/>
  <c r="J34" i="13"/>
  <c r="J27" i="13"/>
  <c r="J20" i="13"/>
  <c r="J33" i="13"/>
  <c r="J25" i="13"/>
  <c r="J31" i="13"/>
  <c r="Z33" i="16"/>
  <c r="L24" i="22"/>
  <c r="J24" i="4"/>
  <c r="J22" i="4"/>
  <c r="J21" i="4"/>
  <c r="J20" i="4"/>
  <c r="J18" i="4"/>
  <c r="J16" i="4"/>
  <c r="H18" i="4"/>
  <c r="J15" i="4"/>
  <c r="N12" i="4"/>
  <c r="J31" i="4"/>
  <c r="J29" i="4"/>
  <c r="J27" i="4"/>
  <c r="J36" i="4"/>
  <c r="J25" i="4"/>
  <c r="J34" i="4"/>
  <c r="J33" i="4"/>
  <c r="Z29" i="10"/>
  <c r="X21" i="11"/>
  <c r="X13" i="4"/>
  <c r="X16" i="5"/>
  <c r="Z25" i="7"/>
  <c r="N34" i="10"/>
  <c r="X16" i="4"/>
  <c r="N29" i="5"/>
  <c r="R24" i="8"/>
  <c r="R22" i="8"/>
  <c r="R21" i="8"/>
  <c r="R20" i="8"/>
  <c r="R18" i="8"/>
  <c r="R16" i="8"/>
  <c r="P18" i="8"/>
  <c r="R15" i="8"/>
  <c r="X12" i="8"/>
  <c r="R36" i="8"/>
  <c r="R25" i="8"/>
  <c r="R34" i="8"/>
  <c r="R33" i="8"/>
  <c r="R31" i="8"/>
  <c r="R29" i="8"/>
  <c r="R27" i="8"/>
  <c r="F21" i="10"/>
  <c r="F34" i="10"/>
  <c r="F27" i="10"/>
  <c r="D18" i="10"/>
  <c r="F25" i="10"/>
  <c r="L12" i="10"/>
  <c r="F20" i="10"/>
  <c r="F29" i="10"/>
  <c r="F33" i="10"/>
  <c r="F16" i="10"/>
  <c r="F36" i="10"/>
  <c r="F22" i="10"/>
  <c r="F31" i="10"/>
  <c r="F24" i="10"/>
  <c r="F15" i="10"/>
  <c r="F18" i="10"/>
  <c r="X22" i="10"/>
  <c r="Z15" i="4"/>
  <c r="Z29" i="8"/>
  <c r="X20" i="5"/>
  <c r="L20" i="7"/>
  <c r="V20" i="8"/>
  <c r="V18" i="8"/>
  <c r="V16" i="8"/>
  <c r="T18" i="8"/>
  <c r="V15" i="8"/>
  <c r="V33" i="8"/>
  <c r="V25" i="8"/>
  <c r="V36" i="8"/>
  <c r="V29" i="8"/>
  <c r="V31" i="8"/>
  <c r="V27" i="8"/>
  <c r="Z12" i="8"/>
  <c r="V34" i="8"/>
  <c r="V24" i="8"/>
  <c r="V22" i="8"/>
  <c r="V21" i="8"/>
  <c r="N12" i="10"/>
  <c r="H18" i="10"/>
  <c r="J15" i="10"/>
  <c r="J20" i="10"/>
  <c r="J29" i="10"/>
  <c r="J21" i="10"/>
  <c r="J36" i="10"/>
  <c r="J22" i="10"/>
  <c r="J31" i="10"/>
  <c r="J24" i="10"/>
  <c r="J33" i="10"/>
  <c r="J25" i="10"/>
  <c r="J16" i="10"/>
  <c r="J27" i="10"/>
  <c r="J34" i="10"/>
  <c r="J18" i="10"/>
  <c r="Z29" i="7"/>
  <c r="Z22" i="8"/>
  <c r="Z13" i="10"/>
  <c r="F36" i="5"/>
  <c r="F34" i="5"/>
  <c r="F33" i="5"/>
  <c r="F31" i="5"/>
  <c r="F29" i="5"/>
  <c r="F27" i="5"/>
  <c r="F25" i="5"/>
  <c r="F24" i="5"/>
  <c r="F22" i="5"/>
  <c r="F21" i="5"/>
  <c r="F20" i="5"/>
  <c r="F18" i="5"/>
  <c r="F16" i="5"/>
  <c r="D18" i="5"/>
  <c r="F15" i="5"/>
  <c r="L12" i="5"/>
  <c r="L15" i="8"/>
  <c r="Z33" i="8"/>
  <c r="L25" i="10"/>
  <c r="X13" i="11"/>
  <c r="X20" i="4"/>
  <c r="N33" i="5"/>
  <c r="V21" i="7"/>
  <c r="V20" i="7"/>
  <c r="V18" i="7"/>
  <c r="V16" i="7"/>
  <c r="T18" i="7"/>
  <c r="V15" i="7"/>
  <c r="Z12" i="7"/>
  <c r="V22" i="7"/>
  <c r="V36" i="7"/>
  <c r="V33" i="7"/>
  <c r="V31" i="7"/>
  <c r="V25" i="7"/>
  <c r="V29" i="7"/>
  <c r="V27" i="7"/>
  <c r="V24" i="7"/>
  <c r="V34" i="7"/>
  <c r="Z24" i="8"/>
  <c r="Z25" i="8"/>
  <c r="Z34" i="8"/>
  <c r="L16" i="10"/>
  <c r="F36" i="14"/>
  <c r="F34" i="14"/>
  <c r="F33" i="14"/>
  <c r="F31" i="14"/>
  <c r="F29" i="14"/>
  <c r="F27" i="14"/>
  <c r="F25" i="14"/>
  <c r="F24" i="14"/>
  <c r="F22" i="14"/>
  <c r="F20" i="14"/>
  <c r="F18" i="14"/>
  <c r="F16" i="14"/>
  <c r="D18" i="14"/>
  <c r="F15" i="14"/>
  <c r="L12" i="14"/>
  <c r="F21" i="14"/>
  <c r="L15" i="16"/>
  <c r="X21" i="10"/>
  <c r="F36" i="4"/>
  <c r="F34" i="4"/>
  <c r="F33" i="4"/>
  <c r="F31" i="4"/>
  <c r="F29" i="4"/>
  <c r="F27" i="4"/>
  <c r="F25" i="4"/>
  <c r="F24" i="4"/>
  <c r="F22" i="4"/>
  <c r="F21" i="4"/>
  <c r="F20" i="4"/>
  <c r="F18" i="4"/>
  <c r="F16" i="4"/>
  <c r="D18" i="4"/>
  <c r="F15" i="4"/>
  <c r="L12" i="4"/>
  <c r="X15" i="5"/>
  <c r="N34" i="5"/>
  <c r="L15" i="7"/>
  <c r="Z33" i="7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R36" i="10"/>
  <c r="R34" i="10"/>
  <c r="R33" i="10"/>
  <c r="R31" i="10"/>
  <c r="R29" i="10"/>
  <c r="R27" i="10"/>
  <c r="R25" i="10"/>
  <c r="R24" i="10"/>
  <c r="R22" i="10"/>
  <c r="R21" i="10"/>
  <c r="R15" i="10"/>
  <c r="R16" i="10"/>
  <c r="R18" i="10"/>
  <c r="X12" i="10"/>
  <c r="P18" i="10"/>
  <c r="R20" i="10"/>
  <c r="N25" i="10"/>
  <c r="N33" i="10"/>
  <c r="L15" i="11"/>
  <c r="Z34" i="11"/>
  <c r="X20" i="13"/>
  <c r="N25" i="14"/>
  <c r="N33" i="14"/>
  <c r="X29" i="17"/>
  <c r="N20" i="26"/>
  <c r="Z13" i="4"/>
  <c r="X24" i="4"/>
  <c r="X13" i="5"/>
  <c r="L15" i="10"/>
  <c r="N20" i="14"/>
  <c r="X12" i="4"/>
  <c r="R36" i="4"/>
  <c r="R34" i="4"/>
  <c r="R33" i="4"/>
  <c r="R31" i="4"/>
  <c r="R29" i="4"/>
  <c r="R27" i="4"/>
  <c r="R25" i="4"/>
  <c r="R24" i="4"/>
  <c r="R22" i="4"/>
  <c r="R21" i="4"/>
  <c r="R20" i="4"/>
  <c r="R18" i="4"/>
  <c r="P18" i="4"/>
  <c r="R16" i="4"/>
  <c r="R15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V20" i="10"/>
  <c r="V18" i="10"/>
  <c r="V16" i="10"/>
  <c r="V31" i="10"/>
  <c r="V24" i="10"/>
  <c r="V15" i="10"/>
  <c r="V33" i="10"/>
  <c r="V25" i="10"/>
  <c r="T18" i="10"/>
  <c r="Z12" i="10"/>
  <c r="V34" i="10"/>
  <c r="V27" i="10"/>
  <c r="V29" i="10"/>
  <c r="V21" i="10"/>
  <c r="V36" i="10"/>
  <c r="V22" i="10"/>
  <c r="N15" i="10"/>
  <c r="Z20" i="10"/>
  <c r="Z34" i="10"/>
  <c r="X20" i="11"/>
  <c r="N22" i="11"/>
  <c r="L25" i="11"/>
  <c r="L29" i="11"/>
  <c r="L33" i="11"/>
  <c r="X13" i="13"/>
  <c r="X20" i="14"/>
  <c r="Z25" i="16"/>
  <c r="X20" i="10"/>
  <c r="V15" i="4"/>
  <c r="Z12" i="4"/>
  <c r="V36" i="4"/>
  <c r="V34" i="4"/>
  <c r="V33" i="4"/>
  <c r="V31" i="4"/>
  <c r="V29" i="4"/>
  <c r="V27" i="4"/>
  <c r="V25" i="4"/>
  <c r="T18" i="4"/>
  <c r="V24" i="4"/>
  <c r="V22" i="4"/>
  <c r="V21" i="4"/>
  <c r="V20" i="4"/>
  <c r="V18" i="4"/>
  <c r="V16" i="4"/>
  <c r="L15" i="4"/>
  <c r="Z25" i="4"/>
  <c r="Z29" i="4"/>
  <c r="Z33" i="4"/>
  <c r="Z34" i="4"/>
  <c r="R16" i="5"/>
  <c r="R18" i="5"/>
  <c r="X12" i="5"/>
  <c r="R36" i="5"/>
  <c r="R34" i="5"/>
  <c r="R33" i="5"/>
  <c r="R31" i="5"/>
  <c r="R29" i="5"/>
  <c r="R27" i="5"/>
  <c r="R25" i="5"/>
  <c r="R24" i="5"/>
  <c r="R22" i="5"/>
  <c r="R21" i="5"/>
  <c r="R20" i="5"/>
  <c r="R15" i="5"/>
  <c r="P18" i="5"/>
  <c r="Z22" i="5"/>
  <c r="Z24" i="5"/>
  <c r="N13" i="7"/>
  <c r="N22" i="7"/>
  <c r="N24" i="7"/>
  <c r="L13" i="8"/>
  <c r="N21" i="8"/>
  <c r="L25" i="8"/>
  <c r="L29" i="8"/>
  <c r="L33" i="8"/>
  <c r="L34" i="8"/>
  <c r="N24" i="10"/>
  <c r="L12" i="11"/>
  <c r="F36" i="11"/>
  <c r="F34" i="11"/>
  <c r="F33" i="11"/>
  <c r="F31" i="11"/>
  <c r="F29" i="11"/>
  <c r="F27" i="11"/>
  <c r="F25" i="11"/>
  <c r="F21" i="11"/>
  <c r="F20" i="11"/>
  <c r="F18" i="11"/>
  <c r="F16" i="11"/>
  <c r="D18" i="11"/>
  <c r="F15" i="11"/>
  <c r="F24" i="11"/>
  <c r="F22" i="11"/>
  <c r="N25" i="11"/>
  <c r="N29" i="11"/>
  <c r="N33" i="11"/>
  <c r="N21" i="13"/>
  <c r="L34" i="13"/>
  <c r="Z21" i="17"/>
  <c r="L33" i="13"/>
  <c r="L16" i="4"/>
  <c r="L20" i="4"/>
  <c r="Z12" i="5"/>
  <c r="V36" i="5"/>
  <c r="V34" i="5"/>
  <c r="V33" i="5"/>
  <c r="V31" i="5"/>
  <c r="V29" i="5"/>
  <c r="V27" i="5"/>
  <c r="V25" i="5"/>
  <c r="V24" i="5"/>
  <c r="V22" i="5"/>
  <c r="V21" i="5"/>
  <c r="V20" i="5"/>
  <c r="V18" i="5"/>
  <c r="V16" i="5"/>
  <c r="T18" i="5"/>
  <c r="V15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X16" i="10"/>
  <c r="N12" i="11"/>
  <c r="H18" i="11"/>
  <c r="J15" i="11"/>
  <c r="J24" i="11"/>
  <c r="J16" i="11"/>
  <c r="J21" i="11"/>
  <c r="J36" i="11"/>
  <c r="J33" i="11"/>
  <c r="J29" i="11"/>
  <c r="J25" i="11"/>
  <c r="J18" i="11"/>
  <c r="J22" i="11"/>
  <c r="J34" i="11"/>
  <c r="J31" i="11"/>
  <c r="J27" i="11"/>
  <c r="J20" i="11"/>
  <c r="X15" i="11"/>
  <c r="X15" i="14"/>
  <c r="N34" i="14"/>
  <c r="R21" i="17"/>
  <c r="R20" i="17"/>
  <c r="R18" i="17"/>
  <c r="R16" i="17"/>
  <c r="P18" i="17"/>
  <c r="R15" i="17"/>
  <c r="X12" i="17"/>
  <c r="R27" i="17"/>
  <c r="R34" i="17"/>
  <c r="R24" i="17"/>
  <c r="R33" i="17"/>
  <c r="R22" i="17"/>
  <c r="R31" i="17"/>
  <c r="R29" i="17"/>
  <c r="R36" i="17"/>
  <c r="R25" i="17"/>
  <c r="L29" i="26"/>
  <c r="N15" i="4"/>
  <c r="L21" i="4"/>
  <c r="L16" i="5"/>
  <c r="L20" i="5"/>
  <c r="L12" i="7"/>
  <c r="F16" i="7"/>
  <c r="F18" i="7"/>
  <c r="F36" i="7"/>
  <c r="F34" i="7"/>
  <c r="F33" i="7"/>
  <c r="F31" i="7"/>
  <c r="F29" i="7"/>
  <c r="F27" i="7"/>
  <c r="F25" i="7"/>
  <c r="F24" i="7"/>
  <c r="F22" i="7"/>
  <c r="F21" i="7"/>
  <c r="F20" i="7"/>
  <c r="D18" i="7"/>
  <c r="F15" i="7"/>
  <c r="X16" i="7"/>
  <c r="X20" i="7"/>
  <c r="X15" i="8"/>
  <c r="N25" i="8"/>
  <c r="N29" i="8"/>
  <c r="N33" i="8"/>
  <c r="N34" i="8"/>
  <c r="L13" i="10"/>
  <c r="X15" i="10"/>
  <c r="Z25" i="10"/>
  <c r="L29" i="10"/>
  <c r="Z33" i="10"/>
  <c r="R24" i="11"/>
  <c r="R22" i="11"/>
  <c r="R21" i="11"/>
  <c r="X12" i="11"/>
  <c r="R18" i="11"/>
  <c r="R27" i="11"/>
  <c r="P18" i="11"/>
  <c r="R36" i="11"/>
  <c r="R33" i="11"/>
  <c r="R29" i="11"/>
  <c r="R25" i="11"/>
  <c r="R31" i="11"/>
  <c r="R15" i="11"/>
  <c r="R34" i="11"/>
  <c r="R20" i="11"/>
  <c r="R16" i="11"/>
  <c r="Z15" i="13"/>
  <c r="X21" i="13"/>
  <c r="X33" i="17"/>
  <c r="N29" i="20"/>
  <c r="J21" i="5"/>
  <c r="J20" i="5"/>
  <c r="J18" i="5"/>
  <c r="J16" i="5"/>
  <c r="H18" i="5"/>
  <c r="J15" i="5"/>
  <c r="N12" i="5"/>
  <c r="J24" i="5"/>
  <c r="J27" i="5"/>
  <c r="J33" i="5"/>
  <c r="J22" i="5"/>
  <c r="J31" i="5"/>
  <c r="J34" i="5"/>
  <c r="J29" i="5"/>
  <c r="J36" i="5"/>
  <c r="J25" i="5"/>
  <c r="X21" i="5"/>
  <c r="L20" i="8"/>
  <c r="L13" i="13"/>
  <c r="N16" i="4"/>
  <c r="N20" i="4"/>
  <c r="L22" i="4"/>
  <c r="L24" i="4"/>
  <c r="N15" i="5"/>
  <c r="L21" i="5"/>
  <c r="N12" i="7"/>
  <c r="J36" i="7"/>
  <c r="J34" i="7"/>
  <c r="J33" i="7"/>
  <c r="J31" i="7"/>
  <c r="J29" i="7"/>
  <c r="J27" i="7"/>
  <c r="J25" i="7"/>
  <c r="J24" i="7"/>
  <c r="J22" i="7"/>
  <c r="J21" i="7"/>
  <c r="J20" i="7"/>
  <c r="J18" i="7"/>
  <c r="J16" i="7"/>
  <c r="H18" i="7"/>
  <c r="J15" i="7"/>
  <c r="X13" i="7"/>
  <c r="Z15" i="7"/>
  <c r="X21" i="7"/>
  <c r="L12" i="8"/>
  <c r="F36" i="8"/>
  <c r="F34" i="8"/>
  <c r="F33" i="8"/>
  <c r="F31" i="8"/>
  <c r="F29" i="8"/>
  <c r="F27" i="8"/>
  <c r="F25" i="8"/>
  <c r="F24" i="8"/>
  <c r="F22" i="8"/>
  <c r="D18" i="8"/>
  <c r="F21" i="8"/>
  <c r="F15" i="8"/>
  <c r="F20" i="8"/>
  <c r="F18" i="8"/>
  <c r="F16" i="8"/>
  <c r="X16" i="8"/>
  <c r="X20" i="8"/>
  <c r="N13" i="10"/>
  <c r="Z16" i="10"/>
  <c r="L21" i="10"/>
  <c r="N22" i="10"/>
  <c r="V20" i="11"/>
  <c r="V18" i="11"/>
  <c r="V16" i="11"/>
  <c r="T18" i="11"/>
  <c r="V15" i="11"/>
  <c r="Z12" i="11"/>
  <c r="V36" i="11"/>
  <c r="V34" i="11"/>
  <c r="V33" i="11"/>
  <c r="V31" i="11"/>
  <c r="V29" i="11"/>
  <c r="V27" i="11"/>
  <c r="V25" i="11"/>
  <c r="V22" i="11"/>
  <c r="V24" i="11"/>
  <c r="V21" i="11"/>
  <c r="Z15" i="11"/>
  <c r="N21" i="11"/>
  <c r="Z22" i="11"/>
  <c r="L29" i="13"/>
  <c r="N16" i="14"/>
  <c r="L22" i="14"/>
  <c r="Z29" i="16"/>
  <c r="Z22" i="17"/>
  <c r="Z16" i="4"/>
  <c r="Z24" i="11"/>
  <c r="L25" i="13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N12" i="8"/>
  <c r="J36" i="8"/>
  <c r="J34" i="8"/>
  <c r="J33" i="8"/>
  <c r="J31" i="8"/>
  <c r="J29" i="8"/>
  <c r="J27" i="8"/>
  <c r="J25" i="8"/>
  <c r="J24" i="8"/>
  <c r="J22" i="8"/>
  <c r="J21" i="8"/>
  <c r="J20" i="8"/>
  <c r="J18" i="8"/>
  <c r="J16" i="8"/>
  <c r="H18" i="8"/>
  <c r="J15" i="8"/>
  <c r="X13" i="8"/>
  <c r="Z15" i="8"/>
  <c r="X21" i="8"/>
  <c r="Z15" i="10"/>
  <c r="L20" i="10"/>
  <c r="N21" i="10"/>
  <c r="X24" i="10"/>
  <c r="N29" i="10"/>
  <c r="L13" i="11"/>
  <c r="Z25" i="11"/>
  <c r="Z29" i="11"/>
  <c r="Z33" i="11"/>
  <c r="X16" i="13"/>
  <c r="N29" i="14"/>
  <c r="R24" i="16"/>
  <c r="R22" i="16"/>
  <c r="R21" i="16"/>
  <c r="R20" i="16"/>
  <c r="R18" i="16"/>
  <c r="R16" i="16"/>
  <c r="P18" i="16"/>
  <c r="R15" i="16"/>
  <c r="X12" i="16"/>
  <c r="R33" i="16"/>
  <c r="R31" i="16"/>
  <c r="R29" i="16"/>
  <c r="R27" i="16"/>
  <c r="R36" i="16"/>
  <c r="R25" i="16"/>
  <c r="R34" i="16"/>
  <c r="X34" i="17"/>
  <c r="Z29" i="28"/>
  <c r="X22" i="4"/>
  <c r="N15" i="7"/>
  <c r="L16" i="8"/>
  <c r="X16" i="11"/>
  <c r="Z34" i="16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L34" i="10"/>
  <c r="N13" i="11"/>
  <c r="L34" i="11"/>
  <c r="X16" i="14"/>
  <c r="V20" i="16"/>
  <c r="V18" i="16"/>
  <c r="V16" i="16"/>
  <c r="T18" i="16"/>
  <c r="V15" i="16"/>
  <c r="Z12" i="16"/>
  <c r="V36" i="16"/>
  <c r="V34" i="16"/>
  <c r="V33" i="16"/>
  <c r="V31" i="16"/>
  <c r="V29" i="16"/>
  <c r="V27" i="16"/>
  <c r="V25" i="16"/>
  <c r="V21" i="16"/>
  <c r="V24" i="16"/>
  <c r="V22" i="16"/>
  <c r="Z24" i="17"/>
  <c r="Z15" i="19"/>
  <c r="N15" i="22"/>
  <c r="Z20" i="4"/>
  <c r="Z15" i="5"/>
  <c r="L21" i="7"/>
  <c r="X15" i="4"/>
  <c r="N25" i="4"/>
  <c r="N29" i="4"/>
  <c r="N33" i="4"/>
  <c r="N34" i="4"/>
  <c r="N13" i="5"/>
  <c r="N22" i="5"/>
  <c r="N24" i="5"/>
  <c r="R36" i="7"/>
  <c r="R34" i="7"/>
  <c r="R33" i="7"/>
  <c r="R31" i="7"/>
  <c r="R29" i="7"/>
  <c r="R27" i="7"/>
  <c r="R25" i="7"/>
  <c r="R24" i="7"/>
  <c r="R22" i="7"/>
  <c r="R21" i="7"/>
  <c r="R20" i="7"/>
  <c r="R18" i="7"/>
  <c r="R16" i="7"/>
  <c r="P18" i="7"/>
  <c r="R15" i="7"/>
  <c r="X12" i="7"/>
  <c r="Z22" i="7"/>
  <c r="Z24" i="7"/>
  <c r="Z21" i="8"/>
  <c r="X25" i="8"/>
  <c r="X29" i="8"/>
  <c r="X33" i="8"/>
  <c r="X34" i="8"/>
  <c r="X13" i="10"/>
  <c r="N34" i="11"/>
  <c r="L24" i="14"/>
  <c r="Z22" i="16"/>
  <c r="X25" i="17"/>
  <c r="X16" i="19"/>
  <c r="L25" i="25"/>
  <c r="L16" i="11"/>
  <c r="L20" i="11"/>
  <c r="Z13" i="13"/>
  <c r="Z16" i="13"/>
  <c r="Z20" i="13"/>
  <c r="X22" i="13"/>
  <c r="X24" i="13"/>
  <c r="J21" i="14"/>
  <c r="J20" i="14"/>
  <c r="J18" i="14"/>
  <c r="J16" i="14"/>
  <c r="N12" i="14"/>
  <c r="H18" i="14"/>
  <c r="J36" i="14"/>
  <c r="J29" i="14"/>
  <c r="J22" i="14"/>
  <c r="J34" i="14"/>
  <c r="J27" i="14"/>
  <c r="J15" i="14"/>
  <c r="J33" i="14"/>
  <c r="J25" i="14"/>
  <c r="J31" i="14"/>
  <c r="J24" i="14"/>
  <c r="X13" i="14"/>
  <c r="Z15" i="14"/>
  <c r="X21" i="14"/>
  <c r="L16" i="16"/>
  <c r="L20" i="16"/>
  <c r="T18" i="17"/>
  <c r="V15" i="17"/>
  <c r="Z12" i="17"/>
  <c r="V36" i="17"/>
  <c r="V34" i="17"/>
  <c r="V33" i="17"/>
  <c r="V31" i="17"/>
  <c r="V29" i="17"/>
  <c r="V27" i="17"/>
  <c r="V25" i="17"/>
  <c r="V24" i="17"/>
  <c r="V22" i="17"/>
  <c r="V16" i="17"/>
  <c r="V21" i="17"/>
  <c r="V20" i="17"/>
  <c r="V18" i="17"/>
  <c r="L15" i="17"/>
  <c r="Z25" i="17"/>
  <c r="Z29" i="17"/>
  <c r="Z33" i="17"/>
  <c r="Z34" i="17"/>
  <c r="X20" i="20"/>
  <c r="L20" i="23"/>
  <c r="N16" i="10"/>
  <c r="N20" i="10"/>
  <c r="L22" i="10"/>
  <c r="L24" i="10"/>
  <c r="N15" i="11"/>
  <c r="L21" i="11"/>
  <c r="Z21" i="13"/>
  <c r="X25" i="13"/>
  <c r="X29" i="13"/>
  <c r="X33" i="13"/>
  <c r="X34" i="13"/>
  <c r="Z13" i="14"/>
  <c r="Z16" i="14"/>
  <c r="Z20" i="14"/>
  <c r="X22" i="14"/>
  <c r="X24" i="14"/>
  <c r="N15" i="16"/>
  <c r="L21" i="16"/>
  <c r="L16" i="17"/>
  <c r="L20" i="17"/>
  <c r="N16" i="22"/>
  <c r="N21" i="26"/>
  <c r="N16" i="11"/>
  <c r="N20" i="11"/>
  <c r="L22" i="11"/>
  <c r="L24" i="11"/>
  <c r="X12" i="13"/>
  <c r="R36" i="13"/>
  <c r="R34" i="13"/>
  <c r="R33" i="13"/>
  <c r="R31" i="13"/>
  <c r="R29" i="13"/>
  <c r="R27" i="13"/>
  <c r="R25" i="13"/>
  <c r="R24" i="13"/>
  <c r="R22" i="13"/>
  <c r="R21" i="13"/>
  <c r="R16" i="13"/>
  <c r="R15" i="13"/>
  <c r="R20" i="13"/>
  <c r="R18" i="13"/>
  <c r="P18" i="13"/>
  <c r="Z22" i="13"/>
  <c r="Z24" i="13"/>
  <c r="Z21" i="14"/>
  <c r="X25" i="14"/>
  <c r="X29" i="14"/>
  <c r="X33" i="14"/>
  <c r="X34" i="14"/>
  <c r="N16" i="16"/>
  <c r="N20" i="16"/>
  <c r="L22" i="16"/>
  <c r="L24" i="16"/>
  <c r="N15" i="17"/>
  <c r="L21" i="17"/>
  <c r="F36" i="20"/>
  <c r="F34" i="20"/>
  <c r="F33" i="20"/>
  <c r="F31" i="20"/>
  <c r="F29" i="20"/>
  <c r="F27" i="20"/>
  <c r="F25" i="20"/>
  <c r="F24" i="20"/>
  <c r="F22" i="20"/>
  <c r="F21" i="20"/>
  <c r="F20" i="20"/>
  <c r="F18" i="20"/>
  <c r="F16" i="20"/>
  <c r="D18" i="20"/>
  <c r="F15" i="20"/>
  <c r="L12" i="20"/>
  <c r="L29" i="25"/>
  <c r="L22" i="26"/>
  <c r="Z12" i="13"/>
  <c r="V36" i="13"/>
  <c r="V34" i="13"/>
  <c r="V33" i="13"/>
  <c r="V31" i="13"/>
  <c r="V29" i="13"/>
  <c r="V27" i="13"/>
  <c r="V25" i="13"/>
  <c r="V24" i="13"/>
  <c r="V22" i="13"/>
  <c r="V21" i="13"/>
  <c r="V20" i="13"/>
  <c r="V18" i="13"/>
  <c r="V16" i="13"/>
  <c r="T18" i="13"/>
  <c r="V15" i="13"/>
  <c r="L15" i="13"/>
  <c r="Z25" i="13"/>
  <c r="Z29" i="13"/>
  <c r="Z33" i="13"/>
  <c r="Z34" i="13"/>
  <c r="X12" i="14"/>
  <c r="R36" i="14"/>
  <c r="R34" i="14"/>
  <c r="R33" i="14"/>
  <c r="R31" i="14"/>
  <c r="R29" i="14"/>
  <c r="R27" i="14"/>
  <c r="R25" i="14"/>
  <c r="R24" i="14"/>
  <c r="R22" i="14"/>
  <c r="R21" i="14"/>
  <c r="R20" i="14"/>
  <c r="R18" i="14"/>
  <c r="R16" i="14"/>
  <c r="R15" i="14"/>
  <c r="P18" i="14"/>
  <c r="Z22" i="14"/>
  <c r="Z24" i="14"/>
  <c r="L13" i="16"/>
  <c r="N21" i="16"/>
  <c r="L25" i="16"/>
  <c r="L29" i="16"/>
  <c r="L33" i="16"/>
  <c r="L34" i="16"/>
  <c r="N16" i="17"/>
  <c r="N20" i="17"/>
  <c r="L22" i="17"/>
  <c r="L24" i="17"/>
  <c r="X20" i="19"/>
  <c r="N33" i="20"/>
  <c r="L21" i="23"/>
  <c r="L13" i="26"/>
  <c r="L33" i="26"/>
  <c r="N24" i="11"/>
  <c r="L16" i="13"/>
  <c r="L20" i="13"/>
  <c r="Z12" i="14"/>
  <c r="V36" i="14"/>
  <c r="V34" i="14"/>
  <c r="V33" i="14"/>
  <c r="V31" i="14"/>
  <c r="V29" i="14"/>
  <c r="V27" i="14"/>
  <c r="V25" i="14"/>
  <c r="V24" i="14"/>
  <c r="V22" i="14"/>
  <c r="V21" i="14"/>
  <c r="V20" i="14"/>
  <c r="V18" i="14"/>
  <c r="V16" i="14"/>
  <c r="T18" i="14"/>
  <c r="V15" i="14"/>
  <c r="L15" i="14"/>
  <c r="Z25" i="14"/>
  <c r="Z29" i="14"/>
  <c r="Z33" i="14"/>
  <c r="Z34" i="14"/>
  <c r="N13" i="16"/>
  <c r="N22" i="16"/>
  <c r="N24" i="16"/>
  <c r="L13" i="17"/>
  <c r="N21" i="17"/>
  <c r="L25" i="17"/>
  <c r="L29" i="17"/>
  <c r="L33" i="17"/>
  <c r="L34" i="17"/>
  <c r="N21" i="25"/>
  <c r="L24" i="26"/>
  <c r="N15" i="13"/>
  <c r="L21" i="13"/>
  <c r="L16" i="14"/>
  <c r="L20" i="14"/>
  <c r="X15" i="16"/>
  <c r="N25" i="16"/>
  <c r="N29" i="16"/>
  <c r="N33" i="16"/>
  <c r="N34" i="16"/>
  <c r="N13" i="17"/>
  <c r="N22" i="17"/>
  <c r="N24" i="17"/>
  <c r="F36" i="19"/>
  <c r="F34" i="19"/>
  <c r="F33" i="19"/>
  <c r="F31" i="19"/>
  <c r="F29" i="19"/>
  <c r="F27" i="19"/>
  <c r="F25" i="19"/>
  <c r="F24" i="19"/>
  <c r="F22" i="19"/>
  <c r="F21" i="19"/>
  <c r="F20" i="19"/>
  <c r="F18" i="19"/>
  <c r="F16" i="19"/>
  <c r="D18" i="19"/>
  <c r="F15" i="19"/>
  <c r="L12" i="19"/>
  <c r="X15" i="20"/>
  <c r="N34" i="20"/>
  <c r="N20" i="22"/>
  <c r="L34" i="26"/>
  <c r="Z22" i="29"/>
  <c r="N16" i="13"/>
  <c r="N20" i="13"/>
  <c r="L22" i="13"/>
  <c r="L24" i="13"/>
  <c r="N15" i="14"/>
  <c r="L21" i="14"/>
  <c r="L12" i="16"/>
  <c r="F36" i="16"/>
  <c r="F34" i="16"/>
  <c r="F33" i="16"/>
  <c r="F31" i="16"/>
  <c r="F29" i="16"/>
  <c r="F27" i="16"/>
  <c r="F25" i="16"/>
  <c r="F24" i="16"/>
  <c r="F22" i="16"/>
  <c r="F21" i="16"/>
  <c r="F20" i="16"/>
  <c r="F18" i="16"/>
  <c r="F16" i="16"/>
  <c r="D18" i="16"/>
  <c r="F15" i="16"/>
  <c r="X16" i="16"/>
  <c r="X20" i="16"/>
  <c r="X15" i="17"/>
  <c r="N25" i="17"/>
  <c r="N29" i="17"/>
  <c r="N33" i="17"/>
  <c r="N34" i="17"/>
  <c r="J24" i="19"/>
  <c r="J22" i="19"/>
  <c r="J21" i="19"/>
  <c r="J20" i="19"/>
  <c r="J18" i="19"/>
  <c r="J16" i="19"/>
  <c r="H18" i="19"/>
  <c r="J15" i="19"/>
  <c r="N12" i="19"/>
  <c r="J34" i="19"/>
  <c r="J33" i="19"/>
  <c r="J31" i="19"/>
  <c r="J29" i="19"/>
  <c r="J27" i="19"/>
  <c r="J36" i="19"/>
  <c r="J25" i="19"/>
  <c r="X21" i="19"/>
  <c r="L21" i="22"/>
  <c r="L13" i="25"/>
  <c r="L33" i="25"/>
  <c r="N16" i="26"/>
  <c r="R20" i="31"/>
  <c r="R18" i="31"/>
  <c r="R16" i="31"/>
  <c r="X12" i="31"/>
  <c r="R27" i="31"/>
  <c r="R36" i="31"/>
  <c r="R33" i="31"/>
  <c r="R24" i="31"/>
  <c r="R29" i="31"/>
  <c r="R21" i="31"/>
  <c r="R25" i="31"/>
  <c r="R34" i="31"/>
  <c r="P18" i="31"/>
  <c r="R22" i="31"/>
  <c r="R31" i="31"/>
  <c r="R15" i="31"/>
  <c r="N12" i="16"/>
  <c r="J36" i="16"/>
  <c r="J34" i="16"/>
  <c r="J33" i="16"/>
  <c r="J31" i="16"/>
  <c r="J29" i="16"/>
  <c r="J27" i="16"/>
  <c r="J25" i="16"/>
  <c r="J24" i="16"/>
  <c r="J22" i="16"/>
  <c r="J21" i="16"/>
  <c r="J20" i="16"/>
  <c r="J18" i="16"/>
  <c r="J16" i="16"/>
  <c r="H18" i="16"/>
  <c r="J15" i="16"/>
  <c r="X13" i="16"/>
  <c r="Z15" i="16"/>
  <c r="X21" i="16"/>
  <c r="L12" i="17"/>
  <c r="F36" i="17"/>
  <c r="F34" i="17"/>
  <c r="F33" i="17"/>
  <c r="F31" i="17"/>
  <c r="F29" i="17"/>
  <c r="F27" i="17"/>
  <c r="F25" i="17"/>
  <c r="F24" i="17"/>
  <c r="F22" i="17"/>
  <c r="F21" i="17"/>
  <c r="F20" i="17"/>
  <c r="F18" i="17"/>
  <c r="F16" i="17"/>
  <c r="D18" i="17"/>
  <c r="F15" i="17"/>
  <c r="X16" i="17"/>
  <c r="X20" i="17"/>
  <c r="N25" i="20"/>
  <c r="N15" i="23"/>
  <c r="N13" i="25"/>
  <c r="N22" i="25"/>
  <c r="L25" i="26"/>
  <c r="Z21" i="10"/>
  <c r="X25" i="10"/>
  <c r="X29" i="10"/>
  <c r="X33" i="10"/>
  <c r="X34" i="10"/>
  <c r="Z13" i="11"/>
  <c r="Z16" i="11"/>
  <c r="Z20" i="11"/>
  <c r="X22" i="11"/>
  <c r="X24" i="11"/>
  <c r="N13" i="13"/>
  <c r="N22" i="13"/>
  <c r="N24" i="13"/>
  <c r="L13" i="14"/>
  <c r="N21" i="14"/>
  <c r="L25" i="14"/>
  <c r="L29" i="14"/>
  <c r="L33" i="14"/>
  <c r="L34" i="14"/>
  <c r="Z13" i="16"/>
  <c r="Z16" i="16"/>
  <c r="Z20" i="16"/>
  <c r="X22" i="16"/>
  <c r="X24" i="16"/>
  <c r="J36" i="17"/>
  <c r="J34" i="17"/>
  <c r="J33" i="17"/>
  <c r="J31" i="17"/>
  <c r="J29" i="17"/>
  <c r="J27" i="17"/>
  <c r="J25" i="17"/>
  <c r="J24" i="17"/>
  <c r="J22" i="17"/>
  <c r="J21" i="17"/>
  <c r="J20" i="17"/>
  <c r="J18" i="17"/>
  <c r="J16" i="17"/>
  <c r="H18" i="17"/>
  <c r="J15" i="17"/>
  <c r="N12" i="17"/>
  <c r="X13" i="17"/>
  <c r="Z15" i="17"/>
  <c r="X21" i="17"/>
  <c r="X13" i="19"/>
  <c r="X16" i="20"/>
  <c r="L16" i="23"/>
  <c r="L34" i="25"/>
  <c r="Z29" i="29"/>
  <c r="Z22" i="10"/>
  <c r="Z24" i="10"/>
  <c r="Z21" i="11"/>
  <c r="X25" i="11"/>
  <c r="X29" i="11"/>
  <c r="X33" i="11"/>
  <c r="X34" i="11"/>
  <c r="X15" i="13"/>
  <c r="N25" i="13"/>
  <c r="N29" i="13"/>
  <c r="N33" i="13"/>
  <c r="N34" i="13"/>
  <c r="N13" i="14"/>
  <c r="N22" i="14"/>
  <c r="N24" i="14"/>
  <c r="Z21" i="16"/>
  <c r="X25" i="16"/>
  <c r="X29" i="16"/>
  <c r="X33" i="16"/>
  <c r="X34" i="16"/>
  <c r="Z13" i="17"/>
  <c r="Z16" i="17"/>
  <c r="Z20" i="17"/>
  <c r="X22" i="17"/>
  <c r="X24" i="17"/>
  <c r="L22" i="22"/>
  <c r="N24" i="25"/>
  <c r="L22" i="37"/>
  <c r="Z13" i="19"/>
  <c r="Z16" i="19"/>
  <c r="Z20" i="19"/>
  <c r="X22" i="19"/>
  <c r="X24" i="19"/>
  <c r="J21" i="20"/>
  <c r="J20" i="20"/>
  <c r="J18" i="20"/>
  <c r="J16" i="20"/>
  <c r="H18" i="20"/>
  <c r="J15" i="20"/>
  <c r="N12" i="20"/>
  <c r="J36" i="20"/>
  <c r="J25" i="20"/>
  <c r="J34" i="20"/>
  <c r="J24" i="20"/>
  <c r="J33" i="20"/>
  <c r="J22" i="20"/>
  <c r="J31" i="20"/>
  <c r="J29" i="20"/>
  <c r="J27" i="20"/>
  <c r="X13" i="20"/>
  <c r="Z15" i="20"/>
  <c r="X21" i="20"/>
  <c r="L13" i="22"/>
  <c r="N21" i="22"/>
  <c r="L25" i="22"/>
  <c r="L29" i="22"/>
  <c r="L33" i="22"/>
  <c r="L34" i="22"/>
  <c r="N16" i="23"/>
  <c r="N20" i="23"/>
  <c r="L22" i="23"/>
  <c r="L24" i="23"/>
  <c r="X15" i="25"/>
  <c r="N25" i="25"/>
  <c r="N29" i="25"/>
  <c r="N33" i="25"/>
  <c r="N34" i="25"/>
  <c r="N13" i="26"/>
  <c r="N22" i="26"/>
  <c r="N24" i="26"/>
  <c r="N24" i="28"/>
  <c r="L24" i="34"/>
  <c r="Z21" i="19"/>
  <c r="X25" i="19"/>
  <c r="X29" i="19"/>
  <c r="X33" i="19"/>
  <c r="X34" i="19"/>
  <c r="Z13" i="20"/>
  <c r="Z16" i="20"/>
  <c r="Z20" i="20"/>
  <c r="X22" i="20"/>
  <c r="X24" i="20"/>
  <c r="N13" i="22"/>
  <c r="N22" i="22"/>
  <c r="N24" i="22"/>
  <c r="L13" i="23"/>
  <c r="N21" i="23"/>
  <c r="L25" i="23"/>
  <c r="L29" i="23"/>
  <c r="L33" i="23"/>
  <c r="L34" i="23"/>
  <c r="F21" i="25"/>
  <c r="F20" i="25"/>
  <c r="F18" i="25"/>
  <c r="F16" i="25"/>
  <c r="D18" i="25"/>
  <c r="F15" i="25"/>
  <c r="L12" i="25"/>
  <c r="F34" i="25"/>
  <c r="F24" i="25"/>
  <c r="F33" i="25"/>
  <c r="F22" i="25"/>
  <c r="F31" i="25"/>
  <c r="F29" i="25"/>
  <c r="F27" i="25"/>
  <c r="F36" i="25"/>
  <c r="F25" i="25"/>
  <c r="X16" i="25"/>
  <c r="X20" i="25"/>
  <c r="X15" i="26"/>
  <c r="N25" i="26"/>
  <c r="N29" i="26"/>
  <c r="N33" i="26"/>
  <c r="N34" i="26"/>
  <c r="V21" i="28"/>
  <c r="V20" i="28"/>
  <c r="V18" i="28"/>
  <c r="V16" i="28"/>
  <c r="T18" i="28"/>
  <c r="V15" i="28"/>
  <c r="Z12" i="28"/>
  <c r="V34" i="28"/>
  <c r="V27" i="28"/>
  <c r="V33" i="28"/>
  <c r="V25" i="28"/>
  <c r="V31" i="28"/>
  <c r="V24" i="28"/>
  <c r="V22" i="28"/>
  <c r="V36" i="28"/>
  <c r="V29" i="28"/>
  <c r="R24" i="29"/>
  <c r="R22" i="29"/>
  <c r="R21" i="29"/>
  <c r="R20" i="29"/>
  <c r="R18" i="29"/>
  <c r="R16" i="29"/>
  <c r="P18" i="29"/>
  <c r="R15" i="29"/>
  <c r="X12" i="29"/>
  <c r="R34" i="29"/>
  <c r="R27" i="29"/>
  <c r="R33" i="29"/>
  <c r="R25" i="29"/>
  <c r="R31" i="29"/>
  <c r="R36" i="29"/>
  <c r="R29" i="29"/>
  <c r="Z24" i="29"/>
  <c r="X12" i="19"/>
  <c r="R36" i="19"/>
  <c r="R34" i="19"/>
  <c r="R33" i="19"/>
  <c r="R31" i="19"/>
  <c r="R29" i="19"/>
  <c r="R27" i="19"/>
  <c r="R25" i="19"/>
  <c r="R24" i="19"/>
  <c r="R22" i="19"/>
  <c r="R21" i="19"/>
  <c r="R15" i="19"/>
  <c r="R20" i="19"/>
  <c r="R18" i="19"/>
  <c r="P18" i="19"/>
  <c r="R16" i="19"/>
  <c r="Z22" i="19"/>
  <c r="Z24" i="19"/>
  <c r="Z21" i="20"/>
  <c r="X25" i="20"/>
  <c r="X29" i="20"/>
  <c r="X33" i="20"/>
  <c r="X34" i="20"/>
  <c r="X15" i="22"/>
  <c r="N25" i="22"/>
  <c r="N29" i="22"/>
  <c r="N33" i="22"/>
  <c r="N34" i="22"/>
  <c r="N13" i="23"/>
  <c r="N22" i="23"/>
  <c r="N24" i="23"/>
  <c r="H18" i="25"/>
  <c r="J15" i="25"/>
  <c r="N12" i="25"/>
  <c r="J36" i="25"/>
  <c r="J34" i="25"/>
  <c r="J33" i="25"/>
  <c r="J31" i="25"/>
  <c r="J29" i="25"/>
  <c r="J27" i="25"/>
  <c r="J25" i="25"/>
  <c r="J24" i="25"/>
  <c r="J22" i="25"/>
  <c r="J21" i="25"/>
  <c r="J20" i="25"/>
  <c r="J18" i="25"/>
  <c r="J16" i="25"/>
  <c r="X13" i="25"/>
  <c r="Z15" i="25"/>
  <c r="X21" i="25"/>
  <c r="F20" i="26"/>
  <c r="F18" i="26"/>
  <c r="F16" i="26"/>
  <c r="D18" i="26"/>
  <c r="F15" i="26"/>
  <c r="L12" i="26"/>
  <c r="F36" i="26"/>
  <c r="F34" i="26"/>
  <c r="F33" i="26"/>
  <c r="F31" i="26"/>
  <c r="F29" i="26"/>
  <c r="F27" i="26"/>
  <c r="F25" i="26"/>
  <c r="F24" i="26"/>
  <c r="F22" i="26"/>
  <c r="F21" i="26"/>
  <c r="X16" i="26"/>
  <c r="X20" i="26"/>
  <c r="L20" i="28"/>
  <c r="V20" i="29"/>
  <c r="V18" i="29"/>
  <c r="V16" i="29"/>
  <c r="T18" i="29"/>
  <c r="V15" i="29"/>
  <c r="Z12" i="29"/>
  <c r="V36" i="29"/>
  <c r="V34" i="29"/>
  <c r="V33" i="29"/>
  <c r="V31" i="29"/>
  <c r="V29" i="29"/>
  <c r="V27" i="29"/>
  <c r="V25" i="29"/>
  <c r="V21" i="29"/>
  <c r="V24" i="29"/>
  <c r="V22" i="29"/>
  <c r="Z15" i="41"/>
  <c r="Z12" i="19"/>
  <c r="V36" i="19"/>
  <c r="V34" i="19"/>
  <c r="V33" i="19"/>
  <c r="V31" i="19"/>
  <c r="V29" i="19"/>
  <c r="V27" i="19"/>
  <c r="V25" i="19"/>
  <c r="V24" i="19"/>
  <c r="V22" i="19"/>
  <c r="V21" i="19"/>
  <c r="V20" i="19"/>
  <c r="V18" i="19"/>
  <c r="V16" i="19"/>
  <c r="T18" i="19"/>
  <c r="V15" i="19"/>
  <c r="L15" i="19"/>
  <c r="Z25" i="19"/>
  <c r="Z29" i="19"/>
  <c r="Z33" i="19"/>
  <c r="Z34" i="19"/>
  <c r="X12" i="20"/>
  <c r="R36" i="20"/>
  <c r="R34" i="20"/>
  <c r="R33" i="20"/>
  <c r="R31" i="20"/>
  <c r="R29" i="20"/>
  <c r="R27" i="20"/>
  <c r="R25" i="20"/>
  <c r="R24" i="20"/>
  <c r="R22" i="20"/>
  <c r="R21" i="20"/>
  <c r="R20" i="20"/>
  <c r="R18" i="20"/>
  <c r="R16" i="20"/>
  <c r="R15" i="20"/>
  <c r="P18" i="20"/>
  <c r="Z22" i="20"/>
  <c r="Z24" i="20"/>
  <c r="D18" i="22"/>
  <c r="F15" i="22"/>
  <c r="L12" i="22"/>
  <c r="F36" i="22"/>
  <c r="F34" i="22"/>
  <c r="F33" i="22"/>
  <c r="F31" i="22"/>
  <c r="F29" i="22"/>
  <c r="F27" i="22"/>
  <c r="F25" i="22"/>
  <c r="F24" i="22"/>
  <c r="F22" i="22"/>
  <c r="F21" i="22"/>
  <c r="F20" i="22"/>
  <c r="F18" i="22"/>
  <c r="F16" i="22"/>
  <c r="X16" i="22"/>
  <c r="X20" i="22"/>
  <c r="X15" i="23"/>
  <c r="N25" i="23"/>
  <c r="N29" i="23"/>
  <c r="N33" i="23"/>
  <c r="N34" i="23"/>
  <c r="Z13" i="25"/>
  <c r="Z16" i="25"/>
  <c r="Z20" i="25"/>
  <c r="X22" i="25"/>
  <c r="X24" i="25"/>
  <c r="N12" i="26"/>
  <c r="J36" i="26"/>
  <c r="J34" i="26"/>
  <c r="J33" i="26"/>
  <c r="J31" i="26"/>
  <c r="J29" i="26"/>
  <c r="J27" i="26"/>
  <c r="J25" i="26"/>
  <c r="J24" i="26"/>
  <c r="J22" i="26"/>
  <c r="J21" i="26"/>
  <c r="J18" i="26"/>
  <c r="H18" i="26"/>
  <c r="J16" i="26"/>
  <c r="J15" i="26"/>
  <c r="J20" i="26"/>
  <c r="X13" i="26"/>
  <c r="Z15" i="26"/>
  <c r="X21" i="26"/>
  <c r="N13" i="28"/>
  <c r="L13" i="29"/>
  <c r="L25" i="29"/>
  <c r="L33" i="29"/>
  <c r="L16" i="19"/>
  <c r="L20" i="19"/>
  <c r="Z12" i="20"/>
  <c r="V36" i="20"/>
  <c r="V34" i="20"/>
  <c r="V33" i="20"/>
  <c r="V31" i="20"/>
  <c r="V29" i="20"/>
  <c r="V27" i="20"/>
  <c r="V25" i="20"/>
  <c r="V24" i="20"/>
  <c r="V22" i="20"/>
  <c r="V21" i="20"/>
  <c r="V20" i="20"/>
  <c r="V18" i="20"/>
  <c r="V16" i="20"/>
  <c r="T18" i="20"/>
  <c r="V15" i="20"/>
  <c r="L15" i="20"/>
  <c r="Z25" i="20"/>
  <c r="Z29" i="20"/>
  <c r="Z33" i="20"/>
  <c r="Z34" i="20"/>
  <c r="N12" i="22"/>
  <c r="J36" i="22"/>
  <c r="J34" i="22"/>
  <c r="J33" i="22"/>
  <c r="J31" i="22"/>
  <c r="J29" i="22"/>
  <c r="J27" i="22"/>
  <c r="J25" i="22"/>
  <c r="J24" i="22"/>
  <c r="J22" i="22"/>
  <c r="J21" i="22"/>
  <c r="J20" i="22"/>
  <c r="J18" i="22"/>
  <c r="J16" i="22"/>
  <c r="H18" i="22"/>
  <c r="J15" i="22"/>
  <c r="X13" i="22"/>
  <c r="Z15" i="22"/>
  <c r="X21" i="22"/>
  <c r="L12" i="23"/>
  <c r="F36" i="23"/>
  <c r="F34" i="23"/>
  <c r="F33" i="23"/>
  <c r="F31" i="23"/>
  <c r="F29" i="23"/>
  <c r="F27" i="23"/>
  <c r="F25" i="23"/>
  <c r="F24" i="23"/>
  <c r="F22" i="23"/>
  <c r="F21" i="23"/>
  <c r="F16" i="23"/>
  <c r="F15" i="23"/>
  <c r="F20" i="23"/>
  <c r="F18" i="23"/>
  <c r="D18" i="23"/>
  <c r="X16" i="23"/>
  <c r="X20" i="23"/>
  <c r="Z21" i="25"/>
  <c r="X25" i="25"/>
  <c r="X29" i="25"/>
  <c r="X33" i="25"/>
  <c r="X34" i="25"/>
  <c r="Z13" i="26"/>
  <c r="Z16" i="26"/>
  <c r="Z20" i="26"/>
  <c r="X22" i="26"/>
  <c r="X24" i="26"/>
  <c r="L15" i="28"/>
  <c r="Z25" i="28"/>
  <c r="Z33" i="28"/>
  <c r="L21" i="31"/>
  <c r="L16" i="38"/>
  <c r="X25" i="41"/>
  <c r="N15" i="19"/>
  <c r="L21" i="19"/>
  <c r="L16" i="20"/>
  <c r="L20" i="20"/>
  <c r="Z13" i="22"/>
  <c r="Z16" i="22"/>
  <c r="Z20" i="22"/>
  <c r="X22" i="22"/>
  <c r="X24" i="22"/>
  <c r="N12" i="23"/>
  <c r="J36" i="23"/>
  <c r="J34" i="23"/>
  <c r="J33" i="23"/>
  <c r="J31" i="23"/>
  <c r="J29" i="23"/>
  <c r="J27" i="23"/>
  <c r="J25" i="23"/>
  <c r="J24" i="23"/>
  <c r="J22" i="23"/>
  <c r="J21" i="23"/>
  <c r="J20" i="23"/>
  <c r="J18" i="23"/>
  <c r="J16" i="23"/>
  <c r="H18" i="23"/>
  <c r="J15" i="23"/>
  <c r="X13" i="23"/>
  <c r="Z15" i="23"/>
  <c r="X21" i="23"/>
  <c r="X12" i="25"/>
  <c r="R36" i="25"/>
  <c r="R34" i="25"/>
  <c r="R33" i="25"/>
  <c r="R31" i="25"/>
  <c r="R29" i="25"/>
  <c r="R27" i="25"/>
  <c r="R25" i="25"/>
  <c r="R24" i="25"/>
  <c r="R22" i="25"/>
  <c r="R21" i="25"/>
  <c r="R20" i="25"/>
  <c r="R18" i="25"/>
  <c r="R16" i="25"/>
  <c r="P18" i="25"/>
  <c r="R15" i="25"/>
  <c r="Z22" i="25"/>
  <c r="Z24" i="25"/>
  <c r="Z21" i="26"/>
  <c r="X25" i="26"/>
  <c r="X29" i="26"/>
  <c r="X33" i="26"/>
  <c r="X34" i="26"/>
  <c r="L15" i="29"/>
  <c r="Z25" i="29"/>
  <c r="Z33" i="29"/>
  <c r="X22" i="31"/>
  <c r="N15" i="32"/>
  <c r="Z25" i="41"/>
  <c r="N16" i="19"/>
  <c r="N20" i="19"/>
  <c r="L22" i="19"/>
  <c r="L24" i="19"/>
  <c r="N15" i="20"/>
  <c r="L21" i="20"/>
  <c r="Z21" i="22"/>
  <c r="X25" i="22"/>
  <c r="X29" i="22"/>
  <c r="X33" i="22"/>
  <c r="X34" i="22"/>
  <c r="Z13" i="23"/>
  <c r="Z16" i="23"/>
  <c r="Z20" i="23"/>
  <c r="X22" i="23"/>
  <c r="X24" i="23"/>
  <c r="Z12" i="25"/>
  <c r="V36" i="25"/>
  <c r="V34" i="25"/>
  <c r="V33" i="25"/>
  <c r="V31" i="25"/>
  <c r="V29" i="25"/>
  <c r="V27" i="25"/>
  <c r="V25" i="25"/>
  <c r="V24" i="25"/>
  <c r="V22" i="25"/>
  <c r="V21" i="25"/>
  <c r="V20" i="25"/>
  <c r="V18" i="25"/>
  <c r="V16" i="25"/>
  <c r="T18" i="25"/>
  <c r="V15" i="25"/>
  <c r="L15" i="25"/>
  <c r="Z25" i="25"/>
  <c r="Z29" i="25"/>
  <c r="Z33" i="25"/>
  <c r="Z34" i="25"/>
  <c r="X12" i="26"/>
  <c r="R36" i="26"/>
  <c r="R34" i="26"/>
  <c r="R33" i="26"/>
  <c r="R31" i="26"/>
  <c r="R29" i="26"/>
  <c r="R27" i="26"/>
  <c r="R25" i="26"/>
  <c r="R24" i="26"/>
  <c r="R22" i="26"/>
  <c r="R21" i="26"/>
  <c r="R20" i="26"/>
  <c r="R18" i="26"/>
  <c r="R16" i="26"/>
  <c r="P18" i="26"/>
  <c r="R15" i="26"/>
  <c r="Z22" i="26"/>
  <c r="Z24" i="26"/>
  <c r="N21" i="29"/>
  <c r="L34" i="29"/>
  <c r="X15" i="32"/>
  <c r="N34" i="32"/>
  <c r="L13" i="19"/>
  <c r="N21" i="19"/>
  <c r="L25" i="19"/>
  <c r="L29" i="19"/>
  <c r="L33" i="19"/>
  <c r="L34" i="19"/>
  <c r="N16" i="20"/>
  <c r="N20" i="20"/>
  <c r="L22" i="20"/>
  <c r="L24" i="20"/>
  <c r="X12" i="22"/>
  <c r="R36" i="22"/>
  <c r="R34" i="22"/>
  <c r="R33" i="22"/>
  <c r="R31" i="22"/>
  <c r="R29" i="22"/>
  <c r="R27" i="22"/>
  <c r="R25" i="22"/>
  <c r="R24" i="22"/>
  <c r="R22" i="22"/>
  <c r="R21" i="22"/>
  <c r="R20" i="22"/>
  <c r="R18" i="22"/>
  <c r="R16" i="22"/>
  <c r="P18" i="22"/>
  <c r="R15" i="22"/>
  <c r="Z22" i="22"/>
  <c r="Z24" i="22"/>
  <c r="Z21" i="23"/>
  <c r="X25" i="23"/>
  <c r="X29" i="23"/>
  <c r="X33" i="23"/>
  <c r="X34" i="23"/>
  <c r="L16" i="25"/>
  <c r="L20" i="25"/>
  <c r="Z12" i="26"/>
  <c r="V36" i="26"/>
  <c r="V34" i="26"/>
  <c r="V33" i="26"/>
  <c r="V31" i="26"/>
  <c r="V29" i="26"/>
  <c r="V27" i="26"/>
  <c r="V25" i="26"/>
  <c r="V24" i="26"/>
  <c r="V22" i="26"/>
  <c r="V21" i="26"/>
  <c r="V20" i="26"/>
  <c r="V18" i="26"/>
  <c r="V16" i="26"/>
  <c r="T18" i="26"/>
  <c r="V15" i="26"/>
  <c r="L15" i="26"/>
  <c r="Z25" i="26"/>
  <c r="Z29" i="26"/>
  <c r="Z33" i="26"/>
  <c r="Z34" i="26"/>
  <c r="Z34" i="28"/>
  <c r="L25" i="31"/>
  <c r="F24" i="44"/>
  <c r="F22" i="44"/>
  <c r="F21" i="44"/>
  <c r="F20" i="44"/>
  <c r="F18" i="44"/>
  <c r="F16" i="44"/>
  <c r="D18" i="44"/>
  <c r="F15" i="44"/>
  <c r="L12" i="44"/>
  <c r="F34" i="44"/>
  <c r="F27" i="44"/>
  <c r="F31" i="44"/>
  <c r="F29" i="44"/>
  <c r="F25" i="44"/>
  <c r="F36" i="44"/>
  <c r="F33" i="44"/>
  <c r="N13" i="19"/>
  <c r="N22" i="19"/>
  <c r="N24" i="19"/>
  <c r="L13" i="20"/>
  <c r="N21" i="20"/>
  <c r="L25" i="20"/>
  <c r="L29" i="20"/>
  <c r="L33" i="20"/>
  <c r="L34" i="20"/>
  <c r="V36" i="22"/>
  <c r="V34" i="22"/>
  <c r="V33" i="22"/>
  <c r="V31" i="22"/>
  <c r="V29" i="22"/>
  <c r="V27" i="22"/>
  <c r="V25" i="22"/>
  <c r="V24" i="22"/>
  <c r="V22" i="22"/>
  <c r="V21" i="22"/>
  <c r="V20" i="22"/>
  <c r="V18" i="22"/>
  <c r="V16" i="22"/>
  <c r="T18" i="22"/>
  <c r="V15" i="22"/>
  <c r="Z12" i="22"/>
  <c r="L15" i="22"/>
  <c r="Z25" i="22"/>
  <c r="Z29" i="22"/>
  <c r="Z33" i="22"/>
  <c r="Z34" i="22"/>
  <c r="R36" i="23"/>
  <c r="R34" i="23"/>
  <c r="R33" i="23"/>
  <c r="R31" i="23"/>
  <c r="R29" i="23"/>
  <c r="R27" i="23"/>
  <c r="R25" i="23"/>
  <c r="R24" i="23"/>
  <c r="R22" i="23"/>
  <c r="R21" i="23"/>
  <c r="R20" i="23"/>
  <c r="R18" i="23"/>
  <c r="R16" i="23"/>
  <c r="P18" i="23"/>
  <c r="R15" i="23"/>
  <c r="X12" i="23"/>
  <c r="Z22" i="23"/>
  <c r="Z24" i="23"/>
  <c r="N15" i="25"/>
  <c r="L21" i="25"/>
  <c r="L16" i="26"/>
  <c r="L20" i="26"/>
  <c r="L16" i="28"/>
  <c r="Z34" i="29"/>
  <c r="X15" i="19"/>
  <c r="N25" i="19"/>
  <c r="N29" i="19"/>
  <c r="N33" i="19"/>
  <c r="N34" i="19"/>
  <c r="N13" i="20"/>
  <c r="N22" i="20"/>
  <c r="N24" i="20"/>
  <c r="L16" i="22"/>
  <c r="L20" i="22"/>
  <c r="V24" i="23"/>
  <c r="V22" i="23"/>
  <c r="V21" i="23"/>
  <c r="V20" i="23"/>
  <c r="V18" i="23"/>
  <c r="V16" i="23"/>
  <c r="T18" i="23"/>
  <c r="V15" i="23"/>
  <c r="V34" i="23"/>
  <c r="V33" i="23"/>
  <c r="Z12" i="23"/>
  <c r="V31" i="23"/>
  <c r="V29" i="23"/>
  <c r="V27" i="23"/>
  <c r="V36" i="23"/>
  <c r="V25" i="23"/>
  <c r="L15" i="23"/>
  <c r="Z25" i="23"/>
  <c r="Z29" i="23"/>
  <c r="Z33" i="23"/>
  <c r="Z34" i="23"/>
  <c r="N16" i="25"/>
  <c r="N20" i="25"/>
  <c r="L22" i="25"/>
  <c r="L24" i="25"/>
  <c r="N15" i="26"/>
  <c r="L21" i="26"/>
  <c r="N22" i="28"/>
  <c r="L29" i="29"/>
  <c r="L21" i="32"/>
  <c r="N16" i="37"/>
  <c r="N15" i="28"/>
  <c r="L21" i="28"/>
  <c r="L16" i="29"/>
  <c r="L20" i="29"/>
  <c r="Z22" i="31"/>
  <c r="L29" i="31"/>
  <c r="X34" i="31"/>
  <c r="J36" i="32"/>
  <c r="J34" i="32"/>
  <c r="J33" i="32"/>
  <c r="J31" i="32"/>
  <c r="J29" i="32"/>
  <c r="J27" i="32"/>
  <c r="J25" i="32"/>
  <c r="J21" i="32"/>
  <c r="J20" i="32"/>
  <c r="J18" i="32"/>
  <c r="J16" i="32"/>
  <c r="H18" i="32"/>
  <c r="J15" i="32"/>
  <c r="J22" i="32"/>
  <c r="N12" i="32"/>
  <c r="J24" i="32"/>
  <c r="Z15" i="32"/>
  <c r="X21" i="32"/>
  <c r="L24" i="35"/>
  <c r="Z29" i="38"/>
  <c r="X20" i="40"/>
  <c r="N13" i="44"/>
  <c r="N16" i="28"/>
  <c r="N20" i="28"/>
  <c r="L22" i="28"/>
  <c r="L24" i="28"/>
  <c r="N15" i="29"/>
  <c r="L21" i="29"/>
  <c r="N21" i="31"/>
  <c r="X25" i="31"/>
  <c r="X24" i="32"/>
  <c r="L20" i="35"/>
  <c r="L13" i="28"/>
  <c r="N21" i="28"/>
  <c r="L25" i="28"/>
  <c r="L29" i="28"/>
  <c r="L33" i="28"/>
  <c r="L34" i="28"/>
  <c r="N16" i="29"/>
  <c r="N20" i="29"/>
  <c r="L22" i="29"/>
  <c r="L24" i="29"/>
  <c r="L13" i="31"/>
  <c r="L24" i="31"/>
  <c r="L33" i="31"/>
  <c r="Z21" i="32"/>
  <c r="X34" i="32"/>
  <c r="N20" i="34"/>
  <c r="L24" i="37"/>
  <c r="L20" i="41"/>
  <c r="N16" i="31"/>
  <c r="X29" i="31"/>
  <c r="L16" i="32"/>
  <c r="L20" i="32"/>
  <c r="L13" i="34"/>
  <c r="L25" i="34"/>
  <c r="L33" i="34"/>
  <c r="N20" i="35"/>
  <c r="L20" i="37"/>
  <c r="V21" i="38"/>
  <c r="V20" i="38"/>
  <c r="V18" i="38"/>
  <c r="V16" i="38"/>
  <c r="T18" i="38"/>
  <c r="V15" i="38"/>
  <c r="V33" i="38"/>
  <c r="V25" i="38"/>
  <c r="Z12" i="38"/>
  <c r="V31" i="38"/>
  <c r="V24" i="38"/>
  <c r="V36" i="38"/>
  <c r="V29" i="38"/>
  <c r="V22" i="38"/>
  <c r="V27" i="38"/>
  <c r="V34" i="38"/>
  <c r="Z21" i="40"/>
  <c r="X15" i="28"/>
  <c r="N25" i="28"/>
  <c r="N29" i="28"/>
  <c r="N33" i="28"/>
  <c r="N34" i="28"/>
  <c r="N13" i="29"/>
  <c r="N22" i="29"/>
  <c r="N24" i="29"/>
  <c r="Z13" i="31"/>
  <c r="Z21" i="31"/>
  <c r="N15" i="34"/>
  <c r="L21" i="34"/>
  <c r="L20" i="38"/>
  <c r="Z22" i="40"/>
  <c r="N33" i="41"/>
  <c r="L12" i="28"/>
  <c r="F24" i="28"/>
  <c r="F22" i="28"/>
  <c r="F21" i="28"/>
  <c r="F20" i="28"/>
  <c r="F18" i="28"/>
  <c r="F16" i="28"/>
  <c r="F36" i="28"/>
  <c r="F29" i="28"/>
  <c r="F34" i="28"/>
  <c r="F27" i="28"/>
  <c r="F15" i="28"/>
  <c r="F33" i="28"/>
  <c r="F25" i="28"/>
  <c r="F31" i="28"/>
  <c r="D18" i="28"/>
  <c r="X16" i="28"/>
  <c r="X20" i="28"/>
  <c r="X15" i="29"/>
  <c r="N25" i="29"/>
  <c r="N29" i="29"/>
  <c r="N33" i="29"/>
  <c r="N34" i="29"/>
  <c r="X16" i="31"/>
  <c r="N20" i="31"/>
  <c r="X24" i="31"/>
  <c r="X33" i="31"/>
  <c r="N25" i="32"/>
  <c r="N29" i="32"/>
  <c r="N33" i="32"/>
  <c r="N15" i="35"/>
  <c r="L21" i="35"/>
  <c r="N20" i="37"/>
  <c r="N21" i="41"/>
  <c r="N12" i="28"/>
  <c r="J36" i="28"/>
  <c r="J34" i="28"/>
  <c r="J33" i="28"/>
  <c r="J31" i="28"/>
  <c r="J29" i="28"/>
  <c r="J27" i="28"/>
  <c r="J25" i="28"/>
  <c r="J24" i="28"/>
  <c r="J22" i="28"/>
  <c r="J20" i="28"/>
  <c r="J18" i="28"/>
  <c r="J16" i="28"/>
  <c r="H18" i="28"/>
  <c r="J15" i="28"/>
  <c r="J21" i="28"/>
  <c r="X13" i="28"/>
  <c r="Z15" i="28"/>
  <c r="X21" i="28"/>
  <c r="L12" i="29"/>
  <c r="F36" i="29"/>
  <c r="F34" i="29"/>
  <c r="F33" i="29"/>
  <c r="F31" i="29"/>
  <c r="F29" i="29"/>
  <c r="F27" i="29"/>
  <c r="F25" i="29"/>
  <c r="F21" i="29"/>
  <c r="F20" i="29"/>
  <c r="F18" i="29"/>
  <c r="F16" i="29"/>
  <c r="D18" i="29"/>
  <c r="F15" i="29"/>
  <c r="F22" i="29"/>
  <c r="F24" i="29"/>
  <c r="X16" i="29"/>
  <c r="X20" i="29"/>
  <c r="Z16" i="31"/>
  <c r="X13" i="32"/>
  <c r="N21" i="34"/>
  <c r="L34" i="34"/>
  <c r="L15" i="38"/>
  <c r="Z25" i="38"/>
  <c r="Z33" i="38"/>
  <c r="Z13" i="28"/>
  <c r="Z16" i="28"/>
  <c r="Z20" i="28"/>
  <c r="X22" i="28"/>
  <c r="X24" i="28"/>
  <c r="N12" i="29"/>
  <c r="J36" i="29"/>
  <c r="J34" i="29"/>
  <c r="J33" i="29"/>
  <c r="J31" i="29"/>
  <c r="J29" i="29"/>
  <c r="J27" i="29"/>
  <c r="J25" i="29"/>
  <c r="J24" i="29"/>
  <c r="J22" i="29"/>
  <c r="J21" i="29"/>
  <c r="H18" i="29"/>
  <c r="J15" i="29"/>
  <c r="J16" i="29"/>
  <c r="J20" i="29"/>
  <c r="J18" i="29"/>
  <c r="X13" i="29"/>
  <c r="Z15" i="29"/>
  <c r="X21" i="29"/>
  <c r="N15" i="31"/>
  <c r="X20" i="31"/>
  <c r="L22" i="31"/>
  <c r="Z24" i="31"/>
  <c r="Z13" i="32"/>
  <c r="Z16" i="32"/>
  <c r="Z20" i="32"/>
  <c r="X22" i="32"/>
  <c r="L16" i="35"/>
  <c r="N15" i="37"/>
  <c r="L21" i="37"/>
  <c r="Z21" i="28"/>
  <c r="X25" i="28"/>
  <c r="X29" i="28"/>
  <c r="X33" i="28"/>
  <c r="X34" i="28"/>
  <c r="Z13" i="29"/>
  <c r="Z16" i="29"/>
  <c r="Z20" i="29"/>
  <c r="X22" i="29"/>
  <c r="X24" i="29"/>
  <c r="F36" i="31"/>
  <c r="F34" i="31"/>
  <c r="F33" i="31"/>
  <c r="F31" i="31"/>
  <c r="F29" i="31"/>
  <c r="F27" i="31"/>
  <c r="F25" i="31"/>
  <c r="D18" i="31"/>
  <c r="F15" i="31"/>
  <c r="F18" i="31"/>
  <c r="L12" i="31"/>
  <c r="F22" i="31"/>
  <c r="F20" i="31"/>
  <c r="F24" i="31"/>
  <c r="F16" i="31"/>
  <c r="F21" i="31"/>
  <c r="Z20" i="31"/>
  <c r="X25" i="32"/>
  <c r="X29" i="32"/>
  <c r="X33" i="32"/>
  <c r="N16" i="34"/>
  <c r="L22" i="34"/>
  <c r="N15" i="38"/>
  <c r="L21" i="38"/>
  <c r="R36" i="28"/>
  <c r="R34" i="28"/>
  <c r="R33" i="28"/>
  <c r="R31" i="28"/>
  <c r="R29" i="28"/>
  <c r="R27" i="28"/>
  <c r="R25" i="28"/>
  <c r="R24" i="28"/>
  <c r="R22" i="28"/>
  <c r="R21" i="28"/>
  <c r="R20" i="28"/>
  <c r="R18" i="28"/>
  <c r="R16" i="28"/>
  <c r="P18" i="28"/>
  <c r="R15" i="28"/>
  <c r="X12" i="28"/>
  <c r="Z22" i="28"/>
  <c r="Z24" i="28"/>
  <c r="Z21" i="29"/>
  <c r="X25" i="29"/>
  <c r="X29" i="29"/>
  <c r="X33" i="29"/>
  <c r="X34" i="29"/>
  <c r="L34" i="31"/>
  <c r="L29" i="34"/>
  <c r="N16" i="35"/>
  <c r="L22" i="35"/>
  <c r="L16" i="37"/>
  <c r="Z34" i="38"/>
  <c r="X24" i="41"/>
  <c r="L13" i="40"/>
  <c r="Z20" i="40"/>
  <c r="L25" i="40"/>
  <c r="X13" i="41"/>
  <c r="N20" i="41"/>
  <c r="X34" i="41"/>
  <c r="V36" i="31"/>
  <c r="V34" i="31"/>
  <c r="V33" i="31"/>
  <c r="V31" i="31"/>
  <c r="V29" i="31"/>
  <c r="V27" i="31"/>
  <c r="V25" i="31"/>
  <c r="V24" i="31"/>
  <c r="V22" i="31"/>
  <c r="V20" i="31"/>
  <c r="V16" i="31"/>
  <c r="V21" i="31"/>
  <c r="V18" i="31"/>
  <c r="T18" i="31"/>
  <c r="Z12" i="31"/>
  <c r="V15" i="31"/>
  <c r="L15" i="31"/>
  <c r="Z25" i="31"/>
  <c r="Z29" i="31"/>
  <c r="Z33" i="31"/>
  <c r="Z34" i="31"/>
  <c r="P18" i="32"/>
  <c r="R15" i="32"/>
  <c r="R36" i="32"/>
  <c r="R34" i="32"/>
  <c r="R33" i="32"/>
  <c r="R31" i="32"/>
  <c r="R29" i="32"/>
  <c r="R27" i="32"/>
  <c r="R25" i="32"/>
  <c r="R22" i="32"/>
  <c r="R20" i="32"/>
  <c r="R16" i="32"/>
  <c r="X12" i="32"/>
  <c r="R24" i="32"/>
  <c r="R21" i="32"/>
  <c r="R18" i="32"/>
  <c r="Z22" i="32"/>
  <c r="Z24" i="32"/>
  <c r="N13" i="34"/>
  <c r="N22" i="34"/>
  <c r="N24" i="34"/>
  <c r="L13" i="35"/>
  <c r="N21" i="35"/>
  <c r="L25" i="35"/>
  <c r="L29" i="35"/>
  <c r="L33" i="35"/>
  <c r="L34" i="35"/>
  <c r="L13" i="37"/>
  <c r="N21" i="37"/>
  <c r="L25" i="37"/>
  <c r="L29" i="37"/>
  <c r="L33" i="37"/>
  <c r="L34" i="37"/>
  <c r="N16" i="38"/>
  <c r="N20" i="38"/>
  <c r="L22" i="38"/>
  <c r="L24" i="38"/>
  <c r="N13" i="40"/>
  <c r="X15" i="40"/>
  <c r="X16" i="40"/>
  <c r="L24" i="40"/>
  <c r="X29" i="40"/>
  <c r="F36" i="41"/>
  <c r="F34" i="41"/>
  <c r="F33" i="41"/>
  <c r="F31" i="41"/>
  <c r="F29" i="41"/>
  <c r="F27" i="41"/>
  <c r="F25" i="41"/>
  <c r="F22" i="41"/>
  <c r="F24" i="41"/>
  <c r="F15" i="41"/>
  <c r="F16" i="41"/>
  <c r="L12" i="41"/>
  <c r="F18" i="41"/>
  <c r="D18" i="41"/>
  <c r="F21" i="41"/>
  <c r="F20" i="41"/>
  <c r="Z13" i="41"/>
  <c r="X22" i="41"/>
  <c r="L29" i="41"/>
  <c r="Z34" i="41"/>
  <c r="L16" i="31"/>
  <c r="L20" i="31"/>
  <c r="V24" i="32"/>
  <c r="V22" i="32"/>
  <c r="V21" i="32"/>
  <c r="V36" i="32"/>
  <c r="V33" i="32"/>
  <c r="V29" i="32"/>
  <c r="V25" i="32"/>
  <c r="V20" i="32"/>
  <c r="V16" i="32"/>
  <c r="Z12" i="32"/>
  <c r="V34" i="32"/>
  <c r="V31" i="32"/>
  <c r="V27" i="32"/>
  <c r="V18" i="32"/>
  <c r="T18" i="32"/>
  <c r="V15" i="32"/>
  <c r="L15" i="32"/>
  <c r="Z25" i="32"/>
  <c r="Z29" i="32"/>
  <c r="Z33" i="32"/>
  <c r="Z34" i="32"/>
  <c r="X15" i="34"/>
  <c r="N25" i="34"/>
  <c r="N29" i="34"/>
  <c r="N33" i="34"/>
  <c r="N34" i="34"/>
  <c r="N13" i="35"/>
  <c r="N22" i="35"/>
  <c r="N24" i="35"/>
  <c r="N13" i="37"/>
  <c r="N22" i="37"/>
  <c r="N24" i="37"/>
  <c r="L13" i="38"/>
  <c r="N21" i="38"/>
  <c r="L25" i="38"/>
  <c r="L29" i="38"/>
  <c r="L33" i="38"/>
  <c r="L34" i="38"/>
  <c r="L34" i="40"/>
  <c r="J21" i="41"/>
  <c r="J34" i="41"/>
  <c r="J24" i="41"/>
  <c r="J36" i="41"/>
  <c r="J25" i="41"/>
  <c r="J15" i="41"/>
  <c r="J27" i="41"/>
  <c r="J16" i="41"/>
  <c r="N12" i="41"/>
  <c r="J29" i="41"/>
  <c r="J18" i="41"/>
  <c r="H18" i="41"/>
  <c r="J31" i="41"/>
  <c r="J20" i="41"/>
  <c r="J22" i="41"/>
  <c r="J33" i="41"/>
  <c r="L16" i="41"/>
  <c r="X21" i="41"/>
  <c r="N29" i="41"/>
  <c r="X33" i="41"/>
  <c r="D18" i="34"/>
  <c r="F15" i="34"/>
  <c r="L12" i="34"/>
  <c r="F36" i="34"/>
  <c r="F34" i="34"/>
  <c r="F33" i="34"/>
  <c r="F31" i="34"/>
  <c r="F29" i="34"/>
  <c r="F27" i="34"/>
  <c r="F25" i="34"/>
  <c r="F22" i="34"/>
  <c r="F16" i="34"/>
  <c r="F21" i="34"/>
  <c r="F20" i="34"/>
  <c r="F24" i="34"/>
  <c r="F18" i="34"/>
  <c r="X16" i="34"/>
  <c r="X20" i="34"/>
  <c r="X15" i="35"/>
  <c r="N25" i="35"/>
  <c r="N29" i="35"/>
  <c r="N33" i="35"/>
  <c r="N34" i="35"/>
  <c r="X15" i="37"/>
  <c r="N25" i="37"/>
  <c r="N29" i="37"/>
  <c r="N33" i="37"/>
  <c r="N34" i="37"/>
  <c r="N13" i="38"/>
  <c r="N22" i="38"/>
  <c r="N24" i="38"/>
  <c r="Z15" i="40"/>
  <c r="Z16" i="40"/>
  <c r="L22" i="40"/>
  <c r="N24" i="40"/>
  <c r="L15" i="41"/>
  <c r="X20" i="41"/>
  <c r="Z33" i="41"/>
  <c r="N25" i="43"/>
  <c r="N12" i="34"/>
  <c r="J36" i="34"/>
  <c r="J34" i="34"/>
  <c r="J33" i="34"/>
  <c r="J31" i="34"/>
  <c r="J29" i="34"/>
  <c r="J27" i="34"/>
  <c r="J25" i="34"/>
  <c r="J24" i="34"/>
  <c r="J22" i="34"/>
  <c r="J21" i="34"/>
  <c r="J16" i="34"/>
  <c r="J15" i="34"/>
  <c r="J20" i="34"/>
  <c r="J18" i="34"/>
  <c r="H18" i="34"/>
  <c r="X13" i="34"/>
  <c r="Z15" i="34"/>
  <c r="X21" i="34"/>
  <c r="L12" i="35"/>
  <c r="F36" i="35"/>
  <c r="F34" i="35"/>
  <c r="F33" i="35"/>
  <c r="F31" i="35"/>
  <c r="F29" i="35"/>
  <c r="F27" i="35"/>
  <c r="F25" i="35"/>
  <c r="F24" i="35"/>
  <c r="F22" i="35"/>
  <c r="F16" i="35"/>
  <c r="F21" i="35"/>
  <c r="F15" i="35"/>
  <c r="F20" i="35"/>
  <c r="F18" i="35"/>
  <c r="D18" i="35"/>
  <c r="X16" i="35"/>
  <c r="X20" i="35"/>
  <c r="L12" i="37"/>
  <c r="F36" i="37"/>
  <c r="F34" i="37"/>
  <c r="F33" i="37"/>
  <c r="F31" i="37"/>
  <c r="F29" i="37"/>
  <c r="F27" i="37"/>
  <c r="F25" i="37"/>
  <c r="F24" i="37"/>
  <c r="F22" i="37"/>
  <c r="F21" i="37"/>
  <c r="F15" i="37"/>
  <c r="F20" i="37"/>
  <c r="F18" i="37"/>
  <c r="D18" i="37"/>
  <c r="F16" i="37"/>
  <c r="X16" i="37"/>
  <c r="X20" i="37"/>
  <c r="X15" i="38"/>
  <c r="N25" i="38"/>
  <c r="N29" i="38"/>
  <c r="N33" i="38"/>
  <c r="N34" i="38"/>
  <c r="F29" i="40"/>
  <c r="F16" i="40"/>
  <c r="F15" i="40"/>
  <c r="F31" i="40"/>
  <c r="F18" i="40"/>
  <c r="F20" i="40"/>
  <c r="D18" i="40"/>
  <c r="L12" i="40"/>
  <c r="F33" i="40"/>
  <c r="F21" i="40"/>
  <c r="F22" i="40"/>
  <c r="F34" i="40"/>
  <c r="F24" i="40"/>
  <c r="F36" i="40"/>
  <c r="F25" i="40"/>
  <c r="F27" i="40"/>
  <c r="X13" i="40"/>
  <c r="L21" i="40"/>
  <c r="L33" i="40"/>
  <c r="N16" i="41"/>
  <c r="Z21" i="41"/>
  <c r="N29" i="43"/>
  <c r="N22" i="44"/>
  <c r="N16" i="32"/>
  <c r="N20" i="32"/>
  <c r="L22" i="32"/>
  <c r="L24" i="32"/>
  <c r="Z13" i="34"/>
  <c r="Z16" i="34"/>
  <c r="Z20" i="34"/>
  <c r="X22" i="34"/>
  <c r="X24" i="34"/>
  <c r="N12" i="35"/>
  <c r="J36" i="35"/>
  <c r="J34" i="35"/>
  <c r="J33" i="35"/>
  <c r="J31" i="35"/>
  <c r="J29" i="35"/>
  <c r="J27" i="35"/>
  <c r="J25" i="35"/>
  <c r="J24" i="35"/>
  <c r="J22" i="35"/>
  <c r="J21" i="35"/>
  <c r="J20" i="35"/>
  <c r="J18" i="35"/>
  <c r="J16" i="35"/>
  <c r="J15" i="35"/>
  <c r="H18" i="35"/>
  <c r="X13" i="35"/>
  <c r="Z15" i="35"/>
  <c r="X21" i="35"/>
  <c r="N12" i="37"/>
  <c r="J36" i="37"/>
  <c r="J34" i="37"/>
  <c r="J33" i="37"/>
  <c r="J31" i="37"/>
  <c r="J29" i="37"/>
  <c r="J27" i="37"/>
  <c r="J25" i="37"/>
  <c r="J24" i="37"/>
  <c r="J22" i="37"/>
  <c r="J21" i="37"/>
  <c r="J20" i="37"/>
  <c r="J18" i="37"/>
  <c r="J16" i="37"/>
  <c r="J15" i="37"/>
  <c r="H18" i="37"/>
  <c r="X13" i="37"/>
  <c r="Z15" i="37"/>
  <c r="X21" i="37"/>
  <c r="L12" i="38"/>
  <c r="F36" i="38"/>
  <c r="F34" i="38"/>
  <c r="F33" i="38"/>
  <c r="F31" i="38"/>
  <c r="F29" i="38"/>
  <c r="F27" i="38"/>
  <c r="F25" i="38"/>
  <c r="F24" i="38"/>
  <c r="F22" i="38"/>
  <c r="F21" i="38"/>
  <c r="F15" i="38"/>
  <c r="F20" i="38"/>
  <c r="F18" i="38"/>
  <c r="D18" i="38"/>
  <c r="F16" i="38"/>
  <c r="X16" i="38"/>
  <c r="X20" i="38"/>
  <c r="J24" i="40"/>
  <c r="J22" i="40"/>
  <c r="J18" i="40"/>
  <c r="J31" i="40"/>
  <c r="J20" i="40"/>
  <c r="H18" i="40"/>
  <c r="J21" i="40"/>
  <c r="N12" i="40"/>
  <c r="J33" i="40"/>
  <c r="J34" i="40"/>
  <c r="J36" i="40"/>
  <c r="J25" i="40"/>
  <c r="J27" i="40"/>
  <c r="J16" i="40"/>
  <c r="J15" i="40"/>
  <c r="J29" i="40"/>
  <c r="Z13" i="40"/>
  <c r="L20" i="40"/>
  <c r="N22" i="40"/>
  <c r="X25" i="40"/>
  <c r="V21" i="41"/>
  <c r="V29" i="41"/>
  <c r="V18" i="41"/>
  <c r="T18" i="41"/>
  <c r="Z12" i="41"/>
  <c r="V31" i="41"/>
  <c r="V20" i="41"/>
  <c r="V33" i="41"/>
  <c r="V22" i="41"/>
  <c r="V34" i="41"/>
  <c r="V24" i="41"/>
  <c r="V36" i="41"/>
  <c r="V25" i="41"/>
  <c r="V27" i="41"/>
  <c r="V16" i="41"/>
  <c r="V15" i="41"/>
  <c r="N15" i="41"/>
  <c r="Z20" i="41"/>
  <c r="L25" i="41"/>
  <c r="L29" i="46"/>
  <c r="N13" i="31"/>
  <c r="N22" i="31"/>
  <c r="N24" i="31"/>
  <c r="L13" i="32"/>
  <c r="N21" i="32"/>
  <c r="L25" i="32"/>
  <c r="L29" i="32"/>
  <c r="L33" i="32"/>
  <c r="L34" i="32"/>
  <c r="Z21" i="34"/>
  <c r="X25" i="34"/>
  <c r="X29" i="34"/>
  <c r="X33" i="34"/>
  <c r="X34" i="34"/>
  <c r="Z13" i="35"/>
  <c r="Z16" i="35"/>
  <c r="Z20" i="35"/>
  <c r="X22" i="35"/>
  <c r="X24" i="35"/>
  <c r="Z13" i="37"/>
  <c r="Z16" i="37"/>
  <c r="Z20" i="37"/>
  <c r="X22" i="37"/>
  <c r="X24" i="37"/>
  <c r="N12" i="38"/>
  <c r="J36" i="38"/>
  <c r="J34" i="38"/>
  <c r="J33" i="38"/>
  <c r="J31" i="38"/>
  <c r="J29" i="38"/>
  <c r="J27" i="38"/>
  <c r="J25" i="38"/>
  <c r="J24" i="38"/>
  <c r="J22" i="38"/>
  <c r="J21" i="38"/>
  <c r="J20" i="38"/>
  <c r="J18" i="38"/>
  <c r="J16" i="38"/>
  <c r="H18" i="38"/>
  <c r="J15" i="38"/>
  <c r="X13" i="38"/>
  <c r="Z15" i="38"/>
  <c r="X21" i="38"/>
  <c r="N21" i="40"/>
  <c r="X24" i="40"/>
  <c r="L24" i="41"/>
  <c r="N25" i="41"/>
  <c r="X29" i="41"/>
  <c r="J21" i="43"/>
  <c r="J20" i="43"/>
  <c r="J18" i="43"/>
  <c r="J16" i="43"/>
  <c r="H18" i="43"/>
  <c r="J15" i="43"/>
  <c r="N12" i="43"/>
  <c r="J34" i="43"/>
  <c r="J27" i="43"/>
  <c r="J33" i="43"/>
  <c r="J25" i="43"/>
  <c r="J31" i="43"/>
  <c r="J24" i="43"/>
  <c r="J36" i="43"/>
  <c r="J29" i="43"/>
  <c r="J22" i="43"/>
  <c r="X15" i="31"/>
  <c r="N25" i="31"/>
  <c r="N29" i="31"/>
  <c r="N33" i="31"/>
  <c r="N34" i="31"/>
  <c r="N13" i="32"/>
  <c r="N22" i="32"/>
  <c r="N24" i="32"/>
  <c r="X12" i="34"/>
  <c r="R36" i="34"/>
  <c r="R34" i="34"/>
  <c r="R33" i="34"/>
  <c r="R31" i="34"/>
  <c r="R29" i="34"/>
  <c r="R27" i="34"/>
  <c r="R25" i="34"/>
  <c r="R24" i="34"/>
  <c r="R22" i="34"/>
  <c r="R21" i="34"/>
  <c r="R20" i="34"/>
  <c r="R18" i="34"/>
  <c r="R16" i="34"/>
  <c r="P18" i="34"/>
  <c r="R15" i="34"/>
  <c r="Z22" i="34"/>
  <c r="Z24" i="34"/>
  <c r="Z21" i="35"/>
  <c r="X25" i="35"/>
  <c r="X29" i="35"/>
  <c r="X33" i="35"/>
  <c r="X34" i="35"/>
  <c r="Z21" i="37"/>
  <c r="X25" i="37"/>
  <c r="X29" i="37"/>
  <c r="X33" i="37"/>
  <c r="X34" i="37"/>
  <c r="Z13" i="38"/>
  <c r="Z16" i="38"/>
  <c r="Z20" i="38"/>
  <c r="X22" i="38"/>
  <c r="X24" i="38"/>
  <c r="L16" i="40"/>
  <c r="N20" i="40"/>
  <c r="X34" i="40"/>
  <c r="X16" i="41"/>
  <c r="Z29" i="41"/>
  <c r="L34" i="41"/>
  <c r="N33" i="43"/>
  <c r="V36" i="34"/>
  <c r="V34" i="34"/>
  <c r="V33" i="34"/>
  <c r="V31" i="34"/>
  <c r="V29" i="34"/>
  <c r="V27" i="34"/>
  <c r="V25" i="34"/>
  <c r="V24" i="34"/>
  <c r="V22" i="34"/>
  <c r="V21" i="34"/>
  <c r="V20" i="34"/>
  <c r="V18" i="34"/>
  <c r="V16" i="34"/>
  <c r="T18" i="34"/>
  <c r="V15" i="34"/>
  <c r="Z12" i="34"/>
  <c r="L15" i="34"/>
  <c r="Z25" i="34"/>
  <c r="Z29" i="34"/>
  <c r="Z33" i="34"/>
  <c r="Z34" i="34"/>
  <c r="R36" i="35"/>
  <c r="R34" i="35"/>
  <c r="R33" i="35"/>
  <c r="R31" i="35"/>
  <c r="R29" i="35"/>
  <c r="R27" i="35"/>
  <c r="R25" i="35"/>
  <c r="R24" i="35"/>
  <c r="R22" i="35"/>
  <c r="R21" i="35"/>
  <c r="R20" i="35"/>
  <c r="R18" i="35"/>
  <c r="R16" i="35"/>
  <c r="P18" i="35"/>
  <c r="R15" i="35"/>
  <c r="X12" i="35"/>
  <c r="Z22" i="35"/>
  <c r="Z24" i="35"/>
  <c r="R36" i="37"/>
  <c r="R34" i="37"/>
  <c r="R33" i="37"/>
  <c r="R31" i="37"/>
  <c r="R29" i="37"/>
  <c r="R27" i="37"/>
  <c r="R25" i="37"/>
  <c r="R24" i="37"/>
  <c r="R22" i="37"/>
  <c r="R21" i="37"/>
  <c r="R20" i="37"/>
  <c r="R18" i="37"/>
  <c r="R16" i="37"/>
  <c r="P18" i="37"/>
  <c r="R15" i="37"/>
  <c r="X12" i="37"/>
  <c r="Z22" i="37"/>
  <c r="Z24" i="37"/>
  <c r="Z21" i="38"/>
  <c r="X25" i="38"/>
  <c r="X29" i="38"/>
  <c r="X33" i="38"/>
  <c r="X34" i="38"/>
  <c r="R22" i="40"/>
  <c r="X12" i="40"/>
  <c r="R34" i="40"/>
  <c r="R24" i="40"/>
  <c r="R36" i="40"/>
  <c r="R25" i="40"/>
  <c r="R27" i="40"/>
  <c r="R29" i="40"/>
  <c r="R16" i="40"/>
  <c r="R15" i="40"/>
  <c r="R18" i="40"/>
  <c r="R31" i="40"/>
  <c r="P18" i="40"/>
  <c r="R33" i="40"/>
  <c r="R21" i="40"/>
  <c r="R20" i="40"/>
  <c r="X22" i="40"/>
  <c r="Z24" i="40"/>
  <c r="L29" i="40"/>
  <c r="X15" i="41"/>
  <c r="L22" i="41"/>
  <c r="N34" i="41"/>
  <c r="J24" i="31"/>
  <c r="J22" i="31"/>
  <c r="J21" i="31"/>
  <c r="J31" i="31"/>
  <c r="J15" i="31"/>
  <c r="J27" i="31"/>
  <c r="J20" i="31"/>
  <c r="J36" i="31"/>
  <c r="J16" i="31"/>
  <c r="J33" i="31"/>
  <c r="J29" i="31"/>
  <c r="N12" i="31"/>
  <c r="J25" i="31"/>
  <c r="J18" i="31"/>
  <c r="J34" i="31"/>
  <c r="H18" i="31"/>
  <c r="X13" i="31"/>
  <c r="Z15" i="31"/>
  <c r="X21" i="31"/>
  <c r="F36" i="32"/>
  <c r="F34" i="32"/>
  <c r="F33" i="32"/>
  <c r="F31" i="32"/>
  <c r="F29" i="32"/>
  <c r="F27" i="32"/>
  <c r="F25" i="32"/>
  <c r="F24" i="32"/>
  <c r="F22" i="32"/>
  <c r="F21" i="32"/>
  <c r="D18" i="32"/>
  <c r="F15" i="32"/>
  <c r="F20" i="32"/>
  <c r="F16" i="32"/>
  <c r="L12" i="32"/>
  <c r="F18" i="32"/>
  <c r="X16" i="32"/>
  <c r="X20" i="32"/>
  <c r="L16" i="34"/>
  <c r="L20" i="34"/>
  <c r="V24" i="35"/>
  <c r="V22" i="35"/>
  <c r="V21" i="35"/>
  <c r="V20" i="35"/>
  <c r="V18" i="35"/>
  <c r="V16" i="35"/>
  <c r="T18" i="35"/>
  <c r="V15" i="35"/>
  <c r="V34" i="35"/>
  <c r="V27" i="35"/>
  <c r="V33" i="35"/>
  <c r="V25" i="35"/>
  <c r="Z12" i="35"/>
  <c r="V31" i="35"/>
  <c r="V29" i="35"/>
  <c r="V36" i="35"/>
  <c r="L15" i="35"/>
  <c r="Z25" i="35"/>
  <c r="Z29" i="35"/>
  <c r="Z33" i="35"/>
  <c r="Z34" i="35"/>
  <c r="V24" i="37"/>
  <c r="V22" i="37"/>
  <c r="V21" i="37"/>
  <c r="V20" i="37"/>
  <c r="V18" i="37"/>
  <c r="V16" i="37"/>
  <c r="T18" i="37"/>
  <c r="V15" i="37"/>
  <c r="V34" i="37"/>
  <c r="V27" i="37"/>
  <c r="V33" i="37"/>
  <c r="V25" i="37"/>
  <c r="Z12" i="37"/>
  <c r="V31" i="37"/>
  <c r="V36" i="37"/>
  <c r="V29" i="37"/>
  <c r="L15" i="37"/>
  <c r="Z25" i="37"/>
  <c r="Z29" i="37"/>
  <c r="Z33" i="37"/>
  <c r="Z34" i="37"/>
  <c r="R36" i="38"/>
  <c r="R34" i="38"/>
  <c r="R33" i="38"/>
  <c r="R31" i="38"/>
  <c r="R29" i="38"/>
  <c r="R27" i="38"/>
  <c r="R25" i="38"/>
  <c r="R24" i="38"/>
  <c r="R22" i="38"/>
  <c r="R21" i="38"/>
  <c r="R20" i="38"/>
  <c r="R18" i="38"/>
  <c r="R16" i="38"/>
  <c r="P18" i="38"/>
  <c r="R15" i="38"/>
  <c r="X12" i="38"/>
  <c r="Z22" i="38"/>
  <c r="Z24" i="38"/>
  <c r="N15" i="40"/>
  <c r="N16" i="40"/>
  <c r="X21" i="40"/>
  <c r="X33" i="40"/>
  <c r="L13" i="41"/>
  <c r="Z16" i="41"/>
  <c r="L21" i="41"/>
  <c r="L33" i="41"/>
  <c r="X16" i="43"/>
  <c r="N29" i="44"/>
  <c r="N25" i="40"/>
  <c r="N29" i="40"/>
  <c r="N33" i="40"/>
  <c r="N34" i="40"/>
  <c r="N13" i="41"/>
  <c r="N22" i="41"/>
  <c r="N24" i="41"/>
  <c r="X16" i="44"/>
  <c r="L16" i="46"/>
  <c r="N24" i="44"/>
  <c r="V24" i="47"/>
  <c r="V22" i="47"/>
  <c r="V20" i="47"/>
  <c r="V34" i="47"/>
  <c r="V27" i="47"/>
  <c r="V21" i="47"/>
  <c r="V36" i="47"/>
  <c r="V29" i="47"/>
  <c r="V15" i="47"/>
  <c r="V31" i="47"/>
  <c r="V16" i="47"/>
  <c r="V33" i="47"/>
  <c r="Z12" i="47"/>
  <c r="V18" i="47"/>
  <c r="T18" i="47"/>
  <c r="V25" i="47"/>
  <c r="F36" i="43"/>
  <c r="F34" i="43"/>
  <c r="F33" i="43"/>
  <c r="F31" i="43"/>
  <c r="F29" i="43"/>
  <c r="F27" i="43"/>
  <c r="F25" i="43"/>
  <c r="F24" i="43"/>
  <c r="F22" i="43"/>
  <c r="F21" i="43"/>
  <c r="F20" i="43"/>
  <c r="F18" i="43"/>
  <c r="F16" i="43"/>
  <c r="D18" i="43"/>
  <c r="F15" i="43"/>
  <c r="L12" i="43"/>
  <c r="L29" i="47"/>
  <c r="L21" i="47"/>
  <c r="N29" i="47"/>
  <c r="Z12" i="49"/>
  <c r="V36" i="49"/>
  <c r="V34" i="49"/>
  <c r="V33" i="49"/>
  <c r="V31" i="49"/>
  <c r="V29" i="49"/>
  <c r="V27" i="49"/>
  <c r="V25" i="49"/>
  <c r="V21" i="49"/>
  <c r="T18" i="49"/>
  <c r="V15" i="49"/>
  <c r="V22" i="49"/>
  <c r="V16" i="49"/>
  <c r="V20" i="49"/>
  <c r="V24" i="49"/>
  <c r="V18" i="49"/>
  <c r="X12" i="50"/>
  <c r="R24" i="50"/>
  <c r="R22" i="50"/>
  <c r="R20" i="50"/>
  <c r="R18" i="50"/>
  <c r="R16" i="50"/>
  <c r="P18" i="50"/>
  <c r="R36" i="50"/>
  <c r="R29" i="50"/>
  <c r="R34" i="50"/>
  <c r="R27" i="50"/>
  <c r="R21" i="50"/>
  <c r="R15" i="50"/>
  <c r="R33" i="50"/>
  <c r="R25" i="50"/>
  <c r="R31" i="50"/>
  <c r="R22" i="46"/>
  <c r="R21" i="46"/>
  <c r="R25" i="46"/>
  <c r="R24" i="46"/>
  <c r="R20" i="46"/>
  <c r="R18" i="46"/>
  <c r="R16" i="46"/>
  <c r="R27" i="46"/>
  <c r="P18" i="46"/>
  <c r="R15" i="46"/>
  <c r="R29" i="46"/>
  <c r="R31" i="46"/>
  <c r="R33" i="46"/>
  <c r="R34" i="46"/>
  <c r="X12" i="46"/>
  <c r="R36" i="46"/>
  <c r="N15" i="47"/>
  <c r="L22" i="47"/>
  <c r="X13" i="49"/>
  <c r="X20" i="43"/>
  <c r="N25" i="44"/>
  <c r="N33" i="44"/>
  <c r="V25" i="46"/>
  <c r="V24" i="46"/>
  <c r="V20" i="46"/>
  <c r="V18" i="46"/>
  <c r="V16" i="46"/>
  <c r="V27" i="46"/>
  <c r="T18" i="46"/>
  <c r="V15" i="46"/>
  <c r="V29" i="46"/>
  <c r="V31" i="46"/>
  <c r="V33" i="46"/>
  <c r="V34" i="46"/>
  <c r="Z12" i="46"/>
  <c r="V22" i="46"/>
  <c r="V36" i="46"/>
  <c r="V21" i="46"/>
  <c r="V24" i="40"/>
  <c r="V22" i="40"/>
  <c r="V34" i="40"/>
  <c r="V36" i="40"/>
  <c r="V25" i="40"/>
  <c r="V27" i="40"/>
  <c r="V16" i="40"/>
  <c r="V15" i="40"/>
  <c r="V29" i="40"/>
  <c r="V18" i="40"/>
  <c r="T18" i="40"/>
  <c r="V31" i="40"/>
  <c r="V20" i="40"/>
  <c r="V21" i="40"/>
  <c r="Z12" i="40"/>
  <c r="V33" i="40"/>
  <c r="L15" i="40"/>
  <c r="Z25" i="40"/>
  <c r="Z29" i="40"/>
  <c r="Z33" i="40"/>
  <c r="Z34" i="40"/>
  <c r="R36" i="41"/>
  <c r="R34" i="41"/>
  <c r="R33" i="41"/>
  <c r="R31" i="41"/>
  <c r="R29" i="41"/>
  <c r="R27" i="41"/>
  <c r="R25" i="41"/>
  <c r="R15" i="41"/>
  <c r="R16" i="41"/>
  <c r="R18" i="41"/>
  <c r="X12" i="41"/>
  <c r="P18" i="41"/>
  <c r="R20" i="41"/>
  <c r="R21" i="41"/>
  <c r="R22" i="41"/>
  <c r="R24" i="41"/>
  <c r="Z22" i="41"/>
  <c r="Z24" i="41"/>
  <c r="X13" i="43"/>
  <c r="X20" i="44"/>
  <c r="L20" i="46"/>
  <c r="X15" i="43"/>
  <c r="N34" i="43"/>
  <c r="X20" i="50"/>
  <c r="Z29" i="53"/>
  <c r="X15" i="44"/>
  <c r="N34" i="44"/>
  <c r="L15" i="46"/>
  <c r="X34" i="46"/>
  <c r="X24" i="47"/>
  <c r="X24" i="50"/>
  <c r="Z15" i="43"/>
  <c r="X21" i="43"/>
  <c r="Z24" i="50"/>
  <c r="Z13" i="43"/>
  <c r="Z16" i="43"/>
  <c r="Z20" i="43"/>
  <c r="X22" i="43"/>
  <c r="X24" i="43"/>
  <c r="J20" i="44"/>
  <c r="J18" i="44"/>
  <c r="J16" i="44"/>
  <c r="H18" i="44"/>
  <c r="J15" i="44"/>
  <c r="N12" i="44"/>
  <c r="J34" i="44"/>
  <c r="J27" i="44"/>
  <c r="J21" i="44"/>
  <c r="J33" i="44"/>
  <c r="J25" i="44"/>
  <c r="J31" i="44"/>
  <c r="J24" i="44"/>
  <c r="J36" i="44"/>
  <c r="J29" i="44"/>
  <c r="J22" i="44"/>
  <c r="X13" i="44"/>
  <c r="Z15" i="44"/>
  <c r="X21" i="44"/>
  <c r="N15" i="46"/>
  <c r="L21" i="46"/>
  <c r="L24" i="46"/>
  <c r="L25" i="46"/>
  <c r="X33" i="46"/>
  <c r="Z34" i="46"/>
  <c r="X15" i="47"/>
  <c r="Z16" i="47"/>
  <c r="Z24" i="47"/>
  <c r="X25" i="49"/>
  <c r="X33" i="49"/>
  <c r="Z13" i="50"/>
  <c r="Z20" i="50"/>
  <c r="Z21" i="43"/>
  <c r="X25" i="43"/>
  <c r="X29" i="43"/>
  <c r="X33" i="43"/>
  <c r="X34" i="43"/>
  <c r="Z13" i="44"/>
  <c r="Z16" i="44"/>
  <c r="Z20" i="44"/>
  <c r="X22" i="44"/>
  <c r="X24" i="44"/>
  <c r="N16" i="46"/>
  <c r="N20" i="46"/>
  <c r="L22" i="46"/>
  <c r="L13" i="47"/>
  <c r="Z15" i="47"/>
  <c r="L20" i="47"/>
  <c r="N21" i="47"/>
  <c r="X22" i="47"/>
  <c r="L34" i="47"/>
  <c r="L15" i="49"/>
  <c r="Z25" i="49"/>
  <c r="Z33" i="49"/>
  <c r="X22" i="52"/>
  <c r="X12" i="43"/>
  <c r="R36" i="43"/>
  <c r="R34" i="43"/>
  <c r="R33" i="43"/>
  <c r="R31" i="43"/>
  <c r="R29" i="43"/>
  <c r="R27" i="43"/>
  <c r="R25" i="43"/>
  <c r="R24" i="43"/>
  <c r="R22" i="43"/>
  <c r="R21" i="43"/>
  <c r="R15" i="43"/>
  <c r="R20" i="43"/>
  <c r="P18" i="43"/>
  <c r="R16" i="43"/>
  <c r="R18" i="43"/>
  <c r="Z22" i="43"/>
  <c r="Z24" i="43"/>
  <c r="Z21" i="44"/>
  <c r="X25" i="44"/>
  <c r="X29" i="44"/>
  <c r="X33" i="44"/>
  <c r="X34" i="44"/>
  <c r="L13" i="46"/>
  <c r="N21" i="46"/>
  <c r="N24" i="46"/>
  <c r="Z33" i="46"/>
  <c r="X29" i="47"/>
  <c r="N34" i="47"/>
  <c r="Z15" i="49"/>
  <c r="X21" i="49"/>
  <c r="Z22" i="52"/>
  <c r="Z12" i="43"/>
  <c r="V36" i="43"/>
  <c r="V34" i="43"/>
  <c r="V33" i="43"/>
  <c r="V31" i="43"/>
  <c r="V29" i="43"/>
  <c r="V27" i="43"/>
  <c r="V25" i="43"/>
  <c r="V24" i="43"/>
  <c r="V22" i="43"/>
  <c r="V21" i="43"/>
  <c r="V20" i="43"/>
  <c r="V18" i="43"/>
  <c r="V16" i="43"/>
  <c r="T18" i="43"/>
  <c r="V15" i="43"/>
  <c r="L15" i="43"/>
  <c r="Z25" i="43"/>
  <c r="Z29" i="43"/>
  <c r="Z33" i="43"/>
  <c r="Z34" i="43"/>
  <c r="X12" i="44"/>
  <c r="R36" i="44"/>
  <c r="R34" i="44"/>
  <c r="R33" i="44"/>
  <c r="R31" i="44"/>
  <c r="R29" i="44"/>
  <c r="R27" i="44"/>
  <c r="R25" i="44"/>
  <c r="R24" i="44"/>
  <c r="R22" i="44"/>
  <c r="R21" i="44"/>
  <c r="R20" i="44"/>
  <c r="R18" i="44"/>
  <c r="R16" i="44"/>
  <c r="R15" i="44"/>
  <c r="P18" i="44"/>
  <c r="Z22" i="44"/>
  <c r="Z24" i="44"/>
  <c r="N13" i="46"/>
  <c r="N22" i="46"/>
  <c r="X29" i="46"/>
  <c r="X13" i="47"/>
  <c r="N20" i="47"/>
  <c r="X21" i="47"/>
  <c r="Z22" i="47"/>
  <c r="Z21" i="49"/>
  <c r="X34" i="49"/>
  <c r="Z13" i="52"/>
  <c r="Z24" i="52"/>
  <c r="L22" i="53"/>
  <c r="L16" i="43"/>
  <c r="L20" i="43"/>
  <c r="Z12" i="44"/>
  <c r="V36" i="44"/>
  <c r="V34" i="44"/>
  <c r="V33" i="44"/>
  <c r="V31" i="44"/>
  <c r="V29" i="44"/>
  <c r="V27" i="44"/>
  <c r="V25" i="44"/>
  <c r="V24" i="44"/>
  <c r="V22" i="44"/>
  <c r="V21" i="44"/>
  <c r="V20" i="44"/>
  <c r="V18" i="44"/>
  <c r="V16" i="44"/>
  <c r="T18" i="44"/>
  <c r="V15" i="44"/>
  <c r="L15" i="44"/>
  <c r="Z25" i="44"/>
  <c r="Z29" i="44"/>
  <c r="Z33" i="44"/>
  <c r="Z34" i="44"/>
  <c r="X15" i="46"/>
  <c r="Z13" i="47"/>
  <c r="L25" i="47"/>
  <c r="L33" i="47"/>
  <c r="Z34" i="49"/>
  <c r="N22" i="53"/>
  <c r="N15" i="43"/>
  <c r="L21" i="43"/>
  <c r="L16" i="44"/>
  <c r="L20" i="44"/>
  <c r="F34" i="46"/>
  <c r="L12" i="46"/>
  <c r="F36" i="46"/>
  <c r="F22" i="46"/>
  <c r="F25" i="46"/>
  <c r="F24" i="46"/>
  <c r="F21" i="46"/>
  <c r="F27" i="46"/>
  <c r="F20" i="46"/>
  <c r="F18" i="46"/>
  <c r="F16" i="46"/>
  <c r="F15" i="46"/>
  <c r="F33" i="46"/>
  <c r="D18" i="46"/>
  <c r="F31" i="46"/>
  <c r="F29" i="46"/>
  <c r="X16" i="46"/>
  <c r="X20" i="46"/>
  <c r="X24" i="46"/>
  <c r="X25" i="46"/>
  <c r="Z29" i="46"/>
  <c r="J21" i="47"/>
  <c r="J36" i="47"/>
  <c r="J34" i="47"/>
  <c r="J33" i="47"/>
  <c r="J31" i="47"/>
  <c r="J29" i="47"/>
  <c r="J27" i="47"/>
  <c r="J25" i="47"/>
  <c r="J24" i="47"/>
  <c r="J18" i="47"/>
  <c r="N12" i="47"/>
  <c r="H18" i="47"/>
  <c r="J20" i="47"/>
  <c r="J16" i="47"/>
  <c r="J22" i="47"/>
  <c r="J15" i="47"/>
  <c r="Z21" i="47"/>
  <c r="N25" i="47"/>
  <c r="N33" i="47"/>
  <c r="X34" i="47"/>
  <c r="X16" i="50"/>
  <c r="N24" i="53"/>
  <c r="N16" i="43"/>
  <c r="N20" i="43"/>
  <c r="L22" i="43"/>
  <c r="L24" i="43"/>
  <c r="N15" i="44"/>
  <c r="L21" i="44"/>
  <c r="J24" i="46"/>
  <c r="J22" i="46"/>
  <c r="J34" i="46"/>
  <c r="N12" i="46"/>
  <c r="J36" i="46"/>
  <c r="J21" i="46"/>
  <c r="J25" i="46"/>
  <c r="J20" i="46"/>
  <c r="J18" i="46"/>
  <c r="J16" i="46"/>
  <c r="J27" i="46"/>
  <c r="H18" i="46"/>
  <c r="J15" i="46"/>
  <c r="J29" i="46"/>
  <c r="J33" i="46"/>
  <c r="J31" i="46"/>
  <c r="X13" i="46"/>
  <c r="Z15" i="46"/>
  <c r="X21" i="46"/>
  <c r="X22" i="46"/>
  <c r="L34" i="46"/>
  <c r="L16" i="47"/>
  <c r="L24" i="47"/>
  <c r="X29" i="49"/>
  <c r="Z16" i="50"/>
  <c r="X22" i="50"/>
  <c r="L16" i="52"/>
  <c r="N13" i="53"/>
  <c r="L13" i="43"/>
  <c r="N21" i="43"/>
  <c r="L25" i="43"/>
  <c r="L29" i="43"/>
  <c r="L33" i="43"/>
  <c r="L34" i="43"/>
  <c r="N16" i="44"/>
  <c r="N20" i="44"/>
  <c r="L22" i="44"/>
  <c r="L24" i="44"/>
  <c r="Z13" i="46"/>
  <c r="Z16" i="46"/>
  <c r="Z20" i="46"/>
  <c r="Z24" i="46"/>
  <c r="Z25" i="46"/>
  <c r="L15" i="47"/>
  <c r="Z20" i="47"/>
  <c r="Z29" i="49"/>
  <c r="Z22" i="50"/>
  <c r="L29" i="52"/>
  <c r="N13" i="43"/>
  <c r="N22" i="43"/>
  <c r="N24" i="43"/>
  <c r="L13" i="44"/>
  <c r="N21" i="44"/>
  <c r="L25" i="44"/>
  <c r="L29" i="44"/>
  <c r="L33" i="44"/>
  <c r="L34" i="44"/>
  <c r="Z21" i="46"/>
  <c r="Z22" i="46"/>
  <c r="L33" i="46"/>
  <c r="P18" i="47"/>
  <c r="R15" i="47"/>
  <c r="R34" i="47"/>
  <c r="R27" i="47"/>
  <c r="R20" i="47"/>
  <c r="R21" i="47"/>
  <c r="R36" i="47"/>
  <c r="R29" i="47"/>
  <c r="R22" i="47"/>
  <c r="R31" i="47"/>
  <c r="R24" i="47"/>
  <c r="R16" i="47"/>
  <c r="R33" i="47"/>
  <c r="X12" i="47"/>
  <c r="R18" i="47"/>
  <c r="R25" i="47"/>
  <c r="N16" i="47"/>
  <c r="X25" i="47"/>
  <c r="X33" i="47"/>
  <c r="J36" i="49"/>
  <c r="J34" i="49"/>
  <c r="J33" i="49"/>
  <c r="J31" i="49"/>
  <c r="J29" i="49"/>
  <c r="J27" i="49"/>
  <c r="J25" i="49"/>
  <c r="J24" i="49"/>
  <c r="J22" i="49"/>
  <c r="J21" i="49"/>
  <c r="J20" i="49"/>
  <c r="J18" i="49"/>
  <c r="J16" i="49"/>
  <c r="H18" i="49"/>
  <c r="J15" i="49"/>
  <c r="N12" i="49"/>
  <c r="F36" i="50"/>
  <c r="F34" i="50"/>
  <c r="F33" i="50"/>
  <c r="F31" i="50"/>
  <c r="F29" i="50"/>
  <c r="F27" i="50"/>
  <c r="F25" i="50"/>
  <c r="F24" i="50"/>
  <c r="F22" i="50"/>
  <c r="F21" i="50"/>
  <c r="F20" i="50"/>
  <c r="F18" i="50"/>
  <c r="F16" i="50"/>
  <c r="D18" i="50"/>
  <c r="F15" i="50"/>
  <c r="L12" i="50"/>
  <c r="N29" i="52"/>
  <c r="Z15" i="53"/>
  <c r="X25" i="53"/>
  <c r="F36" i="47"/>
  <c r="F34" i="47"/>
  <c r="F33" i="47"/>
  <c r="F31" i="47"/>
  <c r="F29" i="47"/>
  <c r="F27" i="47"/>
  <c r="F25" i="47"/>
  <c r="F15" i="47"/>
  <c r="F24" i="47"/>
  <c r="F16" i="47"/>
  <c r="L12" i="47"/>
  <c r="F18" i="47"/>
  <c r="D18" i="47"/>
  <c r="F20" i="47"/>
  <c r="F21" i="47"/>
  <c r="F22" i="47"/>
  <c r="X16" i="47"/>
  <c r="X20" i="47"/>
  <c r="Z13" i="49"/>
  <c r="Z16" i="49"/>
  <c r="Z20" i="49"/>
  <c r="X22" i="49"/>
  <c r="X24" i="49"/>
  <c r="J24" i="50"/>
  <c r="J22" i="50"/>
  <c r="J21" i="50"/>
  <c r="J20" i="50"/>
  <c r="J18" i="50"/>
  <c r="J16" i="50"/>
  <c r="H18" i="50"/>
  <c r="J15" i="50"/>
  <c r="N12" i="50"/>
  <c r="J31" i="50"/>
  <c r="J36" i="50"/>
  <c r="J29" i="50"/>
  <c r="J34" i="50"/>
  <c r="J27" i="50"/>
  <c r="J33" i="50"/>
  <c r="J25" i="50"/>
  <c r="X13" i="50"/>
  <c r="Z15" i="50"/>
  <c r="X21" i="50"/>
  <c r="F20" i="52"/>
  <c r="F18" i="52"/>
  <c r="F16" i="52"/>
  <c r="F31" i="52"/>
  <c r="F33" i="52"/>
  <c r="F21" i="52"/>
  <c r="F22" i="52"/>
  <c r="F34" i="52"/>
  <c r="F24" i="52"/>
  <c r="F36" i="52"/>
  <c r="F25" i="52"/>
  <c r="F15" i="52"/>
  <c r="F27" i="52"/>
  <c r="F29" i="52"/>
  <c r="D18" i="52"/>
  <c r="L12" i="52"/>
  <c r="X33" i="52"/>
  <c r="Z34" i="52"/>
  <c r="L13" i="53"/>
  <c r="X15" i="53"/>
  <c r="Z16" i="53"/>
  <c r="L21" i="53"/>
  <c r="L33" i="53"/>
  <c r="N34" i="53"/>
  <c r="P18" i="49"/>
  <c r="R15" i="49"/>
  <c r="X12" i="49"/>
  <c r="R36" i="49"/>
  <c r="R34" i="49"/>
  <c r="R33" i="49"/>
  <c r="R31" i="49"/>
  <c r="R29" i="49"/>
  <c r="R27" i="49"/>
  <c r="R25" i="49"/>
  <c r="R21" i="49"/>
  <c r="R18" i="49"/>
  <c r="R22" i="49"/>
  <c r="R16" i="49"/>
  <c r="R24" i="49"/>
  <c r="R20" i="49"/>
  <c r="Z22" i="49"/>
  <c r="Z24" i="49"/>
  <c r="Z21" i="50"/>
  <c r="X25" i="50"/>
  <c r="X29" i="50"/>
  <c r="X33" i="50"/>
  <c r="X34" i="50"/>
  <c r="L15" i="52"/>
  <c r="N16" i="52"/>
  <c r="X20" i="52"/>
  <c r="Z21" i="52"/>
  <c r="Z33" i="52"/>
  <c r="N21" i="53"/>
  <c r="X24" i="53"/>
  <c r="N33" i="53"/>
  <c r="R20" i="52"/>
  <c r="R18" i="52"/>
  <c r="R16" i="52"/>
  <c r="R24" i="52"/>
  <c r="R36" i="52"/>
  <c r="R25" i="52"/>
  <c r="R15" i="52"/>
  <c r="R27" i="52"/>
  <c r="R29" i="52"/>
  <c r="X12" i="52"/>
  <c r="P18" i="52"/>
  <c r="R31" i="52"/>
  <c r="R22" i="52"/>
  <c r="R34" i="52"/>
  <c r="R33" i="52"/>
  <c r="R21" i="52"/>
  <c r="Z20" i="52"/>
  <c r="L25" i="52"/>
  <c r="X13" i="53"/>
  <c r="N20" i="53"/>
  <c r="Z25" i="53"/>
  <c r="X34" i="53"/>
  <c r="L16" i="49"/>
  <c r="L20" i="49"/>
  <c r="Z12" i="50"/>
  <c r="V36" i="50"/>
  <c r="V34" i="50"/>
  <c r="V33" i="50"/>
  <c r="V31" i="50"/>
  <c r="V29" i="50"/>
  <c r="V27" i="50"/>
  <c r="V25" i="50"/>
  <c r="V24" i="50"/>
  <c r="V22" i="50"/>
  <c r="V20" i="50"/>
  <c r="V18" i="50"/>
  <c r="V16" i="50"/>
  <c r="V21" i="50"/>
  <c r="V15" i="50"/>
  <c r="T18" i="50"/>
  <c r="L15" i="50"/>
  <c r="Z25" i="50"/>
  <c r="Z29" i="50"/>
  <c r="Z33" i="50"/>
  <c r="Z34" i="50"/>
  <c r="Z12" i="52"/>
  <c r="V27" i="52"/>
  <c r="V15" i="52"/>
  <c r="V16" i="52"/>
  <c r="V29" i="52"/>
  <c r="V18" i="52"/>
  <c r="V31" i="52"/>
  <c r="T18" i="52"/>
  <c r="V20" i="52"/>
  <c r="V33" i="52"/>
  <c r="V21" i="52"/>
  <c r="V22" i="52"/>
  <c r="V24" i="52"/>
  <c r="V25" i="52"/>
  <c r="V36" i="52"/>
  <c r="V34" i="52"/>
  <c r="L24" i="52"/>
  <c r="X29" i="52"/>
  <c r="Z13" i="53"/>
  <c r="X22" i="53"/>
  <c r="Z24" i="53"/>
  <c r="L29" i="53"/>
  <c r="Z25" i="47"/>
  <c r="Z29" i="47"/>
  <c r="Z33" i="47"/>
  <c r="Z34" i="47"/>
  <c r="N15" i="49"/>
  <c r="L21" i="49"/>
  <c r="L16" i="50"/>
  <c r="L20" i="50"/>
  <c r="N25" i="52"/>
  <c r="L34" i="52"/>
  <c r="J36" i="53"/>
  <c r="J34" i="53"/>
  <c r="J33" i="53"/>
  <c r="J31" i="53"/>
  <c r="J29" i="53"/>
  <c r="J27" i="53"/>
  <c r="J25" i="53"/>
  <c r="J15" i="53"/>
  <c r="J16" i="53"/>
  <c r="N12" i="53"/>
  <c r="J18" i="53"/>
  <c r="H18" i="53"/>
  <c r="J20" i="53"/>
  <c r="J21" i="53"/>
  <c r="J22" i="53"/>
  <c r="J24" i="53"/>
  <c r="X21" i="53"/>
  <c r="X33" i="53"/>
  <c r="Z34" i="53"/>
  <c r="N16" i="49"/>
  <c r="N20" i="49"/>
  <c r="L22" i="49"/>
  <c r="L24" i="49"/>
  <c r="N15" i="50"/>
  <c r="L21" i="50"/>
  <c r="X16" i="52"/>
  <c r="L22" i="52"/>
  <c r="N24" i="52"/>
  <c r="Z29" i="52"/>
  <c r="Z22" i="53"/>
  <c r="N29" i="53"/>
  <c r="L13" i="49"/>
  <c r="N21" i="49"/>
  <c r="L25" i="49"/>
  <c r="L29" i="49"/>
  <c r="L33" i="49"/>
  <c r="L34" i="49"/>
  <c r="N16" i="50"/>
  <c r="N20" i="50"/>
  <c r="L22" i="50"/>
  <c r="L24" i="50"/>
  <c r="L13" i="52"/>
  <c r="X15" i="52"/>
  <c r="Z16" i="52"/>
  <c r="L33" i="52"/>
  <c r="N34" i="52"/>
  <c r="L15" i="53"/>
  <c r="N16" i="53"/>
  <c r="Z21" i="53"/>
  <c r="Z33" i="53"/>
  <c r="N13" i="49"/>
  <c r="N22" i="49"/>
  <c r="N24" i="49"/>
  <c r="L13" i="50"/>
  <c r="N21" i="50"/>
  <c r="L25" i="50"/>
  <c r="L29" i="50"/>
  <c r="L33" i="50"/>
  <c r="L34" i="50"/>
  <c r="N13" i="52"/>
  <c r="N22" i="52"/>
  <c r="X25" i="52"/>
  <c r="X12" i="53"/>
  <c r="P18" i="53"/>
  <c r="R15" i="53"/>
  <c r="R29" i="53"/>
  <c r="R18" i="53"/>
  <c r="R31" i="53"/>
  <c r="R20" i="53"/>
  <c r="R33" i="53"/>
  <c r="R21" i="53"/>
  <c r="R22" i="53"/>
  <c r="R34" i="53"/>
  <c r="R24" i="53"/>
  <c r="R36" i="53"/>
  <c r="R25" i="53"/>
  <c r="R27" i="53"/>
  <c r="R16" i="53"/>
  <c r="N15" i="53"/>
  <c r="Z20" i="53"/>
  <c r="L25" i="53"/>
  <c r="X15" i="49"/>
  <c r="N25" i="49"/>
  <c r="N29" i="49"/>
  <c r="N33" i="49"/>
  <c r="N34" i="49"/>
  <c r="N13" i="50"/>
  <c r="N22" i="50"/>
  <c r="N24" i="50"/>
  <c r="L20" i="52"/>
  <c r="N21" i="52"/>
  <c r="X24" i="52"/>
  <c r="N33" i="52"/>
  <c r="V36" i="53"/>
  <c r="V34" i="53"/>
  <c r="V33" i="53"/>
  <c r="V31" i="53"/>
  <c r="V29" i="53"/>
  <c r="V27" i="53"/>
  <c r="V25" i="53"/>
  <c r="T18" i="53"/>
  <c r="Z12" i="53"/>
  <c r="V20" i="53"/>
  <c r="V21" i="53"/>
  <c r="V22" i="53"/>
  <c r="V24" i="53"/>
  <c r="V15" i="53"/>
  <c r="V18" i="53"/>
  <c r="V16" i="53"/>
  <c r="L24" i="53"/>
  <c r="X29" i="53"/>
  <c r="N25" i="46"/>
  <c r="N29" i="46"/>
  <c r="N33" i="46"/>
  <c r="N34" i="46"/>
  <c r="N13" i="47"/>
  <c r="N22" i="47"/>
  <c r="N24" i="47"/>
  <c r="F36" i="49"/>
  <c r="F34" i="49"/>
  <c r="F33" i="49"/>
  <c r="F31" i="49"/>
  <c r="F29" i="49"/>
  <c r="F27" i="49"/>
  <c r="F25" i="49"/>
  <c r="F24" i="49"/>
  <c r="F22" i="49"/>
  <c r="F21" i="49"/>
  <c r="F20" i="49"/>
  <c r="F18" i="49"/>
  <c r="F16" i="49"/>
  <c r="D18" i="49"/>
  <c r="F15" i="49"/>
  <c r="L12" i="49"/>
  <c r="X16" i="49"/>
  <c r="X20" i="49"/>
  <c r="X15" i="50"/>
  <c r="N25" i="50"/>
  <c r="N29" i="50"/>
  <c r="N33" i="50"/>
  <c r="N34" i="50"/>
  <c r="N20" i="52"/>
  <c r="Z25" i="52"/>
  <c r="X34" i="52"/>
  <c r="N25" i="53"/>
  <c r="L34" i="53"/>
  <c r="J33" i="52"/>
  <c r="J21" i="52"/>
  <c r="J22" i="52"/>
  <c r="J34" i="52"/>
  <c r="J24" i="52"/>
  <c r="J36" i="52"/>
  <c r="J25" i="52"/>
  <c r="J27" i="52"/>
  <c r="J15" i="52"/>
  <c r="J16" i="52"/>
  <c r="J29" i="52"/>
  <c r="N12" i="52"/>
  <c r="J31" i="52"/>
  <c r="H18" i="52"/>
  <c r="J18" i="52"/>
  <c r="J20" i="52"/>
  <c r="X13" i="52"/>
  <c r="Z15" i="52"/>
  <c r="X21" i="52"/>
  <c r="D18" i="53"/>
  <c r="F15" i="53"/>
  <c r="F24" i="53"/>
  <c r="F36" i="53"/>
  <c r="F25" i="53"/>
  <c r="F27" i="53"/>
  <c r="F16" i="53"/>
  <c r="L12" i="53"/>
  <c r="F29" i="53"/>
  <c r="F18" i="53"/>
  <c r="F31" i="53"/>
  <c r="F20" i="53"/>
  <c r="F22" i="53"/>
  <c r="F34" i="53"/>
  <c r="F33" i="53"/>
  <c r="F21" i="53"/>
  <c r="X16" i="53"/>
  <c r="X20" i="53"/>
  <c r="N15" i="52"/>
  <c r="L21" i="52"/>
  <c r="L16" i="53"/>
  <c r="L20" i="53"/>
  <c r="X25" i="111"/>
  <c r="Z25" i="111"/>
  <c r="X25" i="112"/>
  <c r="X33" i="111"/>
  <c r="Z33" i="111"/>
  <c r="X33" i="112"/>
  <c r="N13" i="111"/>
  <c r="X13" i="112"/>
  <c r="L15" i="111"/>
  <c r="X13" i="113"/>
  <c r="N20" i="112"/>
  <c r="L20" i="113"/>
  <c r="Z21" i="111"/>
  <c r="X34" i="111"/>
  <c r="Z15" i="112"/>
  <c r="X21" i="112"/>
  <c r="X15" i="113"/>
  <c r="Z34" i="111"/>
  <c r="Z21" i="112"/>
  <c r="X34" i="112"/>
  <c r="Z15" i="113"/>
  <c r="N25" i="113"/>
  <c r="N22" i="111"/>
  <c r="N16" i="112"/>
  <c r="L22" i="112"/>
  <c r="L16" i="113"/>
  <c r="X29" i="111"/>
  <c r="N29" i="113"/>
  <c r="Z29" i="111"/>
  <c r="X29" i="112"/>
  <c r="N24" i="111"/>
  <c r="L24" i="112"/>
  <c r="N33" i="113"/>
  <c r="J36" i="112"/>
  <c r="J34" i="112"/>
  <c r="J33" i="112"/>
  <c r="J31" i="112"/>
  <c r="J29" i="112"/>
  <c r="J27" i="112"/>
  <c r="J25" i="112"/>
  <c r="J24" i="112"/>
  <c r="J22" i="112"/>
  <c r="J21" i="112"/>
  <c r="J20" i="112"/>
  <c r="J18" i="112"/>
  <c r="J16" i="112"/>
  <c r="N12" i="112"/>
  <c r="H18" i="112"/>
  <c r="J15" i="112"/>
  <c r="N34" i="113"/>
  <c r="T18" i="111"/>
  <c r="V15" i="111"/>
  <c r="Z12" i="111"/>
  <c r="V36" i="111"/>
  <c r="V34" i="111"/>
  <c r="V33" i="111"/>
  <c r="V31" i="111"/>
  <c r="V29" i="111"/>
  <c r="V27" i="111"/>
  <c r="V25" i="111"/>
  <c r="V21" i="111"/>
  <c r="V24" i="111"/>
  <c r="V18" i="111"/>
  <c r="V22" i="111"/>
  <c r="V16" i="111"/>
  <c r="V20" i="111"/>
  <c r="J21" i="113"/>
  <c r="J20" i="113"/>
  <c r="J18" i="113"/>
  <c r="J16" i="113"/>
  <c r="H18" i="113"/>
  <c r="J15" i="113"/>
  <c r="N12" i="113"/>
  <c r="J36" i="113"/>
  <c r="J34" i="113"/>
  <c r="J33" i="113"/>
  <c r="J31" i="113"/>
  <c r="J29" i="113"/>
  <c r="J27" i="113"/>
  <c r="J25" i="113"/>
  <c r="J24" i="113"/>
  <c r="J22" i="113"/>
  <c r="R21" i="111"/>
  <c r="R20" i="111"/>
  <c r="R18" i="111"/>
  <c r="R16" i="111"/>
  <c r="P18" i="111"/>
  <c r="R15" i="111"/>
  <c r="X12" i="111"/>
  <c r="R36" i="111"/>
  <c r="R34" i="111"/>
  <c r="R33" i="111"/>
  <c r="R31" i="111"/>
  <c r="R29" i="111"/>
  <c r="R27" i="111"/>
  <c r="R25" i="111"/>
  <c r="R24" i="111"/>
  <c r="R22" i="111"/>
  <c r="Z22" i="111"/>
  <c r="Z24" i="111"/>
  <c r="Z13" i="112"/>
  <c r="Z16" i="112"/>
  <c r="Z20" i="112"/>
  <c r="X22" i="112"/>
  <c r="X24" i="112"/>
  <c r="F36" i="113"/>
  <c r="F34" i="113"/>
  <c r="F33" i="113"/>
  <c r="F31" i="113"/>
  <c r="F29" i="113"/>
  <c r="F27" i="113"/>
  <c r="F25" i="113"/>
  <c r="F24" i="113"/>
  <c r="F22" i="113"/>
  <c r="F21" i="113"/>
  <c r="F20" i="113"/>
  <c r="F18" i="113"/>
  <c r="F16" i="113"/>
  <c r="L12" i="113"/>
  <c r="D18" i="113"/>
  <c r="F15" i="113"/>
  <c r="X16" i="113"/>
  <c r="X20" i="113"/>
  <c r="X21" i="113"/>
  <c r="L16" i="111"/>
  <c r="L20" i="111"/>
  <c r="P18" i="112"/>
  <c r="R15" i="112"/>
  <c r="X12" i="112"/>
  <c r="R36" i="112"/>
  <c r="R34" i="112"/>
  <c r="R33" i="112"/>
  <c r="R31" i="112"/>
  <c r="R29" i="112"/>
  <c r="R27" i="112"/>
  <c r="R25" i="112"/>
  <c r="R21" i="112"/>
  <c r="R24" i="112"/>
  <c r="R18" i="112"/>
  <c r="R22" i="112"/>
  <c r="R16" i="112"/>
  <c r="R20" i="112"/>
  <c r="Z22" i="112"/>
  <c r="Z24" i="112"/>
  <c r="Z13" i="113"/>
  <c r="Z16" i="113"/>
  <c r="Z20" i="113"/>
  <c r="X22" i="113"/>
  <c r="X24" i="113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T18" i="112"/>
  <c r="V15" i="112"/>
  <c r="V18" i="112"/>
  <c r="V16" i="112"/>
  <c r="V20" i="112"/>
  <c r="L15" i="112"/>
  <c r="Z25" i="112"/>
  <c r="Z29" i="112"/>
  <c r="Z33" i="112"/>
  <c r="Z34" i="112"/>
  <c r="Z21" i="113"/>
  <c r="X25" i="113"/>
  <c r="X29" i="113"/>
  <c r="X33" i="113"/>
  <c r="X34" i="113"/>
  <c r="N16" i="111"/>
  <c r="N20" i="111"/>
  <c r="L22" i="111"/>
  <c r="L24" i="111"/>
  <c r="L16" i="112"/>
  <c r="L20" i="112"/>
  <c r="R36" i="113"/>
  <c r="R34" i="113"/>
  <c r="R33" i="113"/>
  <c r="R31" i="113"/>
  <c r="R29" i="113"/>
  <c r="R27" i="113"/>
  <c r="R25" i="113"/>
  <c r="R24" i="113"/>
  <c r="R22" i="113"/>
  <c r="R21" i="113"/>
  <c r="R20" i="113"/>
  <c r="P18" i="113"/>
  <c r="R15" i="113"/>
  <c r="R18" i="113"/>
  <c r="R16" i="113"/>
  <c r="X12" i="113"/>
  <c r="Z22" i="113"/>
  <c r="Z24" i="113"/>
  <c r="L13" i="111"/>
  <c r="N21" i="111"/>
  <c r="L25" i="111"/>
  <c r="L29" i="111"/>
  <c r="L33" i="111"/>
  <c r="L34" i="111"/>
  <c r="N15" i="112"/>
  <c r="L21" i="112"/>
  <c r="Z12" i="113"/>
  <c r="V36" i="113"/>
  <c r="V34" i="113"/>
  <c r="V33" i="113"/>
  <c r="V31" i="113"/>
  <c r="V29" i="113"/>
  <c r="V27" i="113"/>
  <c r="V25" i="113"/>
  <c r="V24" i="113"/>
  <c r="V22" i="113"/>
  <c r="V21" i="113"/>
  <c r="V20" i="113"/>
  <c r="V18" i="113"/>
  <c r="V16" i="113"/>
  <c r="T18" i="113"/>
  <c r="V15" i="113"/>
  <c r="L15" i="113"/>
  <c r="Z25" i="113"/>
  <c r="Z29" i="113"/>
  <c r="Z33" i="113"/>
  <c r="Z34" i="113"/>
  <c r="X15" i="111"/>
  <c r="N25" i="111"/>
  <c r="N29" i="111"/>
  <c r="N33" i="111"/>
  <c r="N34" i="111"/>
  <c r="L13" i="112"/>
  <c r="N21" i="112"/>
  <c r="L25" i="112"/>
  <c r="L29" i="112"/>
  <c r="L33" i="112"/>
  <c r="L34" i="112"/>
  <c r="N15" i="113"/>
  <c r="L21" i="113"/>
  <c r="L12" i="111"/>
  <c r="F24" i="111"/>
  <c r="F22" i="111"/>
  <c r="F21" i="111"/>
  <c r="F20" i="111"/>
  <c r="F18" i="111"/>
  <c r="F16" i="111"/>
  <c r="D18" i="111"/>
  <c r="F15" i="111"/>
  <c r="F31" i="111"/>
  <c r="F36" i="111"/>
  <c r="F29" i="111"/>
  <c r="F34" i="111"/>
  <c r="F27" i="111"/>
  <c r="F33" i="111"/>
  <c r="F25" i="111"/>
  <c r="X16" i="111"/>
  <c r="X20" i="111"/>
  <c r="N13" i="112"/>
  <c r="N22" i="112"/>
  <c r="N24" i="112"/>
  <c r="N16" i="113"/>
  <c r="N20" i="113"/>
  <c r="L22" i="113"/>
  <c r="L24" i="113"/>
  <c r="J36" i="111"/>
  <c r="J34" i="111"/>
  <c r="J33" i="111"/>
  <c r="J31" i="111"/>
  <c r="J29" i="111"/>
  <c r="J27" i="111"/>
  <c r="J25" i="111"/>
  <c r="J24" i="111"/>
  <c r="J22" i="111"/>
  <c r="J20" i="111"/>
  <c r="J18" i="111"/>
  <c r="J16" i="111"/>
  <c r="H18" i="111"/>
  <c r="J15" i="111"/>
  <c r="N12" i="111"/>
  <c r="J21" i="111"/>
  <c r="X13" i="111"/>
  <c r="Z15" i="111"/>
  <c r="X21" i="111"/>
  <c r="X15" i="112"/>
  <c r="N25" i="112"/>
  <c r="N29" i="112"/>
  <c r="N33" i="112"/>
  <c r="N34" i="112"/>
  <c r="L13" i="113"/>
  <c r="N21" i="113"/>
  <c r="L25" i="113"/>
  <c r="L29" i="113"/>
  <c r="L33" i="113"/>
  <c r="L34" i="113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0" i="112"/>
  <c r="F18" i="112"/>
  <c r="F16" i="112"/>
  <c r="D18" i="112"/>
  <c r="F15" i="112"/>
  <c r="L12" i="112"/>
  <c r="F21" i="112"/>
  <c r="X16" i="112"/>
  <c r="X20" i="112"/>
  <c r="N13" i="113"/>
  <c r="N22" i="113"/>
  <c r="N24" i="113"/>
  <c r="N29" i="6"/>
  <c r="X14" i="9"/>
  <c r="Z14" i="9"/>
  <c r="J271" i="12"/>
  <c r="J244" i="12"/>
  <c r="J228" i="12"/>
  <c r="J216" i="12"/>
  <c r="J206" i="12"/>
  <c r="J192" i="12"/>
  <c r="J176" i="12"/>
  <c r="J172" i="12"/>
  <c r="J168" i="12"/>
  <c r="J272" i="12"/>
  <c r="J239" i="12"/>
  <c r="J217" i="12"/>
  <c r="J207" i="12"/>
  <c r="J199" i="12"/>
  <c r="J193" i="12"/>
  <c r="J177" i="12"/>
  <c r="J159" i="12"/>
  <c r="J155" i="12"/>
  <c r="J151" i="12"/>
  <c r="J147" i="12"/>
  <c r="J143" i="12"/>
  <c r="J139" i="12"/>
  <c r="J135" i="12"/>
  <c r="J131" i="12"/>
  <c r="J127" i="12"/>
  <c r="J123" i="12"/>
  <c r="J119" i="12"/>
  <c r="J115" i="12"/>
  <c r="J111" i="12"/>
  <c r="J274" i="12"/>
  <c r="J255" i="12"/>
  <c r="J245" i="12"/>
  <c r="J229" i="12"/>
  <c r="J219" i="12"/>
  <c r="J209" i="12"/>
  <c r="J201" i="12"/>
  <c r="J195" i="12"/>
  <c r="J173" i="12"/>
  <c r="J169" i="12"/>
  <c r="J275" i="12"/>
  <c r="J256" i="12"/>
  <c r="J246" i="12"/>
  <c r="J240" i="12"/>
  <c r="J220" i="12"/>
  <c r="J210" i="12"/>
  <c r="J276" i="12"/>
  <c r="J263" i="12"/>
  <c r="J251" i="12"/>
  <c r="J247" i="12"/>
  <c r="J235" i="12"/>
  <c r="J221" i="12"/>
  <c r="J211" i="12"/>
  <c r="J187" i="12"/>
  <c r="J183" i="12"/>
  <c r="J179" i="12"/>
  <c r="J264" i="12"/>
  <c r="J236" i="12"/>
  <c r="J230" i="12"/>
  <c r="J222" i="12"/>
  <c r="J202" i="12"/>
  <c r="J188" i="12"/>
  <c r="J174" i="12"/>
  <c r="J170" i="12"/>
  <c r="J265" i="12"/>
  <c r="J257" i="12"/>
  <c r="J241" i="12"/>
  <c r="J237" i="12"/>
  <c r="J231" i="12"/>
  <c r="J223" i="12"/>
  <c r="J203" i="12"/>
  <c r="J197" i="12"/>
  <c r="J189" i="12"/>
  <c r="J161" i="12"/>
  <c r="J157" i="12"/>
  <c r="J153" i="12"/>
  <c r="J149" i="12"/>
  <c r="J145" i="12"/>
  <c r="J141" i="12"/>
  <c r="J137" i="12"/>
  <c r="J133" i="12"/>
  <c r="J129" i="12"/>
  <c r="J125" i="12"/>
  <c r="J121" i="12"/>
  <c r="J117" i="12"/>
  <c r="J113" i="12"/>
  <c r="J109" i="12"/>
  <c r="J280" i="12"/>
  <c r="J258" i="12"/>
  <c r="J252" i="12"/>
  <c r="J248" i="12"/>
  <c r="J232" i="12"/>
  <c r="J224" i="12"/>
  <c r="J212" i="12"/>
  <c r="J204" i="12"/>
  <c r="J190" i="12"/>
  <c r="J184" i="12"/>
  <c r="J180" i="12"/>
  <c r="J166" i="12"/>
  <c r="J268" i="12"/>
  <c r="J267" i="12"/>
  <c r="J259" i="12"/>
  <c r="J225" i="12"/>
  <c r="J213" i="12"/>
  <c r="J191" i="12"/>
  <c r="J175" i="12"/>
  <c r="J171" i="12"/>
  <c r="J167" i="12"/>
  <c r="J165" i="12"/>
  <c r="J261" i="12"/>
  <c r="J233" i="12"/>
  <c r="J186" i="12"/>
  <c r="H163" i="12"/>
  <c r="J160" i="12"/>
  <c r="J250" i="12"/>
  <c r="J243" i="12"/>
  <c r="J158" i="12"/>
  <c r="J142" i="12"/>
  <c r="J126" i="12"/>
  <c r="J110" i="12"/>
  <c r="J226" i="12"/>
  <c r="J156" i="12"/>
  <c r="J140" i="12"/>
  <c r="J124" i="12"/>
  <c r="J273" i="12"/>
  <c r="J208" i="12"/>
  <c r="J181" i="12"/>
  <c r="J108" i="12"/>
  <c r="J254" i="12"/>
  <c r="J205" i="12"/>
  <c r="J185" i="12"/>
  <c r="J154" i="12"/>
  <c r="J138" i="12"/>
  <c r="J122" i="12"/>
  <c r="J260" i="12"/>
  <c r="J249" i="12"/>
  <c r="J238" i="12"/>
  <c r="J218" i="12"/>
  <c r="J214" i="12"/>
  <c r="J152" i="12"/>
  <c r="J136" i="12"/>
  <c r="J120" i="12"/>
  <c r="J269" i="12"/>
  <c r="J200" i="12"/>
  <c r="J196" i="12"/>
  <c r="J262" i="12"/>
  <c r="J227" i="12"/>
  <c r="J150" i="12"/>
  <c r="J134" i="12"/>
  <c r="J118" i="12"/>
  <c r="J253" i="12"/>
  <c r="J242" i="12"/>
  <c r="J234" i="12"/>
  <c r="J198" i="12"/>
  <c r="J194" i="12"/>
  <c r="J178" i="12"/>
  <c r="J148" i="12"/>
  <c r="J132" i="12"/>
  <c r="J116" i="12"/>
  <c r="R315" i="3"/>
  <c r="R279" i="3"/>
  <c r="R263" i="3"/>
  <c r="R223" i="3"/>
  <c r="R207" i="3"/>
  <c r="R203" i="3"/>
  <c r="R199" i="3"/>
  <c r="P195" i="3"/>
  <c r="R251" i="3"/>
  <c r="R234" i="3"/>
  <c r="R316" i="3"/>
  <c r="R302" i="3"/>
  <c r="R295" i="3"/>
  <c r="R294" i="3"/>
  <c r="R274" i="3"/>
  <c r="R255" i="3"/>
  <c r="R254" i="3"/>
  <c r="R230" i="3"/>
  <c r="R190" i="3"/>
  <c r="R186" i="3"/>
  <c r="R182" i="3"/>
  <c r="R178" i="3"/>
  <c r="R174" i="3"/>
  <c r="R170" i="3"/>
  <c r="R166" i="3"/>
  <c r="R162" i="3"/>
  <c r="R158" i="3"/>
  <c r="R154" i="3"/>
  <c r="R150" i="3"/>
  <c r="R146" i="3"/>
  <c r="R142" i="3"/>
  <c r="R138" i="3"/>
  <c r="R134" i="3"/>
  <c r="X12" i="3"/>
  <c r="Z12" i="3" s="1"/>
  <c r="R191" i="3"/>
  <c r="R175" i="3"/>
  <c r="R159" i="3"/>
  <c r="R155" i="3"/>
  <c r="R151" i="3"/>
  <c r="R147" i="3"/>
  <c r="R135" i="3"/>
  <c r="R312" i="3"/>
  <c r="R250" i="3"/>
  <c r="R235" i="3"/>
  <c r="R305" i="3"/>
  <c r="R289" i="3"/>
  <c r="R285" i="3"/>
  <c r="R269" i="3"/>
  <c r="R246" i="3"/>
  <c r="R245" i="3"/>
  <c r="R237" i="3"/>
  <c r="R217" i="3"/>
  <c r="R213" i="3"/>
  <c r="R306" i="3"/>
  <c r="R297" i="3"/>
  <c r="R296" i="3"/>
  <c r="R281" i="3"/>
  <c r="R280" i="3"/>
  <c r="R264" i="3"/>
  <c r="R257" i="3"/>
  <c r="R256" i="3"/>
  <c r="R225" i="3"/>
  <c r="R224" i="3"/>
  <c r="R209" i="3"/>
  <c r="R208" i="3"/>
  <c r="R204" i="3"/>
  <c r="R200" i="3"/>
  <c r="R171" i="3"/>
  <c r="R139" i="3"/>
  <c r="R233" i="3"/>
  <c r="R205" i="3"/>
  <c r="R201" i="3"/>
  <c r="R242" i="3"/>
  <c r="R307" i="3"/>
  <c r="R275" i="3"/>
  <c r="R247" i="3"/>
  <c r="R232" i="3"/>
  <c r="R231" i="3"/>
  <c r="R187" i="3"/>
  <c r="R183" i="3"/>
  <c r="R179" i="3"/>
  <c r="R167" i="3"/>
  <c r="R163" i="3"/>
  <c r="R143" i="3"/>
  <c r="R320" i="3"/>
  <c r="R308" i="3"/>
  <c r="R298" i="3"/>
  <c r="R290" i="3"/>
  <c r="R286" i="3"/>
  <c r="R282" i="3"/>
  <c r="R271" i="3"/>
  <c r="R270" i="3"/>
  <c r="R259" i="3"/>
  <c r="R258" i="3"/>
  <c r="R239" i="3"/>
  <c r="R238" i="3"/>
  <c r="R227" i="3"/>
  <c r="R226" i="3"/>
  <c r="R218" i="3"/>
  <c r="R214" i="3"/>
  <c r="R210" i="3"/>
  <c r="R325" i="3"/>
  <c r="R324" i="3"/>
  <c r="R309" i="3"/>
  <c r="R266" i="3"/>
  <c r="R265" i="3"/>
  <c r="R206" i="3"/>
  <c r="R310" i="3"/>
  <c r="R276" i="3"/>
  <c r="R272" i="3"/>
  <c r="R261" i="3"/>
  <c r="R260" i="3"/>
  <c r="R249" i="3"/>
  <c r="R248" i="3"/>
  <c r="R241" i="3"/>
  <c r="R240" i="3"/>
  <c r="R228" i="3"/>
  <c r="R192" i="3"/>
  <c r="R188" i="3"/>
  <c r="R184" i="3"/>
  <c r="R180" i="3"/>
  <c r="R176" i="3"/>
  <c r="R172" i="3"/>
  <c r="R168" i="3"/>
  <c r="R164" i="3"/>
  <c r="R160" i="3"/>
  <c r="R156" i="3"/>
  <c r="R152" i="3"/>
  <c r="R148" i="3"/>
  <c r="R144" i="3"/>
  <c r="R140" i="3"/>
  <c r="R136" i="3"/>
  <c r="R262" i="3"/>
  <c r="R243" i="3"/>
  <c r="R202" i="3"/>
  <c r="R311" i="3"/>
  <c r="R299" i="3"/>
  <c r="R292" i="3"/>
  <c r="R291" i="3"/>
  <c r="R287" i="3"/>
  <c r="R283" i="3"/>
  <c r="R267" i="3"/>
  <c r="R220" i="3"/>
  <c r="R219" i="3"/>
  <c r="R215" i="3"/>
  <c r="R211" i="3"/>
  <c r="J271" i="3"/>
  <c r="N271" i="3"/>
  <c r="L271" i="3"/>
  <c r="R277" i="3"/>
  <c r="R253" i="3"/>
  <c r="N42" i="9"/>
  <c r="N217" i="12"/>
  <c r="V133" i="3"/>
  <c r="R236" i="3"/>
  <c r="R153" i="3"/>
  <c r="R301" i="3"/>
  <c r="R157" i="3"/>
  <c r="R198" i="3"/>
  <c r="V301" i="3"/>
  <c r="Z301" i="3"/>
  <c r="X29" i="6"/>
  <c r="R161" i="3"/>
  <c r="R195" i="3"/>
  <c r="Z198" i="3"/>
  <c r="J239" i="3"/>
  <c r="L239" i="3"/>
  <c r="N239" i="3" s="1"/>
  <c r="V253" i="3"/>
  <c r="X253" i="3"/>
  <c r="Z253" i="3" s="1"/>
  <c r="Z266" i="3"/>
  <c r="Z271" i="3"/>
  <c r="R273" i="3"/>
  <c r="Z324" i="3"/>
  <c r="L72" i="9"/>
  <c r="N72" i="9"/>
  <c r="V74" i="9"/>
  <c r="N80" i="9"/>
  <c r="J215" i="12"/>
  <c r="X18" i="9"/>
  <c r="Z18" i="9" s="1"/>
  <c r="N53" i="9"/>
  <c r="D12" i="3"/>
  <c r="R169" i="3"/>
  <c r="Z239" i="3"/>
  <c r="R313" i="3"/>
  <c r="L325" i="3"/>
  <c r="N325" i="3"/>
  <c r="H22" i="6"/>
  <c r="N16" i="6"/>
  <c r="T16" i="9"/>
  <c r="R23" i="9"/>
  <c r="R27" i="9"/>
  <c r="V33" i="9"/>
  <c r="Z42" i="9"/>
  <c r="X42" i="9"/>
  <c r="L48" i="9"/>
  <c r="N48" i="9"/>
  <c r="N57" i="9"/>
  <c r="X88" i="9"/>
  <c r="Z88" i="9" s="1"/>
  <c r="F171" i="12"/>
  <c r="R173" i="3"/>
  <c r="R300" i="3"/>
  <c r="R93" i="9"/>
  <c r="R92" i="9"/>
  <c r="R89" i="9"/>
  <c r="R69" i="9"/>
  <c r="R42" i="9"/>
  <c r="R41" i="9"/>
  <c r="R37" i="9"/>
  <c r="R33" i="9"/>
  <c r="R18" i="9"/>
  <c r="R16" i="9"/>
  <c r="R14" i="9"/>
  <c r="R101" i="9"/>
  <c r="R64" i="9"/>
  <c r="R53" i="9"/>
  <c r="R52" i="9"/>
  <c r="R28" i="9"/>
  <c r="R24" i="9"/>
  <c r="R20" i="9"/>
  <c r="P16" i="9"/>
  <c r="R60" i="9"/>
  <c r="R32" i="9"/>
  <c r="X12" i="9"/>
  <c r="R94" i="9"/>
  <c r="R81" i="9"/>
  <c r="R75" i="9"/>
  <c r="R44" i="9"/>
  <c r="R43" i="9"/>
  <c r="R103" i="9"/>
  <c r="R70" i="9"/>
  <c r="R55" i="9"/>
  <c r="R54" i="9"/>
  <c r="R38" i="9"/>
  <c r="R34" i="9"/>
  <c r="R99" i="9"/>
  <c r="R85" i="9"/>
  <c r="R65" i="9"/>
  <c r="R46" i="9"/>
  <c r="R45" i="9"/>
  <c r="R29" i="9"/>
  <c r="R25" i="9"/>
  <c r="R21" i="9"/>
  <c r="R106" i="9"/>
  <c r="R95" i="9"/>
  <c r="R90" i="9"/>
  <c r="R77" i="9"/>
  <c r="R76" i="9"/>
  <c r="R57" i="9"/>
  <c r="R56" i="9"/>
  <c r="R36" i="9"/>
  <c r="R72" i="9"/>
  <c r="R71" i="9"/>
  <c r="R48" i="9"/>
  <c r="R47" i="9"/>
  <c r="R39" i="9"/>
  <c r="R35" i="9"/>
  <c r="R97" i="9"/>
  <c r="R91" i="9"/>
  <c r="R86" i="9"/>
  <c r="R82" i="9"/>
  <c r="R78" i="9"/>
  <c r="R67" i="9"/>
  <c r="R66" i="9"/>
  <c r="R59" i="9"/>
  <c r="R58" i="9"/>
  <c r="R31" i="9"/>
  <c r="R30" i="9"/>
  <c r="R26" i="9"/>
  <c r="R22" i="9"/>
  <c r="R68" i="9"/>
  <c r="R61" i="9"/>
  <c r="R40" i="9"/>
  <c r="R83" i="9"/>
  <c r="R73" i="9"/>
  <c r="R50" i="9"/>
  <c r="R49" i="9"/>
  <c r="V16" i="9"/>
  <c r="X19" i="9"/>
  <c r="V37" i="9"/>
  <c r="R84" i="9"/>
  <c r="R88" i="9"/>
  <c r="R275" i="12"/>
  <c r="R246" i="12"/>
  <c r="R245" i="12"/>
  <c r="R229" i="12"/>
  <c r="R210" i="12"/>
  <c r="R209" i="12"/>
  <c r="R201" i="12"/>
  <c r="R173" i="12"/>
  <c r="R169" i="12"/>
  <c r="R276" i="12"/>
  <c r="R256" i="12"/>
  <c r="R240" i="12"/>
  <c r="R221" i="12"/>
  <c r="R220" i="12"/>
  <c r="R196" i="12"/>
  <c r="R160" i="12"/>
  <c r="R156" i="12"/>
  <c r="R152" i="12"/>
  <c r="R148" i="12"/>
  <c r="R144" i="12"/>
  <c r="R140" i="12"/>
  <c r="R136" i="12"/>
  <c r="R132" i="12"/>
  <c r="R128" i="12"/>
  <c r="R124" i="12"/>
  <c r="R120" i="12"/>
  <c r="R116" i="12"/>
  <c r="R112" i="12"/>
  <c r="R231" i="12"/>
  <c r="R230" i="12"/>
  <c r="R223" i="12"/>
  <c r="R222" i="12"/>
  <c r="R203" i="12"/>
  <c r="R202" i="12"/>
  <c r="R174" i="12"/>
  <c r="R170" i="12"/>
  <c r="R265" i="12"/>
  <c r="R258" i="12"/>
  <c r="R257" i="12"/>
  <c r="R241" i="12"/>
  <c r="R237" i="12"/>
  <c r="R197" i="12"/>
  <c r="R280" i="12"/>
  <c r="R268" i="12"/>
  <c r="R252" i="12"/>
  <c r="R248" i="12"/>
  <c r="R232" i="12"/>
  <c r="R225" i="12"/>
  <c r="R224" i="12"/>
  <c r="R213" i="12"/>
  <c r="R212" i="12"/>
  <c r="R204" i="12"/>
  <c r="R184" i="12"/>
  <c r="R180" i="12"/>
  <c r="R165" i="12"/>
  <c r="R269" i="12"/>
  <c r="R260" i="12"/>
  <c r="R259" i="12"/>
  <c r="R191" i="12"/>
  <c r="R175" i="12"/>
  <c r="R171" i="12"/>
  <c r="R167" i="12"/>
  <c r="P163" i="12"/>
  <c r="R163" i="12" s="1"/>
  <c r="R270" i="12"/>
  <c r="R243" i="12"/>
  <c r="R242" i="12"/>
  <c r="R238" i="12"/>
  <c r="R227" i="12"/>
  <c r="R226" i="12"/>
  <c r="R215" i="12"/>
  <c r="R214" i="12"/>
  <c r="R198" i="12"/>
  <c r="R158" i="12"/>
  <c r="R154" i="12"/>
  <c r="R150" i="12"/>
  <c r="R146" i="12"/>
  <c r="R142" i="12"/>
  <c r="R138" i="12"/>
  <c r="R134" i="12"/>
  <c r="R130" i="12"/>
  <c r="R126" i="12"/>
  <c r="R122" i="12"/>
  <c r="R118" i="12"/>
  <c r="R114" i="12"/>
  <c r="R110" i="12"/>
  <c r="R271" i="12"/>
  <c r="R261" i="12"/>
  <c r="R253" i="12"/>
  <c r="R249" i="12"/>
  <c r="R233" i="12"/>
  <c r="R206" i="12"/>
  <c r="R205" i="12"/>
  <c r="R185" i="12"/>
  <c r="R181" i="12"/>
  <c r="R272" i="12"/>
  <c r="R244" i="12"/>
  <c r="R228" i="12"/>
  <c r="R217" i="12"/>
  <c r="R216" i="12"/>
  <c r="R193" i="12"/>
  <c r="R192" i="12"/>
  <c r="R177" i="12"/>
  <c r="R176" i="12"/>
  <c r="R172" i="12"/>
  <c r="R168" i="12"/>
  <c r="X12" i="12"/>
  <c r="R273" i="12"/>
  <c r="R199" i="12"/>
  <c r="R149" i="12"/>
  <c r="R147" i="12"/>
  <c r="R133" i="12"/>
  <c r="R131" i="12"/>
  <c r="R117" i="12"/>
  <c r="R115" i="12"/>
  <c r="R235" i="12"/>
  <c r="R208" i="12"/>
  <c r="R179" i="12"/>
  <c r="R119" i="12"/>
  <c r="R264" i="12"/>
  <c r="R254" i="12"/>
  <c r="R247" i="12"/>
  <c r="R187" i="12"/>
  <c r="R183" i="12"/>
  <c r="R186" i="12"/>
  <c r="R151" i="12"/>
  <c r="R135" i="12"/>
  <c r="R218" i="12"/>
  <c r="R145" i="12"/>
  <c r="R143" i="12"/>
  <c r="R129" i="12"/>
  <c r="R127" i="12"/>
  <c r="R113" i="12"/>
  <c r="R111" i="12"/>
  <c r="R195" i="12"/>
  <c r="R153" i="12"/>
  <c r="R121" i="12"/>
  <c r="R236" i="12"/>
  <c r="R200" i="12"/>
  <c r="R190" i="12"/>
  <c r="R161" i="12"/>
  <c r="R159" i="12"/>
  <c r="R274" i="12"/>
  <c r="R262" i="12"/>
  <c r="R251" i="12"/>
  <c r="R194" i="12"/>
  <c r="R188" i="12"/>
  <c r="R109" i="12"/>
  <c r="R239" i="12"/>
  <c r="R255" i="12"/>
  <c r="R234" i="12"/>
  <c r="R178" i="12"/>
  <c r="R157" i="12"/>
  <c r="R155" i="12"/>
  <c r="R141" i="12"/>
  <c r="R139" i="12"/>
  <c r="R125" i="12"/>
  <c r="R123" i="12"/>
  <c r="R219" i="12"/>
  <c r="R207" i="12"/>
  <c r="R137" i="12"/>
  <c r="R182" i="12"/>
  <c r="J182" i="12"/>
  <c r="R211" i="12"/>
  <c r="J270" i="12"/>
  <c r="F252" i="15"/>
  <c r="F251" i="15"/>
  <c r="F244" i="15"/>
  <c r="F228" i="15"/>
  <c r="F216" i="15"/>
  <c r="F215" i="15"/>
  <c r="F196" i="15"/>
  <c r="F168" i="15"/>
  <c r="F164" i="15"/>
  <c r="F267" i="15"/>
  <c r="F239" i="15"/>
  <c r="F235" i="15"/>
  <c r="F234" i="15"/>
  <c r="F223" i="15"/>
  <c r="F191" i="15"/>
  <c r="F183" i="15"/>
  <c r="F182" i="15"/>
  <c r="F155" i="15"/>
  <c r="F151" i="15"/>
  <c r="F147" i="15"/>
  <c r="F143" i="15"/>
  <c r="F139" i="15"/>
  <c r="F135" i="15"/>
  <c r="F131" i="15"/>
  <c r="F127" i="15"/>
  <c r="F123" i="15"/>
  <c r="F119" i="15"/>
  <c r="F115" i="15"/>
  <c r="F111" i="15"/>
  <c r="F107" i="15"/>
  <c r="F255" i="15"/>
  <c r="F256" i="15"/>
  <c r="F229" i="15"/>
  <c r="F185" i="15"/>
  <c r="F184" i="15"/>
  <c r="F169" i="15"/>
  <c r="F165" i="15"/>
  <c r="F161" i="15"/>
  <c r="F160" i="15"/>
  <c r="F257" i="15"/>
  <c r="F248" i="15"/>
  <c r="F247" i="15"/>
  <c r="F240" i="15"/>
  <c r="F236" i="15"/>
  <c r="F224" i="15"/>
  <c r="F208" i="15"/>
  <c r="F207" i="15"/>
  <c r="F192" i="15"/>
  <c r="F159" i="15"/>
  <c r="F152" i="15"/>
  <c r="F148" i="15"/>
  <c r="F144" i="15"/>
  <c r="F140" i="15"/>
  <c r="F136" i="15"/>
  <c r="F132" i="15"/>
  <c r="F128" i="15"/>
  <c r="F124" i="15"/>
  <c r="F120" i="15"/>
  <c r="F116" i="15"/>
  <c r="F112" i="15"/>
  <c r="F108" i="15"/>
  <c r="F258" i="15"/>
  <c r="F219" i="15"/>
  <c r="F199" i="15"/>
  <c r="F179" i="15"/>
  <c r="F175" i="15"/>
  <c r="D157" i="15"/>
  <c r="F259" i="15"/>
  <c r="F230" i="15"/>
  <c r="F210" i="15"/>
  <c r="F209" i="15"/>
  <c r="F186" i="15"/>
  <c r="F170" i="15"/>
  <c r="F166" i="15"/>
  <c r="F162" i="15"/>
  <c r="F260" i="15"/>
  <c r="F249" i="15"/>
  <c r="F241" i="15"/>
  <c r="F237" i="15"/>
  <c r="F225" i="15"/>
  <c r="F201" i="15"/>
  <c r="F200" i="15"/>
  <c r="F193" i="15"/>
  <c r="F153" i="15"/>
  <c r="F149" i="15"/>
  <c r="F145" i="15"/>
  <c r="F141" i="15"/>
  <c r="F137" i="15"/>
  <c r="F133" i="15"/>
  <c r="F129" i="15"/>
  <c r="F125" i="15"/>
  <c r="F121" i="15"/>
  <c r="F117" i="15"/>
  <c r="F113" i="15"/>
  <c r="F109" i="15"/>
  <c r="F105" i="15"/>
  <c r="F104" i="15"/>
  <c r="F261" i="15"/>
  <c r="F232" i="15"/>
  <c r="F231" i="15"/>
  <c r="F220" i="15"/>
  <c r="F212" i="15"/>
  <c r="F211" i="15"/>
  <c r="F188" i="15"/>
  <c r="F187" i="15"/>
  <c r="F180" i="15"/>
  <c r="F176" i="15"/>
  <c r="F172" i="15"/>
  <c r="F171" i="15"/>
  <c r="L12" i="15"/>
  <c r="F262" i="15"/>
  <c r="F243" i="15"/>
  <c r="F242" i="15"/>
  <c r="F227" i="15"/>
  <c r="F226" i="15"/>
  <c r="F203" i="15"/>
  <c r="F202" i="15"/>
  <c r="F195" i="15"/>
  <c r="F194" i="15"/>
  <c r="F167" i="15"/>
  <c r="F163" i="15"/>
  <c r="F218" i="15"/>
  <c r="F214" i="15"/>
  <c r="F206" i="15"/>
  <c r="F142" i="15"/>
  <c r="F146" i="15"/>
  <c r="F222" i="15"/>
  <c r="F174" i="15"/>
  <c r="F150" i="15"/>
  <c r="F154" i="15"/>
  <c r="F106" i="15"/>
  <c r="F130" i="15"/>
  <c r="F263" i="15"/>
  <c r="F238" i="15"/>
  <c r="F178" i="15"/>
  <c r="F110" i="15"/>
  <c r="F233" i="15"/>
  <c r="F205" i="15"/>
  <c r="F197" i="15"/>
  <c r="F190" i="15"/>
  <c r="F114" i="15"/>
  <c r="F245" i="15"/>
  <c r="F213" i="15"/>
  <c r="F118" i="15"/>
  <c r="F217" i="15"/>
  <c r="F173" i="15"/>
  <c r="F122" i="15"/>
  <c r="F221" i="15"/>
  <c r="F126" i="15"/>
  <c r="X22" i="18"/>
  <c r="P12" i="18"/>
  <c r="R149" i="3"/>
  <c r="F22" i="6"/>
  <c r="F20" i="6"/>
  <c r="F18" i="6"/>
  <c r="F16" i="6"/>
  <c r="F14" i="6"/>
  <c r="F24" i="6"/>
  <c r="D16" i="6"/>
  <c r="F31" i="6"/>
  <c r="F29" i="6"/>
  <c r="F28" i="6"/>
  <c r="F26" i="6"/>
  <c r="L12" i="6"/>
  <c r="R252" i="3"/>
  <c r="R293" i="3"/>
  <c r="V79" i="9"/>
  <c r="V84" i="9"/>
  <c r="V101" i="9"/>
  <c r="V64" i="9"/>
  <c r="V52" i="9"/>
  <c r="V44" i="9"/>
  <c r="V28" i="9"/>
  <c r="V24" i="9"/>
  <c r="V20" i="9"/>
  <c r="V80" i="9"/>
  <c r="V51" i="9"/>
  <c r="V103" i="9"/>
  <c r="V94" i="9"/>
  <c r="V89" i="9"/>
  <c r="V81" i="9"/>
  <c r="V75" i="9"/>
  <c r="V55" i="9"/>
  <c r="V43" i="9"/>
  <c r="V63" i="9"/>
  <c r="V27" i="9"/>
  <c r="V19" i="9"/>
  <c r="V70" i="9"/>
  <c r="V54" i="9"/>
  <c r="V46" i="9"/>
  <c r="V38" i="9"/>
  <c r="V34" i="9"/>
  <c r="V106" i="9"/>
  <c r="V85" i="9"/>
  <c r="V77" i="9"/>
  <c r="V65" i="9"/>
  <c r="V57" i="9"/>
  <c r="V45" i="9"/>
  <c r="V29" i="9"/>
  <c r="V25" i="9"/>
  <c r="V21" i="9"/>
  <c r="V23" i="9"/>
  <c r="V95" i="9"/>
  <c r="V90" i="9"/>
  <c r="V76" i="9"/>
  <c r="V72" i="9"/>
  <c r="V56" i="9"/>
  <c r="V48" i="9"/>
  <c r="V97" i="9"/>
  <c r="V91" i="9"/>
  <c r="V71" i="9"/>
  <c r="V67" i="9"/>
  <c r="V59" i="9"/>
  <c r="V47" i="9"/>
  <c r="V39" i="9"/>
  <c r="V35" i="9"/>
  <c r="V31" i="9"/>
  <c r="V88" i="9"/>
  <c r="V86" i="9"/>
  <c r="V83" i="9"/>
  <c r="V82" i="9"/>
  <c r="V78" i="9"/>
  <c r="V66" i="9"/>
  <c r="V58" i="9"/>
  <c r="V50" i="9"/>
  <c r="V30" i="9"/>
  <c r="V26" i="9"/>
  <c r="V22" i="9"/>
  <c r="V87" i="9"/>
  <c r="V99" i="9"/>
  <c r="V73" i="9"/>
  <c r="V61" i="9"/>
  <c r="V49" i="9"/>
  <c r="V68" i="9"/>
  <c r="V60" i="9"/>
  <c r="V40" i="9"/>
  <c r="V36" i="9"/>
  <c r="V32" i="9"/>
  <c r="Z12" i="9"/>
  <c r="F204" i="15"/>
  <c r="Z29" i="6"/>
  <c r="R177" i="3"/>
  <c r="R181" i="3"/>
  <c r="R216" i="3"/>
  <c r="R222" i="3"/>
  <c r="J259" i="3"/>
  <c r="L259" i="3"/>
  <c r="N259" i="3" s="1"/>
  <c r="Z325" i="3"/>
  <c r="Z19" i="9"/>
  <c r="V41" i="9"/>
  <c r="Z48" i="9"/>
  <c r="Z57" i="9"/>
  <c r="R63" i="9"/>
  <c r="N77" i="9"/>
  <c r="J112" i="12"/>
  <c r="J114" i="12"/>
  <c r="F270" i="12"/>
  <c r="F261" i="12"/>
  <c r="F260" i="12"/>
  <c r="F253" i="12"/>
  <c r="F249" i="12"/>
  <c r="F233" i="12"/>
  <c r="F205" i="12"/>
  <c r="F185" i="12"/>
  <c r="F181" i="12"/>
  <c r="D163" i="12"/>
  <c r="F271" i="12"/>
  <c r="F244" i="12"/>
  <c r="F243" i="12"/>
  <c r="F228" i="12"/>
  <c r="F227" i="12"/>
  <c r="F216" i="12"/>
  <c r="F215" i="12"/>
  <c r="F192" i="12"/>
  <c r="F176" i="12"/>
  <c r="F172" i="12"/>
  <c r="F168" i="12"/>
  <c r="L12" i="12"/>
  <c r="N12" i="12" s="1"/>
  <c r="F273" i="12"/>
  <c r="F262" i="12"/>
  <c r="F254" i="12"/>
  <c r="F250" i="12"/>
  <c r="F234" i="12"/>
  <c r="F218" i="12"/>
  <c r="F217" i="12"/>
  <c r="F194" i="12"/>
  <c r="F193" i="12"/>
  <c r="F186" i="12"/>
  <c r="F182" i="12"/>
  <c r="F178" i="12"/>
  <c r="F177" i="12"/>
  <c r="F274" i="12"/>
  <c r="F245" i="12"/>
  <c r="F229" i="12"/>
  <c r="F209" i="12"/>
  <c r="F208" i="12"/>
  <c r="F201" i="12"/>
  <c r="F200" i="12"/>
  <c r="F275" i="12"/>
  <c r="F256" i="12"/>
  <c r="F255" i="12"/>
  <c r="F240" i="12"/>
  <c r="F220" i="12"/>
  <c r="F219" i="12"/>
  <c r="F196" i="12"/>
  <c r="F195" i="12"/>
  <c r="F160" i="12"/>
  <c r="F156" i="12"/>
  <c r="F152" i="12"/>
  <c r="F148" i="12"/>
  <c r="F144" i="12"/>
  <c r="F140" i="12"/>
  <c r="F136" i="12"/>
  <c r="F132" i="12"/>
  <c r="F128" i="12"/>
  <c r="F124" i="12"/>
  <c r="F120" i="12"/>
  <c r="F116" i="12"/>
  <c r="F112" i="12"/>
  <c r="F276" i="12"/>
  <c r="F263" i="12"/>
  <c r="F251" i="12"/>
  <c r="F247" i="12"/>
  <c r="F246" i="12"/>
  <c r="F235" i="12"/>
  <c r="F211" i="12"/>
  <c r="F210" i="12"/>
  <c r="F187" i="12"/>
  <c r="F183" i="12"/>
  <c r="F179" i="12"/>
  <c r="F230" i="12"/>
  <c r="F222" i="12"/>
  <c r="F221" i="12"/>
  <c r="F202" i="12"/>
  <c r="F174" i="12"/>
  <c r="F170" i="12"/>
  <c r="F265" i="12"/>
  <c r="F264" i="12"/>
  <c r="F257" i="12"/>
  <c r="F241" i="12"/>
  <c r="F237" i="12"/>
  <c r="F236" i="12"/>
  <c r="F197" i="12"/>
  <c r="F189" i="12"/>
  <c r="F188" i="12"/>
  <c r="F161" i="12"/>
  <c r="F157" i="12"/>
  <c r="F153" i="12"/>
  <c r="F149" i="12"/>
  <c r="F145" i="12"/>
  <c r="F141" i="12"/>
  <c r="F137" i="12"/>
  <c r="F133" i="12"/>
  <c r="F129" i="12"/>
  <c r="F125" i="12"/>
  <c r="F121" i="12"/>
  <c r="F117" i="12"/>
  <c r="F113" i="12"/>
  <c r="F109" i="12"/>
  <c r="F108" i="12"/>
  <c r="F280" i="12"/>
  <c r="F252" i="12"/>
  <c r="F248" i="12"/>
  <c r="F232" i="12"/>
  <c r="F231" i="12"/>
  <c r="F224" i="12"/>
  <c r="F223" i="12"/>
  <c r="F212" i="12"/>
  <c r="F204" i="12"/>
  <c r="F203" i="12"/>
  <c r="F184" i="12"/>
  <c r="F180" i="12"/>
  <c r="F259" i="12"/>
  <c r="F239" i="12"/>
  <c r="F213" i="12"/>
  <c r="F207" i="12"/>
  <c r="F191" i="12"/>
  <c r="F175" i="12"/>
  <c r="F173" i="12"/>
  <c r="F151" i="12"/>
  <c r="F135" i="12"/>
  <c r="F119" i="12"/>
  <c r="F268" i="12"/>
  <c r="F166" i="12"/>
  <c r="F163" i="12"/>
  <c r="F242" i="12"/>
  <c r="F225" i="12"/>
  <c r="F198" i="12"/>
  <c r="F158" i="12"/>
  <c r="F142" i="12"/>
  <c r="F126" i="12"/>
  <c r="F110" i="12"/>
  <c r="F206" i="12"/>
  <c r="F123" i="12"/>
  <c r="F226" i="12"/>
  <c r="F199" i="12"/>
  <c r="F147" i="12"/>
  <c r="F131" i="12"/>
  <c r="F115" i="12"/>
  <c r="F139" i="12"/>
  <c r="F154" i="12"/>
  <c r="F138" i="12"/>
  <c r="F122" i="12"/>
  <c r="F258" i="12"/>
  <c r="F238" i="12"/>
  <c r="F214" i="12"/>
  <c r="F167" i="12"/>
  <c r="F143" i="12"/>
  <c r="F127" i="12"/>
  <c r="F111" i="12"/>
  <c r="F269" i="12"/>
  <c r="F190" i="12"/>
  <c r="F159" i="12"/>
  <c r="F155" i="12"/>
  <c r="F272" i="12"/>
  <c r="F169" i="12"/>
  <c r="F165" i="12"/>
  <c r="F150" i="12"/>
  <c r="F134" i="12"/>
  <c r="F118" i="12"/>
  <c r="R165" i="3"/>
  <c r="R288" i="3"/>
  <c r="V197" i="3"/>
  <c r="Z197" i="3"/>
  <c r="Z222" i="3"/>
  <c r="J227" i="3"/>
  <c r="N227" i="3"/>
  <c r="L227" i="3"/>
  <c r="R278" i="3"/>
  <c r="N18" i="9"/>
  <c r="L91" i="9"/>
  <c r="N91" i="9" s="1"/>
  <c r="N93" i="9"/>
  <c r="F130" i="12"/>
  <c r="R166" i="12"/>
  <c r="N133" i="3"/>
  <c r="R137" i="3"/>
  <c r="R185" i="3"/>
  <c r="X133" i="3"/>
  <c r="Z133" i="3" s="1"/>
  <c r="R141" i="3"/>
  <c r="R189" i="3"/>
  <c r="R229" i="3"/>
  <c r="R244" i="3"/>
  <c r="N255" i="3"/>
  <c r="Z259" i="3"/>
  <c r="Z278" i="3"/>
  <c r="Z28" i="6"/>
  <c r="V69" i="9"/>
  <c r="R79" i="9"/>
  <c r="R87" i="9"/>
  <c r="J128" i="12"/>
  <c r="J130" i="12"/>
  <c r="T278" i="12"/>
  <c r="F177" i="15"/>
  <c r="F198" i="15"/>
  <c r="L266" i="3"/>
  <c r="N266" i="3" s="1"/>
  <c r="L324" i="3"/>
  <c r="N324" i="3" s="1"/>
  <c r="T195" i="3"/>
  <c r="R197" i="3"/>
  <c r="R133" i="3"/>
  <c r="R145" i="3"/>
  <c r="R193" i="3"/>
  <c r="R212" i="3"/>
  <c r="R268" i="3"/>
  <c r="R284" i="3"/>
  <c r="D304" i="3"/>
  <c r="L304" i="3" s="1"/>
  <c r="N304" i="3" s="1"/>
  <c r="L307" i="3"/>
  <c r="R314" i="3"/>
  <c r="X93" i="9"/>
  <c r="Z93" i="9"/>
  <c r="F146" i="12"/>
  <c r="R263" i="12"/>
  <c r="V198" i="3"/>
  <c r="V202" i="3"/>
  <c r="V206" i="3"/>
  <c r="J210" i="3"/>
  <c r="J214" i="3"/>
  <c r="J218" i="3"/>
  <c r="V222" i="3"/>
  <c r="J226" i="3"/>
  <c r="J232" i="3"/>
  <c r="V234" i="3"/>
  <c r="J238" i="3"/>
  <c r="V242" i="3"/>
  <c r="V250" i="3"/>
  <c r="J258" i="3"/>
  <c r="V262" i="3"/>
  <c r="J270" i="3"/>
  <c r="V278" i="3"/>
  <c r="J282" i="3"/>
  <c r="J286" i="3"/>
  <c r="J290" i="3"/>
  <c r="J298" i="3"/>
  <c r="J307" i="3"/>
  <c r="V312" i="3"/>
  <c r="J320" i="3"/>
  <c r="P16" i="6"/>
  <c r="F21" i="9"/>
  <c r="F25" i="9"/>
  <c r="F29" i="9"/>
  <c r="F44" i="9"/>
  <c r="F45" i="9"/>
  <c r="J46" i="9"/>
  <c r="J56" i="9"/>
  <c r="F65" i="9"/>
  <c r="J76" i="9"/>
  <c r="J90" i="9"/>
  <c r="X91" i="9"/>
  <c r="Z91" i="9" s="1"/>
  <c r="J95" i="9"/>
  <c r="F103" i="9"/>
  <c r="J106" i="9"/>
  <c r="V278" i="12"/>
  <c r="V276" i="12"/>
  <c r="V264" i="12"/>
  <c r="V256" i="12"/>
  <c r="V240" i="12"/>
  <c r="V236" i="12"/>
  <c r="V220" i="12"/>
  <c r="V196" i="12"/>
  <c r="V188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263" i="12"/>
  <c r="V251" i="12"/>
  <c r="V247" i="12"/>
  <c r="V235" i="12"/>
  <c r="V231" i="12"/>
  <c r="V223" i="12"/>
  <c r="V211" i="12"/>
  <c r="V203" i="12"/>
  <c r="V187" i="12"/>
  <c r="V183" i="12"/>
  <c r="V179" i="12"/>
  <c r="V267" i="12"/>
  <c r="V265" i="12"/>
  <c r="V257" i="12"/>
  <c r="V241" i="12"/>
  <c r="V237" i="12"/>
  <c r="V225" i="12"/>
  <c r="V213" i="12"/>
  <c r="V197" i="12"/>
  <c r="V189" i="12"/>
  <c r="V165" i="12"/>
  <c r="V163" i="12"/>
  <c r="V161" i="12"/>
  <c r="V157" i="12"/>
  <c r="V153" i="12"/>
  <c r="V149" i="12"/>
  <c r="V145" i="12"/>
  <c r="V141" i="12"/>
  <c r="V137" i="12"/>
  <c r="V133" i="12"/>
  <c r="V129" i="12"/>
  <c r="V125" i="12"/>
  <c r="V121" i="12"/>
  <c r="V117" i="12"/>
  <c r="V113" i="12"/>
  <c r="V109" i="12"/>
  <c r="V280" i="12"/>
  <c r="V268" i="12"/>
  <c r="V260" i="12"/>
  <c r="V252" i="12"/>
  <c r="V248" i="12"/>
  <c r="V232" i="12"/>
  <c r="V224" i="12"/>
  <c r="V212" i="12"/>
  <c r="V204" i="12"/>
  <c r="V269" i="12"/>
  <c r="V259" i="12"/>
  <c r="V243" i="12"/>
  <c r="V227" i="12"/>
  <c r="V215" i="12"/>
  <c r="V191" i="12"/>
  <c r="V175" i="12"/>
  <c r="V171" i="12"/>
  <c r="V167" i="12"/>
  <c r="V270" i="12"/>
  <c r="V242" i="12"/>
  <c r="V238" i="12"/>
  <c r="V226" i="12"/>
  <c r="V214" i="12"/>
  <c r="V206" i="12"/>
  <c r="V198" i="12"/>
  <c r="V158" i="12"/>
  <c r="V271" i="12"/>
  <c r="V261" i="12"/>
  <c r="V253" i="12"/>
  <c r="V249" i="12"/>
  <c r="V233" i="12"/>
  <c r="V217" i="12"/>
  <c r="V205" i="12"/>
  <c r="V193" i="12"/>
  <c r="V185" i="12"/>
  <c r="V181" i="12"/>
  <c r="V177" i="12"/>
  <c r="V272" i="12"/>
  <c r="V244" i="12"/>
  <c r="V228" i="12"/>
  <c r="V216" i="12"/>
  <c r="V208" i="12"/>
  <c r="V200" i="12"/>
  <c r="V192" i="12"/>
  <c r="V176" i="12"/>
  <c r="V172" i="12"/>
  <c r="V168" i="12"/>
  <c r="Z12" i="12"/>
  <c r="V273" i="12"/>
  <c r="V255" i="12"/>
  <c r="V239" i="12"/>
  <c r="V219" i="12"/>
  <c r="V207" i="12"/>
  <c r="V199" i="12"/>
  <c r="V195" i="12"/>
  <c r="V159" i="12"/>
  <c r="V155" i="12"/>
  <c r="V151" i="12"/>
  <c r="V147" i="12"/>
  <c r="V143" i="12"/>
  <c r="V139" i="12"/>
  <c r="V135" i="12"/>
  <c r="V131" i="12"/>
  <c r="V127" i="12"/>
  <c r="V123" i="12"/>
  <c r="V119" i="12"/>
  <c r="V115" i="12"/>
  <c r="V111" i="12"/>
  <c r="V166" i="12"/>
  <c r="V184" i="12"/>
  <c r="V186" i="12"/>
  <c r="Z195" i="12"/>
  <c r="N225" i="12"/>
  <c r="Z189" i="15"/>
  <c r="Z204" i="15"/>
  <c r="X242" i="15"/>
  <c r="Z242" i="15" s="1"/>
  <c r="L79" i="21"/>
  <c r="N79" i="21" s="1"/>
  <c r="J135" i="3"/>
  <c r="J139" i="3"/>
  <c r="J143" i="3"/>
  <c r="J147" i="3"/>
  <c r="J151" i="3"/>
  <c r="J155" i="3"/>
  <c r="J159" i="3"/>
  <c r="J163" i="3"/>
  <c r="J167" i="3"/>
  <c r="J171" i="3"/>
  <c r="J175" i="3"/>
  <c r="J179" i="3"/>
  <c r="J183" i="3"/>
  <c r="J187" i="3"/>
  <c r="J191" i="3"/>
  <c r="J209" i="3"/>
  <c r="V211" i="3"/>
  <c r="V215" i="3"/>
  <c r="V219" i="3"/>
  <c r="J225" i="3"/>
  <c r="J231" i="3"/>
  <c r="V235" i="3"/>
  <c r="V243" i="3"/>
  <c r="J247" i="3"/>
  <c r="V251" i="3"/>
  <c r="J257" i="3"/>
  <c r="V267" i="3"/>
  <c r="J275" i="3"/>
  <c r="J281" i="3"/>
  <c r="V283" i="3"/>
  <c r="V287" i="3"/>
  <c r="V291" i="3"/>
  <c r="J297" i="3"/>
  <c r="V299" i="3"/>
  <c r="J306" i="3"/>
  <c r="V311" i="3"/>
  <c r="N12" i="6"/>
  <c r="R14" i="6"/>
  <c r="R16" i="6"/>
  <c r="R18" i="6"/>
  <c r="R20" i="6"/>
  <c r="R22" i="6"/>
  <c r="D16" i="9"/>
  <c r="N165" i="12"/>
  <c r="V180" i="12"/>
  <c r="V182" i="12"/>
  <c r="V202" i="12"/>
  <c r="X223" i="12"/>
  <c r="V229" i="12"/>
  <c r="X255" i="12"/>
  <c r="L160" i="15"/>
  <c r="N160" i="15" s="1"/>
  <c r="N221" i="15"/>
  <c r="J246" i="3"/>
  <c r="J264" i="3"/>
  <c r="J280" i="3"/>
  <c r="J296" i="3"/>
  <c r="J304" i="3"/>
  <c r="J305" i="3"/>
  <c r="T16" i="6"/>
  <c r="Z219" i="12"/>
  <c r="X219" i="12"/>
  <c r="Z246" i="12"/>
  <c r="X246" i="12"/>
  <c r="L260" i="12"/>
  <c r="N260" i="12" s="1"/>
  <c r="P267" i="12"/>
  <c r="X267" i="12" s="1"/>
  <c r="X272" i="12"/>
  <c r="Z272" i="12" s="1"/>
  <c r="L215" i="15"/>
  <c r="N215" i="15" s="1"/>
  <c r="J208" i="3"/>
  <c r="V201" i="3"/>
  <c r="V205" i="3"/>
  <c r="J213" i="3"/>
  <c r="J217" i="3"/>
  <c r="V233" i="3"/>
  <c r="J237" i="3"/>
  <c r="V241" i="3"/>
  <c r="J245" i="3"/>
  <c r="V249" i="3"/>
  <c r="J255" i="3"/>
  <c r="V261" i="3"/>
  <c r="V265" i="3"/>
  <c r="J269" i="3"/>
  <c r="J285" i="3"/>
  <c r="J289" i="3"/>
  <c r="J295" i="3"/>
  <c r="V309" i="3"/>
  <c r="J316" i="3"/>
  <c r="V14" i="6"/>
  <c r="V16" i="6"/>
  <c r="V18" i="6"/>
  <c r="V20" i="6"/>
  <c r="V22" i="6"/>
  <c r="H16" i="9"/>
  <c r="Z165" i="12"/>
  <c r="V178" i="12"/>
  <c r="V234" i="12"/>
  <c r="V246" i="12"/>
  <c r="Z255" i="12"/>
  <c r="Z267" i="12"/>
  <c r="J215" i="15"/>
  <c r="Z221" i="15"/>
  <c r="L251" i="15"/>
  <c r="N251" i="15" s="1"/>
  <c r="J256" i="3"/>
  <c r="J150" i="3"/>
  <c r="J178" i="3"/>
  <c r="J182" i="3"/>
  <c r="J186" i="3"/>
  <c r="J190" i="3"/>
  <c r="V210" i="3"/>
  <c r="V214" i="3"/>
  <c r="V218" i="3"/>
  <c r="V226" i="3"/>
  <c r="J230" i="3"/>
  <c r="V238" i="3"/>
  <c r="X241" i="3"/>
  <c r="Z241" i="3" s="1"/>
  <c r="X249" i="3"/>
  <c r="Z249" i="3" s="1"/>
  <c r="J254" i="3"/>
  <c r="L255" i="3"/>
  <c r="V258" i="3"/>
  <c r="X261" i="3"/>
  <c r="Z261" i="3" s="1"/>
  <c r="V266" i="3"/>
  <c r="V270" i="3"/>
  <c r="J274" i="3"/>
  <c r="V282" i="3"/>
  <c r="V286" i="3"/>
  <c r="V290" i="3"/>
  <c r="J294" i="3"/>
  <c r="L295" i="3"/>
  <c r="N295" i="3" s="1"/>
  <c r="V298" i="3"/>
  <c r="J302" i="3"/>
  <c r="V308" i="3"/>
  <c r="J315" i="3"/>
  <c r="V320" i="3"/>
  <c r="V324" i="3"/>
  <c r="V325" i="3"/>
  <c r="X14" i="6"/>
  <c r="X18" i="6"/>
  <c r="X20" i="6"/>
  <c r="X31" i="9"/>
  <c r="Z31" i="9" s="1"/>
  <c r="L53" i="9"/>
  <c r="X59" i="9"/>
  <c r="Z59" i="9" s="1"/>
  <c r="X67" i="9"/>
  <c r="Z67" i="9" s="1"/>
  <c r="X97" i="9"/>
  <c r="V262" i="12"/>
  <c r="V274" i="12"/>
  <c r="P12" i="15"/>
  <c r="X13" i="15"/>
  <c r="Z13" i="15" s="1"/>
  <c r="N207" i="15"/>
  <c r="J251" i="15"/>
  <c r="D12" i="18"/>
  <c r="N200" i="15"/>
  <c r="J134" i="3"/>
  <c r="J142" i="3"/>
  <c r="J146" i="3"/>
  <c r="J158" i="3"/>
  <c r="J162" i="3"/>
  <c r="J166" i="3"/>
  <c r="J133" i="3"/>
  <c r="V135" i="3"/>
  <c r="V139" i="3"/>
  <c r="V143" i="3"/>
  <c r="V147" i="3"/>
  <c r="V151" i="3"/>
  <c r="V155" i="3"/>
  <c r="V159" i="3"/>
  <c r="V163" i="3"/>
  <c r="V167" i="3"/>
  <c r="V171" i="3"/>
  <c r="V175" i="3"/>
  <c r="V179" i="3"/>
  <c r="V183" i="3"/>
  <c r="V187" i="3"/>
  <c r="V191" i="3"/>
  <c r="J197" i="3"/>
  <c r="J199" i="3"/>
  <c r="J203" i="3"/>
  <c r="J207" i="3"/>
  <c r="J223" i="3"/>
  <c r="V227" i="3"/>
  <c r="V231" i="3"/>
  <c r="V239" i="3"/>
  <c r="V247" i="3"/>
  <c r="J253" i="3"/>
  <c r="V259" i="3"/>
  <c r="J263" i="3"/>
  <c r="V271" i="3"/>
  <c r="V275" i="3"/>
  <c r="J279" i="3"/>
  <c r="J301" i="3"/>
  <c r="P304" i="3"/>
  <c r="X304" i="3" s="1"/>
  <c r="Z304" i="3" s="1"/>
  <c r="V307" i="3"/>
  <c r="J314" i="3"/>
  <c r="J26" i="6"/>
  <c r="J28" i="6"/>
  <c r="J29" i="6"/>
  <c r="J31" i="6"/>
  <c r="F99" i="9"/>
  <c r="F97" i="9"/>
  <c r="F84" i="9"/>
  <c r="F83" i="9"/>
  <c r="F81" i="9"/>
  <c r="J19" i="9"/>
  <c r="J33" i="9"/>
  <c r="J37" i="9"/>
  <c r="J41" i="9"/>
  <c r="F61" i="9"/>
  <c r="F62" i="9"/>
  <c r="J63" i="9"/>
  <c r="J69" i="9"/>
  <c r="F74" i="9"/>
  <c r="J80" i="9"/>
  <c r="J93" i="9"/>
  <c r="V174" i="12"/>
  <c r="Z190" i="12"/>
  <c r="Z258" i="12"/>
  <c r="Z213" i="15"/>
  <c r="N247" i="15"/>
  <c r="Z166" i="12"/>
  <c r="Z159" i="15"/>
  <c r="J224" i="3"/>
  <c r="J138" i="3"/>
  <c r="J174" i="3"/>
  <c r="H195" i="3"/>
  <c r="J198" i="3"/>
  <c r="V200" i="3"/>
  <c r="V204" i="3"/>
  <c r="V208" i="3"/>
  <c r="J212" i="3"/>
  <c r="J216" i="3"/>
  <c r="J222" i="3"/>
  <c r="V224" i="3"/>
  <c r="V232" i="3"/>
  <c r="J236" i="3"/>
  <c r="J244" i="3"/>
  <c r="J252" i="3"/>
  <c r="V256" i="3"/>
  <c r="V264" i="3"/>
  <c r="J268" i="3"/>
  <c r="J278" i="3"/>
  <c r="V280" i="3"/>
  <c r="J284" i="3"/>
  <c r="J288" i="3"/>
  <c r="V296" i="3"/>
  <c r="J300" i="3"/>
  <c r="V306" i="3"/>
  <c r="J313" i="3"/>
  <c r="F23" i="9"/>
  <c r="F27" i="9"/>
  <c r="F50" i="9"/>
  <c r="F51" i="9"/>
  <c r="J62" i="9"/>
  <c r="J74" i="9"/>
  <c r="F79" i="9"/>
  <c r="J84" i="9"/>
  <c r="F87" i="9"/>
  <c r="J88" i="9"/>
  <c r="F92" i="9"/>
  <c r="L93" i="9"/>
  <c r="L177" i="12"/>
  <c r="N177" i="12" s="1"/>
  <c r="V190" i="12"/>
  <c r="L193" i="12"/>
  <c r="N193" i="12" s="1"/>
  <c r="Z210" i="12"/>
  <c r="X210" i="12"/>
  <c r="V218" i="12"/>
  <c r="V230" i="12"/>
  <c r="V258" i="12"/>
  <c r="D267" i="12"/>
  <c r="L267" i="12" s="1"/>
  <c r="N267" i="12" s="1"/>
  <c r="L268" i="12"/>
  <c r="Z209" i="15"/>
  <c r="X209" i="15"/>
  <c r="Z122" i="18"/>
  <c r="Z196" i="18"/>
  <c r="F112" i="21"/>
  <c r="F111" i="21"/>
  <c r="F92" i="21"/>
  <c r="F80" i="21"/>
  <c r="F79" i="21"/>
  <c r="F68" i="21"/>
  <c r="F67" i="21"/>
  <c r="F60" i="21"/>
  <c r="F59" i="21"/>
  <c r="F31" i="21"/>
  <c r="F29" i="21"/>
  <c r="F103" i="21"/>
  <c r="F99" i="21"/>
  <c r="F87" i="21"/>
  <c r="F51" i="21"/>
  <c r="F47" i="21"/>
  <c r="F43" i="21"/>
  <c r="F42" i="21"/>
  <c r="D29" i="21"/>
  <c r="F82" i="21"/>
  <c r="F81" i="21"/>
  <c r="F70" i="21"/>
  <c r="F69" i="21"/>
  <c r="F38" i="21"/>
  <c r="F34" i="21"/>
  <c r="F114" i="21"/>
  <c r="F93" i="21"/>
  <c r="F89" i="21"/>
  <c r="F88" i="21"/>
  <c r="F61" i="21"/>
  <c r="F25" i="21"/>
  <c r="F24" i="21"/>
  <c r="F118" i="21"/>
  <c r="F104" i="21"/>
  <c r="F100" i="21"/>
  <c r="F72" i="21"/>
  <c r="F71" i="21"/>
  <c r="F52" i="21"/>
  <c r="F48" i="21"/>
  <c r="F44" i="21"/>
  <c r="F95" i="21"/>
  <c r="F94" i="21"/>
  <c r="F83" i="21"/>
  <c r="F39" i="21"/>
  <c r="F35" i="21"/>
  <c r="F106" i="21"/>
  <c r="F105" i="21"/>
  <c r="F90" i="21"/>
  <c r="F74" i="21"/>
  <c r="F73" i="21"/>
  <c r="F62" i="21"/>
  <c r="F54" i="21"/>
  <c r="F53" i="21"/>
  <c r="F26" i="21"/>
  <c r="F101" i="21"/>
  <c r="F97" i="21"/>
  <c r="F96" i="21"/>
  <c r="F49" i="21"/>
  <c r="F45" i="21"/>
  <c r="F108" i="21"/>
  <c r="F107" i="21"/>
  <c r="F84" i="21"/>
  <c r="F76" i="21"/>
  <c r="F75" i="21"/>
  <c r="F64" i="21"/>
  <c r="F63" i="21"/>
  <c r="F56" i="21"/>
  <c r="F55" i="21"/>
  <c r="F40" i="21"/>
  <c r="F36" i="21"/>
  <c r="L12" i="21"/>
  <c r="N12" i="21" s="1"/>
  <c r="F91" i="21"/>
  <c r="F27" i="21"/>
  <c r="F102" i="21"/>
  <c r="F66" i="21"/>
  <c r="F85" i="21"/>
  <c r="F46" i="21"/>
  <c r="F57" i="21"/>
  <c r="F110" i="21"/>
  <c r="F78" i="21"/>
  <c r="F65" i="21"/>
  <c r="F41" i="21"/>
  <c r="F37" i="21"/>
  <c r="F33" i="21"/>
  <c r="F98" i="21"/>
  <c r="F50" i="21"/>
  <c r="F86" i="21"/>
  <c r="N32" i="21"/>
  <c r="L32" i="21"/>
  <c r="N104" i="24"/>
  <c r="J200" i="3"/>
  <c r="J170" i="3"/>
  <c r="J137" i="3"/>
  <c r="J141" i="3"/>
  <c r="J145" i="3"/>
  <c r="J149" i="3"/>
  <c r="J153" i="3"/>
  <c r="J157" i="3"/>
  <c r="J161" i="3"/>
  <c r="J165" i="3"/>
  <c r="J169" i="3"/>
  <c r="J173" i="3"/>
  <c r="J177" i="3"/>
  <c r="J181" i="3"/>
  <c r="J185" i="3"/>
  <c r="J189" i="3"/>
  <c r="J193" i="3"/>
  <c r="V209" i="3"/>
  <c r="V213" i="3"/>
  <c r="V217" i="3"/>
  <c r="J221" i="3"/>
  <c r="V225" i="3"/>
  <c r="J229" i="3"/>
  <c r="J235" i="3"/>
  <c r="V237" i="3"/>
  <c r="J243" i="3"/>
  <c r="V245" i="3"/>
  <c r="J251" i="3"/>
  <c r="V257" i="3"/>
  <c r="V269" i="3"/>
  <c r="J273" i="3"/>
  <c r="J277" i="3"/>
  <c r="V281" i="3"/>
  <c r="V285" i="3"/>
  <c r="V289" i="3"/>
  <c r="J293" i="3"/>
  <c r="V297" i="3"/>
  <c r="V305" i="3"/>
  <c r="J312" i="3"/>
  <c r="J24" i="6"/>
  <c r="J23" i="9"/>
  <c r="J27" i="9"/>
  <c r="F31" i="9"/>
  <c r="F32" i="9"/>
  <c r="F36" i="9"/>
  <c r="F40" i="9"/>
  <c r="J51" i="9"/>
  <c r="F59" i="9"/>
  <c r="F60" i="9"/>
  <c r="J61" i="9"/>
  <c r="F67" i="9"/>
  <c r="F68" i="9"/>
  <c r="J79" i="9"/>
  <c r="J87" i="9"/>
  <c r="L88" i="9"/>
  <c r="N88" i="9" s="1"/>
  <c r="J92" i="9"/>
  <c r="V122" i="12"/>
  <c r="V138" i="12"/>
  <c r="V154" i="12"/>
  <c r="V170" i="12"/>
  <c r="X203" i="12"/>
  <c r="Z203" i="12" s="1"/>
  <c r="V210" i="12"/>
  <c r="L213" i="12"/>
  <c r="N213" i="12" s="1"/>
  <c r="V222" i="12"/>
  <c r="V245" i="12"/>
  <c r="V254" i="12"/>
  <c r="J204" i="3"/>
  <c r="J154" i="3"/>
  <c r="V134" i="3"/>
  <c r="V138" i="3"/>
  <c r="V142" i="3"/>
  <c r="V146" i="3"/>
  <c r="V150" i="3"/>
  <c r="V154" i="3"/>
  <c r="V158" i="3"/>
  <c r="V162" i="3"/>
  <c r="V166" i="3"/>
  <c r="V170" i="3"/>
  <c r="V174" i="3"/>
  <c r="V178" i="3"/>
  <c r="V182" i="3"/>
  <c r="V186" i="3"/>
  <c r="V190" i="3"/>
  <c r="J202" i="3"/>
  <c r="J206" i="3"/>
  <c r="J220" i="3"/>
  <c r="V230" i="3"/>
  <c r="J234" i="3"/>
  <c r="J242" i="3"/>
  <c r="V246" i="3"/>
  <c r="J250" i="3"/>
  <c r="V254" i="3"/>
  <c r="J262" i="3"/>
  <c r="V274" i="3"/>
  <c r="J292" i="3"/>
  <c r="V294" i="3"/>
  <c r="V302" i="3"/>
  <c r="V304" i="3"/>
  <c r="V316" i="3"/>
  <c r="J50" i="9"/>
  <c r="J60" i="9"/>
  <c r="J68" i="9"/>
  <c r="F72" i="9"/>
  <c r="F73" i="9"/>
  <c r="J83" i="9"/>
  <c r="F91" i="9"/>
  <c r="J99" i="9"/>
  <c r="N195" i="12"/>
  <c r="V201" i="12"/>
  <c r="L204" i="15"/>
  <c r="N204" i="15" s="1"/>
  <c r="X53" i="21"/>
  <c r="Z53" i="21" s="1"/>
  <c r="J106" i="15"/>
  <c r="J110" i="15"/>
  <c r="J114" i="15"/>
  <c r="J118" i="15"/>
  <c r="J122" i="15"/>
  <c r="J126" i="15"/>
  <c r="J130" i="15"/>
  <c r="J134" i="15"/>
  <c r="J138" i="15"/>
  <c r="J142" i="15"/>
  <c r="J146" i="15"/>
  <c r="J150" i="15"/>
  <c r="J154" i="15"/>
  <c r="T157" i="15"/>
  <c r="V174" i="15"/>
  <c r="V178" i="15"/>
  <c r="J190" i="15"/>
  <c r="V198" i="15"/>
  <c r="J204" i="15"/>
  <c r="V206" i="15"/>
  <c r="J214" i="15"/>
  <c r="V218" i="15"/>
  <c r="J222" i="15"/>
  <c r="J238" i="15"/>
  <c r="V246" i="15"/>
  <c r="J250" i="15"/>
  <c r="V256" i="15"/>
  <c r="J263" i="15"/>
  <c r="V290" i="18"/>
  <c r="V270" i="18"/>
  <c r="V258" i="18"/>
  <c r="V242" i="18"/>
  <c r="V230" i="18"/>
  <c r="V222" i="18"/>
  <c r="V206" i="18"/>
  <c r="V202" i="18"/>
  <c r="V198" i="18"/>
  <c r="V279" i="18"/>
  <c r="V277" i="18"/>
  <c r="V269" i="18"/>
  <c r="V253" i="18"/>
  <c r="V241" i="18"/>
  <c r="V221" i="18"/>
  <c r="V209" i="18"/>
  <c r="V193" i="18"/>
  <c r="V189" i="18"/>
  <c r="V185" i="18"/>
  <c r="V280" i="18"/>
  <c r="V272" i="18"/>
  <c r="V264" i="18"/>
  <c r="V260" i="18"/>
  <c r="V248" i="18"/>
  <c r="V232" i="18"/>
  <c r="V216" i="18"/>
  <c r="V208" i="18"/>
  <c r="V184" i="18"/>
  <c r="V182" i="18"/>
  <c r="V180" i="18"/>
  <c r="V176" i="18"/>
  <c r="V172" i="18"/>
  <c r="V168" i="18"/>
  <c r="V164" i="18"/>
  <c r="V160" i="18"/>
  <c r="V156" i="18"/>
  <c r="V152" i="18"/>
  <c r="V148" i="18"/>
  <c r="V144" i="18"/>
  <c r="V140" i="18"/>
  <c r="V136" i="18"/>
  <c r="V132" i="18"/>
  <c r="V128" i="18"/>
  <c r="V124" i="18"/>
  <c r="V281" i="18"/>
  <c r="V271" i="18"/>
  <c r="V243" i="18"/>
  <c r="V231" i="18"/>
  <c r="V223" i="18"/>
  <c r="V203" i="18"/>
  <c r="V199" i="18"/>
  <c r="T182" i="18"/>
  <c r="V294" i="18"/>
  <c r="V282" i="18"/>
  <c r="V254" i="18"/>
  <c r="V234" i="18"/>
  <c r="V210" i="18"/>
  <c r="V194" i="18"/>
  <c r="V190" i="18"/>
  <c r="V186" i="18"/>
  <c r="V283" i="18"/>
  <c r="V273" i="18"/>
  <c r="V265" i="18"/>
  <c r="V261" i="18"/>
  <c r="V249" i="18"/>
  <c r="V233" i="18"/>
  <c r="V225" i="18"/>
  <c r="V217" i="18"/>
  <c r="V284" i="18"/>
  <c r="V256" i="18"/>
  <c r="V244" i="18"/>
  <c r="V236" i="18"/>
  <c r="V224" i="18"/>
  <c r="V212" i="18"/>
  <c r="V204" i="18"/>
  <c r="V200" i="18"/>
  <c r="V196" i="18"/>
  <c r="V285" i="18"/>
  <c r="V267" i="18"/>
  <c r="V255" i="18"/>
  <c r="V251" i="18"/>
  <c r="V235" i="18"/>
  <c r="V227" i="18"/>
  <c r="V219" i="18"/>
  <c r="V211" i="18"/>
  <c r="V195" i="18"/>
  <c r="V191" i="18"/>
  <c r="V187" i="18"/>
  <c r="V286" i="18"/>
  <c r="V274" i="18"/>
  <c r="V266" i="18"/>
  <c r="V262" i="18"/>
  <c r="V250" i="18"/>
  <c r="V246" i="18"/>
  <c r="V238" i="18"/>
  <c r="V226" i="18"/>
  <c r="V218" i="18"/>
  <c r="V214" i="18"/>
  <c r="V178" i="18"/>
  <c r="V174" i="18"/>
  <c r="V170" i="18"/>
  <c r="V166" i="18"/>
  <c r="V162" i="18"/>
  <c r="V158" i="18"/>
  <c r="V154" i="18"/>
  <c r="V150" i="18"/>
  <c r="V146" i="18"/>
  <c r="V142" i="18"/>
  <c r="V138" i="18"/>
  <c r="V134" i="18"/>
  <c r="V130" i="18"/>
  <c r="V126" i="18"/>
  <c r="V122" i="18"/>
  <c r="V287" i="18"/>
  <c r="V257" i="18"/>
  <c r="V245" i="18"/>
  <c r="V237" i="18"/>
  <c r="V229" i="18"/>
  <c r="V213" i="18"/>
  <c r="V205" i="18"/>
  <c r="V201" i="18"/>
  <c r="V197" i="18"/>
  <c r="V167" i="18"/>
  <c r="V169" i="18"/>
  <c r="Z184" i="18"/>
  <c r="Z214" i="18"/>
  <c r="Z232" i="18"/>
  <c r="V259" i="18"/>
  <c r="Z276" i="18"/>
  <c r="V289" i="18"/>
  <c r="N105" i="21"/>
  <c r="Z111" i="21"/>
  <c r="X104" i="24"/>
  <c r="Z104" i="24" s="1"/>
  <c r="Z118" i="24"/>
  <c r="V107" i="15"/>
  <c r="V111" i="15"/>
  <c r="V115" i="15"/>
  <c r="V119" i="15"/>
  <c r="V123" i="15"/>
  <c r="V127" i="15"/>
  <c r="V131" i="15"/>
  <c r="V135" i="15"/>
  <c r="V139" i="15"/>
  <c r="V143" i="15"/>
  <c r="V147" i="15"/>
  <c r="V151" i="15"/>
  <c r="V155" i="15"/>
  <c r="V157" i="15"/>
  <c r="V159" i="15"/>
  <c r="J163" i="15"/>
  <c r="J167" i="15"/>
  <c r="V183" i="15"/>
  <c r="J189" i="15"/>
  <c r="V191" i="15"/>
  <c r="J195" i="15"/>
  <c r="J203" i="15"/>
  <c r="V207" i="15"/>
  <c r="J213" i="15"/>
  <c r="J221" i="15"/>
  <c r="V223" i="15"/>
  <c r="J227" i="15"/>
  <c r="V235" i="15"/>
  <c r="V239" i="15"/>
  <c r="J243" i="15"/>
  <c r="V247" i="15"/>
  <c r="V255" i="15"/>
  <c r="J262" i="15"/>
  <c r="V267" i="15"/>
  <c r="V127" i="18"/>
  <c r="V131" i="18"/>
  <c r="V135" i="18"/>
  <c r="V139" i="18"/>
  <c r="V143" i="18"/>
  <c r="V147" i="18"/>
  <c r="V151" i="18"/>
  <c r="V155" i="18"/>
  <c r="V159" i="18"/>
  <c r="V163" i="18"/>
  <c r="V165" i="18"/>
  <c r="J195" i="18"/>
  <c r="V228" i="18"/>
  <c r="J235" i="18"/>
  <c r="V276" i="18"/>
  <c r="H116" i="21"/>
  <c r="N12" i="15"/>
  <c r="V160" i="15"/>
  <c r="V164" i="15"/>
  <c r="V168" i="15"/>
  <c r="J172" i="15"/>
  <c r="J176" i="15"/>
  <c r="J180" i="15"/>
  <c r="V184" i="15"/>
  <c r="J188" i="15"/>
  <c r="J194" i="15"/>
  <c r="V196" i="15"/>
  <c r="J202" i="15"/>
  <c r="J212" i="15"/>
  <c r="V216" i="15"/>
  <c r="J220" i="15"/>
  <c r="J226" i="15"/>
  <c r="V228" i="15"/>
  <c r="J232" i="15"/>
  <c r="J242" i="15"/>
  <c r="V244" i="15"/>
  <c r="V252" i="15"/>
  <c r="V254" i="15"/>
  <c r="J261" i="15"/>
  <c r="V123" i="18"/>
  <c r="V125" i="18"/>
  <c r="V129" i="18"/>
  <c r="V133" i="18"/>
  <c r="V137" i="18"/>
  <c r="V141" i="18"/>
  <c r="V145" i="18"/>
  <c r="V149" i="18"/>
  <c r="V153" i="18"/>
  <c r="V157" i="18"/>
  <c r="V161" i="18"/>
  <c r="V192" i="18"/>
  <c r="J204" i="18"/>
  <c r="J211" i="18"/>
  <c r="V220" i="18"/>
  <c r="V239" i="18"/>
  <c r="J284" i="18"/>
  <c r="L67" i="21"/>
  <c r="N67" i="21" s="1"/>
  <c r="X105" i="21"/>
  <c r="Z105" i="21" s="1"/>
  <c r="V104" i="24"/>
  <c r="D12" i="27"/>
  <c r="L13" i="27"/>
  <c r="N73" i="27"/>
  <c r="J105" i="15"/>
  <c r="J109" i="15"/>
  <c r="J113" i="15"/>
  <c r="J117" i="15"/>
  <c r="J121" i="15"/>
  <c r="J125" i="15"/>
  <c r="J129" i="15"/>
  <c r="J133" i="15"/>
  <c r="J137" i="15"/>
  <c r="J141" i="15"/>
  <c r="J145" i="15"/>
  <c r="J149" i="15"/>
  <c r="J153" i="15"/>
  <c r="J171" i="15"/>
  <c r="V173" i="15"/>
  <c r="V177" i="15"/>
  <c r="V181" i="15"/>
  <c r="J187" i="15"/>
  <c r="J193" i="15"/>
  <c r="V197" i="15"/>
  <c r="J201" i="15"/>
  <c r="V205" i="15"/>
  <c r="J211" i="15"/>
  <c r="V217" i="15"/>
  <c r="J225" i="15"/>
  <c r="J231" i="15"/>
  <c r="V233" i="15"/>
  <c r="J237" i="15"/>
  <c r="J241" i="15"/>
  <c r="V245" i="15"/>
  <c r="J249" i="15"/>
  <c r="J260" i="15"/>
  <c r="V215" i="18"/>
  <c r="J244" i="18"/>
  <c r="X73" i="21"/>
  <c r="Z73" i="21" s="1"/>
  <c r="N107" i="24"/>
  <c r="L107" i="24"/>
  <c r="J104" i="15"/>
  <c r="V106" i="15"/>
  <c r="V110" i="15"/>
  <c r="V114" i="15"/>
  <c r="V118" i="15"/>
  <c r="V122" i="15"/>
  <c r="V126" i="15"/>
  <c r="V130" i="15"/>
  <c r="V134" i="15"/>
  <c r="V138" i="15"/>
  <c r="V142" i="15"/>
  <c r="V146" i="15"/>
  <c r="V150" i="15"/>
  <c r="V154" i="15"/>
  <c r="J162" i="15"/>
  <c r="J166" i="15"/>
  <c r="J170" i="15"/>
  <c r="V182" i="15"/>
  <c r="J186" i="15"/>
  <c r="V190" i="15"/>
  <c r="J200" i="15"/>
  <c r="J210" i="15"/>
  <c r="V214" i="15"/>
  <c r="V222" i="15"/>
  <c r="J230" i="15"/>
  <c r="V234" i="15"/>
  <c r="V238" i="15"/>
  <c r="V250" i="15"/>
  <c r="J259" i="15"/>
  <c r="N242" i="18"/>
  <c r="V268" i="18"/>
  <c r="Z272" i="18"/>
  <c r="V288" i="18"/>
  <c r="P12" i="21"/>
  <c r="X13" i="21"/>
  <c r="Z13" i="21" s="1"/>
  <c r="N31" i="21"/>
  <c r="L59" i="21"/>
  <c r="N65" i="21"/>
  <c r="V73" i="21"/>
  <c r="P12" i="27"/>
  <c r="V163" i="15"/>
  <c r="V167" i="15"/>
  <c r="J175" i="15"/>
  <c r="J179" i="15"/>
  <c r="X182" i="15"/>
  <c r="Z182" i="15" s="1"/>
  <c r="V195" i="15"/>
  <c r="J199" i="15"/>
  <c r="L200" i="15"/>
  <c r="V203" i="15"/>
  <c r="J209" i="15"/>
  <c r="V215" i="15"/>
  <c r="J219" i="15"/>
  <c r="V227" i="15"/>
  <c r="X234" i="15"/>
  <c r="Z234" i="15" s="1"/>
  <c r="V243" i="15"/>
  <c r="V251" i="15"/>
  <c r="D254" i="15"/>
  <c r="L254" i="15" s="1"/>
  <c r="N254" i="15" s="1"/>
  <c r="J258" i="15"/>
  <c r="V263" i="15"/>
  <c r="L13" i="18"/>
  <c r="N13" i="18" s="1"/>
  <c r="J191" i="18"/>
  <c r="J200" i="18"/>
  <c r="V263" i="18"/>
  <c r="N59" i="21"/>
  <c r="Z121" i="24"/>
  <c r="X121" i="24"/>
  <c r="J108" i="15"/>
  <c r="J112" i="15"/>
  <c r="J116" i="15"/>
  <c r="J120" i="15"/>
  <c r="J124" i="15"/>
  <c r="J128" i="15"/>
  <c r="J132" i="15"/>
  <c r="J136" i="15"/>
  <c r="J140" i="15"/>
  <c r="J144" i="15"/>
  <c r="J148" i="15"/>
  <c r="J152" i="15"/>
  <c r="H157" i="15"/>
  <c r="V172" i="15"/>
  <c r="V176" i="15"/>
  <c r="V180" i="15"/>
  <c r="V188" i="15"/>
  <c r="J192" i="15"/>
  <c r="V204" i="15"/>
  <c r="J208" i="15"/>
  <c r="V212" i="15"/>
  <c r="V220" i="15"/>
  <c r="J224" i="15"/>
  <c r="V232" i="15"/>
  <c r="J236" i="15"/>
  <c r="J240" i="15"/>
  <c r="J248" i="15"/>
  <c r="J257" i="15"/>
  <c r="V262" i="15"/>
  <c r="V188" i="18"/>
  <c r="N240" i="18"/>
  <c r="Z246" i="18"/>
  <c r="V275" i="18"/>
  <c r="D279" i="18"/>
  <c r="L279" i="18" s="1"/>
  <c r="N279" i="18" s="1"/>
  <c r="J59" i="21"/>
  <c r="Z65" i="21"/>
  <c r="Z71" i="21"/>
  <c r="D12" i="24"/>
  <c r="N126" i="24"/>
  <c r="J256" i="15"/>
  <c r="V261" i="15"/>
  <c r="J225" i="18"/>
  <c r="P12" i="24"/>
  <c r="Z131" i="24"/>
  <c r="X131" i="24"/>
  <c r="J160" i="15"/>
  <c r="V162" i="15"/>
  <c r="V166" i="15"/>
  <c r="V170" i="15"/>
  <c r="J174" i="15"/>
  <c r="J178" i="15"/>
  <c r="J184" i="15"/>
  <c r="V186" i="15"/>
  <c r="V194" i="15"/>
  <c r="J198" i="15"/>
  <c r="V202" i="15"/>
  <c r="J206" i="15"/>
  <c r="V210" i="15"/>
  <c r="J218" i="15"/>
  <c r="V226" i="15"/>
  <c r="V230" i="15"/>
  <c r="V242" i="15"/>
  <c r="J246" i="15"/>
  <c r="J254" i="15"/>
  <c r="J255" i="15"/>
  <c r="V260" i="15"/>
  <c r="J285" i="18"/>
  <c r="J274" i="18"/>
  <c r="J266" i="18"/>
  <c r="J262" i="18"/>
  <c r="J256" i="18"/>
  <c r="J250" i="18"/>
  <c r="J236" i="18"/>
  <c r="J226" i="18"/>
  <c r="J218" i="18"/>
  <c r="J212" i="18"/>
  <c r="J196" i="18"/>
  <c r="J178" i="18"/>
  <c r="J174" i="18"/>
  <c r="J170" i="18"/>
  <c r="J166" i="18"/>
  <c r="J162" i="18"/>
  <c r="J158" i="18"/>
  <c r="J154" i="18"/>
  <c r="J150" i="18"/>
  <c r="J146" i="18"/>
  <c r="J142" i="18"/>
  <c r="J138" i="18"/>
  <c r="J134" i="18"/>
  <c r="J130" i="18"/>
  <c r="J126" i="18"/>
  <c r="J286" i="18"/>
  <c r="J267" i="18"/>
  <c r="J257" i="18"/>
  <c r="J251" i="18"/>
  <c r="J245" i="18"/>
  <c r="J237" i="18"/>
  <c r="J227" i="18"/>
  <c r="J219" i="18"/>
  <c r="J213" i="18"/>
  <c r="J205" i="18"/>
  <c r="J201" i="18"/>
  <c r="J197" i="18"/>
  <c r="J287" i="18"/>
  <c r="J268" i="18"/>
  <c r="J252" i="18"/>
  <c r="J246" i="18"/>
  <c r="J238" i="18"/>
  <c r="J228" i="18"/>
  <c r="J220" i="18"/>
  <c r="J214" i="18"/>
  <c r="J192" i="18"/>
  <c r="J188" i="18"/>
  <c r="J122" i="18"/>
  <c r="J288" i="18"/>
  <c r="J275" i="18"/>
  <c r="J263" i="18"/>
  <c r="J247" i="18"/>
  <c r="J239" i="18"/>
  <c r="J229" i="18"/>
  <c r="J215" i="18"/>
  <c r="J179" i="18"/>
  <c r="J175" i="18"/>
  <c r="J171" i="18"/>
  <c r="J167" i="18"/>
  <c r="J163" i="18"/>
  <c r="J159" i="18"/>
  <c r="J155" i="18"/>
  <c r="J151" i="18"/>
  <c r="J147" i="18"/>
  <c r="J143" i="18"/>
  <c r="J139" i="18"/>
  <c r="J135" i="18"/>
  <c r="J131" i="18"/>
  <c r="J127" i="18"/>
  <c r="J123" i="18"/>
  <c r="J289" i="18"/>
  <c r="J276" i="18"/>
  <c r="J258" i="18"/>
  <c r="J240" i="18"/>
  <c r="J230" i="18"/>
  <c r="J206" i="18"/>
  <c r="J202" i="18"/>
  <c r="J198" i="18"/>
  <c r="J290" i="18"/>
  <c r="J277" i="18"/>
  <c r="J269" i="18"/>
  <c r="J259" i="18"/>
  <c r="J253" i="18"/>
  <c r="J241" i="18"/>
  <c r="J221" i="18"/>
  <c r="J207" i="18"/>
  <c r="J193" i="18"/>
  <c r="J189" i="18"/>
  <c r="J270" i="18"/>
  <c r="J264" i="18"/>
  <c r="J260" i="18"/>
  <c r="J248" i="18"/>
  <c r="J242" i="18"/>
  <c r="J222" i="18"/>
  <c r="J216" i="18"/>
  <c r="J208" i="18"/>
  <c r="J180" i="18"/>
  <c r="J176" i="18"/>
  <c r="J172" i="18"/>
  <c r="J168" i="18"/>
  <c r="J164" i="18"/>
  <c r="J160" i="18"/>
  <c r="J156" i="18"/>
  <c r="J152" i="18"/>
  <c r="J148" i="18"/>
  <c r="J144" i="18"/>
  <c r="J140" i="18"/>
  <c r="J136" i="18"/>
  <c r="J132" i="18"/>
  <c r="J128" i="18"/>
  <c r="J124" i="18"/>
  <c r="J280" i="18"/>
  <c r="J279" i="18"/>
  <c r="J271" i="18"/>
  <c r="J243" i="18"/>
  <c r="J231" i="18"/>
  <c r="J223" i="18"/>
  <c r="J209" i="18"/>
  <c r="J203" i="18"/>
  <c r="J199" i="18"/>
  <c r="J185" i="18"/>
  <c r="J294" i="18"/>
  <c r="J281" i="18"/>
  <c r="J272" i="18"/>
  <c r="J254" i="18"/>
  <c r="J232" i="18"/>
  <c r="J210" i="18"/>
  <c r="J194" i="18"/>
  <c r="J190" i="18"/>
  <c r="J186" i="18"/>
  <c r="J184" i="18"/>
  <c r="J182" i="18"/>
  <c r="J282" i="18"/>
  <c r="J273" i="18"/>
  <c r="J265" i="18"/>
  <c r="J261" i="18"/>
  <c r="J249" i="18"/>
  <c r="J233" i="18"/>
  <c r="J217" i="18"/>
  <c r="H182" i="18"/>
  <c r="J177" i="18"/>
  <c r="J173" i="18"/>
  <c r="J169" i="18"/>
  <c r="J165" i="18"/>
  <c r="J161" i="18"/>
  <c r="J157" i="18"/>
  <c r="J153" i="18"/>
  <c r="J149" i="18"/>
  <c r="J145" i="18"/>
  <c r="J141" i="18"/>
  <c r="J137" i="18"/>
  <c r="J133" i="18"/>
  <c r="J129" i="18"/>
  <c r="J125" i="18"/>
  <c r="N234" i="18"/>
  <c r="N238" i="18"/>
  <c r="Z240" i="18"/>
  <c r="J255" i="18"/>
  <c r="Z59" i="21"/>
  <c r="N89" i="24"/>
  <c r="J107" i="15"/>
  <c r="J111" i="15"/>
  <c r="J115" i="15"/>
  <c r="J119" i="15"/>
  <c r="J123" i="15"/>
  <c r="J127" i="15"/>
  <c r="J131" i="15"/>
  <c r="J135" i="15"/>
  <c r="J139" i="15"/>
  <c r="J143" i="15"/>
  <c r="J147" i="15"/>
  <c r="J151" i="15"/>
  <c r="J155" i="15"/>
  <c r="V171" i="15"/>
  <c r="V175" i="15"/>
  <c r="V179" i="15"/>
  <c r="J183" i="15"/>
  <c r="V187" i="15"/>
  <c r="J191" i="15"/>
  <c r="J197" i="15"/>
  <c r="V199" i="15"/>
  <c r="V211" i="15"/>
  <c r="J217" i="15"/>
  <c r="V219" i="15"/>
  <c r="J223" i="15"/>
  <c r="V231" i="15"/>
  <c r="J235" i="15"/>
  <c r="J239" i="15"/>
  <c r="J245" i="15"/>
  <c r="V179" i="18"/>
  <c r="X229" i="18"/>
  <c r="Z229" i="18" s="1"/>
  <c r="J234" i="18"/>
  <c r="V240" i="18"/>
  <c r="V247" i="18"/>
  <c r="V252" i="18"/>
  <c r="Z94" i="21"/>
  <c r="X94" i="21"/>
  <c r="N111" i="21"/>
  <c r="L111" i="21"/>
  <c r="Z111" i="24"/>
  <c r="X113" i="24"/>
  <c r="Z113" i="24" s="1"/>
  <c r="N118" i="24"/>
  <c r="Z126" i="24"/>
  <c r="Z41" i="27"/>
  <c r="X41" i="27"/>
  <c r="J32" i="21"/>
  <c r="V34" i="21"/>
  <c r="V38" i="21"/>
  <c r="J46" i="21"/>
  <c r="J50" i="21"/>
  <c r="J58" i="21"/>
  <c r="J66" i="21"/>
  <c r="V70" i="21"/>
  <c r="J78" i="21"/>
  <c r="V82" i="21"/>
  <c r="J86" i="21"/>
  <c r="V94" i="21"/>
  <c r="J98" i="21"/>
  <c r="J102" i="21"/>
  <c r="J110" i="21"/>
  <c r="V53" i="24"/>
  <c r="V57" i="24"/>
  <c r="V61" i="24"/>
  <c r="V65" i="24"/>
  <c r="V69" i="24"/>
  <c r="V73" i="24"/>
  <c r="J81" i="24"/>
  <c r="J85" i="24"/>
  <c r="V101" i="24"/>
  <c r="J107" i="24"/>
  <c r="V113" i="24"/>
  <c r="J117" i="24"/>
  <c r="V121" i="24"/>
  <c r="J125" i="24"/>
  <c r="V129" i="24"/>
  <c r="V131" i="24"/>
  <c r="V41" i="27"/>
  <c r="V49" i="27"/>
  <c r="J56" i="27"/>
  <c r="V62" i="27"/>
  <c r="J67" i="27"/>
  <c r="Z91" i="27"/>
  <c r="X91" i="27"/>
  <c r="J93" i="27"/>
  <c r="J95" i="27"/>
  <c r="Z96" i="27"/>
  <c r="X96" i="27"/>
  <c r="N100" i="27"/>
  <c r="V104" i="27"/>
  <c r="V43" i="21"/>
  <c r="V47" i="21"/>
  <c r="V51" i="21"/>
  <c r="J57" i="21"/>
  <c r="J65" i="21"/>
  <c r="V71" i="21"/>
  <c r="J77" i="21"/>
  <c r="J85" i="21"/>
  <c r="V87" i="21"/>
  <c r="J91" i="21"/>
  <c r="V99" i="21"/>
  <c r="V103" i="21"/>
  <c r="J109" i="21"/>
  <c r="J90" i="24"/>
  <c r="J94" i="24"/>
  <c r="J98" i="24"/>
  <c r="V102" i="24"/>
  <c r="J106" i="24"/>
  <c r="V110" i="24"/>
  <c r="V46" i="27"/>
  <c r="H124" i="27"/>
  <c r="V71" i="27"/>
  <c r="N86" i="27"/>
  <c r="V91" i="27"/>
  <c r="V96" i="27"/>
  <c r="V60" i="21"/>
  <c r="J64" i="21"/>
  <c r="V68" i="21"/>
  <c r="J76" i="21"/>
  <c r="V80" i="21"/>
  <c r="J84" i="21"/>
  <c r="V88" i="21"/>
  <c r="V92" i="21"/>
  <c r="J108" i="21"/>
  <c r="V112" i="21"/>
  <c r="V114" i="21"/>
  <c r="L13" i="24"/>
  <c r="N13" i="24" s="1"/>
  <c r="J51" i="24"/>
  <c r="J55" i="24"/>
  <c r="J59" i="24"/>
  <c r="J63" i="24"/>
  <c r="J67" i="24"/>
  <c r="J71" i="24"/>
  <c r="H76" i="24"/>
  <c r="J89" i="24"/>
  <c r="V91" i="24"/>
  <c r="V95" i="24"/>
  <c r="V99" i="24"/>
  <c r="V111" i="24"/>
  <c r="V119" i="24"/>
  <c r="V127" i="24"/>
  <c r="V43" i="27"/>
  <c r="V51" i="27"/>
  <c r="J59" i="27"/>
  <c r="Z61" i="27"/>
  <c r="V67" i="27"/>
  <c r="J83" i="27"/>
  <c r="X112" i="27"/>
  <c r="Z112" i="27" s="1"/>
  <c r="N90" i="36"/>
  <c r="L90" i="36"/>
  <c r="J90" i="36"/>
  <c r="V33" i="21"/>
  <c r="V37" i="21"/>
  <c r="V41" i="21"/>
  <c r="J45" i="21"/>
  <c r="J49" i="21"/>
  <c r="J55" i="21"/>
  <c r="J63" i="21"/>
  <c r="V69" i="21"/>
  <c r="J75" i="21"/>
  <c r="V81" i="21"/>
  <c r="J97" i="21"/>
  <c r="J101" i="21"/>
  <c r="J107" i="21"/>
  <c r="J50" i="24"/>
  <c r="V52" i="24"/>
  <c r="V56" i="24"/>
  <c r="V60" i="24"/>
  <c r="V64" i="24"/>
  <c r="V68" i="24"/>
  <c r="V72" i="24"/>
  <c r="J78" i="24"/>
  <c r="J80" i="24"/>
  <c r="J84" i="24"/>
  <c r="J88" i="24"/>
  <c r="V100" i="24"/>
  <c r="V108" i="24"/>
  <c r="J116" i="24"/>
  <c r="J124" i="24"/>
  <c r="V128" i="24"/>
  <c r="J113" i="27"/>
  <c r="J97" i="27"/>
  <c r="J81" i="27"/>
  <c r="J77" i="27"/>
  <c r="J126" i="27"/>
  <c r="J114" i="27"/>
  <c r="J98" i="27"/>
  <c r="J88" i="27"/>
  <c r="J72" i="27"/>
  <c r="J68" i="27"/>
  <c r="J64" i="27"/>
  <c r="J115" i="27"/>
  <c r="J107" i="27"/>
  <c r="J99" i="27"/>
  <c r="J89" i="27"/>
  <c r="J73" i="27"/>
  <c r="J55" i="27"/>
  <c r="J51" i="27"/>
  <c r="J47" i="27"/>
  <c r="J43" i="27"/>
  <c r="J100" i="27"/>
  <c r="J101" i="27"/>
  <c r="J91" i="27"/>
  <c r="J69" i="27"/>
  <c r="J65" i="27"/>
  <c r="J116" i="27"/>
  <c r="J108" i="27"/>
  <c r="J119" i="27"/>
  <c r="J118" i="27"/>
  <c r="J110" i="27"/>
  <c r="J102" i="27"/>
  <c r="J94" i="27"/>
  <c r="J84" i="27"/>
  <c r="J70" i="27"/>
  <c r="J66" i="27"/>
  <c r="J120" i="27"/>
  <c r="J103" i="27"/>
  <c r="J85" i="27"/>
  <c r="J57" i="27"/>
  <c r="J53" i="27"/>
  <c r="J49" i="27"/>
  <c r="J45" i="27"/>
  <c r="J121" i="27"/>
  <c r="J104" i="27"/>
  <c r="J86" i="27"/>
  <c r="J80" i="27"/>
  <c r="J76" i="27"/>
  <c r="X13" i="27"/>
  <c r="J42" i="27"/>
  <c r="X61" i="27"/>
  <c r="J63" i="27"/>
  <c r="V95" i="27"/>
  <c r="Z100" i="27"/>
  <c r="X100" i="27"/>
  <c r="P12" i="30"/>
  <c r="N92" i="30"/>
  <c r="Z115" i="30"/>
  <c r="F69" i="36"/>
  <c r="F88" i="36"/>
  <c r="F106" i="36"/>
  <c r="X196" i="18"/>
  <c r="X212" i="18"/>
  <c r="Z212" i="18" s="1"/>
  <c r="L222" i="18"/>
  <c r="N222" i="18" s="1"/>
  <c r="X236" i="18"/>
  <c r="Z236" i="18" s="1"/>
  <c r="L242" i="18"/>
  <c r="X256" i="18"/>
  <c r="Z256" i="18" s="1"/>
  <c r="L270" i="18"/>
  <c r="N270" i="18" s="1"/>
  <c r="T29" i="21"/>
  <c r="V42" i="21"/>
  <c r="V46" i="21"/>
  <c r="V50" i="21"/>
  <c r="J54" i="21"/>
  <c r="V58" i="21"/>
  <c r="J62" i="21"/>
  <c r="V66" i="21"/>
  <c r="J74" i="21"/>
  <c r="V78" i="21"/>
  <c r="V86" i="21"/>
  <c r="J90" i="21"/>
  <c r="J96" i="21"/>
  <c r="V98" i="21"/>
  <c r="V102" i="21"/>
  <c r="J106" i="21"/>
  <c r="V110" i="21"/>
  <c r="J79" i="24"/>
  <c r="V81" i="24"/>
  <c r="V85" i="24"/>
  <c r="J93" i="24"/>
  <c r="J97" i="24"/>
  <c r="J105" i="24"/>
  <c r="V109" i="24"/>
  <c r="J115" i="24"/>
  <c r="V117" i="24"/>
  <c r="J123" i="24"/>
  <c r="V125" i="24"/>
  <c r="J135" i="24"/>
  <c r="V90" i="27"/>
  <c r="J92" i="27"/>
  <c r="J111" i="27"/>
  <c r="V150" i="30"/>
  <c r="V152" i="30"/>
  <c r="V140" i="30"/>
  <c r="V124" i="30"/>
  <c r="V116" i="30"/>
  <c r="V96" i="30"/>
  <c r="V143" i="30"/>
  <c r="V135" i="30"/>
  <c r="V131" i="30"/>
  <c r="V123" i="30"/>
  <c r="V107" i="30"/>
  <c r="V119" i="30"/>
  <c r="V111" i="30"/>
  <c r="V99" i="30"/>
  <c r="V91" i="30"/>
  <c r="V146" i="30"/>
  <c r="V138" i="30"/>
  <c r="V126" i="30"/>
  <c r="V110" i="30"/>
  <c r="V102" i="30"/>
  <c r="V130" i="30"/>
  <c r="V121" i="30"/>
  <c r="V103" i="30"/>
  <c r="V68" i="30"/>
  <c r="V66" i="30"/>
  <c r="V64" i="30"/>
  <c r="V60" i="30"/>
  <c r="V56" i="30"/>
  <c r="V52" i="30"/>
  <c r="V48" i="30"/>
  <c r="V44" i="30"/>
  <c r="V151" i="30"/>
  <c r="V141" i="30"/>
  <c r="V133" i="30"/>
  <c r="V118" i="30"/>
  <c r="V114" i="30"/>
  <c r="V104" i="30"/>
  <c r="V100" i="30"/>
  <c r="V87" i="30"/>
  <c r="V83" i="30"/>
  <c r="V79" i="30"/>
  <c r="T66" i="30"/>
  <c r="V144" i="30"/>
  <c r="V127" i="30"/>
  <c r="V115" i="30"/>
  <c r="V97" i="30"/>
  <c r="V93" i="30"/>
  <c r="V78" i="30"/>
  <c r="V74" i="30"/>
  <c r="V70" i="30"/>
  <c r="V147" i="30"/>
  <c r="V128" i="30"/>
  <c r="V61" i="30"/>
  <c r="V57" i="30"/>
  <c r="V53" i="30"/>
  <c r="V49" i="30"/>
  <c r="V45" i="30"/>
  <c r="V88" i="30"/>
  <c r="V84" i="30"/>
  <c r="V80" i="30"/>
  <c r="V139" i="30"/>
  <c r="V136" i="30"/>
  <c r="V125" i="30"/>
  <c r="V122" i="30"/>
  <c r="V101" i="30"/>
  <c r="V75" i="30"/>
  <c r="V71" i="30"/>
  <c r="V156" i="30"/>
  <c r="V145" i="30"/>
  <c r="V142" i="30"/>
  <c r="V134" i="30"/>
  <c r="V112" i="30"/>
  <c r="V98" i="30"/>
  <c r="V94" i="30"/>
  <c r="V90" i="30"/>
  <c r="V62" i="30"/>
  <c r="V58" i="30"/>
  <c r="V54" i="30"/>
  <c r="V50" i="30"/>
  <c r="V46" i="30"/>
  <c r="V42" i="30"/>
  <c r="V149" i="30"/>
  <c r="V109" i="30"/>
  <c r="V108" i="30"/>
  <c r="V105" i="30"/>
  <c r="V95" i="30"/>
  <c r="V89" i="30"/>
  <c r="V85" i="30"/>
  <c r="V81" i="30"/>
  <c r="V129" i="30"/>
  <c r="V120" i="30"/>
  <c r="V113" i="30"/>
  <c r="V76" i="30"/>
  <c r="V72" i="30"/>
  <c r="V137" i="30"/>
  <c r="V132" i="30"/>
  <c r="V117" i="30"/>
  <c r="V63" i="30"/>
  <c r="V59" i="30"/>
  <c r="V55" i="30"/>
  <c r="V51" i="30"/>
  <c r="V47" i="30"/>
  <c r="V43" i="30"/>
  <c r="V86" i="30"/>
  <c r="P279" i="18"/>
  <c r="X279" i="18" s="1"/>
  <c r="Z279" i="18" s="1"/>
  <c r="V27" i="21"/>
  <c r="V29" i="21"/>
  <c r="V31" i="21"/>
  <c r="V59" i="21"/>
  <c r="V67" i="21"/>
  <c r="J73" i="21"/>
  <c r="V79" i="21"/>
  <c r="J83" i="21"/>
  <c r="V91" i="21"/>
  <c r="J95" i="21"/>
  <c r="J105" i="21"/>
  <c r="V111" i="21"/>
  <c r="J54" i="24"/>
  <c r="J58" i="24"/>
  <c r="J62" i="24"/>
  <c r="J66" i="24"/>
  <c r="J70" i="24"/>
  <c r="J74" i="24"/>
  <c r="J104" i="24"/>
  <c r="V106" i="24"/>
  <c r="J114" i="24"/>
  <c r="V118" i="24"/>
  <c r="J122" i="24"/>
  <c r="V126" i="24"/>
  <c r="V53" i="27"/>
  <c r="T59" i="27"/>
  <c r="V63" i="27"/>
  <c r="V86" i="27"/>
  <c r="L105" i="27"/>
  <c r="N105" i="27" s="1"/>
  <c r="V32" i="21"/>
  <c r="V36" i="21"/>
  <c r="V40" i="21"/>
  <c r="J44" i="21"/>
  <c r="J48" i="21"/>
  <c r="J52" i="21"/>
  <c r="V56" i="21"/>
  <c r="V64" i="21"/>
  <c r="J72" i="21"/>
  <c r="V76" i="21"/>
  <c r="V84" i="21"/>
  <c r="J94" i="21"/>
  <c r="J100" i="21"/>
  <c r="J104" i="21"/>
  <c r="V108" i="21"/>
  <c r="J118" i="21"/>
  <c r="V59" i="24"/>
  <c r="V63" i="24"/>
  <c r="V67" i="24"/>
  <c r="V71" i="24"/>
  <c r="J83" i="24"/>
  <c r="J87" i="24"/>
  <c r="J103" i="24"/>
  <c r="V107" i="24"/>
  <c r="J113" i="24"/>
  <c r="J121" i="24"/>
  <c r="J131" i="24"/>
  <c r="N41" i="27"/>
  <c r="V42" i="27"/>
  <c r="V45" i="27"/>
  <c r="J78" i="27"/>
  <c r="J105" i="27"/>
  <c r="V107" i="27"/>
  <c r="D12" i="30"/>
  <c r="L13" i="30"/>
  <c r="N13" i="30" s="1"/>
  <c r="V82" i="30"/>
  <c r="V92" i="30"/>
  <c r="J123" i="36"/>
  <c r="L229" i="18"/>
  <c r="N229" i="18" s="1"/>
  <c r="J25" i="21"/>
  <c r="X32" i="21"/>
  <c r="Z32" i="21" s="1"/>
  <c r="V45" i="21"/>
  <c r="V49" i="21"/>
  <c r="V57" i="21"/>
  <c r="J61" i="21"/>
  <c r="V65" i="21"/>
  <c r="J71" i="21"/>
  <c r="V77" i="21"/>
  <c r="V85" i="21"/>
  <c r="J89" i="21"/>
  <c r="J93" i="21"/>
  <c r="L94" i="21"/>
  <c r="N94" i="21" s="1"/>
  <c r="V97" i="21"/>
  <c r="V101" i="21"/>
  <c r="V109" i="21"/>
  <c r="V80" i="24"/>
  <c r="V84" i="24"/>
  <c r="V88" i="24"/>
  <c r="J92" i="24"/>
  <c r="J96" i="24"/>
  <c r="J102" i="24"/>
  <c r="X107" i="24"/>
  <c r="Z107" i="24" s="1"/>
  <c r="J112" i="24"/>
  <c r="L113" i="24"/>
  <c r="N113" i="24" s="1"/>
  <c r="V116" i="24"/>
  <c r="J120" i="24"/>
  <c r="L121" i="24"/>
  <c r="V124" i="24"/>
  <c r="L131" i="24"/>
  <c r="V109" i="27"/>
  <c r="V101" i="27"/>
  <c r="V93" i="27"/>
  <c r="V69" i="27"/>
  <c r="V65" i="27"/>
  <c r="V118" i="27"/>
  <c r="V116" i="27"/>
  <c r="V108" i="27"/>
  <c r="V92" i="27"/>
  <c r="V84" i="27"/>
  <c r="V56" i="27"/>
  <c r="V52" i="27"/>
  <c r="V48" i="27"/>
  <c r="V119" i="27"/>
  <c r="V103" i="27"/>
  <c r="V83" i="27"/>
  <c r="V79" i="27"/>
  <c r="V75" i="27"/>
  <c r="V120" i="27"/>
  <c r="V110" i="27"/>
  <c r="V102" i="27"/>
  <c r="V94" i="27"/>
  <c r="V121" i="27"/>
  <c r="V105" i="27"/>
  <c r="V85" i="27"/>
  <c r="V61" i="27"/>
  <c r="V122" i="27"/>
  <c r="V112" i="27"/>
  <c r="V114" i="27"/>
  <c r="V106" i="27"/>
  <c r="V98" i="27"/>
  <c r="V54" i="27"/>
  <c r="V50" i="27"/>
  <c r="V113" i="27"/>
  <c r="V97" i="27"/>
  <c r="V89" i="27"/>
  <c r="V81" i="27"/>
  <c r="V77" i="27"/>
  <c r="V73" i="27"/>
  <c r="V126" i="27"/>
  <c r="V100" i="27"/>
  <c r="V88" i="27"/>
  <c r="V72" i="27"/>
  <c r="V68" i="27"/>
  <c r="V64" i="27"/>
  <c r="V55" i="27"/>
  <c r="N62" i="27"/>
  <c r="V70" i="27"/>
  <c r="V74" i="27"/>
  <c r="V99" i="27"/>
  <c r="V115" i="27"/>
  <c r="V73" i="30"/>
  <c r="X40" i="33"/>
  <c r="Z40" i="33" s="1"/>
  <c r="V26" i="21"/>
  <c r="J34" i="21"/>
  <c r="J38" i="21"/>
  <c r="V54" i="21"/>
  <c r="V62" i="21"/>
  <c r="J70" i="21"/>
  <c r="V74" i="21"/>
  <c r="J82" i="21"/>
  <c r="J88" i="21"/>
  <c r="V90" i="21"/>
  <c r="V106" i="21"/>
  <c r="J114" i="21"/>
  <c r="J116" i="21"/>
  <c r="J53" i="24"/>
  <c r="J57" i="24"/>
  <c r="J61" i="24"/>
  <c r="J65" i="24"/>
  <c r="J69" i="24"/>
  <c r="J73" i="24"/>
  <c r="T76" i="24"/>
  <c r="V89" i="24"/>
  <c r="V93" i="24"/>
  <c r="V97" i="24"/>
  <c r="J101" i="24"/>
  <c r="V105" i="24"/>
  <c r="J111" i="24"/>
  <c r="J129" i="24"/>
  <c r="V135" i="24"/>
  <c r="J62" i="27"/>
  <c r="V66" i="27"/>
  <c r="V78" i="27"/>
  <c r="J87" i="27"/>
  <c r="N89" i="27"/>
  <c r="N124" i="30"/>
  <c r="V40" i="33"/>
  <c r="F134" i="36"/>
  <c r="F91" i="36"/>
  <c r="F90" i="36"/>
  <c r="F79" i="36"/>
  <c r="F55" i="36"/>
  <c r="F51" i="36"/>
  <c r="F47" i="36"/>
  <c r="F102" i="36"/>
  <c r="F70" i="36"/>
  <c r="F42" i="36"/>
  <c r="F38" i="36"/>
  <c r="F125" i="36"/>
  <c r="F117" i="36"/>
  <c r="F113" i="36"/>
  <c r="F109" i="36"/>
  <c r="F97" i="36"/>
  <c r="F81" i="36"/>
  <c r="F80" i="36"/>
  <c r="F65" i="36"/>
  <c r="F57" i="36"/>
  <c r="F56" i="36"/>
  <c r="F29" i="36"/>
  <c r="F138" i="36"/>
  <c r="F92" i="36"/>
  <c r="F72" i="36"/>
  <c r="F71" i="36"/>
  <c r="F52" i="36"/>
  <c r="F48" i="36"/>
  <c r="L12" i="36"/>
  <c r="N12" i="36" s="1"/>
  <c r="F119" i="36"/>
  <c r="F118" i="36"/>
  <c r="F103" i="36"/>
  <c r="F83" i="36"/>
  <c r="F82" i="36"/>
  <c r="F59" i="36"/>
  <c r="F58" i="36"/>
  <c r="F43" i="36"/>
  <c r="F39" i="36"/>
  <c r="F35" i="36"/>
  <c r="F34" i="36"/>
  <c r="F126" i="36"/>
  <c r="F114" i="36"/>
  <c r="F110" i="36"/>
  <c r="F98" i="36"/>
  <c r="F74" i="36"/>
  <c r="F73" i="36"/>
  <c r="F66" i="36"/>
  <c r="F33" i="36"/>
  <c r="F93" i="36"/>
  <c r="F85" i="36"/>
  <c r="F84" i="36"/>
  <c r="F53" i="36"/>
  <c r="F49" i="36"/>
  <c r="D31" i="36"/>
  <c r="F31" i="36" s="1"/>
  <c r="F128" i="36"/>
  <c r="F127" i="36"/>
  <c r="F120" i="36"/>
  <c r="F104" i="36"/>
  <c r="F100" i="36"/>
  <c r="F99" i="36"/>
  <c r="F76" i="36"/>
  <c r="F75" i="36"/>
  <c r="F60" i="36"/>
  <c r="F44" i="36"/>
  <c r="F40" i="36"/>
  <c r="F36" i="36"/>
  <c r="F115" i="36"/>
  <c r="F111" i="36"/>
  <c r="F87" i="36"/>
  <c r="F86" i="36"/>
  <c r="F67" i="36"/>
  <c r="F27" i="36"/>
  <c r="F26" i="36"/>
  <c r="F130" i="36"/>
  <c r="F121" i="36"/>
  <c r="F112" i="36"/>
  <c r="F78" i="36"/>
  <c r="F64" i="36"/>
  <c r="F62" i="36"/>
  <c r="F54" i="36"/>
  <c r="F37" i="36"/>
  <c r="F132" i="36"/>
  <c r="F68" i="36"/>
  <c r="F45" i="36"/>
  <c r="F41" i="36"/>
  <c r="F116" i="36"/>
  <c r="F107" i="36"/>
  <c r="F95" i="36"/>
  <c r="F124" i="36"/>
  <c r="F101" i="36"/>
  <c r="F89" i="36"/>
  <c r="F28" i="36"/>
  <c r="F122" i="36"/>
  <c r="F105" i="36"/>
  <c r="F131" i="36"/>
  <c r="F63" i="36"/>
  <c r="F77" i="36"/>
  <c r="F61" i="36"/>
  <c r="F46" i="36"/>
  <c r="V35" i="21"/>
  <c r="V39" i="21"/>
  <c r="J43" i="21"/>
  <c r="J47" i="21"/>
  <c r="J51" i="21"/>
  <c r="V55" i="21"/>
  <c r="V63" i="21"/>
  <c r="J69" i="21"/>
  <c r="V75" i="21"/>
  <c r="J81" i="21"/>
  <c r="V83" i="21"/>
  <c r="J87" i="21"/>
  <c r="V95" i="21"/>
  <c r="J99" i="21"/>
  <c r="V50" i="24"/>
  <c r="V54" i="24"/>
  <c r="V58" i="24"/>
  <c r="V62" i="24"/>
  <c r="V66" i="24"/>
  <c r="V70" i="24"/>
  <c r="V74" i="24"/>
  <c r="V76" i="24"/>
  <c r="V78" i="24"/>
  <c r="J82" i="24"/>
  <c r="J86" i="24"/>
  <c r="J100" i="24"/>
  <c r="J110" i="24"/>
  <c r="V114" i="24"/>
  <c r="V47" i="27"/>
  <c r="J54" i="27"/>
  <c r="N61" i="27"/>
  <c r="L73" i="27"/>
  <c r="V76" i="27"/>
  <c r="N91" i="27"/>
  <c r="J96" i="27"/>
  <c r="Z105" i="27"/>
  <c r="X105" i="27"/>
  <c r="L16" i="36"/>
  <c r="F94" i="36"/>
  <c r="F96" i="36"/>
  <c r="J71" i="30"/>
  <c r="J75" i="30"/>
  <c r="J94" i="30"/>
  <c r="J101" i="30"/>
  <c r="J105" i="30"/>
  <c r="J108" i="30"/>
  <c r="Z113" i="30"/>
  <c r="J119" i="30"/>
  <c r="J134" i="30"/>
  <c r="J102" i="33"/>
  <c r="J85" i="33"/>
  <c r="J77" i="33"/>
  <c r="J67" i="33"/>
  <c r="J49" i="33"/>
  <c r="J45" i="33"/>
  <c r="J41" i="33"/>
  <c r="J39" i="33"/>
  <c r="J37" i="33"/>
  <c r="J78" i="33"/>
  <c r="J68" i="33"/>
  <c r="J50" i="33"/>
  <c r="H37" i="33"/>
  <c r="J32" i="33"/>
  <c r="J91" i="33"/>
  <c r="J79" i="33"/>
  <c r="J69" i="33"/>
  <c r="J59" i="33"/>
  <c r="J55" i="33"/>
  <c r="J51" i="33"/>
  <c r="J106" i="33"/>
  <c r="J92" i="33"/>
  <c r="J86" i="33"/>
  <c r="J80" i="33"/>
  <c r="J70" i="33"/>
  <c r="J46" i="33"/>
  <c r="J42" i="33"/>
  <c r="J93" i="33"/>
  <c r="J81" i="33"/>
  <c r="J71" i="33"/>
  <c r="J33" i="33"/>
  <c r="J96" i="33"/>
  <c r="J95" i="33"/>
  <c r="J87" i="33"/>
  <c r="J61" i="33"/>
  <c r="J47" i="33"/>
  <c r="J97" i="33"/>
  <c r="J82" i="33"/>
  <c r="J62" i="33"/>
  <c r="J34" i="33"/>
  <c r="J98" i="33"/>
  <c r="J83" i="33"/>
  <c r="J73" i="33"/>
  <c r="J63" i="33"/>
  <c r="J57" i="33"/>
  <c r="J53" i="33"/>
  <c r="J60" i="33"/>
  <c r="Z80" i="33"/>
  <c r="N88" i="36"/>
  <c r="P12" i="39"/>
  <c r="N65" i="39"/>
  <c r="Z82" i="39"/>
  <c r="L87" i="39"/>
  <c r="N87" i="39" s="1"/>
  <c r="V105" i="39"/>
  <c r="V116" i="39"/>
  <c r="J80" i="30"/>
  <c r="J84" i="30"/>
  <c r="J88" i="30"/>
  <c r="Z109" i="30"/>
  <c r="N115" i="30"/>
  <c r="J122" i="30"/>
  <c r="J125" i="30"/>
  <c r="L128" i="30"/>
  <c r="N128" i="30" s="1"/>
  <c r="J156" i="30"/>
  <c r="L74" i="33"/>
  <c r="N74" i="33" s="1"/>
  <c r="Z33" i="36"/>
  <c r="Z58" i="36"/>
  <c r="L63" i="36"/>
  <c r="Z82" i="36"/>
  <c r="J45" i="30"/>
  <c r="J49" i="30"/>
  <c r="J53" i="30"/>
  <c r="J57" i="30"/>
  <c r="J61" i="30"/>
  <c r="H66" i="30"/>
  <c r="J79" i="30"/>
  <c r="L107" i="30"/>
  <c r="J115" i="30"/>
  <c r="L124" i="30"/>
  <c r="J128" i="30"/>
  <c r="N131" i="30"/>
  <c r="J136" i="30"/>
  <c r="L65" i="33"/>
  <c r="N65" i="33" s="1"/>
  <c r="L83" i="33"/>
  <c r="D95" i="33"/>
  <c r="L95" i="33" s="1"/>
  <c r="N95" i="33" s="1"/>
  <c r="V33" i="36"/>
  <c r="X73" i="36"/>
  <c r="X84" i="36"/>
  <c r="X65" i="39"/>
  <c r="Z65" i="39" s="1"/>
  <c r="N85" i="39"/>
  <c r="N93" i="39"/>
  <c r="V132" i="39"/>
  <c r="L104" i="30"/>
  <c r="N104" i="30" s="1"/>
  <c r="J131" i="30"/>
  <c r="N63" i="36"/>
  <c r="J69" i="30"/>
  <c r="J83" i="30"/>
  <c r="J87" i="30"/>
  <c r="J104" i="30"/>
  <c r="N107" i="30"/>
  <c r="J114" i="30"/>
  <c r="J133" i="30"/>
  <c r="J144" i="30"/>
  <c r="J151" i="30"/>
  <c r="Z65" i="33"/>
  <c r="V65" i="33"/>
  <c r="J74" i="33"/>
  <c r="N83" i="33"/>
  <c r="J63" i="36"/>
  <c r="Z73" i="36"/>
  <c r="H146" i="39"/>
  <c r="V48" i="39"/>
  <c r="V57" i="39"/>
  <c r="X93" i="39"/>
  <c r="Z93" i="39" s="1"/>
  <c r="D136" i="39"/>
  <c r="L136" i="39" s="1"/>
  <c r="N136" i="39" s="1"/>
  <c r="P118" i="27"/>
  <c r="X118" i="27" s="1"/>
  <c r="Z118" i="27" s="1"/>
  <c r="J44" i="30"/>
  <c r="J48" i="30"/>
  <c r="J52" i="30"/>
  <c r="J56" i="30"/>
  <c r="J60" i="30"/>
  <c r="J64" i="30"/>
  <c r="J92" i="30"/>
  <c r="J107" i="30"/>
  <c r="J121" i="30"/>
  <c r="Z128" i="30"/>
  <c r="N71" i="33"/>
  <c r="J76" i="33"/>
  <c r="N89" i="33"/>
  <c r="L68" i="36"/>
  <c r="N68" i="36" s="1"/>
  <c r="V73" i="36"/>
  <c r="V127" i="39"/>
  <c r="V111" i="39"/>
  <c r="V99" i="39"/>
  <c r="V95" i="39"/>
  <c r="V83" i="39"/>
  <c r="V71" i="39"/>
  <c r="V67" i="39"/>
  <c r="V31" i="39"/>
  <c r="V136" i="39"/>
  <c r="V134" i="39"/>
  <c r="V126" i="39"/>
  <c r="V110" i="39"/>
  <c r="V106" i="39"/>
  <c r="V94" i="39"/>
  <c r="V74" i="39"/>
  <c r="V66" i="39"/>
  <c r="V58" i="39"/>
  <c r="V54" i="39"/>
  <c r="V50" i="39"/>
  <c r="V137" i="39"/>
  <c r="V129" i="39"/>
  <c r="V121" i="39"/>
  <c r="V117" i="39"/>
  <c r="V113" i="39"/>
  <c r="V101" i="39"/>
  <c r="V85" i="39"/>
  <c r="V73" i="39"/>
  <c r="V49" i="39"/>
  <c r="V45" i="39"/>
  <c r="V41" i="39"/>
  <c r="V138" i="39"/>
  <c r="V128" i="39"/>
  <c r="V112" i="39"/>
  <c r="V96" i="39"/>
  <c r="V84" i="39"/>
  <c r="V76" i="39"/>
  <c r="V68" i="39"/>
  <c r="V32" i="39"/>
  <c r="V139" i="39"/>
  <c r="V107" i="39"/>
  <c r="V87" i="39"/>
  <c r="V75" i="39"/>
  <c r="V59" i="39"/>
  <c r="V55" i="39"/>
  <c r="V51" i="39"/>
  <c r="V140" i="39"/>
  <c r="V130" i="39"/>
  <c r="V122" i="39"/>
  <c r="V118" i="39"/>
  <c r="V114" i="39"/>
  <c r="V102" i="39"/>
  <c r="V86" i="39"/>
  <c r="V78" i="39"/>
  <c r="V46" i="39"/>
  <c r="V42" i="39"/>
  <c r="V97" i="39"/>
  <c r="V89" i="39"/>
  <c r="V77" i="39"/>
  <c r="V69" i="39"/>
  <c r="V61" i="39"/>
  <c r="V33" i="39"/>
  <c r="V124" i="39"/>
  <c r="V108" i="39"/>
  <c r="V104" i="39"/>
  <c r="V88" i="39"/>
  <c r="V80" i="39"/>
  <c r="V60" i="39"/>
  <c r="V56" i="39"/>
  <c r="V52" i="39"/>
  <c r="V131" i="39"/>
  <c r="V123" i="39"/>
  <c r="V119" i="39"/>
  <c r="V115" i="39"/>
  <c r="V103" i="39"/>
  <c r="V91" i="39"/>
  <c r="V79" i="39"/>
  <c r="V63" i="39"/>
  <c r="V47" i="39"/>
  <c r="V43" i="39"/>
  <c r="V39" i="39"/>
  <c r="V144" i="39"/>
  <c r="V98" i="39"/>
  <c r="V90" i="39"/>
  <c r="V82" i="39"/>
  <c r="V70" i="39"/>
  <c r="V62" i="39"/>
  <c r="V38" i="39"/>
  <c r="V36" i="39"/>
  <c r="V34" i="39"/>
  <c r="Z39" i="39"/>
  <c r="V44" i="39"/>
  <c r="V93" i="39"/>
  <c r="J73" i="30"/>
  <c r="J77" i="30"/>
  <c r="J96" i="30"/>
  <c r="J66" i="33"/>
  <c r="J89" i="33"/>
  <c r="P95" i="33"/>
  <c r="X95" i="33" s="1"/>
  <c r="Z95" i="33" s="1"/>
  <c r="J99" i="33"/>
  <c r="N95" i="36"/>
  <c r="N107" i="36"/>
  <c r="T36" i="39"/>
  <c r="V53" i="39"/>
  <c r="J142" i="39"/>
  <c r="N33" i="42"/>
  <c r="N77" i="42"/>
  <c r="L77" i="42"/>
  <c r="J77" i="42"/>
  <c r="J146" i="30"/>
  <c r="J138" i="30"/>
  <c r="J112" i="30"/>
  <c r="J102" i="30"/>
  <c r="J147" i="30"/>
  <c r="J139" i="30"/>
  <c r="J127" i="30"/>
  <c r="J113" i="30"/>
  <c r="J103" i="30"/>
  <c r="J152" i="30"/>
  <c r="J141" i="30"/>
  <c r="J135" i="30"/>
  <c r="J123" i="30"/>
  <c r="J117" i="30"/>
  <c r="J97" i="30"/>
  <c r="J142" i="30"/>
  <c r="J130" i="30"/>
  <c r="J124" i="30"/>
  <c r="J118" i="30"/>
  <c r="J106" i="30"/>
  <c r="J98" i="30"/>
  <c r="J82" i="30"/>
  <c r="J86" i="30"/>
  <c r="J99" i="30"/>
  <c r="Z104" i="30"/>
  <c r="P149" i="30"/>
  <c r="X149" i="30" s="1"/>
  <c r="Z149" i="30" s="1"/>
  <c r="L15" i="33"/>
  <c r="D12" i="33"/>
  <c r="Z71" i="33"/>
  <c r="T136" i="36"/>
  <c r="D130" i="36"/>
  <c r="L130" i="36" s="1"/>
  <c r="V120" i="39"/>
  <c r="J43" i="30"/>
  <c r="J47" i="30"/>
  <c r="J51" i="30"/>
  <c r="J55" i="30"/>
  <c r="J59" i="30"/>
  <c r="J63" i="30"/>
  <c r="J91" i="30"/>
  <c r="N95" i="30"/>
  <c r="X115" i="30"/>
  <c r="J120" i="30"/>
  <c r="J126" i="30"/>
  <c r="J137" i="30"/>
  <c r="X138" i="30"/>
  <c r="Z138" i="30" s="1"/>
  <c r="J140" i="30"/>
  <c r="N143" i="30"/>
  <c r="J150" i="30"/>
  <c r="J35" i="33"/>
  <c r="J54" i="33"/>
  <c r="L63" i="33"/>
  <c r="Z69" i="33"/>
  <c r="V71" i="33"/>
  <c r="X89" i="33"/>
  <c r="J101" i="33"/>
  <c r="P12" i="36"/>
  <c r="V31" i="36"/>
  <c r="Z34" i="36"/>
  <c r="Z118" i="36"/>
  <c r="N38" i="39"/>
  <c r="V64" i="39"/>
  <c r="N76" i="39"/>
  <c r="J76" i="39"/>
  <c r="N113" i="39"/>
  <c r="L82" i="45"/>
  <c r="N82" i="45" s="1"/>
  <c r="J82" i="45"/>
  <c r="J42" i="30"/>
  <c r="J72" i="30"/>
  <c r="J76" i="30"/>
  <c r="J90" i="30"/>
  <c r="J95" i="30"/>
  <c r="J109" i="30"/>
  <c r="J143" i="30"/>
  <c r="N149" i="30"/>
  <c r="P12" i="33"/>
  <c r="J56" i="33"/>
  <c r="X71" i="33"/>
  <c r="Z76" i="33"/>
  <c r="J84" i="33"/>
  <c r="Z89" i="33"/>
  <c r="L123" i="36"/>
  <c r="N123" i="36" s="1"/>
  <c r="N130" i="36"/>
  <c r="X38" i="39"/>
  <c r="Z38" i="39" s="1"/>
  <c r="V40" i="39"/>
  <c r="V72" i="39"/>
  <c r="V92" i="39"/>
  <c r="X133" i="39"/>
  <c r="Z133" i="39" s="1"/>
  <c r="D12" i="42"/>
  <c r="Z72" i="42"/>
  <c r="L92" i="42"/>
  <c r="N92" i="42" s="1"/>
  <c r="V41" i="33"/>
  <c r="V45" i="33"/>
  <c r="V49" i="33"/>
  <c r="V69" i="33"/>
  <c r="V77" i="33"/>
  <c r="V85" i="33"/>
  <c r="V34" i="36"/>
  <c r="V38" i="36"/>
  <c r="V42" i="36"/>
  <c r="J46" i="36"/>
  <c r="J50" i="36"/>
  <c r="J54" i="36"/>
  <c r="V58" i="36"/>
  <c r="J62" i="36"/>
  <c r="J68" i="36"/>
  <c r="V70" i="36"/>
  <c r="J78" i="36"/>
  <c r="V82" i="36"/>
  <c r="J88" i="36"/>
  <c r="J94" i="36"/>
  <c r="V102" i="36"/>
  <c r="J106" i="36"/>
  <c r="V118" i="36"/>
  <c r="J122" i="36"/>
  <c r="J130" i="36"/>
  <c r="J131" i="36"/>
  <c r="J51" i="39"/>
  <c r="J55" i="39"/>
  <c r="J59" i="39"/>
  <c r="J75" i="39"/>
  <c r="J85" i="39"/>
  <c r="J107" i="39"/>
  <c r="J113" i="39"/>
  <c r="J129" i="39"/>
  <c r="J138" i="39"/>
  <c r="H30" i="42"/>
  <c r="J43" i="42"/>
  <c r="J67" i="42"/>
  <c r="N81" i="42"/>
  <c r="J92" i="42"/>
  <c r="V99" i="42"/>
  <c r="T37" i="33"/>
  <c r="V50" i="33"/>
  <c r="V54" i="33"/>
  <c r="V58" i="33"/>
  <c r="V66" i="33"/>
  <c r="V78" i="33"/>
  <c r="V90" i="33"/>
  <c r="V102" i="33"/>
  <c r="J27" i="36"/>
  <c r="J45" i="36"/>
  <c r="V47" i="36"/>
  <c r="V51" i="36"/>
  <c r="V55" i="36"/>
  <c r="J61" i="36"/>
  <c r="J67" i="36"/>
  <c r="V71" i="36"/>
  <c r="J77" i="36"/>
  <c r="V79" i="36"/>
  <c r="J87" i="36"/>
  <c r="V91" i="36"/>
  <c r="J105" i="36"/>
  <c r="J111" i="36"/>
  <c r="J115" i="36"/>
  <c r="J121" i="36"/>
  <c r="J32" i="39"/>
  <c r="J50" i="39"/>
  <c r="J68" i="39"/>
  <c r="J74" i="39"/>
  <c r="J84" i="39"/>
  <c r="J96" i="39"/>
  <c r="J112" i="39"/>
  <c r="J128" i="39"/>
  <c r="J136" i="39"/>
  <c r="J137" i="39"/>
  <c r="J30" i="42"/>
  <c r="V37" i="42"/>
  <c r="V39" i="42"/>
  <c r="J45" i="42"/>
  <c r="V73" i="42"/>
  <c r="Z75" i="42"/>
  <c r="Z77" i="42"/>
  <c r="V87" i="42"/>
  <c r="V126" i="42"/>
  <c r="J40" i="36"/>
  <c r="J44" i="36"/>
  <c r="V56" i="36"/>
  <c r="J60" i="36"/>
  <c r="V64" i="36"/>
  <c r="J76" i="36"/>
  <c r="V80" i="36"/>
  <c r="J86" i="36"/>
  <c r="V96" i="36"/>
  <c r="J100" i="36"/>
  <c r="J104" i="36"/>
  <c r="V108" i="36"/>
  <c r="V112" i="36"/>
  <c r="V116" i="36"/>
  <c r="J120" i="36"/>
  <c r="V124" i="36"/>
  <c r="J128" i="36"/>
  <c r="V134" i="36"/>
  <c r="V136" i="36"/>
  <c r="J101" i="39"/>
  <c r="J111" i="39"/>
  <c r="J117" i="39"/>
  <c r="J121" i="39"/>
  <c r="J127" i="39"/>
  <c r="P12" i="42"/>
  <c r="V33" i="42"/>
  <c r="V41" i="42"/>
  <c r="N61" i="42"/>
  <c r="L61" i="42"/>
  <c r="V71" i="42"/>
  <c r="X124" i="42"/>
  <c r="Z124" i="42" s="1"/>
  <c r="P123" i="42"/>
  <c r="X123" i="42" s="1"/>
  <c r="Z123" i="42" s="1"/>
  <c r="J127" i="36"/>
  <c r="V133" i="36"/>
  <c r="X55" i="42"/>
  <c r="Z55" i="42" s="1"/>
  <c r="V105" i="42"/>
  <c r="X76" i="33"/>
  <c r="V89" i="33"/>
  <c r="V99" i="33"/>
  <c r="X13" i="36"/>
  <c r="Z13" i="36" s="1"/>
  <c r="H31" i="36"/>
  <c r="V46" i="36"/>
  <c r="V50" i="36"/>
  <c r="V54" i="36"/>
  <c r="V62" i="36"/>
  <c r="J66" i="36"/>
  <c r="J74" i="36"/>
  <c r="L75" i="36"/>
  <c r="N75" i="36" s="1"/>
  <c r="V78" i="36"/>
  <c r="J84" i="36"/>
  <c r="V90" i="36"/>
  <c r="V94" i="36"/>
  <c r="J98" i="36"/>
  <c r="L99" i="36"/>
  <c r="N99" i="36" s="1"/>
  <c r="V106" i="36"/>
  <c r="J110" i="36"/>
  <c r="J114" i="36"/>
  <c r="V122" i="36"/>
  <c r="J126" i="36"/>
  <c r="L127" i="36"/>
  <c r="N127" i="36" s="1"/>
  <c r="V132" i="36"/>
  <c r="D12" i="39"/>
  <c r="J65" i="39"/>
  <c r="L72" i="39"/>
  <c r="X78" i="39"/>
  <c r="Z78" i="39" s="1"/>
  <c r="J83" i="39"/>
  <c r="J93" i="39"/>
  <c r="J99" i="39"/>
  <c r="L100" i="39"/>
  <c r="N100" i="39" s="1"/>
  <c r="J133" i="39"/>
  <c r="P136" i="39"/>
  <c r="X136" i="39" s="1"/>
  <c r="Z136" i="39" s="1"/>
  <c r="V26" i="42"/>
  <c r="V55" i="42"/>
  <c r="V57" i="42"/>
  <c r="X83" i="42"/>
  <c r="Z83" i="42" s="1"/>
  <c r="N100" i="42"/>
  <c r="V30" i="33"/>
  <c r="V34" i="33"/>
  <c r="V62" i="33"/>
  <c r="V74" i="33"/>
  <c r="V82" i="33"/>
  <c r="V98" i="33"/>
  <c r="V27" i="36"/>
  <c r="J31" i="36"/>
  <c r="J33" i="36"/>
  <c r="J35" i="36"/>
  <c r="J39" i="36"/>
  <c r="J43" i="36"/>
  <c r="J59" i="36"/>
  <c r="V63" i="36"/>
  <c r="V67" i="36"/>
  <c r="J73" i="36"/>
  <c r="J83" i="36"/>
  <c r="L84" i="36"/>
  <c r="V87" i="36"/>
  <c r="X90" i="36"/>
  <c r="Z90" i="36" s="1"/>
  <c r="V95" i="36"/>
  <c r="J103" i="36"/>
  <c r="V107" i="36"/>
  <c r="V111" i="36"/>
  <c r="V115" i="36"/>
  <c r="J119" i="36"/>
  <c r="V123" i="36"/>
  <c r="V131" i="36"/>
  <c r="X13" i="39"/>
  <c r="Z13" i="39" s="1"/>
  <c r="J36" i="39"/>
  <c r="J38" i="39"/>
  <c r="J40" i="39"/>
  <c r="J44" i="39"/>
  <c r="J48" i="39"/>
  <c r="J64" i="39"/>
  <c r="J82" i="39"/>
  <c r="J92" i="39"/>
  <c r="J116" i="39"/>
  <c r="J120" i="39"/>
  <c r="J132" i="39"/>
  <c r="J114" i="42"/>
  <c r="J108" i="42"/>
  <c r="J104" i="42"/>
  <c r="J98" i="42"/>
  <c r="J80" i="42"/>
  <c r="J70" i="42"/>
  <c r="J40" i="42"/>
  <c r="J36" i="42"/>
  <c r="J124" i="42"/>
  <c r="J123" i="42"/>
  <c r="J115" i="42"/>
  <c r="J99" i="42"/>
  <c r="J87" i="42"/>
  <c r="J81" i="42"/>
  <c r="J71" i="42"/>
  <c r="J63" i="42"/>
  <c r="J125" i="42"/>
  <c r="J116" i="42"/>
  <c r="J100" i="42"/>
  <c r="J94" i="42"/>
  <c r="J126" i="42"/>
  <c r="J117" i="42"/>
  <c r="J109" i="42"/>
  <c r="J105" i="42"/>
  <c r="J101" i="42"/>
  <c r="J89" i="42"/>
  <c r="J83" i="42"/>
  <c r="J73" i="42"/>
  <c r="J55" i="42"/>
  <c r="J41" i="42"/>
  <c r="J37" i="42"/>
  <c r="J127" i="42"/>
  <c r="J84" i="42"/>
  <c r="J64" i="42"/>
  <c r="J56" i="42"/>
  <c r="J95" i="42"/>
  <c r="J57" i="42"/>
  <c r="J51" i="42"/>
  <c r="J47" i="42"/>
  <c r="J118" i="42"/>
  <c r="J110" i="42"/>
  <c r="J106" i="42"/>
  <c r="J102" i="42"/>
  <c r="J90" i="42"/>
  <c r="J74" i="42"/>
  <c r="J58" i="42"/>
  <c r="J42" i="42"/>
  <c r="J38" i="42"/>
  <c r="J131" i="42"/>
  <c r="J111" i="42"/>
  <c r="J85" i="42"/>
  <c r="J75" i="42"/>
  <c r="J65" i="42"/>
  <c r="J59" i="42"/>
  <c r="J112" i="42"/>
  <c r="J96" i="42"/>
  <c r="J76" i="42"/>
  <c r="J66" i="42"/>
  <c r="J60" i="42"/>
  <c r="J52" i="42"/>
  <c r="J48" i="42"/>
  <c r="J79" i="42"/>
  <c r="J120" i="42"/>
  <c r="J97" i="42"/>
  <c r="J88" i="42"/>
  <c r="J103" i="42"/>
  <c r="J53" i="42"/>
  <c r="J33" i="42"/>
  <c r="J25" i="42"/>
  <c r="J121" i="42"/>
  <c r="J54" i="42"/>
  <c r="J39" i="42"/>
  <c r="J28" i="42"/>
  <c r="T30" i="42"/>
  <c r="J34" i="42"/>
  <c r="N44" i="42"/>
  <c r="J46" i="42"/>
  <c r="L68" i="42"/>
  <c r="N68" i="42" s="1"/>
  <c r="J78" i="42"/>
  <c r="J82" i="42"/>
  <c r="V83" i="42"/>
  <c r="J86" i="42"/>
  <c r="F68" i="45"/>
  <c r="V43" i="33"/>
  <c r="V47" i="33"/>
  <c r="V63" i="33"/>
  <c r="V83" i="33"/>
  <c r="V87" i="33"/>
  <c r="V97" i="33"/>
  <c r="J34" i="36"/>
  <c r="V36" i="36"/>
  <c r="V40" i="36"/>
  <c r="V44" i="36"/>
  <c r="J48" i="36"/>
  <c r="J52" i="36"/>
  <c r="J58" i="36"/>
  <c r="V60" i="36"/>
  <c r="V68" i="36"/>
  <c r="J72" i="36"/>
  <c r="V76" i="36"/>
  <c r="J82" i="36"/>
  <c r="V88" i="36"/>
  <c r="J92" i="36"/>
  <c r="V100" i="36"/>
  <c r="V104" i="36"/>
  <c r="J118" i="36"/>
  <c r="V120" i="36"/>
  <c r="V128" i="36"/>
  <c r="V130" i="36"/>
  <c r="J138" i="36"/>
  <c r="J39" i="39"/>
  <c r="J53" i="39"/>
  <c r="J57" i="39"/>
  <c r="J63" i="39"/>
  <c r="J81" i="39"/>
  <c r="J91" i="39"/>
  <c r="J105" i="39"/>
  <c r="J109" i="39"/>
  <c r="J125" i="39"/>
  <c r="V36" i="42"/>
  <c r="J44" i="42"/>
  <c r="J68" i="42"/>
  <c r="V74" i="42"/>
  <c r="X88" i="42"/>
  <c r="J91" i="42"/>
  <c r="J113" i="42"/>
  <c r="J22" i="54"/>
  <c r="J20" i="54"/>
  <c r="J18" i="54"/>
  <c r="J16" i="54"/>
  <c r="J14" i="54"/>
  <c r="J24" i="54"/>
  <c r="J26" i="54"/>
  <c r="H16" i="54"/>
  <c r="J28" i="54"/>
  <c r="J29" i="54"/>
  <c r="J31" i="54"/>
  <c r="L12" i="54"/>
  <c r="N12" i="54"/>
  <c r="V96" i="33"/>
  <c r="J29" i="36"/>
  <c r="V45" i="36"/>
  <c r="V49" i="36"/>
  <c r="V53" i="36"/>
  <c r="J57" i="36"/>
  <c r="V61" i="36"/>
  <c r="J65" i="36"/>
  <c r="J71" i="36"/>
  <c r="V77" i="36"/>
  <c r="J81" i="36"/>
  <c r="V85" i="36"/>
  <c r="V93" i="36"/>
  <c r="J97" i="36"/>
  <c r="V105" i="36"/>
  <c r="J109" i="36"/>
  <c r="J113" i="36"/>
  <c r="J117" i="36"/>
  <c r="V121" i="36"/>
  <c r="J125" i="36"/>
  <c r="J80" i="39"/>
  <c r="J90" i="39"/>
  <c r="J98" i="39"/>
  <c r="J104" i="39"/>
  <c r="J124" i="39"/>
  <c r="J144" i="39"/>
  <c r="V38" i="42"/>
  <c r="V40" i="42"/>
  <c r="V50" i="42"/>
  <c r="V52" i="42"/>
  <c r="J72" i="42"/>
  <c r="Z88" i="42"/>
  <c r="V81" i="33"/>
  <c r="V93" i="33"/>
  <c r="V26" i="36"/>
  <c r="J38" i="36"/>
  <c r="J42" i="36"/>
  <c r="J56" i="36"/>
  <c r="V66" i="36"/>
  <c r="J70" i="36"/>
  <c r="V74" i="36"/>
  <c r="J80" i="36"/>
  <c r="V86" i="36"/>
  <c r="V98" i="36"/>
  <c r="J102" i="36"/>
  <c r="V110" i="36"/>
  <c r="V114" i="36"/>
  <c r="J89" i="39"/>
  <c r="J103" i="39"/>
  <c r="J115" i="39"/>
  <c r="J119" i="39"/>
  <c r="J123" i="39"/>
  <c r="V84" i="42"/>
  <c r="V64" i="42"/>
  <c r="V56" i="42"/>
  <c r="V32" i="42"/>
  <c r="V28" i="42"/>
  <c r="V111" i="42"/>
  <c r="V95" i="42"/>
  <c r="V75" i="42"/>
  <c r="V59" i="42"/>
  <c r="V51" i="42"/>
  <c r="V47" i="42"/>
  <c r="V118" i="42"/>
  <c r="V110" i="42"/>
  <c r="V106" i="42"/>
  <c r="V102" i="42"/>
  <c r="V131" i="42"/>
  <c r="V85" i="42"/>
  <c r="V77" i="42"/>
  <c r="V65" i="42"/>
  <c r="V61" i="42"/>
  <c r="V120" i="42"/>
  <c r="V112" i="42"/>
  <c r="V96" i="42"/>
  <c r="V92" i="42"/>
  <c r="V76" i="42"/>
  <c r="V68" i="42"/>
  <c r="V60" i="42"/>
  <c r="V119" i="42"/>
  <c r="V107" i="42"/>
  <c r="V103" i="42"/>
  <c r="V91" i="42"/>
  <c r="V79" i="42"/>
  <c r="V67" i="42"/>
  <c r="V43" i="42"/>
  <c r="V114" i="42"/>
  <c r="V98" i="42"/>
  <c r="V86" i="42"/>
  <c r="V78" i="42"/>
  <c r="V70" i="42"/>
  <c r="V62" i="42"/>
  <c r="V123" i="42"/>
  <c r="V121" i="42"/>
  <c r="V113" i="42"/>
  <c r="V97" i="42"/>
  <c r="V93" i="42"/>
  <c r="V81" i="42"/>
  <c r="V69" i="42"/>
  <c r="V53" i="42"/>
  <c r="V49" i="42"/>
  <c r="V45" i="42"/>
  <c r="V124" i="42"/>
  <c r="V116" i="42"/>
  <c r="V108" i="42"/>
  <c r="V104" i="42"/>
  <c r="V100" i="42"/>
  <c r="V88" i="42"/>
  <c r="V80" i="42"/>
  <c r="V72" i="42"/>
  <c r="V125" i="42"/>
  <c r="V101" i="42"/>
  <c r="V90" i="42"/>
  <c r="V94" i="42"/>
  <c r="V63" i="42"/>
  <c r="V34" i="42"/>
  <c r="V27" i="42"/>
  <c r="V117" i="42"/>
  <c r="V115" i="42"/>
  <c r="V109" i="42"/>
  <c r="V89" i="42"/>
  <c r="V48" i="42"/>
  <c r="V46" i="42"/>
  <c r="V35" i="42"/>
  <c r="V25" i="42"/>
  <c r="V42" i="42"/>
  <c r="X72" i="42"/>
  <c r="V82" i="42"/>
  <c r="V127" i="42"/>
  <c r="P12" i="45"/>
  <c r="X13" i="45"/>
  <c r="Z19" i="48"/>
  <c r="N72" i="42"/>
  <c r="N83" i="42"/>
  <c r="Z20" i="45"/>
  <c r="F36" i="45"/>
  <c r="F49" i="45"/>
  <c r="N66" i="45"/>
  <c r="N68" i="45"/>
  <c r="Z77" i="45"/>
  <c r="L67" i="48"/>
  <c r="F45" i="45"/>
  <c r="N70" i="45"/>
  <c r="N67" i="48"/>
  <c r="N47" i="56"/>
  <c r="L47" i="56"/>
  <c r="Z52" i="45"/>
  <c r="Z60" i="45"/>
  <c r="X62" i="45"/>
  <c r="Z62" i="45" s="1"/>
  <c r="Z64" i="45"/>
  <c r="J70" i="45"/>
  <c r="J55" i="48"/>
  <c r="J43" i="48"/>
  <c r="J37" i="48"/>
  <c r="J33" i="48"/>
  <c r="J56" i="48"/>
  <c r="J44" i="48"/>
  <c r="J63" i="48"/>
  <c r="J57" i="48"/>
  <c r="J45" i="48"/>
  <c r="J64" i="48"/>
  <c r="J58" i="48"/>
  <c r="J46" i="48"/>
  <c r="J38" i="48"/>
  <c r="J34" i="48"/>
  <c r="J20" i="48"/>
  <c r="J65" i="48"/>
  <c r="J48" i="48"/>
  <c r="J30" i="48"/>
  <c r="H17" i="48"/>
  <c r="J68" i="48"/>
  <c r="J67" i="48"/>
  <c r="J59" i="48"/>
  <c r="J49" i="48"/>
  <c r="J61" i="48"/>
  <c r="J53" i="48"/>
  <c r="J41" i="48"/>
  <c r="J27" i="48"/>
  <c r="J23" i="48"/>
  <c r="J62" i="48"/>
  <c r="J50" i="48"/>
  <c r="J40" i="48"/>
  <c r="J22" i="48"/>
  <c r="J25" i="48"/>
  <c r="J19" i="48"/>
  <c r="J31" i="48"/>
  <c r="J28" i="48"/>
  <c r="J36" i="48"/>
  <c r="J51" i="48"/>
  <c r="J47" i="48"/>
  <c r="J39" i="48"/>
  <c r="J26" i="48"/>
  <c r="J15" i="48"/>
  <c r="J54" i="48"/>
  <c r="J32" i="48"/>
  <c r="J29" i="48"/>
  <c r="J21" i="48"/>
  <c r="X19" i="48"/>
  <c r="X43" i="48"/>
  <c r="N64" i="48"/>
  <c r="F100" i="45"/>
  <c r="F91" i="45"/>
  <c r="F87" i="45"/>
  <c r="F83" i="45"/>
  <c r="F82" i="45"/>
  <c r="F71" i="45"/>
  <c r="F70" i="45"/>
  <c r="F59" i="45"/>
  <c r="F51" i="45"/>
  <c r="F50" i="45"/>
  <c r="F23" i="45"/>
  <c r="F104" i="45"/>
  <c r="F78" i="45"/>
  <c r="F77" i="45"/>
  <c r="F46" i="45"/>
  <c r="F42" i="45"/>
  <c r="F93" i="45"/>
  <c r="F92" i="45"/>
  <c r="F73" i="45"/>
  <c r="F72" i="45"/>
  <c r="F61" i="45"/>
  <c r="F60" i="45"/>
  <c r="F53" i="45"/>
  <c r="F52" i="45"/>
  <c r="F37" i="45"/>
  <c r="F33" i="45"/>
  <c r="F29" i="45"/>
  <c r="F28" i="45"/>
  <c r="F88" i="45"/>
  <c r="F84" i="45"/>
  <c r="F27" i="45"/>
  <c r="F95" i="45"/>
  <c r="F94" i="45"/>
  <c r="F79" i="45"/>
  <c r="F63" i="45"/>
  <c r="F62" i="45"/>
  <c r="F47" i="45"/>
  <c r="F43" i="45"/>
  <c r="D25" i="45"/>
  <c r="F25" i="45" s="1"/>
  <c r="F74" i="45"/>
  <c r="F54" i="45"/>
  <c r="F38" i="45"/>
  <c r="F34" i="45"/>
  <c r="F30" i="45"/>
  <c r="F97" i="45"/>
  <c r="F96" i="45"/>
  <c r="F89" i="45"/>
  <c r="F85" i="45"/>
  <c r="F65" i="45"/>
  <c r="F64" i="45"/>
  <c r="F21" i="45"/>
  <c r="F20" i="45"/>
  <c r="F80" i="45"/>
  <c r="F56" i="45"/>
  <c r="F55" i="45"/>
  <c r="F48" i="45"/>
  <c r="F44" i="45"/>
  <c r="F40" i="45"/>
  <c r="F39" i="45"/>
  <c r="L12" i="45"/>
  <c r="F75" i="45"/>
  <c r="F67" i="45"/>
  <c r="F66" i="45"/>
  <c r="F35" i="45"/>
  <c r="F31" i="45"/>
  <c r="F32" i="45"/>
  <c r="F81" i="45"/>
  <c r="H106" i="45"/>
  <c r="J106" i="45" s="1"/>
  <c r="F105" i="51"/>
  <c r="F98" i="51"/>
  <c r="F53" i="51"/>
  <c r="F49" i="51"/>
  <c r="F45" i="51"/>
  <c r="F41" i="51"/>
  <c r="F40" i="51"/>
  <c r="F92" i="51"/>
  <c r="F91" i="51"/>
  <c r="F80" i="51"/>
  <c r="F76" i="51"/>
  <c r="F72" i="51"/>
  <c r="F67" i="51"/>
  <c r="F63" i="51"/>
  <c r="F111" i="51"/>
  <c r="F94" i="51"/>
  <c r="F93" i="51"/>
  <c r="F82" i="51"/>
  <c r="F81" i="51"/>
  <c r="F54" i="51"/>
  <c r="F50" i="51"/>
  <c r="F46" i="51"/>
  <c r="F42" i="51"/>
  <c r="F77" i="51"/>
  <c r="F73" i="51"/>
  <c r="F106" i="51"/>
  <c r="F99" i="51"/>
  <c r="F84" i="51"/>
  <c r="F83" i="51"/>
  <c r="F68" i="51"/>
  <c r="F64" i="51"/>
  <c r="F60" i="51"/>
  <c r="F59" i="51"/>
  <c r="F58" i="51"/>
  <c r="F51" i="51"/>
  <c r="F47" i="51"/>
  <c r="F43" i="51"/>
  <c r="F100" i="51"/>
  <c r="F95" i="51"/>
  <c r="F86" i="51"/>
  <c r="F85" i="51"/>
  <c r="F78" i="51"/>
  <c r="F74" i="51"/>
  <c r="F107" i="51"/>
  <c r="F69" i="51"/>
  <c r="F65" i="51"/>
  <c r="F61" i="51"/>
  <c r="F97" i="51"/>
  <c r="F79" i="51"/>
  <c r="F75" i="51"/>
  <c r="F71" i="51"/>
  <c r="F70" i="51"/>
  <c r="D56" i="51"/>
  <c r="F44" i="51"/>
  <c r="F101" i="51"/>
  <c r="F89" i="51"/>
  <c r="F87" i="51"/>
  <c r="F96" i="51"/>
  <c r="F102" i="51"/>
  <c r="F90" i="51"/>
  <c r="F62" i="51"/>
  <c r="F52" i="51"/>
  <c r="F57" i="45"/>
  <c r="F90" i="45"/>
  <c r="F98" i="45"/>
  <c r="V43" i="48"/>
  <c r="Z43" i="48"/>
  <c r="F41" i="45"/>
  <c r="F69" i="45"/>
  <c r="T70" i="48"/>
  <c r="Z17" i="48"/>
  <c r="L66" i="42"/>
  <c r="N66" i="42" s="1"/>
  <c r="N88" i="42"/>
  <c r="Z100" i="42"/>
  <c r="N120" i="42"/>
  <c r="J24" i="48"/>
  <c r="T109" i="51"/>
  <c r="F86" i="45"/>
  <c r="F88" i="51"/>
  <c r="F22" i="45"/>
  <c r="N50" i="45"/>
  <c r="X94" i="45"/>
  <c r="Z94" i="45" s="1"/>
  <c r="Z96" i="45"/>
  <c r="Z116" i="42"/>
  <c r="J50" i="45"/>
  <c r="Z92" i="45"/>
  <c r="V96" i="45"/>
  <c r="P70" i="48"/>
  <c r="X17" i="48"/>
  <c r="R30" i="48"/>
  <c r="J22" i="45"/>
  <c r="T25" i="45"/>
  <c r="V42" i="45"/>
  <c r="V46" i="45"/>
  <c r="J58" i="45"/>
  <c r="V62" i="45"/>
  <c r="J68" i="45"/>
  <c r="V78" i="45"/>
  <c r="J86" i="45"/>
  <c r="J90" i="45"/>
  <c r="V94" i="45"/>
  <c r="J98" i="45"/>
  <c r="V104" i="45"/>
  <c r="R58" i="48"/>
  <c r="R47" i="48"/>
  <c r="R46" i="48"/>
  <c r="R38" i="48"/>
  <c r="R34" i="48"/>
  <c r="R19" i="48"/>
  <c r="R17" i="48"/>
  <c r="R15" i="48"/>
  <c r="R65" i="48"/>
  <c r="R68" i="48"/>
  <c r="R67" i="48"/>
  <c r="R49" i="48"/>
  <c r="R48" i="48"/>
  <c r="R70" i="48"/>
  <c r="R60" i="48"/>
  <c r="R59" i="48"/>
  <c r="R39" i="48"/>
  <c r="R35" i="48"/>
  <c r="R31" i="48"/>
  <c r="R61" i="48"/>
  <c r="R72" i="48"/>
  <c r="R53" i="48"/>
  <c r="R52" i="48"/>
  <c r="R41" i="48"/>
  <c r="R62" i="48"/>
  <c r="R57" i="48"/>
  <c r="R56" i="48"/>
  <c r="R45" i="48"/>
  <c r="R44" i="48"/>
  <c r="R28" i="48"/>
  <c r="R24" i="48"/>
  <c r="R64" i="48"/>
  <c r="Z67" i="48"/>
  <c r="P12" i="51"/>
  <c r="N70" i="51"/>
  <c r="J70" i="51"/>
  <c r="N28" i="54"/>
  <c r="X14" i="55"/>
  <c r="N19" i="61"/>
  <c r="V23" i="45"/>
  <c r="V27" i="45"/>
  <c r="J31" i="45"/>
  <c r="J35" i="45"/>
  <c r="V51" i="45"/>
  <c r="J57" i="45"/>
  <c r="V59" i="45"/>
  <c r="J67" i="45"/>
  <c r="V71" i="45"/>
  <c r="J75" i="45"/>
  <c r="V83" i="45"/>
  <c r="V87" i="45"/>
  <c r="V91" i="45"/>
  <c r="L107" i="51"/>
  <c r="N107" i="51" s="1"/>
  <c r="D104" i="51"/>
  <c r="L104" i="51" s="1"/>
  <c r="N104" i="51" s="1"/>
  <c r="N12" i="45"/>
  <c r="V28" i="45"/>
  <c r="V32" i="45"/>
  <c r="V36" i="45"/>
  <c r="J40" i="45"/>
  <c r="J44" i="45"/>
  <c r="J48" i="45"/>
  <c r="V52" i="45"/>
  <c r="J56" i="45"/>
  <c r="V60" i="45"/>
  <c r="J66" i="45"/>
  <c r="V72" i="45"/>
  <c r="V76" i="45"/>
  <c r="J80" i="45"/>
  <c r="V92" i="45"/>
  <c r="X12" i="48"/>
  <c r="Z12" i="48" s="1"/>
  <c r="R42" i="48"/>
  <c r="V45" i="48"/>
  <c r="N51" i="48"/>
  <c r="Z57" i="48"/>
  <c r="T16" i="55"/>
  <c r="Z18" i="56"/>
  <c r="L57" i="56"/>
  <c r="T77" i="57"/>
  <c r="Z16" i="57"/>
  <c r="N65" i="59"/>
  <c r="J21" i="45"/>
  <c r="J39" i="45"/>
  <c r="V41" i="45"/>
  <c r="V45" i="45"/>
  <c r="V49" i="45"/>
  <c r="J55" i="45"/>
  <c r="J65" i="45"/>
  <c r="V69" i="45"/>
  <c r="V77" i="45"/>
  <c r="V81" i="45"/>
  <c r="J85" i="45"/>
  <c r="J89" i="45"/>
  <c r="J97" i="45"/>
  <c r="X45" i="48"/>
  <c r="Z45" i="48" s="1"/>
  <c r="V22" i="45"/>
  <c r="J30" i="45"/>
  <c r="J34" i="45"/>
  <c r="J38" i="45"/>
  <c r="V50" i="45"/>
  <c r="J54" i="45"/>
  <c r="V58" i="45"/>
  <c r="J64" i="45"/>
  <c r="V70" i="45"/>
  <c r="J74" i="45"/>
  <c r="V82" i="45"/>
  <c r="V86" i="45"/>
  <c r="V90" i="45"/>
  <c r="J96" i="45"/>
  <c r="V98" i="45"/>
  <c r="V100" i="45"/>
  <c r="X47" i="48"/>
  <c r="Z47" i="48" s="1"/>
  <c r="X58" i="51"/>
  <c r="Z58" i="51" s="1"/>
  <c r="N87" i="51"/>
  <c r="J20" i="55"/>
  <c r="J18" i="55"/>
  <c r="J16" i="55"/>
  <c r="J14" i="55"/>
  <c r="J26" i="55"/>
  <c r="J28" i="55"/>
  <c r="J40" i="55"/>
  <c r="J22" i="55"/>
  <c r="J23" i="55"/>
  <c r="J35" i="55"/>
  <c r="J24" i="55"/>
  <c r="H16" i="55"/>
  <c r="J29" i="55"/>
  <c r="J25" i="55"/>
  <c r="J19" i="55"/>
  <c r="J27" i="55"/>
  <c r="J21" i="55"/>
  <c r="L12" i="55"/>
  <c r="V31" i="45"/>
  <c r="V35" i="45"/>
  <c r="J43" i="45"/>
  <c r="J47" i="45"/>
  <c r="J63" i="45"/>
  <c r="V67" i="45"/>
  <c r="V75" i="45"/>
  <c r="J79" i="45"/>
  <c r="J95" i="45"/>
  <c r="L13" i="48"/>
  <c r="N13" i="48" s="1"/>
  <c r="D12" i="48"/>
  <c r="R23" i="48"/>
  <c r="R63" i="48"/>
  <c r="N12" i="55"/>
  <c r="R79" i="57"/>
  <c r="R58" i="57"/>
  <c r="R57" i="57"/>
  <c r="R50" i="57"/>
  <c r="R49" i="57"/>
  <c r="R73" i="57"/>
  <c r="R46" i="57"/>
  <c r="R75" i="57"/>
  <c r="R69" i="57"/>
  <c r="R64" i="57"/>
  <c r="R55" i="57"/>
  <c r="R37" i="57"/>
  <c r="R33" i="57"/>
  <c r="R18" i="57"/>
  <c r="R16" i="57"/>
  <c r="R14" i="57"/>
  <c r="R77" i="57"/>
  <c r="R70" i="57"/>
  <c r="R59" i="57"/>
  <c r="R29" i="57"/>
  <c r="R28" i="57"/>
  <c r="R24" i="57"/>
  <c r="R20" i="57"/>
  <c r="P16" i="57"/>
  <c r="R65" i="57"/>
  <c r="R60" i="57"/>
  <c r="R45" i="57"/>
  <c r="R51" i="57"/>
  <c r="R38" i="57"/>
  <c r="R34" i="57"/>
  <c r="R30" i="57"/>
  <c r="R71" i="57"/>
  <c r="R67" i="57"/>
  <c r="R66" i="57"/>
  <c r="R56" i="57"/>
  <c r="R52" i="57"/>
  <c r="R25" i="57"/>
  <c r="R21" i="57"/>
  <c r="R72" i="57"/>
  <c r="R61" i="57"/>
  <c r="R47" i="57"/>
  <c r="R40" i="57"/>
  <c r="R39" i="57"/>
  <c r="R35" i="57"/>
  <c r="R31" i="57"/>
  <c r="R68" i="57"/>
  <c r="R48" i="57"/>
  <c r="R26" i="57"/>
  <c r="R22" i="57"/>
  <c r="R81" i="57"/>
  <c r="R53" i="57"/>
  <c r="R42" i="57"/>
  <c r="R41" i="57"/>
  <c r="R84" i="57"/>
  <c r="R43" i="57"/>
  <c r="R27" i="57"/>
  <c r="R23" i="57"/>
  <c r="R62" i="57"/>
  <c r="R36" i="57"/>
  <c r="R63" i="57"/>
  <c r="R54" i="57"/>
  <c r="R32" i="57"/>
  <c r="R44" i="57"/>
  <c r="R19" i="57"/>
  <c r="X12" i="57"/>
  <c r="V40" i="45"/>
  <c r="V44" i="45"/>
  <c r="V48" i="45"/>
  <c r="V56" i="45"/>
  <c r="J62" i="45"/>
  <c r="V68" i="45"/>
  <c r="V80" i="45"/>
  <c r="J84" i="45"/>
  <c r="J88" i="45"/>
  <c r="J94" i="45"/>
  <c r="N29" i="54"/>
  <c r="L29" i="54"/>
  <c r="X55" i="56"/>
  <c r="Z55" i="56" s="1"/>
  <c r="X67" i="56"/>
  <c r="Z67" i="56" s="1"/>
  <c r="V21" i="45"/>
  <c r="J25" i="45"/>
  <c r="J27" i="45"/>
  <c r="J29" i="45"/>
  <c r="J33" i="45"/>
  <c r="J37" i="45"/>
  <c r="J53" i="45"/>
  <c r="V57" i="45"/>
  <c r="J61" i="45"/>
  <c r="V65" i="45"/>
  <c r="J73" i="45"/>
  <c r="V85" i="45"/>
  <c r="V89" i="45"/>
  <c r="J93" i="45"/>
  <c r="V97" i="45"/>
  <c r="L40" i="51"/>
  <c r="N40" i="51" s="1"/>
  <c r="N59" i="51"/>
  <c r="N99" i="51"/>
  <c r="J28" i="45"/>
  <c r="V30" i="45"/>
  <c r="V34" i="45"/>
  <c r="V38" i="45"/>
  <c r="J42" i="45"/>
  <c r="J46" i="45"/>
  <c r="J52" i="45"/>
  <c r="V54" i="45"/>
  <c r="J60" i="45"/>
  <c r="V66" i="45"/>
  <c r="J72" i="45"/>
  <c r="J78" i="45"/>
  <c r="J92" i="45"/>
  <c r="N30" i="48"/>
  <c r="N55" i="48"/>
  <c r="X99" i="51"/>
  <c r="Z99" i="51" s="1"/>
  <c r="T16" i="54"/>
  <c r="Z29" i="54"/>
  <c r="R75" i="56"/>
  <c r="R74" i="56"/>
  <c r="R67" i="56"/>
  <c r="R66" i="56"/>
  <c r="R51" i="56"/>
  <c r="R50" i="56"/>
  <c r="R26" i="56"/>
  <c r="R22" i="56"/>
  <c r="R76" i="56"/>
  <c r="R68" i="56"/>
  <c r="R61" i="56"/>
  <c r="R60" i="56"/>
  <c r="R53" i="56"/>
  <c r="R52" i="56"/>
  <c r="R36" i="56"/>
  <c r="R32" i="56"/>
  <c r="X12" i="56"/>
  <c r="R62" i="56"/>
  <c r="R55" i="56"/>
  <c r="R54" i="56"/>
  <c r="R77" i="56"/>
  <c r="R69" i="56"/>
  <c r="R45" i="56"/>
  <c r="R37" i="56"/>
  <c r="R33" i="56"/>
  <c r="R81" i="56"/>
  <c r="R79" i="56"/>
  <c r="R57" i="56"/>
  <c r="R56" i="56"/>
  <c r="R29" i="56"/>
  <c r="R71" i="56"/>
  <c r="R70" i="56"/>
  <c r="R58" i="56"/>
  <c r="R47" i="56"/>
  <c r="R46" i="56"/>
  <c r="R38" i="56"/>
  <c r="R34" i="56"/>
  <c r="R30" i="56"/>
  <c r="R88" i="56"/>
  <c r="R85" i="56"/>
  <c r="R73" i="56"/>
  <c r="R72" i="56"/>
  <c r="R65" i="56"/>
  <c r="R64" i="56"/>
  <c r="R49" i="56"/>
  <c r="R48" i="56"/>
  <c r="R28" i="56"/>
  <c r="R83" i="56"/>
  <c r="R42" i="56"/>
  <c r="R31" i="56"/>
  <c r="R20" i="56"/>
  <c r="R23" i="56"/>
  <c r="R14" i="56"/>
  <c r="R39" i="56"/>
  <c r="R63" i="56"/>
  <c r="R59" i="56"/>
  <c r="R43" i="56"/>
  <c r="R40" i="56"/>
  <c r="R21" i="56"/>
  <c r="R16" i="56"/>
  <c r="R44" i="56"/>
  <c r="R27" i="56"/>
  <c r="R24" i="56"/>
  <c r="P16" i="56"/>
  <c r="R18" i="56"/>
  <c r="R41" i="56"/>
  <c r="V15" i="48"/>
  <c r="V17" i="48"/>
  <c r="V19" i="48"/>
  <c r="V47" i="48"/>
  <c r="V63" i="48"/>
  <c r="J106" i="51"/>
  <c r="J99" i="51"/>
  <c r="J40" i="51"/>
  <c r="V42" i="51"/>
  <c r="V46" i="51"/>
  <c r="V50" i="51"/>
  <c r="V54" i="51"/>
  <c r="V56" i="51"/>
  <c r="V58" i="51"/>
  <c r="J62" i="51"/>
  <c r="J66" i="51"/>
  <c r="V82" i="51"/>
  <c r="J90" i="51"/>
  <c r="V98" i="51"/>
  <c r="J102" i="51"/>
  <c r="R14" i="54"/>
  <c r="V61" i="56"/>
  <c r="V53" i="56"/>
  <c r="V41" i="56"/>
  <c r="V76" i="56"/>
  <c r="V68" i="56"/>
  <c r="V60" i="56"/>
  <c r="V55" i="56"/>
  <c r="V43" i="56"/>
  <c r="V27" i="56"/>
  <c r="V23" i="56"/>
  <c r="V19" i="56"/>
  <c r="V81" i="56"/>
  <c r="V79" i="56"/>
  <c r="V77" i="56"/>
  <c r="V69" i="56"/>
  <c r="V57" i="56"/>
  <c r="V56" i="56"/>
  <c r="V71" i="56"/>
  <c r="V63" i="56"/>
  <c r="V47" i="56"/>
  <c r="V88" i="56"/>
  <c r="V85" i="56"/>
  <c r="V83" i="56"/>
  <c r="V73" i="56"/>
  <c r="V65" i="56"/>
  <c r="V49" i="56"/>
  <c r="V25" i="56"/>
  <c r="V21" i="56"/>
  <c r="V75" i="56"/>
  <c r="V67" i="56"/>
  <c r="V59" i="56"/>
  <c r="V51" i="56"/>
  <c r="V39" i="56"/>
  <c r="V35" i="56"/>
  <c r="V31" i="56"/>
  <c r="V22" i="56"/>
  <c r="J24" i="56"/>
  <c r="J27" i="56"/>
  <c r="V50" i="56"/>
  <c r="N73" i="56"/>
  <c r="L73" i="56"/>
  <c r="N19" i="57"/>
  <c r="N44" i="57"/>
  <c r="V72" i="51"/>
  <c r="V76" i="51"/>
  <c r="V80" i="51"/>
  <c r="J88" i="51"/>
  <c r="R31" i="54"/>
  <c r="R29" i="54"/>
  <c r="R28" i="54"/>
  <c r="R26" i="54"/>
  <c r="R35" i="55"/>
  <c r="R29" i="55"/>
  <c r="R33" i="55"/>
  <c r="R40" i="55"/>
  <c r="D81" i="56"/>
  <c r="Z19" i="56"/>
  <c r="N49" i="56"/>
  <c r="L61" i="56"/>
  <c r="Z71" i="56"/>
  <c r="Z73" i="56"/>
  <c r="N50" i="57"/>
  <c r="V34" i="58"/>
  <c r="L16" i="59"/>
  <c r="D71" i="59"/>
  <c r="N61" i="56"/>
  <c r="L52" i="57"/>
  <c r="N52" i="57" s="1"/>
  <c r="V69" i="58"/>
  <c r="V61" i="58"/>
  <c r="V53" i="58"/>
  <c r="V41" i="58"/>
  <c r="V68" i="58"/>
  <c r="V60" i="58"/>
  <c r="V52" i="58"/>
  <c r="V71" i="58"/>
  <c r="V63" i="58"/>
  <c r="V55" i="58"/>
  <c r="V43" i="58"/>
  <c r="V27" i="58"/>
  <c r="V23" i="58"/>
  <c r="V19" i="58"/>
  <c r="V70" i="58"/>
  <c r="V62" i="58"/>
  <c r="V76" i="58"/>
  <c r="V74" i="58"/>
  <c r="V72" i="58"/>
  <c r="V64" i="58"/>
  <c r="V56" i="58"/>
  <c r="V67" i="58"/>
  <c r="V59" i="58"/>
  <c r="V51" i="58"/>
  <c r="V39" i="58"/>
  <c r="V35" i="58"/>
  <c r="V31" i="58"/>
  <c r="V50" i="58"/>
  <c r="V24" i="58"/>
  <c r="V14" i="58"/>
  <c r="V78" i="58"/>
  <c r="V21" i="58"/>
  <c r="V38" i="58"/>
  <c r="V16" i="58"/>
  <c r="V65" i="58"/>
  <c r="V48" i="58"/>
  <c r="V32" i="58"/>
  <c r="V28" i="58"/>
  <c r="V18" i="58"/>
  <c r="T16" i="58"/>
  <c r="V83" i="58"/>
  <c r="V46" i="58"/>
  <c r="V42" i="58"/>
  <c r="V25" i="58"/>
  <c r="V22" i="58"/>
  <c r="V54" i="58"/>
  <c r="V33" i="58"/>
  <c r="V30" i="58"/>
  <c r="V49" i="58"/>
  <c r="V47" i="58"/>
  <c r="V36" i="58"/>
  <c r="V29" i="58"/>
  <c r="V26" i="58"/>
  <c r="V80" i="58"/>
  <c r="V57" i="58"/>
  <c r="V58" i="58"/>
  <c r="V44" i="58"/>
  <c r="V37" i="58"/>
  <c r="Z12" i="58"/>
  <c r="V20" i="58"/>
  <c r="V55" i="48"/>
  <c r="L60" i="48"/>
  <c r="N60" i="48" s="1"/>
  <c r="V111" i="51"/>
  <c r="V99" i="51"/>
  <c r="V105" i="51"/>
  <c r="V62" i="51"/>
  <c r="V66" i="51"/>
  <c r="J74" i="51"/>
  <c r="J78" i="51"/>
  <c r="X81" i="51"/>
  <c r="Z81" i="51" s="1"/>
  <c r="J86" i="51"/>
  <c r="L87" i="51"/>
  <c r="V90" i="51"/>
  <c r="X93" i="51"/>
  <c r="Z93" i="51" s="1"/>
  <c r="J95" i="51"/>
  <c r="L96" i="51"/>
  <c r="N96" i="51" s="1"/>
  <c r="V97" i="51"/>
  <c r="J100" i="51"/>
  <c r="L101" i="51"/>
  <c r="X12" i="54"/>
  <c r="D16" i="54"/>
  <c r="R22" i="54"/>
  <c r="X12" i="55"/>
  <c r="D16" i="55"/>
  <c r="R31" i="55"/>
  <c r="J26" i="56"/>
  <c r="Z57" i="56"/>
  <c r="N18" i="57"/>
  <c r="L48" i="57"/>
  <c r="N48" i="57" s="1"/>
  <c r="V32" i="48"/>
  <c r="V36" i="48"/>
  <c r="V40" i="48"/>
  <c r="V52" i="48"/>
  <c r="V72" i="48"/>
  <c r="J43" i="51"/>
  <c r="J47" i="51"/>
  <c r="J51" i="51"/>
  <c r="H56" i="51"/>
  <c r="V71" i="51"/>
  <c r="V75" i="51"/>
  <c r="V79" i="51"/>
  <c r="J85" i="51"/>
  <c r="V91" i="51"/>
  <c r="V109" i="51"/>
  <c r="F16" i="55"/>
  <c r="R20" i="55"/>
  <c r="F23" i="55"/>
  <c r="F24" i="55"/>
  <c r="R26" i="55"/>
  <c r="F35" i="55"/>
  <c r="R37" i="55"/>
  <c r="J14" i="56"/>
  <c r="T16" i="56"/>
  <c r="J23" i="56"/>
  <c r="N29" i="56"/>
  <c r="V44" i="56"/>
  <c r="J48" i="56"/>
  <c r="Z49" i="56"/>
  <c r="J56" i="56"/>
  <c r="Z61" i="56"/>
  <c r="N65" i="56"/>
  <c r="L65" i="56"/>
  <c r="Z46" i="57"/>
  <c r="Z50" i="57"/>
  <c r="Z52" i="57"/>
  <c r="L42" i="61"/>
  <c r="N42" i="61" s="1"/>
  <c r="V52" i="51"/>
  <c r="J84" i="51"/>
  <c r="V88" i="51"/>
  <c r="R20" i="54"/>
  <c r="J74" i="56"/>
  <c r="V61" i="59"/>
  <c r="V53" i="59"/>
  <c r="V45" i="59"/>
  <c r="V37" i="59"/>
  <c r="V33" i="59"/>
  <c r="T16" i="59"/>
  <c r="V44" i="59"/>
  <c r="V28" i="59"/>
  <c r="V24" i="59"/>
  <c r="V20" i="59"/>
  <c r="V78" i="59"/>
  <c r="V75" i="59"/>
  <c r="V73" i="59"/>
  <c r="V63" i="59"/>
  <c r="V47" i="59"/>
  <c r="V62" i="59"/>
  <c r="V54" i="59"/>
  <c r="V46" i="59"/>
  <c r="V38" i="59"/>
  <c r="V34" i="59"/>
  <c r="V30" i="59"/>
  <c r="V65" i="59"/>
  <c r="V49" i="59"/>
  <c r="V29" i="59"/>
  <c r="V25" i="59"/>
  <c r="V21" i="59"/>
  <c r="V64" i="59"/>
  <c r="V56" i="59"/>
  <c r="V48" i="59"/>
  <c r="V55" i="59"/>
  <c r="V51" i="59"/>
  <c r="V39" i="59"/>
  <c r="V35" i="59"/>
  <c r="V31" i="59"/>
  <c r="V66" i="59"/>
  <c r="V58" i="59"/>
  <c r="V50" i="59"/>
  <c r="V26" i="59"/>
  <c r="V22" i="59"/>
  <c r="V71" i="59"/>
  <c r="V69" i="59"/>
  <c r="V67" i="59"/>
  <c r="V59" i="59"/>
  <c r="V43" i="59"/>
  <c r="V27" i="59"/>
  <c r="V23" i="59"/>
  <c r="V19" i="59"/>
  <c r="V18" i="59"/>
  <c r="V14" i="59"/>
  <c r="V57" i="59"/>
  <c r="V36" i="59"/>
  <c r="V52" i="59"/>
  <c r="V42" i="59"/>
  <c r="V40" i="59"/>
  <c r="V60" i="59"/>
  <c r="V41" i="59"/>
  <c r="V16" i="59"/>
  <c r="Z12" i="59"/>
  <c r="X43" i="59"/>
  <c r="Z43" i="59" s="1"/>
  <c r="V26" i="48"/>
  <c r="V50" i="48"/>
  <c r="J59" i="51"/>
  <c r="V61" i="51"/>
  <c r="V65" i="51"/>
  <c r="V69" i="51"/>
  <c r="J73" i="51"/>
  <c r="J77" i="51"/>
  <c r="J83" i="51"/>
  <c r="V89" i="51"/>
  <c r="V107" i="51"/>
  <c r="X14" i="56"/>
  <c r="L53" i="56"/>
  <c r="Z65" i="56"/>
  <c r="X75" i="56"/>
  <c r="Z75" i="56" s="1"/>
  <c r="N67" i="57"/>
  <c r="L43" i="58"/>
  <c r="N43" i="58" s="1"/>
  <c r="Z40" i="60"/>
  <c r="V59" i="48"/>
  <c r="L64" i="48"/>
  <c r="L59" i="51"/>
  <c r="V70" i="51"/>
  <c r="V74" i="51"/>
  <c r="V78" i="51"/>
  <c r="J82" i="51"/>
  <c r="L83" i="51"/>
  <c r="V86" i="51"/>
  <c r="X89" i="51"/>
  <c r="Z89" i="51" s="1"/>
  <c r="J94" i="51"/>
  <c r="V95" i="51"/>
  <c r="J98" i="51"/>
  <c r="V100" i="51"/>
  <c r="V101" i="51"/>
  <c r="J105" i="51"/>
  <c r="J111" i="51"/>
  <c r="R18" i="54"/>
  <c r="X29" i="54"/>
  <c r="R18" i="55"/>
  <c r="R19" i="55"/>
  <c r="L23" i="55"/>
  <c r="N23" i="55" s="1"/>
  <c r="R25" i="55"/>
  <c r="J83" i="56"/>
  <c r="J71" i="56"/>
  <c r="J47" i="56"/>
  <c r="J25" i="56"/>
  <c r="J21" i="56"/>
  <c r="J72" i="56"/>
  <c r="J64" i="56"/>
  <c r="J88" i="56"/>
  <c r="J85" i="56"/>
  <c r="J73" i="56"/>
  <c r="J65" i="56"/>
  <c r="J59" i="56"/>
  <c r="J49" i="56"/>
  <c r="J39" i="56"/>
  <c r="J35" i="56"/>
  <c r="J31" i="56"/>
  <c r="J75" i="56"/>
  <c r="J67" i="56"/>
  <c r="J51" i="56"/>
  <c r="J76" i="56"/>
  <c r="J68" i="56"/>
  <c r="J60" i="56"/>
  <c r="J52" i="56"/>
  <c r="J42" i="56"/>
  <c r="J36" i="56"/>
  <c r="J32" i="56"/>
  <c r="J61" i="56"/>
  <c r="J53" i="56"/>
  <c r="J43" i="56"/>
  <c r="J77" i="56"/>
  <c r="J69" i="56"/>
  <c r="J55" i="56"/>
  <c r="J45" i="56"/>
  <c r="J37" i="56"/>
  <c r="J33" i="56"/>
  <c r="J19" i="56"/>
  <c r="J81" i="56"/>
  <c r="J79" i="56"/>
  <c r="J63" i="56"/>
  <c r="J57" i="56"/>
  <c r="J29" i="56"/>
  <c r="H16" i="56"/>
  <c r="L16" i="56" s="1"/>
  <c r="Z29" i="56"/>
  <c r="J38" i="56"/>
  <c r="J58" i="56"/>
  <c r="J62" i="56"/>
  <c r="N67" i="56"/>
  <c r="Z18" i="57"/>
  <c r="L40" i="57"/>
  <c r="N19" i="58"/>
  <c r="V32" i="59"/>
  <c r="V48" i="48"/>
  <c r="V60" i="48"/>
  <c r="V68" i="48"/>
  <c r="V70" i="48"/>
  <c r="V43" i="51"/>
  <c r="V47" i="51"/>
  <c r="V51" i="51"/>
  <c r="J63" i="51"/>
  <c r="J67" i="51"/>
  <c r="J81" i="51"/>
  <c r="V87" i="51"/>
  <c r="J93" i="51"/>
  <c r="V96" i="51"/>
  <c r="J104" i="51"/>
  <c r="P16" i="54"/>
  <c r="P16" i="55"/>
  <c r="L21" i="55"/>
  <c r="N21" i="55" s="1"/>
  <c r="R24" i="55"/>
  <c r="L12" i="56"/>
  <c r="J22" i="56"/>
  <c r="J50" i="56"/>
  <c r="V74" i="56"/>
  <c r="X18" i="57"/>
  <c r="N42" i="57"/>
  <c r="X58" i="57"/>
  <c r="Z58" i="57" s="1"/>
  <c r="T65" i="68"/>
  <c r="Z16" i="68"/>
  <c r="J116" i="69"/>
  <c r="J108" i="69"/>
  <c r="J98" i="69"/>
  <c r="J99" i="69"/>
  <c r="J109" i="69"/>
  <c r="J101" i="69"/>
  <c r="J111" i="69"/>
  <c r="J103" i="69"/>
  <c r="J93" i="69"/>
  <c r="J87" i="69"/>
  <c r="J104" i="69"/>
  <c r="J94" i="69"/>
  <c r="J105" i="69"/>
  <c r="J95" i="69"/>
  <c r="J112" i="69"/>
  <c r="J96" i="69"/>
  <c r="J88" i="69"/>
  <c r="J84" i="69"/>
  <c r="J114" i="69"/>
  <c r="J106" i="69"/>
  <c r="J79" i="69"/>
  <c r="J75" i="69"/>
  <c r="J71" i="69"/>
  <c r="J69" i="69"/>
  <c r="J67" i="69"/>
  <c r="J45" i="69"/>
  <c r="J80" i="69"/>
  <c r="H67" i="69"/>
  <c r="J62" i="69"/>
  <c r="J58" i="69"/>
  <c r="J54" i="69"/>
  <c r="J50" i="69"/>
  <c r="J46" i="69"/>
  <c r="J110" i="69"/>
  <c r="J81" i="69"/>
  <c r="J92" i="69"/>
  <c r="J89" i="69"/>
  <c r="J76" i="69"/>
  <c r="J72" i="69"/>
  <c r="J118" i="69"/>
  <c r="J115" i="69"/>
  <c r="J113" i="69"/>
  <c r="J97" i="69"/>
  <c r="J63" i="69"/>
  <c r="J59" i="69"/>
  <c r="J55" i="69"/>
  <c r="J51" i="69"/>
  <c r="J47" i="69"/>
  <c r="J102" i="69"/>
  <c r="J100" i="69"/>
  <c r="J82" i="69"/>
  <c r="J85" i="69"/>
  <c r="J77" i="69"/>
  <c r="J73" i="69"/>
  <c r="J64" i="69"/>
  <c r="J60" i="69"/>
  <c r="J56" i="69"/>
  <c r="J52" i="69"/>
  <c r="J48" i="69"/>
  <c r="J107" i="69"/>
  <c r="J90" i="69"/>
  <c r="J65" i="69"/>
  <c r="J61" i="69"/>
  <c r="J57" i="69"/>
  <c r="J53" i="69"/>
  <c r="J49" i="69"/>
  <c r="J78" i="69"/>
  <c r="J86" i="69"/>
  <c r="J122" i="69"/>
  <c r="J83" i="69"/>
  <c r="J70" i="69"/>
  <c r="J91" i="69"/>
  <c r="J74" i="69"/>
  <c r="V21" i="48"/>
  <c r="V25" i="48"/>
  <c r="V29" i="48"/>
  <c r="V49" i="48"/>
  <c r="V65" i="48"/>
  <c r="V60" i="51"/>
  <c r="V64" i="51"/>
  <c r="V68" i="51"/>
  <c r="J72" i="51"/>
  <c r="J76" i="51"/>
  <c r="J80" i="51"/>
  <c r="V84" i="51"/>
  <c r="J92" i="51"/>
  <c r="V106" i="51"/>
  <c r="F31" i="54"/>
  <c r="F29" i="54"/>
  <c r="F28" i="54"/>
  <c r="F26" i="54"/>
  <c r="R16" i="54"/>
  <c r="R16" i="55"/>
  <c r="F21" i="55"/>
  <c r="F27" i="55"/>
  <c r="L31" i="55"/>
  <c r="N12" i="56"/>
  <c r="V14" i="56"/>
  <c r="V20" i="56"/>
  <c r="V33" i="56"/>
  <c r="L40" i="56"/>
  <c r="N40" i="56" s="1"/>
  <c r="J41" i="56"/>
  <c r="Z53" i="56"/>
  <c r="N55" i="56"/>
  <c r="L79" i="56"/>
  <c r="F73" i="57"/>
  <c r="F72" i="57"/>
  <c r="F45" i="57"/>
  <c r="F44" i="57"/>
  <c r="F69" i="57"/>
  <c r="F61" i="57"/>
  <c r="F60" i="57"/>
  <c r="F53" i="57"/>
  <c r="F52" i="57"/>
  <c r="F57" i="57"/>
  <c r="F48" i="57"/>
  <c r="F41" i="57"/>
  <c r="F40" i="57"/>
  <c r="F62" i="57"/>
  <c r="F36" i="57"/>
  <c r="F32" i="57"/>
  <c r="L12" i="57"/>
  <c r="F81" i="57"/>
  <c r="F54" i="57"/>
  <c r="F49" i="57"/>
  <c r="F43" i="57"/>
  <c r="F42" i="57"/>
  <c r="F27" i="57"/>
  <c r="F23" i="57"/>
  <c r="F64" i="57"/>
  <c r="F63" i="57"/>
  <c r="F58" i="57"/>
  <c r="F84" i="57"/>
  <c r="F55" i="57"/>
  <c r="F37" i="57"/>
  <c r="F33" i="57"/>
  <c r="F75" i="57"/>
  <c r="F59" i="57"/>
  <c r="F50" i="57"/>
  <c r="F28" i="57"/>
  <c r="F24" i="57"/>
  <c r="F20" i="57"/>
  <c r="F19" i="57"/>
  <c r="F77" i="57"/>
  <c r="F70" i="57"/>
  <c r="F18" i="57"/>
  <c r="F16" i="57"/>
  <c r="F14" i="57"/>
  <c r="F65" i="57"/>
  <c r="F56" i="57"/>
  <c r="F51" i="57"/>
  <c r="F38" i="57"/>
  <c r="F34" i="57"/>
  <c r="F30" i="57"/>
  <c r="F29" i="57"/>
  <c r="D16" i="57"/>
  <c r="F71" i="57"/>
  <c r="F66" i="57"/>
  <c r="F46" i="57"/>
  <c r="F25" i="57"/>
  <c r="F21" i="57"/>
  <c r="F67" i="57"/>
  <c r="F47" i="57"/>
  <c r="F39" i="57"/>
  <c r="F35" i="57"/>
  <c r="F31" i="57"/>
  <c r="X14" i="57"/>
  <c r="V45" i="58"/>
  <c r="X58" i="58"/>
  <c r="Z58" i="58" s="1"/>
  <c r="V68" i="57"/>
  <c r="V60" i="57"/>
  <c r="V52" i="57"/>
  <c r="V64" i="57"/>
  <c r="V56" i="57"/>
  <c r="V48" i="57"/>
  <c r="V14" i="57"/>
  <c r="V16" i="57"/>
  <c r="V18" i="57"/>
  <c r="V49" i="57"/>
  <c r="V50" i="57"/>
  <c r="J68" i="57"/>
  <c r="N72" i="57"/>
  <c r="V75" i="57"/>
  <c r="D16" i="58"/>
  <c r="J19" i="58"/>
  <c r="R20" i="58"/>
  <c r="J29" i="58"/>
  <c r="J33" i="58"/>
  <c r="R34" i="58"/>
  <c r="J36" i="58"/>
  <c r="F39" i="58"/>
  <c r="J43" i="58"/>
  <c r="N49" i="58"/>
  <c r="Z69" i="58"/>
  <c r="X41" i="59"/>
  <c r="J33" i="60"/>
  <c r="J37" i="60"/>
  <c r="F63" i="60"/>
  <c r="V14" i="55"/>
  <c r="V16" i="55"/>
  <c r="V18" i="55"/>
  <c r="L14" i="56"/>
  <c r="F53" i="56"/>
  <c r="F54" i="56"/>
  <c r="F61" i="56"/>
  <c r="F62" i="56"/>
  <c r="Z12" i="57"/>
  <c r="V32" i="57"/>
  <c r="V36" i="57"/>
  <c r="J52" i="57"/>
  <c r="V57" i="57"/>
  <c r="V58" i="57"/>
  <c r="V62" i="57"/>
  <c r="L65" i="57"/>
  <c r="J67" i="57"/>
  <c r="F14" i="58"/>
  <c r="J16" i="58"/>
  <c r="J22" i="58"/>
  <c r="R23" i="58"/>
  <c r="F25" i="58"/>
  <c r="R26" i="58"/>
  <c r="R29" i="58"/>
  <c r="R30" i="58"/>
  <c r="J42" i="58"/>
  <c r="J46" i="58"/>
  <c r="Z47" i="58"/>
  <c r="J54" i="58"/>
  <c r="X55" i="58"/>
  <c r="Z55" i="58" s="1"/>
  <c r="Z51" i="59"/>
  <c r="Z18" i="60"/>
  <c r="N51" i="60"/>
  <c r="Z50" i="61"/>
  <c r="N47" i="64"/>
  <c r="J25" i="58"/>
  <c r="J28" i="58"/>
  <c r="F32" i="58"/>
  <c r="F51" i="58"/>
  <c r="F61" i="58"/>
  <c r="F70" i="58"/>
  <c r="J76" i="58"/>
  <c r="N19" i="59"/>
  <c r="D65" i="68"/>
  <c r="L75" i="57"/>
  <c r="J14" i="58"/>
  <c r="X18" i="58"/>
  <c r="Z18" i="58" s="1"/>
  <c r="R19" i="58"/>
  <c r="J32" i="58"/>
  <c r="J38" i="58"/>
  <c r="F41" i="58"/>
  <c r="R43" i="58"/>
  <c r="J56" i="58"/>
  <c r="R59" i="58"/>
  <c r="J72" i="58"/>
  <c r="Z56" i="59"/>
  <c r="X58" i="59"/>
  <c r="Z58" i="59" s="1"/>
  <c r="N63" i="59"/>
  <c r="L65" i="59"/>
  <c r="H16" i="60"/>
  <c r="Z29" i="60"/>
  <c r="L19" i="61"/>
  <c r="Z40" i="61"/>
  <c r="Z47" i="64"/>
  <c r="H16" i="57"/>
  <c r="V39" i="57"/>
  <c r="V47" i="57"/>
  <c r="V61" i="57"/>
  <c r="V79" i="57"/>
  <c r="P16" i="58"/>
  <c r="R18" i="58"/>
  <c r="F21" i="58"/>
  <c r="R22" i="58"/>
  <c r="R25" i="58"/>
  <c r="X30" i="58"/>
  <c r="Z30" i="58" s="1"/>
  <c r="R42" i="58"/>
  <c r="Z43" i="58"/>
  <c r="R46" i="58"/>
  <c r="L53" i="58"/>
  <c r="J61" i="58"/>
  <c r="R83" i="58"/>
  <c r="F61" i="60"/>
  <c r="F59" i="60"/>
  <c r="F50" i="60"/>
  <c r="F49" i="60"/>
  <c r="F65" i="60"/>
  <c r="F57" i="60"/>
  <c r="F47" i="60"/>
  <c r="F46" i="60"/>
  <c r="F18" i="60"/>
  <c r="F16" i="60"/>
  <c r="F14" i="60"/>
  <c r="F38" i="60"/>
  <c r="F34" i="60"/>
  <c r="F30" i="60"/>
  <c r="F29" i="60"/>
  <c r="D16" i="60"/>
  <c r="F68" i="60"/>
  <c r="F53" i="60"/>
  <c r="F25" i="60"/>
  <c r="F21" i="60"/>
  <c r="F48" i="60"/>
  <c r="F39" i="60"/>
  <c r="F35" i="60"/>
  <c r="F31" i="60"/>
  <c r="F54" i="60"/>
  <c r="F26" i="60"/>
  <c r="F22" i="60"/>
  <c r="F55" i="60"/>
  <c r="F41" i="60"/>
  <c r="F40" i="60"/>
  <c r="F36" i="60"/>
  <c r="F32" i="60"/>
  <c r="L12" i="60"/>
  <c r="F56" i="60"/>
  <c r="F51" i="60"/>
  <c r="F45" i="60"/>
  <c r="F44" i="60"/>
  <c r="F37" i="60"/>
  <c r="F33" i="60"/>
  <c r="F19" i="60"/>
  <c r="F28" i="60"/>
  <c r="Z51" i="60"/>
  <c r="V56" i="61"/>
  <c r="V48" i="61"/>
  <c r="V28" i="61"/>
  <c r="V24" i="61"/>
  <c r="V20" i="61"/>
  <c r="V49" i="61"/>
  <c r="V25" i="61"/>
  <c r="V21" i="61"/>
  <c r="V55" i="61"/>
  <c r="V43" i="61"/>
  <c r="V66" i="61"/>
  <c r="V58" i="61"/>
  <c r="V60" i="61"/>
  <c r="V51" i="61"/>
  <c r="V46" i="61"/>
  <c r="V35" i="61"/>
  <c r="V32" i="61"/>
  <c r="V29" i="61"/>
  <c r="V14" i="61"/>
  <c r="V54" i="61"/>
  <c r="V42" i="61"/>
  <c r="V41" i="61"/>
  <c r="V69" i="61"/>
  <c r="V38" i="61"/>
  <c r="V16" i="61"/>
  <c r="V62" i="61"/>
  <c r="V22" i="61"/>
  <c r="T16" i="61"/>
  <c r="V47" i="61"/>
  <c r="V36" i="61"/>
  <c r="V30" i="61"/>
  <c r="V19" i="61"/>
  <c r="V18" i="61"/>
  <c r="V44" i="61"/>
  <c r="V33" i="61"/>
  <c r="V26" i="61"/>
  <c r="V57" i="61"/>
  <c r="V52" i="61"/>
  <c r="V39" i="61"/>
  <c r="V23" i="61"/>
  <c r="V37" i="61"/>
  <c r="V34" i="61"/>
  <c r="H62" i="61"/>
  <c r="N16" i="61"/>
  <c r="V40" i="61"/>
  <c r="X14" i="64"/>
  <c r="L50" i="68"/>
  <c r="N50" i="68" s="1"/>
  <c r="F46" i="58"/>
  <c r="F45" i="58"/>
  <c r="F38" i="58"/>
  <c r="F76" i="58"/>
  <c r="F74" i="58"/>
  <c r="F65" i="58"/>
  <c r="F57" i="58"/>
  <c r="F78" i="58"/>
  <c r="F48" i="58"/>
  <c r="F47" i="58"/>
  <c r="F59" i="58"/>
  <c r="F58" i="58"/>
  <c r="F66" i="58"/>
  <c r="F50" i="58"/>
  <c r="F49" i="58"/>
  <c r="F83" i="58"/>
  <c r="F80" i="58"/>
  <c r="F72" i="58"/>
  <c r="F71" i="58"/>
  <c r="F64" i="58"/>
  <c r="F63" i="58"/>
  <c r="F56" i="58"/>
  <c r="F55" i="58"/>
  <c r="F44" i="58"/>
  <c r="F43" i="58"/>
  <c r="F28" i="58"/>
  <c r="F24" i="58"/>
  <c r="F20" i="58"/>
  <c r="F19" i="58"/>
  <c r="J21" i="58"/>
  <c r="J24" i="58"/>
  <c r="J41" i="58"/>
  <c r="F53" i="58"/>
  <c r="R65" i="58"/>
  <c r="F67" i="58"/>
  <c r="R72" i="58"/>
  <c r="J63" i="60"/>
  <c r="J51" i="60"/>
  <c r="J38" i="60"/>
  <c r="J34" i="60"/>
  <c r="J30" i="60"/>
  <c r="J68" i="60"/>
  <c r="J53" i="60"/>
  <c r="J25" i="60"/>
  <c r="J21" i="60"/>
  <c r="J59" i="60"/>
  <c r="J54" i="60"/>
  <c r="J48" i="60"/>
  <c r="J39" i="60"/>
  <c r="J35" i="60"/>
  <c r="J31" i="60"/>
  <c r="J61" i="60"/>
  <c r="J40" i="60"/>
  <c r="J26" i="60"/>
  <c r="J22" i="60"/>
  <c r="J55" i="60"/>
  <c r="J49" i="60"/>
  <c r="J41" i="60"/>
  <c r="J42" i="60"/>
  <c r="J36" i="60"/>
  <c r="J32" i="60"/>
  <c r="N12" i="60"/>
  <c r="J50" i="60"/>
  <c r="J43" i="60"/>
  <c r="J27" i="60"/>
  <c r="J23" i="60"/>
  <c r="J52" i="60"/>
  <c r="J46" i="60"/>
  <c r="J28" i="60"/>
  <c r="J24" i="60"/>
  <c r="J20" i="60"/>
  <c r="J18" i="60"/>
  <c r="J16" i="60"/>
  <c r="J14" i="60"/>
  <c r="J56" i="60"/>
  <c r="Z44" i="68"/>
  <c r="X44" i="68"/>
  <c r="J65" i="58"/>
  <c r="J57" i="58"/>
  <c r="J47" i="58"/>
  <c r="J78" i="58"/>
  <c r="J58" i="58"/>
  <c r="J48" i="58"/>
  <c r="J59" i="58"/>
  <c r="J49" i="58"/>
  <c r="J39" i="58"/>
  <c r="J35" i="58"/>
  <c r="J31" i="58"/>
  <c r="J83" i="58"/>
  <c r="J80" i="58"/>
  <c r="J66" i="58"/>
  <c r="J67" i="58"/>
  <c r="J51" i="58"/>
  <c r="J68" i="58"/>
  <c r="J60" i="58"/>
  <c r="J52" i="58"/>
  <c r="J70" i="58"/>
  <c r="J62" i="58"/>
  <c r="J45" i="58"/>
  <c r="H16" i="58"/>
  <c r="F27" i="58"/>
  <c r="F37" i="58"/>
  <c r="F40" i="58"/>
  <c r="J50" i="58"/>
  <c r="N53" i="58"/>
  <c r="R56" i="58"/>
  <c r="Z65" i="59"/>
  <c r="J19" i="60"/>
  <c r="L14" i="61"/>
  <c r="D16" i="61"/>
  <c r="L55" i="61"/>
  <c r="N55" i="61" s="1"/>
  <c r="V14" i="54"/>
  <c r="V16" i="54"/>
  <c r="V18" i="54"/>
  <c r="V20" i="54"/>
  <c r="F47" i="56"/>
  <c r="F48" i="56"/>
  <c r="F64" i="56"/>
  <c r="F71" i="56"/>
  <c r="J64" i="57"/>
  <c r="J56" i="57"/>
  <c r="J46" i="57"/>
  <c r="J70" i="57"/>
  <c r="J54" i="57"/>
  <c r="V30" i="57"/>
  <c r="V34" i="57"/>
  <c r="V38" i="57"/>
  <c r="V46" i="57"/>
  <c r="V51" i="57"/>
  <c r="V67" i="57"/>
  <c r="J84" i="57"/>
  <c r="L12" i="58"/>
  <c r="R14" i="58"/>
  <c r="J27" i="58"/>
  <c r="F30" i="58"/>
  <c r="F31" i="58"/>
  <c r="F34" i="58"/>
  <c r="J37" i="58"/>
  <c r="J40" i="58"/>
  <c r="J44" i="58"/>
  <c r="J53" i="58"/>
  <c r="F60" i="58"/>
  <c r="F69" i="58"/>
  <c r="F24" i="60"/>
  <c r="N40" i="60"/>
  <c r="J44" i="60"/>
  <c r="Z19" i="64"/>
  <c r="Z67" i="57"/>
  <c r="N12" i="58"/>
  <c r="J20" i="58"/>
  <c r="J34" i="58"/>
  <c r="V59" i="57"/>
  <c r="V65" i="57"/>
  <c r="Z70" i="57"/>
  <c r="V77" i="57"/>
  <c r="R67" i="58"/>
  <c r="R66" i="58"/>
  <c r="R51" i="58"/>
  <c r="R50" i="58"/>
  <c r="R69" i="58"/>
  <c r="R68" i="58"/>
  <c r="R61" i="58"/>
  <c r="R60" i="58"/>
  <c r="R53" i="58"/>
  <c r="R52" i="58"/>
  <c r="R41" i="58"/>
  <c r="R40" i="58"/>
  <c r="R36" i="58"/>
  <c r="R32" i="58"/>
  <c r="X12" i="58"/>
  <c r="R71" i="58"/>
  <c r="R70" i="58"/>
  <c r="R63" i="58"/>
  <c r="R62" i="58"/>
  <c r="R55" i="58"/>
  <c r="R54" i="58"/>
  <c r="R76" i="58"/>
  <c r="R74" i="58"/>
  <c r="R78" i="58"/>
  <c r="R49" i="58"/>
  <c r="R48" i="58"/>
  <c r="F23" i="58"/>
  <c r="F26" i="58"/>
  <c r="J30" i="58"/>
  <c r="Z41" i="58"/>
  <c r="N47" i="58"/>
  <c r="Z53" i="58"/>
  <c r="J55" i="58"/>
  <c r="R58" i="58"/>
  <c r="F62" i="58"/>
  <c r="J69" i="58"/>
  <c r="N47" i="59"/>
  <c r="N51" i="59"/>
  <c r="Z19" i="60"/>
  <c r="Z42" i="60"/>
  <c r="J57" i="60"/>
  <c r="X12" i="59"/>
  <c r="J31" i="59"/>
  <c r="R32" i="59"/>
  <c r="J35" i="59"/>
  <c r="R36" i="59"/>
  <c r="J39" i="59"/>
  <c r="R40" i="59"/>
  <c r="R41" i="59"/>
  <c r="F47" i="59"/>
  <c r="F48" i="59"/>
  <c r="J49" i="59"/>
  <c r="R52" i="59"/>
  <c r="J55" i="59"/>
  <c r="F63" i="59"/>
  <c r="F64" i="59"/>
  <c r="J65" i="59"/>
  <c r="F75" i="59"/>
  <c r="F78" i="59"/>
  <c r="R21" i="60"/>
  <c r="R25" i="60"/>
  <c r="V40" i="60"/>
  <c r="R53" i="60"/>
  <c r="V54" i="60"/>
  <c r="R59" i="60"/>
  <c r="V61" i="60"/>
  <c r="R68" i="60"/>
  <c r="X12" i="61"/>
  <c r="J26" i="61"/>
  <c r="R27" i="61"/>
  <c r="R31" i="61"/>
  <c r="R40" i="61"/>
  <c r="J48" i="61"/>
  <c r="R50" i="61"/>
  <c r="R64" i="61"/>
  <c r="J21" i="64"/>
  <c r="V34" i="64"/>
  <c r="V36" i="64"/>
  <c r="Z45" i="64"/>
  <c r="J47" i="64"/>
  <c r="V49" i="64"/>
  <c r="R53" i="64"/>
  <c r="V76" i="64"/>
  <c r="Z40" i="68"/>
  <c r="Z69" i="69"/>
  <c r="N83" i="64"/>
  <c r="L83" i="64"/>
  <c r="L105" i="64"/>
  <c r="N105" i="64" s="1"/>
  <c r="D101" i="64"/>
  <c r="L101" i="64" s="1"/>
  <c r="N101" i="64" s="1"/>
  <c r="F51" i="68"/>
  <c r="F50" i="68"/>
  <c r="F39" i="68"/>
  <c r="F35" i="68"/>
  <c r="F31" i="68"/>
  <c r="F72" i="68"/>
  <c r="F69" i="68"/>
  <c r="F26" i="68"/>
  <c r="F22" i="68"/>
  <c r="F57" i="68"/>
  <c r="F41" i="68"/>
  <c r="F40" i="68"/>
  <c r="F52" i="68"/>
  <c r="F36" i="68"/>
  <c r="F32" i="68"/>
  <c r="L12" i="68"/>
  <c r="F59" i="68"/>
  <c r="F58" i="68"/>
  <c r="F43" i="68"/>
  <c r="F42" i="68"/>
  <c r="F27" i="68"/>
  <c r="F23" i="68"/>
  <c r="F54" i="68"/>
  <c r="F53" i="68"/>
  <c r="F61" i="68"/>
  <c r="F60" i="68"/>
  <c r="F45" i="68"/>
  <c r="F44" i="68"/>
  <c r="F37" i="68"/>
  <c r="F33" i="68"/>
  <c r="F28" i="68"/>
  <c r="F24" i="68"/>
  <c r="F20" i="68"/>
  <c r="F19" i="68"/>
  <c r="F55" i="68"/>
  <c r="F47" i="68"/>
  <c r="F46" i="68"/>
  <c r="F18" i="68"/>
  <c r="F16" i="68"/>
  <c r="F14" i="68"/>
  <c r="F67" i="68"/>
  <c r="F49" i="68"/>
  <c r="F48" i="68"/>
  <c r="F25" i="68"/>
  <c r="F21" i="68"/>
  <c r="F38" i="68"/>
  <c r="R31" i="59"/>
  <c r="J34" i="59"/>
  <c r="R35" i="59"/>
  <c r="J38" i="59"/>
  <c r="R39" i="59"/>
  <c r="J46" i="59"/>
  <c r="J54" i="59"/>
  <c r="R55" i="59"/>
  <c r="R56" i="59"/>
  <c r="J62" i="59"/>
  <c r="F73" i="59"/>
  <c r="P16" i="60"/>
  <c r="R20" i="60"/>
  <c r="R24" i="60"/>
  <c r="R28" i="60"/>
  <c r="R29" i="60"/>
  <c r="V47" i="60"/>
  <c r="R52" i="60"/>
  <c r="V57" i="60"/>
  <c r="R19" i="61"/>
  <c r="R26" i="61"/>
  <c r="N29" i="61"/>
  <c r="R56" i="61"/>
  <c r="J102" i="64"/>
  <c r="J101" i="64"/>
  <c r="J93" i="64"/>
  <c r="J81" i="64"/>
  <c r="J65" i="64"/>
  <c r="J55" i="64"/>
  <c r="J49" i="64"/>
  <c r="J41" i="64"/>
  <c r="J103" i="64"/>
  <c r="J94" i="64"/>
  <c r="J66" i="64"/>
  <c r="J56" i="64"/>
  <c r="J42" i="64"/>
  <c r="J36" i="64"/>
  <c r="J32" i="64"/>
  <c r="N12" i="64"/>
  <c r="J104" i="64"/>
  <c r="J95" i="64"/>
  <c r="J87" i="64"/>
  <c r="J75" i="64"/>
  <c r="J67" i="64"/>
  <c r="J43" i="64"/>
  <c r="J27" i="64"/>
  <c r="J23" i="64"/>
  <c r="J105" i="64"/>
  <c r="J82" i="64"/>
  <c r="J76" i="64"/>
  <c r="J68" i="64"/>
  <c r="J50" i="64"/>
  <c r="J107" i="64"/>
  <c r="J83" i="64"/>
  <c r="J77" i="64"/>
  <c r="J69" i="64"/>
  <c r="J57" i="64"/>
  <c r="J37" i="64"/>
  <c r="J33" i="64"/>
  <c r="J19" i="64"/>
  <c r="J109" i="64"/>
  <c r="J71" i="64"/>
  <c r="J59" i="64"/>
  <c r="J51" i="64"/>
  <c r="J45" i="64"/>
  <c r="J29" i="64"/>
  <c r="H16" i="64"/>
  <c r="J78" i="64"/>
  <c r="J72" i="64"/>
  <c r="J60" i="64"/>
  <c r="J52" i="64"/>
  <c r="J46" i="64"/>
  <c r="J38" i="64"/>
  <c r="J34" i="64"/>
  <c r="J30" i="64"/>
  <c r="J114" i="64"/>
  <c r="J111" i="64"/>
  <c r="J97" i="64"/>
  <c r="J89" i="64"/>
  <c r="J85" i="64"/>
  <c r="J73" i="64"/>
  <c r="J99" i="64"/>
  <c r="J91" i="64"/>
  <c r="J79" i="64"/>
  <c r="J63" i="64"/>
  <c r="J39" i="64"/>
  <c r="J35" i="64"/>
  <c r="J31" i="64"/>
  <c r="V14" i="64"/>
  <c r="R42" i="64"/>
  <c r="J54" i="64"/>
  <c r="Z55" i="64"/>
  <c r="J61" i="64"/>
  <c r="Z62" i="64"/>
  <c r="R75" i="64"/>
  <c r="Z90" i="64"/>
  <c r="V92" i="64"/>
  <c r="X16" i="68"/>
  <c r="Z58" i="68"/>
  <c r="Z52" i="70"/>
  <c r="H16" i="59"/>
  <c r="F24" i="59"/>
  <c r="F28" i="59"/>
  <c r="F43" i="59"/>
  <c r="F44" i="59"/>
  <c r="J45" i="59"/>
  <c r="R48" i="59"/>
  <c r="R49" i="59"/>
  <c r="R64" i="59"/>
  <c r="R65" i="59"/>
  <c r="F69" i="59"/>
  <c r="F71" i="59"/>
  <c r="J73" i="59"/>
  <c r="V20" i="60"/>
  <c r="V24" i="60"/>
  <c r="V28" i="60"/>
  <c r="R33" i="60"/>
  <c r="R37" i="60"/>
  <c r="R45" i="60"/>
  <c r="V52" i="60"/>
  <c r="V65" i="60"/>
  <c r="R36" i="61"/>
  <c r="R43" i="61"/>
  <c r="R47" i="61"/>
  <c r="R48" i="61"/>
  <c r="V64" i="64"/>
  <c r="R73" i="64"/>
  <c r="R81" i="64"/>
  <c r="Z83" i="64"/>
  <c r="R85" i="64"/>
  <c r="R103" i="64"/>
  <c r="Z48" i="70"/>
  <c r="X48" i="70"/>
  <c r="J14" i="59"/>
  <c r="J16" i="59"/>
  <c r="J18" i="59"/>
  <c r="J20" i="59"/>
  <c r="R21" i="59"/>
  <c r="J24" i="59"/>
  <c r="R25" i="59"/>
  <c r="J28" i="59"/>
  <c r="R29" i="59"/>
  <c r="R30" i="59"/>
  <c r="F33" i="59"/>
  <c r="F37" i="59"/>
  <c r="J44" i="59"/>
  <c r="F53" i="59"/>
  <c r="F60" i="59"/>
  <c r="F61" i="59"/>
  <c r="R56" i="60"/>
  <c r="R55" i="60"/>
  <c r="T16" i="60"/>
  <c r="R19" i="60"/>
  <c r="V29" i="60"/>
  <c r="V33" i="60"/>
  <c r="V37" i="60"/>
  <c r="V45" i="60"/>
  <c r="R51" i="60"/>
  <c r="X56" i="60"/>
  <c r="R63" i="60"/>
  <c r="P16" i="61"/>
  <c r="R22" i="61"/>
  <c r="R62" i="61"/>
  <c r="R69" i="61"/>
  <c r="R107" i="64"/>
  <c r="R83" i="64"/>
  <c r="R82" i="64"/>
  <c r="R50" i="64"/>
  <c r="R19" i="64"/>
  <c r="R77" i="64"/>
  <c r="R70" i="64"/>
  <c r="R69" i="64"/>
  <c r="R58" i="64"/>
  <c r="R57" i="64"/>
  <c r="R37" i="64"/>
  <c r="R33" i="64"/>
  <c r="R18" i="64"/>
  <c r="R16" i="64"/>
  <c r="R14" i="64"/>
  <c r="R96" i="64"/>
  <c r="R88" i="64"/>
  <c r="R84" i="64"/>
  <c r="R45" i="64"/>
  <c r="R44" i="64"/>
  <c r="R29" i="64"/>
  <c r="R28" i="64"/>
  <c r="R24" i="64"/>
  <c r="R20" i="64"/>
  <c r="P16" i="64"/>
  <c r="R109" i="64"/>
  <c r="R72" i="64"/>
  <c r="R71" i="64"/>
  <c r="R60" i="64"/>
  <c r="R59" i="64"/>
  <c r="R52" i="64"/>
  <c r="R51" i="64"/>
  <c r="R114" i="64"/>
  <c r="R111" i="64"/>
  <c r="R78" i="64"/>
  <c r="R47" i="64"/>
  <c r="R46" i="64"/>
  <c r="R38" i="64"/>
  <c r="R34" i="64"/>
  <c r="R30" i="64"/>
  <c r="R48" i="64"/>
  <c r="R99" i="64"/>
  <c r="R92" i="64"/>
  <c r="R91" i="64"/>
  <c r="R80" i="64"/>
  <c r="R79" i="64"/>
  <c r="R64" i="64"/>
  <c r="R63" i="64"/>
  <c r="R40" i="64"/>
  <c r="R39" i="64"/>
  <c r="R35" i="64"/>
  <c r="R31" i="64"/>
  <c r="R102" i="64"/>
  <c r="R101" i="64"/>
  <c r="R86" i="64"/>
  <c r="R74" i="64"/>
  <c r="R104" i="64"/>
  <c r="R56" i="64"/>
  <c r="R36" i="64"/>
  <c r="R32" i="64"/>
  <c r="X12" i="64"/>
  <c r="L16" i="64"/>
  <c r="D107" i="64"/>
  <c r="J20" i="64"/>
  <c r="J22" i="64"/>
  <c r="R27" i="64"/>
  <c r="N29" i="64"/>
  <c r="Z42" i="64"/>
  <c r="R61" i="64"/>
  <c r="N68" i="64"/>
  <c r="X83" i="64"/>
  <c r="R87" i="64"/>
  <c r="R89" i="64"/>
  <c r="J98" i="64"/>
  <c r="Z101" i="64"/>
  <c r="N18" i="68"/>
  <c r="X60" i="68"/>
  <c r="Z60" i="68" s="1"/>
  <c r="D12" i="69"/>
  <c r="J19" i="59"/>
  <c r="J33" i="59"/>
  <c r="R34" i="59"/>
  <c r="J37" i="59"/>
  <c r="R38" i="59"/>
  <c r="F41" i="59"/>
  <c r="F42" i="59"/>
  <c r="J43" i="59"/>
  <c r="R46" i="59"/>
  <c r="R47" i="59"/>
  <c r="J53" i="59"/>
  <c r="R54" i="59"/>
  <c r="J61" i="59"/>
  <c r="R62" i="59"/>
  <c r="R63" i="59"/>
  <c r="J69" i="59"/>
  <c r="J71" i="59"/>
  <c r="R75" i="59"/>
  <c r="R78" i="59"/>
  <c r="V14" i="60"/>
  <c r="V16" i="60"/>
  <c r="V18" i="60"/>
  <c r="R43" i="60"/>
  <c r="R44" i="60"/>
  <c r="V46" i="60"/>
  <c r="R50" i="60"/>
  <c r="N54" i="60"/>
  <c r="V63" i="60"/>
  <c r="R42" i="61"/>
  <c r="R55" i="61"/>
  <c r="V77" i="64"/>
  <c r="V69" i="64"/>
  <c r="V57" i="64"/>
  <c r="V45" i="64"/>
  <c r="V37" i="64"/>
  <c r="V33" i="64"/>
  <c r="V29" i="64"/>
  <c r="T16" i="64"/>
  <c r="V96" i="64"/>
  <c r="V88" i="64"/>
  <c r="V84" i="64"/>
  <c r="V72" i="64"/>
  <c r="V60" i="64"/>
  <c r="V52" i="64"/>
  <c r="V44" i="64"/>
  <c r="V28" i="64"/>
  <c r="V24" i="64"/>
  <c r="V20" i="64"/>
  <c r="V114" i="64"/>
  <c r="V111" i="64"/>
  <c r="V109" i="64"/>
  <c r="V71" i="64"/>
  <c r="V59" i="64"/>
  <c r="V51" i="64"/>
  <c r="V47" i="64"/>
  <c r="V98" i="64"/>
  <c r="V90" i="64"/>
  <c r="V78" i="64"/>
  <c r="V62" i="64"/>
  <c r="V97" i="64"/>
  <c r="V89" i="64"/>
  <c r="V85" i="64"/>
  <c r="V73" i="64"/>
  <c r="V61" i="64"/>
  <c r="V53" i="64"/>
  <c r="V25" i="64"/>
  <c r="V21" i="64"/>
  <c r="V101" i="64"/>
  <c r="V99" i="64"/>
  <c r="V91" i="64"/>
  <c r="V79" i="64"/>
  <c r="V63" i="64"/>
  <c r="V55" i="64"/>
  <c r="V39" i="64"/>
  <c r="V35" i="64"/>
  <c r="V31" i="64"/>
  <c r="V102" i="64"/>
  <c r="V94" i="64"/>
  <c r="V86" i="64"/>
  <c r="V74" i="64"/>
  <c r="V66" i="64"/>
  <c r="V54" i="64"/>
  <c r="V42" i="64"/>
  <c r="V26" i="64"/>
  <c r="V22" i="64"/>
  <c r="V103" i="64"/>
  <c r="V93" i="64"/>
  <c r="V81" i="64"/>
  <c r="V107" i="64"/>
  <c r="V105" i="64"/>
  <c r="V95" i="64"/>
  <c r="V87" i="64"/>
  <c r="V83" i="64"/>
  <c r="V75" i="64"/>
  <c r="V67" i="64"/>
  <c r="V43" i="64"/>
  <c r="V27" i="64"/>
  <c r="V23" i="64"/>
  <c r="V19" i="64"/>
  <c r="V18" i="64"/>
  <c r="V46" i="64"/>
  <c r="V48" i="64"/>
  <c r="F23" i="59"/>
  <c r="F27" i="59"/>
  <c r="J42" i="59"/>
  <c r="F58" i="59"/>
  <c r="F59" i="59"/>
  <c r="J60" i="59"/>
  <c r="F67" i="59"/>
  <c r="R73" i="59"/>
  <c r="X12" i="60"/>
  <c r="V19" i="60"/>
  <c r="V23" i="60"/>
  <c r="V27" i="60"/>
  <c r="R32" i="60"/>
  <c r="R36" i="60"/>
  <c r="V43" i="60"/>
  <c r="V50" i="60"/>
  <c r="V51" i="60"/>
  <c r="V56" i="60"/>
  <c r="R25" i="61"/>
  <c r="R29" i="61"/>
  <c r="R41" i="61"/>
  <c r="R54" i="61"/>
  <c r="R60" i="61"/>
  <c r="Z12" i="64"/>
  <c r="J16" i="64"/>
  <c r="V41" i="64"/>
  <c r="R65" i="64"/>
  <c r="R68" i="64"/>
  <c r="J70" i="64"/>
  <c r="J74" i="64"/>
  <c r="J84" i="64"/>
  <c r="F30" i="68"/>
  <c r="L12" i="59"/>
  <c r="P16" i="59"/>
  <c r="R20" i="59"/>
  <c r="J23" i="59"/>
  <c r="R24" i="59"/>
  <c r="J27" i="59"/>
  <c r="R28" i="59"/>
  <c r="F32" i="59"/>
  <c r="F36" i="59"/>
  <c r="F40" i="59"/>
  <c r="J41" i="59"/>
  <c r="R44" i="59"/>
  <c r="R45" i="59"/>
  <c r="F51" i="59"/>
  <c r="F52" i="59"/>
  <c r="J59" i="59"/>
  <c r="J67" i="59"/>
  <c r="Z12" i="60"/>
  <c r="V32" i="60"/>
  <c r="V36" i="60"/>
  <c r="R41" i="60"/>
  <c r="R42" i="60"/>
  <c r="V44" i="60"/>
  <c r="V55" i="60"/>
  <c r="J69" i="61"/>
  <c r="J66" i="61"/>
  <c r="J52" i="61"/>
  <c r="J42" i="61"/>
  <c r="J36" i="61"/>
  <c r="J32" i="61"/>
  <c r="N12" i="61"/>
  <c r="J55" i="61"/>
  <c r="J45" i="61"/>
  <c r="J37" i="61"/>
  <c r="J33" i="61"/>
  <c r="J19" i="61"/>
  <c r="J51" i="61"/>
  <c r="J39" i="61"/>
  <c r="J24" i="61"/>
  <c r="R32" i="61"/>
  <c r="R35" i="61"/>
  <c r="J50" i="61"/>
  <c r="R51" i="61"/>
  <c r="R66" i="61"/>
  <c r="L14" i="64"/>
  <c r="R22" i="64"/>
  <c r="J26" i="64"/>
  <c r="Z29" i="64"/>
  <c r="V56" i="64"/>
  <c r="J58" i="64"/>
  <c r="V65" i="64"/>
  <c r="N76" i="64"/>
  <c r="J86" i="64"/>
  <c r="R98" i="64"/>
  <c r="Z18" i="68"/>
  <c r="N42" i="68"/>
  <c r="F65" i="68"/>
  <c r="N45" i="69"/>
  <c r="X63" i="58"/>
  <c r="Z63" i="58" s="1"/>
  <c r="X71" i="58"/>
  <c r="Z71" i="58" s="1"/>
  <c r="N12" i="59"/>
  <c r="J32" i="59"/>
  <c r="R33" i="59"/>
  <c r="J36" i="59"/>
  <c r="R37" i="59"/>
  <c r="J40" i="59"/>
  <c r="J52" i="59"/>
  <c r="R53" i="59"/>
  <c r="F56" i="59"/>
  <c r="F57" i="59"/>
  <c r="J58" i="59"/>
  <c r="R61" i="59"/>
  <c r="R22" i="60"/>
  <c r="R26" i="60"/>
  <c r="V41" i="60"/>
  <c r="R49" i="60"/>
  <c r="N57" i="61"/>
  <c r="V16" i="64"/>
  <c r="V68" i="64"/>
  <c r="V82" i="64"/>
  <c r="L17" i="70"/>
  <c r="N17" i="70" s="1"/>
  <c r="D22" i="70"/>
  <c r="R19" i="59"/>
  <c r="F22" i="59"/>
  <c r="F26" i="59"/>
  <c r="R42" i="59"/>
  <c r="R43" i="59"/>
  <c r="F49" i="59"/>
  <c r="F50" i="59"/>
  <c r="J51" i="59"/>
  <c r="F65" i="59"/>
  <c r="R69" i="59"/>
  <c r="V22" i="60"/>
  <c r="V26" i="60"/>
  <c r="R31" i="60"/>
  <c r="R35" i="60"/>
  <c r="R39" i="60"/>
  <c r="R40" i="60"/>
  <c r="V42" i="60"/>
  <c r="R48" i="60"/>
  <c r="R54" i="60"/>
  <c r="R61" i="60"/>
  <c r="R46" i="61"/>
  <c r="R45" i="61"/>
  <c r="R37" i="61"/>
  <c r="R33" i="61"/>
  <c r="R18" i="61"/>
  <c r="R16" i="61"/>
  <c r="R14" i="61"/>
  <c r="R58" i="61"/>
  <c r="R38" i="61"/>
  <c r="R34" i="61"/>
  <c r="R30" i="61"/>
  <c r="R53" i="61"/>
  <c r="R52" i="61"/>
  <c r="N44" i="61"/>
  <c r="N19" i="64"/>
  <c r="V38" i="64"/>
  <c r="L47" i="64"/>
  <c r="J53" i="64"/>
  <c r="V70" i="64"/>
  <c r="R76" i="64"/>
  <c r="R97" i="64"/>
  <c r="P69" i="68"/>
  <c r="F34" i="68"/>
  <c r="Z42" i="68"/>
  <c r="J71" i="73"/>
  <c r="F47" i="64"/>
  <c r="F48" i="64"/>
  <c r="F111" i="64"/>
  <c r="F114" i="64"/>
  <c r="Z12" i="68"/>
  <c r="Z14" i="68"/>
  <c r="V32" i="68"/>
  <c r="V36" i="68"/>
  <c r="R41" i="68"/>
  <c r="R42" i="68"/>
  <c r="V44" i="68"/>
  <c r="J50" i="68"/>
  <c r="V52" i="68"/>
  <c r="J56" i="68"/>
  <c r="R57" i="68"/>
  <c r="R58" i="68"/>
  <c r="V60" i="68"/>
  <c r="V81" i="69"/>
  <c r="V84" i="69"/>
  <c r="Z110" i="69"/>
  <c r="D12" i="71"/>
  <c r="Z84" i="75"/>
  <c r="P12" i="69"/>
  <c r="N73" i="71"/>
  <c r="D118" i="71"/>
  <c r="L118" i="71" s="1"/>
  <c r="N118" i="71" s="1"/>
  <c r="L122" i="71"/>
  <c r="N122" i="71" s="1"/>
  <c r="F109" i="64"/>
  <c r="H16" i="68"/>
  <c r="J55" i="68"/>
  <c r="J63" i="68"/>
  <c r="J65" i="68"/>
  <c r="R69" i="68"/>
  <c r="R72" i="68"/>
  <c r="V122" i="69"/>
  <c r="V104" i="69"/>
  <c r="V92" i="69"/>
  <c r="V111" i="69"/>
  <c r="V103" i="69"/>
  <c r="V95" i="69"/>
  <c r="V87" i="69"/>
  <c r="V83" i="69"/>
  <c r="V113" i="69"/>
  <c r="V105" i="69"/>
  <c r="V115" i="69"/>
  <c r="V107" i="69"/>
  <c r="V114" i="69"/>
  <c r="V106" i="69"/>
  <c r="V98" i="69"/>
  <c r="V97" i="69"/>
  <c r="V89" i="69"/>
  <c r="V85" i="69"/>
  <c r="V118" i="69"/>
  <c r="V116" i="69"/>
  <c r="V108" i="69"/>
  <c r="V100" i="69"/>
  <c r="V110" i="69"/>
  <c r="V102" i="69"/>
  <c r="V90" i="69"/>
  <c r="V86" i="69"/>
  <c r="T67" i="69"/>
  <c r="V80" i="69"/>
  <c r="V88" i="69"/>
  <c r="F63" i="70"/>
  <c r="F62" i="70"/>
  <c r="F31" i="70"/>
  <c r="F27" i="70"/>
  <c r="F54" i="70"/>
  <c r="F18" i="70"/>
  <c r="F17" i="70"/>
  <c r="F64" i="70"/>
  <c r="F56" i="70"/>
  <c r="F55" i="70"/>
  <c r="F32" i="70"/>
  <c r="F28" i="70"/>
  <c r="F71" i="70"/>
  <c r="F70" i="70"/>
  <c r="F47" i="70"/>
  <c r="F46" i="70"/>
  <c r="F58" i="70"/>
  <c r="F57" i="70"/>
  <c r="F42" i="70"/>
  <c r="F38" i="70"/>
  <c r="L12" i="70"/>
  <c r="N12" i="70" s="1"/>
  <c r="F73" i="70"/>
  <c r="F72" i="70"/>
  <c r="F65" i="70"/>
  <c r="F49" i="70"/>
  <c r="F48" i="70"/>
  <c r="F33" i="70"/>
  <c r="F29" i="70"/>
  <c r="F60" i="70"/>
  <c r="F59" i="70"/>
  <c r="F20" i="70"/>
  <c r="F67" i="70"/>
  <c r="F66" i="70"/>
  <c r="F51" i="70"/>
  <c r="F50" i="70"/>
  <c r="F43" i="70"/>
  <c r="F39" i="70"/>
  <c r="F79" i="70"/>
  <c r="F61" i="70"/>
  <c r="F53" i="70"/>
  <c r="F52" i="70"/>
  <c r="F24" i="70"/>
  <c r="F22" i="70"/>
  <c r="F68" i="70"/>
  <c r="H77" i="70"/>
  <c r="N25" i="70"/>
  <c r="N35" i="70"/>
  <c r="F41" i="70"/>
  <c r="F75" i="70"/>
  <c r="N84" i="71"/>
  <c r="X98" i="71"/>
  <c r="Z114" i="71"/>
  <c r="V54" i="74"/>
  <c r="T95" i="74"/>
  <c r="R99" i="75"/>
  <c r="R98" i="75"/>
  <c r="R91" i="75"/>
  <c r="R90" i="75"/>
  <c r="R74" i="75"/>
  <c r="R70" i="75"/>
  <c r="R55" i="75"/>
  <c r="R35" i="75"/>
  <c r="X12" i="75"/>
  <c r="Z12" i="75" s="1"/>
  <c r="R113" i="75"/>
  <c r="R105" i="75"/>
  <c r="R82" i="75"/>
  <c r="R81" i="75"/>
  <c r="R66" i="75"/>
  <c r="R65" i="75"/>
  <c r="R61" i="75"/>
  <c r="R57" i="75"/>
  <c r="P53" i="75"/>
  <c r="R53" i="75" s="1"/>
  <c r="R84" i="75"/>
  <c r="R83" i="75"/>
  <c r="R75" i="75"/>
  <c r="R71" i="75"/>
  <c r="R67" i="75"/>
  <c r="R114" i="75"/>
  <c r="R106" i="75"/>
  <c r="R95" i="75"/>
  <c r="R94" i="75"/>
  <c r="R62" i="75"/>
  <c r="R58" i="75"/>
  <c r="R117" i="75"/>
  <c r="R102" i="75"/>
  <c r="R101" i="75"/>
  <c r="R85" i="75"/>
  <c r="R49" i="75"/>
  <c r="R45" i="75"/>
  <c r="R41" i="75"/>
  <c r="R37" i="75"/>
  <c r="R118" i="75"/>
  <c r="R96" i="75"/>
  <c r="R77" i="75"/>
  <c r="R76" i="75"/>
  <c r="R72" i="75"/>
  <c r="R68" i="75"/>
  <c r="R119" i="75"/>
  <c r="R108" i="75"/>
  <c r="R107" i="75"/>
  <c r="R103" i="75"/>
  <c r="R63" i="75"/>
  <c r="R59" i="75"/>
  <c r="R86" i="75"/>
  <c r="R47" i="75"/>
  <c r="R42" i="75"/>
  <c r="R104" i="75"/>
  <c r="R92" i="75"/>
  <c r="R87" i="75"/>
  <c r="R50" i="75"/>
  <c r="R111" i="75"/>
  <c r="R40" i="75"/>
  <c r="R123" i="75"/>
  <c r="R80" i="75"/>
  <c r="R64" i="75"/>
  <c r="R109" i="75"/>
  <c r="R97" i="75"/>
  <c r="R48" i="75"/>
  <c r="R43" i="75"/>
  <c r="R38" i="75"/>
  <c r="R112" i="75"/>
  <c r="R93" i="75"/>
  <c r="R60" i="75"/>
  <c r="R88" i="75"/>
  <c r="R51" i="75"/>
  <c r="R46" i="75"/>
  <c r="R110" i="75"/>
  <c r="R100" i="75"/>
  <c r="R78" i="75"/>
  <c r="R73" i="75"/>
  <c r="R56" i="75"/>
  <c r="R36" i="75"/>
  <c r="R89" i="75"/>
  <c r="R79" i="75"/>
  <c r="R44" i="75"/>
  <c r="R39" i="75"/>
  <c r="F19" i="64"/>
  <c r="F20" i="64"/>
  <c r="F24" i="64"/>
  <c r="F28" i="64"/>
  <c r="F44" i="64"/>
  <c r="F83" i="64"/>
  <c r="F84" i="64"/>
  <c r="F88" i="64"/>
  <c r="F96" i="64"/>
  <c r="F107" i="64"/>
  <c r="J14" i="68"/>
  <c r="J16" i="68"/>
  <c r="J18" i="68"/>
  <c r="J20" i="68"/>
  <c r="R21" i="68"/>
  <c r="J24" i="68"/>
  <c r="R25" i="68"/>
  <c r="J28" i="68"/>
  <c r="V40" i="68"/>
  <c r="J46" i="68"/>
  <c r="R49" i="68"/>
  <c r="R50" i="68"/>
  <c r="V56" i="68"/>
  <c r="R67" i="68"/>
  <c r="V45" i="69"/>
  <c r="V49" i="69"/>
  <c r="V53" i="69"/>
  <c r="V57" i="69"/>
  <c r="V61" i="69"/>
  <c r="V65" i="69"/>
  <c r="V67" i="69"/>
  <c r="V69" i="69"/>
  <c r="X80" i="69"/>
  <c r="Z80" i="69" s="1"/>
  <c r="V91" i="69"/>
  <c r="N100" i="69"/>
  <c r="X25" i="70"/>
  <c r="Z25" i="70" s="1"/>
  <c r="V45" i="70"/>
  <c r="N70" i="70"/>
  <c r="Z73" i="71"/>
  <c r="N91" i="71"/>
  <c r="Z98" i="71"/>
  <c r="Z100" i="71"/>
  <c r="N82" i="73"/>
  <c r="J82" i="73"/>
  <c r="F53" i="61"/>
  <c r="F54" i="61"/>
  <c r="F50" i="64"/>
  <c r="F82" i="64"/>
  <c r="F105" i="64"/>
  <c r="J44" i="68"/>
  <c r="R47" i="68"/>
  <c r="R48" i="68"/>
  <c r="V50" i="68"/>
  <c r="J54" i="68"/>
  <c r="R55" i="68"/>
  <c r="J60" i="68"/>
  <c r="V93" i="69"/>
  <c r="X100" i="69"/>
  <c r="V66" i="70"/>
  <c r="V58" i="70"/>
  <c r="V50" i="70"/>
  <c r="V42" i="70"/>
  <c r="V38" i="70"/>
  <c r="V75" i="70"/>
  <c r="V73" i="70"/>
  <c r="V65" i="70"/>
  <c r="V49" i="70"/>
  <c r="V33" i="70"/>
  <c r="V29" i="70"/>
  <c r="V25" i="70"/>
  <c r="V67" i="70"/>
  <c r="V51" i="70"/>
  <c r="V43" i="70"/>
  <c r="V39" i="70"/>
  <c r="V35" i="70"/>
  <c r="T22" i="70"/>
  <c r="V62" i="70"/>
  <c r="V79" i="70"/>
  <c r="V61" i="70"/>
  <c r="V53" i="70"/>
  <c r="V17" i="70"/>
  <c r="V68" i="70"/>
  <c r="V44" i="70"/>
  <c r="V40" i="70"/>
  <c r="V36" i="70"/>
  <c r="V63" i="70"/>
  <c r="V55" i="70"/>
  <c r="V31" i="70"/>
  <c r="V27" i="70"/>
  <c r="V70" i="70"/>
  <c r="V54" i="70"/>
  <c r="V46" i="70"/>
  <c r="V18" i="70"/>
  <c r="V72" i="70"/>
  <c r="V64" i="70"/>
  <c r="V56" i="70"/>
  <c r="V48" i="70"/>
  <c r="V32" i="70"/>
  <c r="V28" i="70"/>
  <c r="V71" i="70"/>
  <c r="V59" i="70"/>
  <c r="L24" i="70"/>
  <c r="F30" i="70"/>
  <c r="F34" i="70"/>
  <c r="Z35" i="70"/>
  <c r="V41" i="70"/>
  <c r="N57" i="70"/>
  <c r="X70" i="70"/>
  <c r="Z72" i="70"/>
  <c r="X75" i="70"/>
  <c r="N89" i="71"/>
  <c r="N103" i="71"/>
  <c r="D12" i="83"/>
  <c r="L15" i="83"/>
  <c r="N15" i="83" s="1"/>
  <c r="L44" i="68"/>
  <c r="N44" i="68" s="1"/>
  <c r="X50" i="68"/>
  <c r="Z50" i="68" s="1"/>
  <c r="L60" i="68"/>
  <c r="N60" i="68" s="1"/>
  <c r="Z100" i="69"/>
  <c r="N24" i="70"/>
  <c r="Z70" i="70"/>
  <c r="X91" i="75"/>
  <c r="Z91" i="75" s="1"/>
  <c r="V91" i="75"/>
  <c r="D116" i="75"/>
  <c r="L116" i="75" s="1"/>
  <c r="L117" i="75"/>
  <c r="N117" i="75" s="1"/>
  <c r="F32" i="64"/>
  <c r="F36" i="64"/>
  <c r="F55" i="64"/>
  <c r="F56" i="64"/>
  <c r="F101" i="64"/>
  <c r="F103" i="64"/>
  <c r="N12" i="68"/>
  <c r="R14" i="68"/>
  <c r="R16" i="68"/>
  <c r="R18" i="68"/>
  <c r="V20" i="68"/>
  <c r="V24" i="68"/>
  <c r="V28" i="68"/>
  <c r="J32" i="68"/>
  <c r="R33" i="68"/>
  <c r="J36" i="68"/>
  <c r="R37" i="68"/>
  <c r="J42" i="68"/>
  <c r="R45" i="68"/>
  <c r="R46" i="68"/>
  <c r="V48" i="68"/>
  <c r="J52" i="68"/>
  <c r="J58" i="68"/>
  <c r="R61" i="68"/>
  <c r="L13" i="69"/>
  <c r="N13" i="69" s="1"/>
  <c r="V73" i="69"/>
  <c r="V77" i="69"/>
  <c r="Z113" i="69"/>
  <c r="F26" i="70"/>
  <c r="F69" i="70"/>
  <c r="Z89" i="71"/>
  <c r="X103" i="71"/>
  <c r="Z103" i="71" s="1"/>
  <c r="F40" i="61"/>
  <c r="F40" i="64"/>
  <c r="F41" i="64"/>
  <c r="F49" i="64"/>
  <c r="F64" i="64"/>
  <c r="F65" i="64"/>
  <c r="F80" i="64"/>
  <c r="F81" i="64"/>
  <c r="F92" i="64"/>
  <c r="F93" i="64"/>
  <c r="F102" i="64"/>
  <c r="R19" i="68"/>
  <c r="V29" i="68"/>
  <c r="V33" i="68"/>
  <c r="V37" i="68"/>
  <c r="J41" i="68"/>
  <c r="V45" i="68"/>
  <c r="R54" i="68"/>
  <c r="J57" i="68"/>
  <c r="V61" i="68"/>
  <c r="V63" i="68"/>
  <c r="V65" i="68"/>
  <c r="V82" i="69"/>
  <c r="Z102" i="69"/>
  <c r="V30" i="70"/>
  <c r="V34" i="70"/>
  <c r="F36" i="70"/>
  <c r="F40" i="70"/>
  <c r="L52" i="70"/>
  <c r="Z105" i="71"/>
  <c r="X13" i="74"/>
  <c r="Z13" i="74" s="1"/>
  <c r="P12" i="74"/>
  <c r="V89" i="75"/>
  <c r="F22" i="64"/>
  <c r="F26" i="64"/>
  <c r="F54" i="64"/>
  <c r="F74" i="64"/>
  <c r="V14" i="68"/>
  <c r="V16" i="68"/>
  <c r="V18" i="68"/>
  <c r="J22" i="68"/>
  <c r="R23" i="68"/>
  <c r="J26" i="68"/>
  <c r="R27" i="68"/>
  <c r="R43" i="68"/>
  <c r="R44" i="68"/>
  <c r="V46" i="68"/>
  <c r="R59" i="68"/>
  <c r="V47" i="69"/>
  <c r="V51" i="69"/>
  <c r="V55" i="69"/>
  <c r="V59" i="69"/>
  <c r="V63" i="69"/>
  <c r="N91" i="69"/>
  <c r="Z104" i="69"/>
  <c r="V26" i="70"/>
  <c r="N52" i="70"/>
  <c r="P12" i="71"/>
  <c r="R69" i="75"/>
  <c r="J44" i="71"/>
  <c r="J48" i="71"/>
  <c r="J52" i="71"/>
  <c r="J56" i="71"/>
  <c r="T59" i="71"/>
  <c r="J92" i="71"/>
  <c r="J108" i="71"/>
  <c r="J116" i="71"/>
  <c r="V120" i="71"/>
  <c r="L82" i="73"/>
  <c r="Z36" i="74"/>
  <c r="Z35" i="75"/>
  <c r="X89" i="75"/>
  <c r="Z89" i="75" s="1"/>
  <c r="J99" i="77"/>
  <c r="J91" i="77"/>
  <c r="J53" i="77"/>
  <c r="J49" i="77"/>
  <c r="J45" i="77"/>
  <c r="J41" i="77"/>
  <c r="J100" i="77"/>
  <c r="J92" i="77"/>
  <c r="J80" i="77"/>
  <c r="J76" i="77"/>
  <c r="J72" i="77"/>
  <c r="J101" i="77"/>
  <c r="J93" i="77"/>
  <c r="J81" i="77"/>
  <c r="J67" i="77"/>
  <c r="J63" i="77"/>
  <c r="J102" i="77"/>
  <c r="J94" i="77"/>
  <c r="J82" i="77"/>
  <c r="J54" i="77"/>
  <c r="J50" i="77"/>
  <c r="J46" i="77"/>
  <c r="J42" i="77"/>
  <c r="J105" i="77"/>
  <c r="J104" i="77"/>
  <c r="J106" i="77"/>
  <c r="J95" i="77"/>
  <c r="J85" i="77"/>
  <c r="H56" i="77"/>
  <c r="J51" i="77"/>
  <c r="J47" i="77"/>
  <c r="J43" i="77"/>
  <c r="J107" i="77"/>
  <c r="J96" i="77"/>
  <c r="J86" i="77"/>
  <c r="J78" i="77"/>
  <c r="J74" i="77"/>
  <c r="J97" i="77"/>
  <c r="J87" i="77"/>
  <c r="J69" i="77"/>
  <c r="J65" i="77"/>
  <c r="J61" i="77"/>
  <c r="J71" i="77"/>
  <c r="J44" i="77"/>
  <c r="J90" i="77"/>
  <c r="J83" i="77"/>
  <c r="J58" i="77"/>
  <c r="J88" i="77"/>
  <c r="J111" i="77"/>
  <c r="J59" i="77"/>
  <c r="J70" i="77"/>
  <c r="J79" i="77"/>
  <c r="J40" i="77"/>
  <c r="R67" i="79"/>
  <c r="R56" i="79"/>
  <c r="R55" i="79"/>
  <c r="R19" i="79"/>
  <c r="R68" i="79"/>
  <c r="R47" i="79"/>
  <c r="R46" i="79"/>
  <c r="R42" i="79"/>
  <c r="R38" i="79"/>
  <c r="X12" i="79"/>
  <c r="R69" i="79"/>
  <c r="R58" i="79"/>
  <c r="R57" i="79"/>
  <c r="R33" i="79"/>
  <c r="R29" i="79"/>
  <c r="R49" i="79"/>
  <c r="R48" i="79"/>
  <c r="R20" i="79"/>
  <c r="R51" i="79"/>
  <c r="R50" i="79"/>
  <c r="R34" i="79"/>
  <c r="R30" i="79"/>
  <c r="R73" i="79"/>
  <c r="R21" i="79"/>
  <c r="R61" i="79"/>
  <c r="R60" i="79"/>
  <c r="R52" i="79"/>
  <c r="R44" i="79"/>
  <c r="R40" i="79"/>
  <c r="R17" i="79"/>
  <c r="R36" i="79"/>
  <c r="R35" i="79"/>
  <c r="R31" i="79"/>
  <c r="R66" i="79"/>
  <c r="R26" i="79"/>
  <c r="R45" i="79"/>
  <c r="R22" i="79"/>
  <c r="R43" i="79"/>
  <c r="R27" i="79"/>
  <c r="R53" i="79"/>
  <c r="R41" i="79"/>
  <c r="R37" i="79"/>
  <c r="R79" i="80"/>
  <c r="R64" i="80"/>
  <c r="R57" i="80"/>
  <c r="R56" i="80"/>
  <c r="R45" i="80"/>
  <c r="R44" i="80"/>
  <c r="R40" i="80"/>
  <c r="R36" i="80"/>
  <c r="R17" i="80"/>
  <c r="R71" i="80"/>
  <c r="R31" i="80"/>
  <c r="R27" i="80"/>
  <c r="R59" i="80"/>
  <c r="R58" i="80"/>
  <c r="R47" i="80"/>
  <c r="R46" i="80"/>
  <c r="R18" i="80"/>
  <c r="R83" i="80"/>
  <c r="R66" i="80"/>
  <c r="R65" i="80"/>
  <c r="R41" i="80"/>
  <c r="R37" i="80"/>
  <c r="R67" i="80"/>
  <c r="R19" i="80"/>
  <c r="R51" i="80"/>
  <c r="R50" i="80"/>
  <c r="R42" i="80"/>
  <c r="R38" i="80"/>
  <c r="X12" i="80"/>
  <c r="Z12" i="80" s="1"/>
  <c r="R74" i="80"/>
  <c r="R73" i="80"/>
  <c r="R61" i="80"/>
  <c r="R34" i="80"/>
  <c r="R33" i="80"/>
  <c r="R29" i="80"/>
  <c r="R68" i="80"/>
  <c r="R53" i="80"/>
  <c r="R52" i="80"/>
  <c r="R25" i="80"/>
  <c r="R20" i="80"/>
  <c r="R76" i="80"/>
  <c r="R62" i="80"/>
  <c r="R48" i="80"/>
  <c r="R43" i="80"/>
  <c r="R60" i="80"/>
  <c r="R39" i="80"/>
  <c r="R32" i="80"/>
  <c r="R69" i="80"/>
  <c r="R30" i="80"/>
  <c r="R28" i="80"/>
  <c r="R26" i="80"/>
  <c r="R63" i="80"/>
  <c r="R35" i="80"/>
  <c r="R24" i="80"/>
  <c r="R49" i="80"/>
  <c r="R72" i="80"/>
  <c r="R77" i="80"/>
  <c r="R70" i="80"/>
  <c r="P22" i="80"/>
  <c r="R55" i="80"/>
  <c r="P12" i="81"/>
  <c r="X13" i="81"/>
  <c r="J36" i="70"/>
  <c r="R37" i="70"/>
  <c r="J40" i="70"/>
  <c r="R41" i="70"/>
  <c r="J44" i="70"/>
  <c r="R45" i="70"/>
  <c r="R46" i="70"/>
  <c r="J62" i="70"/>
  <c r="J68" i="70"/>
  <c r="R69" i="70"/>
  <c r="R70" i="70"/>
  <c r="V41" i="71"/>
  <c r="V45" i="71"/>
  <c r="V49" i="71"/>
  <c r="V53" i="71"/>
  <c r="V57" i="71"/>
  <c r="V59" i="71"/>
  <c r="V61" i="71"/>
  <c r="J65" i="71"/>
  <c r="J69" i="71"/>
  <c r="V85" i="71"/>
  <c r="J91" i="71"/>
  <c r="J101" i="71"/>
  <c r="V105" i="71"/>
  <c r="V126" i="71"/>
  <c r="V29" i="73"/>
  <c r="V69" i="73"/>
  <c r="L71" i="73"/>
  <c r="N71" i="73" s="1"/>
  <c r="L57" i="74"/>
  <c r="N57" i="74" s="1"/>
  <c r="V70" i="74"/>
  <c r="N65" i="76"/>
  <c r="R39" i="79"/>
  <c r="J22" i="70"/>
  <c r="J24" i="70"/>
  <c r="J26" i="70"/>
  <c r="R27" i="70"/>
  <c r="J30" i="70"/>
  <c r="R31" i="70"/>
  <c r="J34" i="70"/>
  <c r="J52" i="70"/>
  <c r="R63" i="70"/>
  <c r="J43" i="71"/>
  <c r="J47" i="71"/>
  <c r="J51" i="71"/>
  <c r="J55" i="71"/>
  <c r="X62" i="71"/>
  <c r="Z62" i="71" s="1"/>
  <c r="J73" i="71"/>
  <c r="V75" i="71"/>
  <c r="V79" i="71"/>
  <c r="V83" i="71"/>
  <c r="X86" i="71"/>
  <c r="Z86" i="71" s="1"/>
  <c r="J89" i="71"/>
  <c r="J99" i="71"/>
  <c r="L100" i="71"/>
  <c r="N100" i="71" s="1"/>
  <c r="V103" i="71"/>
  <c r="J107" i="71"/>
  <c r="J115" i="71"/>
  <c r="V118" i="71"/>
  <c r="D12" i="73"/>
  <c r="Z65" i="73"/>
  <c r="F64" i="79"/>
  <c r="R32" i="79"/>
  <c r="R54" i="79"/>
  <c r="R17" i="70"/>
  <c r="J25" i="70"/>
  <c r="R36" i="70"/>
  <c r="J39" i="70"/>
  <c r="R40" i="70"/>
  <c r="J43" i="70"/>
  <c r="R44" i="70"/>
  <c r="J51" i="70"/>
  <c r="J67" i="70"/>
  <c r="R68" i="70"/>
  <c r="J75" i="70"/>
  <c r="J77" i="70"/>
  <c r="V44" i="71"/>
  <c r="V48" i="71"/>
  <c r="V52" i="71"/>
  <c r="V56" i="71"/>
  <c r="J64" i="71"/>
  <c r="J68" i="71"/>
  <c r="J72" i="71"/>
  <c r="V84" i="71"/>
  <c r="J88" i="71"/>
  <c r="V92" i="71"/>
  <c r="J98" i="71"/>
  <c r="V108" i="71"/>
  <c r="J114" i="71"/>
  <c r="V116" i="71"/>
  <c r="J122" i="71"/>
  <c r="V34" i="73"/>
  <c r="V49" i="73"/>
  <c r="L51" i="73"/>
  <c r="Z53" i="73"/>
  <c r="V61" i="73"/>
  <c r="L63" i="73"/>
  <c r="N63" i="73" s="1"/>
  <c r="V64" i="73"/>
  <c r="V65" i="73"/>
  <c r="L77" i="73"/>
  <c r="N77" i="73" s="1"/>
  <c r="V79" i="73"/>
  <c r="V46" i="74"/>
  <c r="Z57" i="74"/>
  <c r="V67" i="74"/>
  <c r="X79" i="74"/>
  <c r="Z79" i="74" s="1"/>
  <c r="Z82" i="74"/>
  <c r="Z56" i="75"/>
  <c r="J77" i="75"/>
  <c r="Z110" i="75"/>
  <c r="Z67" i="76"/>
  <c r="X77" i="76"/>
  <c r="Z77" i="76" s="1"/>
  <c r="J56" i="77"/>
  <c r="Z54" i="79"/>
  <c r="R22" i="80"/>
  <c r="R54" i="80"/>
  <c r="L70" i="80"/>
  <c r="N70" i="80" s="1"/>
  <c r="Z57" i="81"/>
  <c r="J20" i="70"/>
  <c r="J50" i="70"/>
  <c r="R53" i="70"/>
  <c r="J60" i="70"/>
  <c r="R61" i="70"/>
  <c r="R62" i="70"/>
  <c r="J66" i="70"/>
  <c r="R79" i="70"/>
  <c r="V65" i="71"/>
  <c r="V69" i="71"/>
  <c r="J77" i="71"/>
  <c r="J81" i="71"/>
  <c r="V93" i="71"/>
  <c r="J97" i="71"/>
  <c r="V101" i="71"/>
  <c r="V109" i="71"/>
  <c r="J113" i="71"/>
  <c r="Z20" i="73"/>
  <c r="V52" i="73"/>
  <c r="V53" i="73"/>
  <c r="V56" i="73"/>
  <c r="X65" i="73"/>
  <c r="X71" i="73"/>
  <c r="Z71" i="73" s="1"/>
  <c r="D12" i="74"/>
  <c r="H54" i="74"/>
  <c r="V78" i="74"/>
  <c r="L77" i="75"/>
  <c r="N77" i="75" s="1"/>
  <c r="L84" i="75"/>
  <c r="N95" i="75"/>
  <c r="N102" i="75"/>
  <c r="D12" i="76"/>
  <c r="L13" i="76"/>
  <c r="N13" i="76" s="1"/>
  <c r="P12" i="77"/>
  <c r="J68" i="77"/>
  <c r="P12" i="83"/>
  <c r="X13" i="83"/>
  <c r="P22" i="70"/>
  <c r="R26" i="70"/>
  <c r="J29" i="70"/>
  <c r="R30" i="70"/>
  <c r="J33" i="70"/>
  <c r="R34" i="70"/>
  <c r="R35" i="70"/>
  <c r="J49" i="70"/>
  <c r="J59" i="70"/>
  <c r="J65" i="70"/>
  <c r="J73" i="70"/>
  <c r="J42" i="71"/>
  <c r="J46" i="71"/>
  <c r="J50" i="71"/>
  <c r="J54" i="71"/>
  <c r="H59" i="71"/>
  <c r="V74" i="71"/>
  <c r="V78" i="71"/>
  <c r="V82" i="71"/>
  <c r="V90" i="71"/>
  <c r="J96" i="71"/>
  <c r="J106" i="71"/>
  <c r="J112" i="71"/>
  <c r="J121" i="71"/>
  <c r="V20" i="73"/>
  <c r="V28" i="73"/>
  <c r="J95" i="75"/>
  <c r="J102" i="75"/>
  <c r="Z112" i="75"/>
  <c r="P12" i="76"/>
  <c r="T113" i="77"/>
  <c r="J66" i="77"/>
  <c r="X20" i="78"/>
  <c r="R67" i="70"/>
  <c r="J41" i="71"/>
  <c r="J61" i="71"/>
  <c r="J63" i="71"/>
  <c r="J67" i="71"/>
  <c r="J71" i="71"/>
  <c r="J87" i="71"/>
  <c r="J95" i="71"/>
  <c r="V99" i="71"/>
  <c r="J105" i="71"/>
  <c r="V107" i="71"/>
  <c r="J111" i="71"/>
  <c r="V115" i="71"/>
  <c r="P12" i="73"/>
  <c r="L77" i="74"/>
  <c r="N84" i="75"/>
  <c r="L63" i="76"/>
  <c r="D83" i="76"/>
  <c r="L83" i="76" s="1"/>
  <c r="N83" i="76" s="1"/>
  <c r="L85" i="76"/>
  <c r="N85" i="76" s="1"/>
  <c r="J48" i="77"/>
  <c r="J64" i="77"/>
  <c r="N89" i="77"/>
  <c r="Z16" i="78"/>
  <c r="T22" i="78"/>
  <c r="P24" i="79"/>
  <c r="R20" i="70"/>
  <c r="R25" i="70"/>
  <c r="J47" i="70"/>
  <c r="J57" i="70"/>
  <c r="R60" i="70"/>
  <c r="J71" i="70"/>
  <c r="R75" i="70"/>
  <c r="J62" i="71"/>
  <c r="V64" i="71"/>
  <c r="V68" i="71"/>
  <c r="V72" i="71"/>
  <c r="J76" i="71"/>
  <c r="J80" i="71"/>
  <c r="J86" i="71"/>
  <c r="V88" i="71"/>
  <c r="V100" i="71"/>
  <c r="J104" i="71"/>
  <c r="J120" i="71"/>
  <c r="V78" i="73"/>
  <c r="V66" i="73"/>
  <c r="V54" i="73"/>
  <c r="V46" i="73"/>
  <c r="V42" i="73"/>
  <c r="V38" i="73"/>
  <c r="T25" i="73"/>
  <c r="V67" i="73"/>
  <c r="V59" i="73"/>
  <c r="V47" i="73"/>
  <c r="V43" i="73"/>
  <c r="V39" i="73"/>
  <c r="V86" i="73"/>
  <c r="V68" i="73"/>
  <c r="V60" i="73"/>
  <c r="V48" i="73"/>
  <c r="V44" i="73"/>
  <c r="V40" i="73"/>
  <c r="V75" i="73"/>
  <c r="V71" i="73"/>
  <c r="V63" i="73"/>
  <c r="V51" i="73"/>
  <c r="V35" i="73"/>
  <c r="V31" i="73"/>
  <c r="V27" i="73"/>
  <c r="D12" i="75"/>
  <c r="X84" i="75"/>
  <c r="Z95" i="75"/>
  <c r="N116" i="75"/>
  <c r="J62" i="77"/>
  <c r="J73" i="77"/>
  <c r="J75" i="77"/>
  <c r="J89" i="77"/>
  <c r="R24" i="79"/>
  <c r="R65" i="79"/>
  <c r="N77" i="74"/>
  <c r="T53" i="75"/>
  <c r="N63" i="76"/>
  <c r="T71" i="79"/>
  <c r="Z24" i="79"/>
  <c r="X12" i="70"/>
  <c r="Z12" i="70" s="1"/>
  <c r="J37" i="70"/>
  <c r="R38" i="70"/>
  <c r="J41" i="70"/>
  <c r="R42" i="70"/>
  <c r="J45" i="70"/>
  <c r="J55" i="70"/>
  <c r="R58" i="70"/>
  <c r="R59" i="70"/>
  <c r="J69" i="70"/>
  <c r="V42" i="71"/>
  <c r="V46" i="71"/>
  <c r="V50" i="71"/>
  <c r="V54" i="71"/>
  <c r="J66" i="71"/>
  <c r="J70" i="71"/>
  <c r="J84" i="71"/>
  <c r="J94" i="71"/>
  <c r="V98" i="71"/>
  <c r="J102" i="71"/>
  <c r="V106" i="71"/>
  <c r="J110" i="71"/>
  <c r="V114" i="71"/>
  <c r="J118" i="71"/>
  <c r="V25" i="73"/>
  <c r="V30" i="73"/>
  <c r="V58" i="73"/>
  <c r="X59" i="73"/>
  <c r="V73" i="73"/>
  <c r="X77" i="73"/>
  <c r="Z77" i="73" s="1"/>
  <c r="V80" i="73"/>
  <c r="V86" i="74"/>
  <c r="V62" i="74"/>
  <c r="V58" i="74"/>
  <c r="V85" i="74"/>
  <c r="V77" i="74"/>
  <c r="V49" i="74"/>
  <c r="V45" i="74"/>
  <c r="V41" i="74"/>
  <c r="V87" i="74"/>
  <c r="V79" i="74"/>
  <c r="V63" i="74"/>
  <c r="V59" i="74"/>
  <c r="V89" i="74"/>
  <c r="V73" i="74"/>
  <c r="V80" i="74"/>
  <c r="V64" i="74"/>
  <c r="V60" i="74"/>
  <c r="V95" i="74"/>
  <c r="V93" i="74"/>
  <c r="V91" i="74"/>
  <c r="V51" i="74"/>
  <c r="V47" i="74"/>
  <c r="V43" i="74"/>
  <c r="V39" i="74"/>
  <c r="V36" i="74"/>
  <c r="V68" i="74"/>
  <c r="V90" i="74"/>
  <c r="X93" i="74"/>
  <c r="V35" i="75"/>
  <c r="N89" i="75"/>
  <c r="X99" i="75"/>
  <c r="Z99" i="75" s="1"/>
  <c r="X42" i="76"/>
  <c r="Z42" i="76" s="1"/>
  <c r="X83" i="76"/>
  <c r="Z83" i="76" s="1"/>
  <c r="J60" i="77"/>
  <c r="R24" i="78"/>
  <c r="R29" i="78"/>
  <c r="R26" i="78"/>
  <c r="X12" i="78"/>
  <c r="R16" i="78"/>
  <c r="P16" i="78"/>
  <c r="R14" i="78"/>
  <c r="R18" i="78"/>
  <c r="R22" i="78"/>
  <c r="N24" i="79"/>
  <c r="H71" i="79"/>
  <c r="R59" i="79"/>
  <c r="F49" i="80"/>
  <c r="J18" i="70"/>
  <c r="R19" i="70"/>
  <c r="R47" i="70"/>
  <c r="R48" i="70"/>
  <c r="R71" i="70"/>
  <c r="V63" i="71"/>
  <c r="V67" i="71"/>
  <c r="V71" i="71"/>
  <c r="J75" i="71"/>
  <c r="J79" i="71"/>
  <c r="J83" i="71"/>
  <c r="V87" i="71"/>
  <c r="J93" i="71"/>
  <c r="V95" i="71"/>
  <c r="J109" i="71"/>
  <c r="V111" i="71"/>
  <c r="P118" i="71"/>
  <c r="X118" i="71" s="1"/>
  <c r="Z118" i="71" s="1"/>
  <c r="L20" i="73"/>
  <c r="N20" i="73" s="1"/>
  <c r="V55" i="73"/>
  <c r="V50" i="74"/>
  <c r="Z66" i="74"/>
  <c r="N79" i="74"/>
  <c r="L88" i="74"/>
  <c r="L110" i="75"/>
  <c r="N110" i="75" s="1"/>
  <c r="X119" i="75"/>
  <c r="Z119" i="75" s="1"/>
  <c r="P116" i="75"/>
  <c r="X116" i="75" s="1"/>
  <c r="Z116" i="75" s="1"/>
  <c r="V55" i="76"/>
  <c r="Z61" i="76"/>
  <c r="D12" i="77"/>
  <c r="R18" i="79"/>
  <c r="T22" i="80"/>
  <c r="Z17" i="80"/>
  <c r="X17" i="80"/>
  <c r="V17" i="80"/>
  <c r="Z45" i="80"/>
  <c r="X45" i="80"/>
  <c r="R75" i="80"/>
  <c r="X54" i="79"/>
  <c r="J75" i="80"/>
  <c r="J53" i="80"/>
  <c r="J43" i="80"/>
  <c r="J39" i="80"/>
  <c r="J35" i="80"/>
  <c r="J25" i="80"/>
  <c r="J76" i="80"/>
  <c r="J62" i="80"/>
  <c r="J54" i="80"/>
  <c r="J30" i="80"/>
  <c r="J26" i="80"/>
  <c r="J24" i="80"/>
  <c r="J77" i="80"/>
  <c r="J69" i="80"/>
  <c r="J63" i="80"/>
  <c r="J55" i="80"/>
  <c r="H22" i="80"/>
  <c r="J22" i="80" s="1"/>
  <c r="J70" i="80"/>
  <c r="J64" i="80"/>
  <c r="J56" i="80"/>
  <c r="J44" i="80"/>
  <c r="J40" i="80"/>
  <c r="J36" i="80"/>
  <c r="J58" i="80"/>
  <c r="J46" i="80"/>
  <c r="J18" i="80"/>
  <c r="J83" i="80"/>
  <c r="J65" i="80"/>
  <c r="J59" i="80"/>
  <c r="J47" i="80"/>
  <c r="J41" i="80"/>
  <c r="J37" i="80"/>
  <c r="J72" i="80"/>
  <c r="J66" i="80"/>
  <c r="J60" i="80"/>
  <c r="J48" i="80"/>
  <c r="J32" i="80"/>
  <c r="J28" i="80"/>
  <c r="J67" i="80"/>
  <c r="J49" i="80"/>
  <c r="J19" i="80"/>
  <c r="F68" i="80"/>
  <c r="F52" i="80"/>
  <c r="F51" i="80"/>
  <c r="F20" i="80"/>
  <c r="F75" i="80"/>
  <c r="F74" i="80"/>
  <c r="F43" i="80"/>
  <c r="F39" i="80"/>
  <c r="F35" i="80"/>
  <c r="F34" i="80"/>
  <c r="F62" i="80"/>
  <c r="F54" i="80"/>
  <c r="F53" i="80"/>
  <c r="F30" i="80"/>
  <c r="F26" i="80"/>
  <c r="F25" i="80"/>
  <c r="F77" i="80"/>
  <c r="F76" i="80"/>
  <c r="F69" i="80"/>
  <c r="F24" i="80"/>
  <c r="F71" i="80"/>
  <c r="F70" i="80"/>
  <c r="F31" i="80"/>
  <c r="F27" i="80"/>
  <c r="F79" i="80"/>
  <c r="F58" i="80"/>
  <c r="F57" i="80"/>
  <c r="F46" i="80"/>
  <c r="F45" i="80"/>
  <c r="F18" i="80"/>
  <c r="F17" i="80"/>
  <c r="F83" i="80"/>
  <c r="F65" i="80"/>
  <c r="F41" i="80"/>
  <c r="F37" i="80"/>
  <c r="F72" i="80"/>
  <c r="F60" i="80"/>
  <c r="F59" i="80"/>
  <c r="F48" i="80"/>
  <c r="F47" i="80"/>
  <c r="F32" i="80"/>
  <c r="F28" i="80"/>
  <c r="J17" i="80"/>
  <c r="J29" i="80"/>
  <c r="F33" i="80"/>
  <c r="V55" i="80"/>
  <c r="F61" i="80"/>
  <c r="J39" i="73"/>
  <c r="J43" i="73"/>
  <c r="J47" i="73"/>
  <c r="J57" i="73"/>
  <c r="J67" i="73"/>
  <c r="J59" i="74"/>
  <c r="J63" i="74"/>
  <c r="J77" i="74"/>
  <c r="J87" i="74"/>
  <c r="V38" i="75"/>
  <c r="V42" i="75"/>
  <c r="V46" i="75"/>
  <c r="V50" i="75"/>
  <c r="J58" i="75"/>
  <c r="J62" i="75"/>
  <c r="V78" i="75"/>
  <c r="J84" i="75"/>
  <c r="V86" i="75"/>
  <c r="J94" i="75"/>
  <c r="J106" i="75"/>
  <c r="V110" i="75"/>
  <c r="J114" i="75"/>
  <c r="V33" i="76"/>
  <c r="V37" i="76"/>
  <c r="V45" i="76"/>
  <c r="J51" i="76"/>
  <c r="J63" i="76"/>
  <c r="X65" i="76"/>
  <c r="Z65" i="76" s="1"/>
  <c r="L70" i="77"/>
  <c r="N70" i="77" s="1"/>
  <c r="X101" i="77"/>
  <c r="L51" i="79"/>
  <c r="N51" i="79" s="1"/>
  <c r="Z56" i="79"/>
  <c r="F60" i="79"/>
  <c r="N49" i="80"/>
  <c r="N51" i="80"/>
  <c r="F63" i="80"/>
  <c r="H86" i="81"/>
  <c r="V26" i="81"/>
  <c r="F29" i="81"/>
  <c r="Z91" i="84"/>
  <c r="H25" i="73"/>
  <c r="J38" i="73"/>
  <c r="J56" i="73"/>
  <c r="J80" i="73"/>
  <c r="J68" i="74"/>
  <c r="J72" i="74"/>
  <c r="J76" i="74"/>
  <c r="J86" i="74"/>
  <c r="V59" i="75"/>
  <c r="V63" i="75"/>
  <c r="J67" i="75"/>
  <c r="J71" i="75"/>
  <c r="J75" i="75"/>
  <c r="V79" i="75"/>
  <c r="J83" i="75"/>
  <c r="V87" i="75"/>
  <c r="J93" i="75"/>
  <c r="V103" i="75"/>
  <c r="V107" i="75"/>
  <c r="V119" i="75"/>
  <c r="T29" i="76"/>
  <c r="J47" i="76"/>
  <c r="V52" i="76"/>
  <c r="J57" i="76"/>
  <c r="V59" i="76"/>
  <c r="J69" i="76"/>
  <c r="J72" i="76"/>
  <c r="V81" i="76"/>
  <c r="J89" i="76"/>
  <c r="N59" i="77"/>
  <c r="L59" i="77"/>
  <c r="X89" i="77"/>
  <c r="Z89" i="77" s="1"/>
  <c r="X18" i="78"/>
  <c r="J51" i="80"/>
  <c r="F67" i="80"/>
  <c r="X70" i="80"/>
  <c r="Z70" i="80" s="1"/>
  <c r="J74" i="80"/>
  <c r="F42" i="81"/>
  <c r="J36" i="75"/>
  <c r="J40" i="75"/>
  <c r="J44" i="75"/>
  <c r="J48" i="75"/>
  <c r="H53" i="75"/>
  <c r="J66" i="75"/>
  <c r="V68" i="75"/>
  <c r="V72" i="75"/>
  <c r="V76" i="75"/>
  <c r="J82" i="75"/>
  <c r="J92" i="75"/>
  <c r="V96" i="75"/>
  <c r="J100" i="75"/>
  <c r="V108" i="75"/>
  <c r="V118" i="75"/>
  <c r="J35" i="76"/>
  <c r="Z101" i="77"/>
  <c r="V101" i="77"/>
  <c r="F35" i="79"/>
  <c r="F31" i="79"/>
  <c r="F62" i="79"/>
  <c r="F61" i="79"/>
  <c r="F22" i="79"/>
  <c r="F18" i="79"/>
  <c r="F17" i="79"/>
  <c r="F53" i="79"/>
  <c r="F45" i="79"/>
  <c r="F41" i="79"/>
  <c r="F37" i="79"/>
  <c r="F36" i="79"/>
  <c r="F65" i="79"/>
  <c r="F32" i="79"/>
  <c r="F28" i="79"/>
  <c r="F27" i="79"/>
  <c r="F67" i="79"/>
  <c r="F46" i="79"/>
  <c r="F42" i="79"/>
  <c r="F38" i="79"/>
  <c r="D24" i="79"/>
  <c r="L12" i="79"/>
  <c r="F68" i="79"/>
  <c r="F57" i="79"/>
  <c r="F56" i="79"/>
  <c r="F33" i="79"/>
  <c r="F29" i="79"/>
  <c r="F69" i="79"/>
  <c r="F48" i="79"/>
  <c r="F47" i="79"/>
  <c r="F20" i="79"/>
  <c r="F59" i="79"/>
  <c r="F58" i="79"/>
  <c r="F43" i="79"/>
  <c r="F39" i="79"/>
  <c r="F26" i="79"/>
  <c r="F50" i="79"/>
  <c r="F55" i="79"/>
  <c r="P64" i="79"/>
  <c r="X64" i="79" s="1"/>
  <c r="Z64" i="79" s="1"/>
  <c r="F73" i="79"/>
  <c r="J20" i="80"/>
  <c r="X63" i="80"/>
  <c r="F48" i="81"/>
  <c r="X85" i="84"/>
  <c r="Z85" i="84" s="1"/>
  <c r="J81" i="75"/>
  <c r="J91" i="75"/>
  <c r="J99" i="75"/>
  <c r="J105" i="75"/>
  <c r="J113" i="75"/>
  <c r="J79" i="76"/>
  <c r="J80" i="76"/>
  <c r="J74" i="76"/>
  <c r="J81" i="76"/>
  <c r="J85" i="76"/>
  <c r="J70" i="76"/>
  <c r="J58" i="76"/>
  <c r="J59" i="76"/>
  <c r="J41" i="76"/>
  <c r="J43" i="76"/>
  <c r="J50" i="76"/>
  <c r="J56" i="76"/>
  <c r="J62" i="76"/>
  <c r="J68" i="76"/>
  <c r="J71" i="76"/>
  <c r="N77" i="76"/>
  <c r="J84" i="76"/>
  <c r="N83" i="77"/>
  <c r="L83" i="77"/>
  <c r="P104" i="77"/>
  <c r="X104" i="77" s="1"/>
  <c r="Z104" i="77" s="1"/>
  <c r="X51" i="79"/>
  <c r="Z51" i="79" s="1"/>
  <c r="N69" i="81"/>
  <c r="L69" i="81"/>
  <c r="V85" i="84"/>
  <c r="N25" i="86"/>
  <c r="J25" i="86"/>
  <c r="L25" i="86"/>
  <c r="J23" i="73"/>
  <c r="J53" i="73"/>
  <c r="J65" i="73"/>
  <c r="J77" i="73"/>
  <c r="J57" i="74"/>
  <c r="J67" i="74"/>
  <c r="J71" i="74"/>
  <c r="J75" i="74"/>
  <c r="J83" i="74"/>
  <c r="J97" i="74"/>
  <c r="J56" i="75"/>
  <c r="V58" i="75"/>
  <c r="V62" i="75"/>
  <c r="J70" i="75"/>
  <c r="J74" i="75"/>
  <c r="J90" i="75"/>
  <c r="V94" i="75"/>
  <c r="J98" i="75"/>
  <c r="V102" i="75"/>
  <c r="V106" i="75"/>
  <c r="J112" i="75"/>
  <c r="V114" i="75"/>
  <c r="V116" i="75"/>
  <c r="J46" i="76"/>
  <c r="V51" i="76"/>
  <c r="N61" i="76"/>
  <c r="J77" i="76"/>
  <c r="Z70" i="77"/>
  <c r="X70" i="77"/>
  <c r="F21" i="79"/>
  <c r="Z63" i="80"/>
  <c r="V63" i="80"/>
  <c r="J71" i="80"/>
  <c r="F80" i="81"/>
  <c r="F67" i="81"/>
  <c r="F51" i="81"/>
  <c r="F50" i="81"/>
  <c r="F43" i="81"/>
  <c r="F39" i="81"/>
  <c r="F84" i="81"/>
  <c r="F62" i="81"/>
  <c r="F61" i="81"/>
  <c r="F73" i="81"/>
  <c r="F68" i="81"/>
  <c r="F44" i="81"/>
  <c r="F40" i="81"/>
  <c r="F36" i="81"/>
  <c r="F35" i="81"/>
  <c r="F74" i="81"/>
  <c r="F70" i="81"/>
  <c r="F69" i="81"/>
  <c r="F54" i="81"/>
  <c r="F45" i="81"/>
  <c r="F41" i="81"/>
  <c r="F37" i="81"/>
  <c r="F76" i="81"/>
  <c r="F75" i="81"/>
  <c r="F64" i="81"/>
  <c r="F56" i="81"/>
  <c r="F55" i="81"/>
  <c r="F57" i="81"/>
  <c r="F31" i="81"/>
  <c r="F25" i="81"/>
  <c r="F24" i="81"/>
  <c r="D22" i="81"/>
  <c r="F52" i="81"/>
  <c r="F49" i="81"/>
  <c r="F34" i="81"/>
  <c r="F26" i="81"/>
  <c r="F72" i="81"/>
  <c r="F60" i="81"/>
  <c r="F18" i="81"/>
  <c r="F17" i="81"/>
  <c r="F65" i="81"/>
  <c r="F63" i="81"/>
  <c r="F46" i="81"/>
  <c r="F77" i="81"/>
  <c r="F53" i="81"/>
  <c r="F32" i="81"/>
  <c r="F58" i="81"/>
  <c r="F38" i="81"/>
  <c r="F27" i="81"/>
  <c r="F19" i="81"/>
  <c r="F47" i="81"/>
  <c r="L12" i="81"/>
  <c r="F30" i="81"/>
  <c r="J48" i="81"/>
  <c r="Z72" i="76"/>
  <c r="X72" i="76"/>
  <c r="V59" i="77"/>
  <c r="X93" i="77"/>
  <c r="Z93" i="77" s="1"/>
  <c r="X26" i="79"/>
  <c r="Z26" i="79" s="1"/>
  <c r="F30" i="79"/>
  <c r="F52" i="79"/>
  <c r="J34" i="80"/>
  <c r="F50" i="80"/>
  <c r="F55" i="80"/>
  <c r="F73" i="80"/>
  <c r="J79" i="80"/>
  <c r="F78" i="81"/>
  <c r="V36" i="75"/>
  <c r="V40" i="75"/>
  <c r="V44" i="75"/>
  <c r="V48" i="75"/>
  <c r="J60" i="75"/>
  <c r="J64" i="75"/>
  <c r="J80" i="75"/>
  <c r="V84" i="75"/>
  <c r="J88" i="75"/>
  <c r="V92" i="75"/>
  <c r="V100" i="75"/>
  <c r="J104" i="75"/>
  <c r="J110" i="75"/>
  <c r="V35" i="76"/>
  <c r="V39" i="76"/>
  <c r="V43" i="76"/>
  <c r="J54" i="76"/>
  <c r="L55" i="76"/>
  <c r="L59" i="76"/>
  <c r="N59" i="76" s="1"/>
  <c r="J60" i="76"/>
  <c r="J66" i="76"/>
  <c r="L67" i="76"/>
  <c r="N67" i="76" s="1"/>
  <c r="X69" i="76"/>
  <c r="Z69" i="76" s="1"/>
  <c r="V71" i="76"/>
  <c r="J76" i="76"/>
  <c r="J83" i="76"/>
  <c r="X59" i="77"/>
  <c r="Z59" i="77" s="1"/>
  <c r="Z81" i="77"/>
  <c r="V81" i="77"/>
  <c r="F44" i="79"/>
  <c r="J50" i="80"/>
  <c r="F64" i="80"/>
  <c r="J73" i="80"/>
  <c r="V74" i="81"/>
  <c r="V70" i="81"/>
  <c r="V54" i="81"/>
  <c r="V46" i="81"/>
  <c r="V77" i="81"/>
  <c r="V65" i="81"/>
  <c r="V57" i="81"/>
  <c r="V76" i="81"/>
  <c r="V64" i="81"/>
  <c r="V71" i="81"/>
  <c r="V59" i="81"/>
  <c r="V47" i="81"/>
  <c r="V61" i="81"/>
  <c r="V49" i="81"/>
  <c r="V72" i="81"/>
  <c r="V60" i="81"/>
  <c r="V52" i="81"/>
  <c r="V67" i="81"/>
  <c r="V51" i="81"/>
  <c r="V50" i="81"/>
  <c r="V63" i="81"/>
  <c r="V53" i="81"/>
  <c r="V32" i="81"/>
  <c r="V19" i="81"/>
  <c r="V75" i="81"/>
  <c r="V38" i="81"/>
  <c r="V58" i="81"/>
  <c r="V41" i="81"/>
  <c r="V27" i="81"/>
  <c r="V68" i="81"/>
  <c r="V44" i="81"/>
  <c r="V73" i="81"/>
  <c r="V56" i="81"/>
  <c r="V48" i="81"/>
  <c r="V36" i="81"/>
  <c r="V33" i="81"/>
  <c r="V25" i="81"/>
  <c r="V66" i="81"/>
  <c r="V39" i="81"/>
  <c r="V24" i="81"/>
  <c r="T22" i="81"/>
  <c r="V78" i="81"/>
  <c r="V69" i="81"/>
  <c r="V42" i="81"/>
  <c r="V28" i="81"/>
  <c r="V17" i="81"/>
  <c r="V62" i="81"/>
  <c r="F20" i="81"/>
  <c r="V30" i="81"/>
  <c r="F59" i="81"/>
  <c r="J22" i="73"/>
  <c r="J50" i="73"/>
  <c r="J62" i="73"/>
  <c r="J70" i="73"/>
  <c r="J70" i="74"/>
  <c r="V57" i="75"/>
  <c r="V61" i="75"/>
  <c r="V65" i="75"/>
  <c r="J69" i="75"/>
  <c r="J73" i="75"/>
  <c r="J79" i="75"/>
  <c r="V81" i="75"/>
  <c r="J87" i="75"/>
  <c r="V93" i="75"/>
  <c r="J97" i="75"/>
  <c r="V105" i="75"/>
  <c r="J109" i="75"/>
  <c r="V85" i="76"/>
  <c r="V75" i="76"/>
  <c r="V70" i="76"/>
  <c r="V77" i="76"/>
  <c r="V78" i="76"/>
  <c r="V62" i="76"/>
  <c r="V73" i="76"/>
  <c r="V65" i="76"/>
  <c r="V53" i="76"/>
  <c r="H29" i="76"/>
  <c r="J49" i="76"/>
  <c r="V50" i="76"/>
  <c r="V56" i="76"/>
  <c r="V57" i="76"/>
  <c r="V68" i="76"/>
  <c r="V74" i="76"/>
  <c r="V80" i="76"/>
  <c r="V84" i="76"/>
  <c r="L87" i="77"/>
  <c r="N87" i="77" s="1"/>
  <c r="V93" i="77"/>
  <c r="L107" i="77"/>
  <c r="N107" i="77" s="1"/>
  <c r="D104" i="77"/>
  <c r="L104" i="77" s="1"/>
  <c r="N104" i="77" s="1"/>
  <c r="F24" i="79"/>
  <c r="F54" i="79"/>
  <c r="L65" i="79"/>
  <c r="D64" i="79"/>
  <c r="L64" i="79" s="1"/>
  <c r="N64" i="79" s="1"/>
  <c r="F19" i="80"/>
  <c r="D22" i="80"/>
  <c r="F36" i="80"/>
  <c r="F38" i="80"/>
  <c r="J52" i="80"/>
  <c r="X55" i="80"/>
  <c r="Z55" i="80" s="1"/>
  <c r="J57" i="80"/>
  <c r="F66" i="80"/>
  <c r="F28" i="81"/>
  <c r="F33" i="81"/>
  <c r="N59" i="81"/>
  <c r="L59" i="81"/>
  <c r="V14" i="78"/>
  <c r="V16" i="78"/>
  <c r="V18" i="78"/>
  <c r="V20" i="78"/>
  <c r="V22" i="78"/>
  <c r="J84" i="81"/>
  <c r="J62" i="81"/>
  <c r="J52" i="81"/>
  <c r="J34" i="81"/>
  <c r="J30" i="81"/>
  <c r="J26" i="81"/>
  <c r="J24" i="81"/>
  <c r="J22" i="81"/>
  <c r="J73" i="81"/>
  <c r="J53" i="81"/>
  <c r="J68" i="81"/>
  <c r="J69" i="81"/>
  <c r="J63" i="81"/>
  <c r="J31" i="81"/>
  <c r="J27" i="81"/>
  <c r="J75" i="81"/>
  <c r="J55" i="81"/>
  <c r="J45" i="81"/>
  <c r="J41" i="81"/>
  <c r="J37" i="81"/>
  <c r="J76" i="81"/>
  <c r="J64" i="81"/>
  <c r="J56" i="81"/>
  <c r="J46" i="81"/>
  <c r="J77" i="81"/>
  <c r="J71" i="81"/>
  <c r="J65" i="81"/>
  <c r="J57" i="81"/>
  <c r="J47" i="81"/>
  <c r="J20" i="81"/>
  <c r="J36" i="81"/>
  <c r="J44" i="81"/>
  <c r="J59" i="81"/>
  <c r="Z69" i="81"/>
  <c r="R89" i="84"/>
  <c r="R88" i="84"/>
  <c r="R77" i="84"/>
  <c r="R76" i="84"/>
  <c r="R44" i="84"/>
  <c r="R40" i="84"/>
  <c r="R91" i="84"/>
  <c r="R90" i="84"/>
  <c r="R82" i="84"/>
  <c r="R78" i="84"/>
  <c r="R92" i="84"/>
  <c r="R72" i="84"/>
  <c r="R98" i="84"/>
  <c r="R85" i="84"/>
  <c r="R84" i="84"/>
  <c r="R80" i="84"/>
  <c r="R68" i="84"/>
  <c r="R74" i="84"/>
  <c r="R66" i="84"/>
  <c r="R62" i="84"/>
  <c r="R56" i="84"/>
  <c r="R52" i="84"/>
  <c r="R25" i="84"/>
  <c r="R39" i="84"/>
  <c r="R24" i="84"/>
  <c r="R83" i="84"/>
  <c r="R35" i="84"/>
  <c r="R34" i="84"/>
  <c r="R30" i="84"/>
  <c r="R26" i="84"/>
  <c r="P22" i="84"/>
  <c r="R22" i="84" s="1"/>
  <c r="R86" i="84"/>
  <c r="R75" i="84"/>
  <c r="R69" i="84"/>
  <c r="R58" i="84"/>
  <c r="R57" i="84"/>
  <c r="R53" i="84"/>
  <c r="R47" i="84"/>
  <c r="R43" i="84"/>
  <c r="R94" i="84"/>
  <c r="R67" i="84"/>
  <c r="R48" i="84"/>
  <c r="R36" i="84"/>
  <c r="R17" i="84"/>
  <c r="R70" i="84"/>
  <c r="R63" i="84"/>
  <c r="R31" i="84"/>
  <c r="R27" i="84"/>
  <c r="R87" i="84"/>
  <c r="R81" i="84"/>
  <c r="R59" i="84"/>
  <c r="R18" i="84"/>
  <c r="R79" i="84"/>
  <c r="R73" i="84"/>
  <c r="R64" i="84"/>
  <c r="R54" i="84"/>
  <c r="R50" i="84"/>
  <c r="R49" i="84"/>
  <c r="R37" i="84"/>
  <c r="R60" i="84"/>
  <c r="R41" i="84"/>
  <c r="R32" i="84"/>
  <c r="R28" i="84"/>
  <c r="T100" i="84"/>
  <c r="R61" i="84"/>
  <c r="V62" i="77"/>
  <c r="V66" i="77"/>
  <c r="V90" i="77"/>
  <c r="V98" i="77"/>
  <c r="V27" i="79"/>
  <c r="V31" i="79"/>
  <c r="V35" i="79"/>
  <c r="J39" i="79"/>
  <c r="J43" i="79"/>
  <c r="J49" i="79"/>
  <c r="J59" i="79"/>
  <c r="J71" i="79"/>
  <c r="L14" i="80"/>
  <c r="N14" i="80" s="1"/>
  <c r="V20" i="80"/>
  <c r="V22" i="80"/>
  <c r="V24" i="80"/>
  <c r="V52" i="80"/>
  <c r="V68" i="80"/>
  <c r="V76" i="80"/>
  <c r="V91" i="84"/>
  <c r="V71" i="84"/>
  <c r="V63" i="84"/>
  <c r="V65" i="84"/>
  <c r="V83" i="84"/>
  <c r="V79" i="84"/>
  <c r="V67" i="84"/>
  <c r="V87" i="84"/>
  <c r="V75" i="84"/>
  <c r="V59" i="84"/>
  <c r="V51" i="84"/>
  <c r="V43" i="84"/>
  <c r="V89" i="84"/>
  <c r="V39" i="84"/>
  <c r="V35" i="84"/>
  <c r="V98" i="84"/>
  <c r="V92" i="84"/>
  <c r="V80" i="84"/>
  <c r="V58" i="84"/>
  <c r="V34" i="84"/>
  <c r="V30" i="84"/>
  <c r="V26" i="84"/>
  <c r="V94" i="84"/>
  <c r="V86" i="84"/>
  <c r="V78" i="84"/>
  <c r="V72" i="84"/>
  <c r="V69" i="84"/>
  <c r="V57" i="84"/>
  <c r="V53" i="84"/>
  <c r="V48" i="84"/>
  <c r="V47" i="84"/>
  <c r="V17" i="84"/>
  <c r="V70" i="84"/>
  <c r="V36" i="84"/>
  <c r="V40" i="84"/>
  <c r="V31" i="84"/>
  <c r="V27" i="84"/>
  <c r="V100" i="84"/>
  <c r="V90" i="84"/>
  <c r="V81" i="84"/>
  <c r="V64" i="84"/>
  <c r="V50" i="84"/>
  <c r="V96" i="84"/>
  <c r="V73" i="84"/>
  <c r="V60" i="84"/>
  <c r="V54" i="84"/>
  <c r="V49" i="84"/>
  <c r="V37" i="84"/>
  <c r="V84" i="84"/>
  <c r="V76" i="84"/>
  <c r="V44" i="84"/>
  <c r="V41" i="84"/>
  <c r="V32" i="84"/>
  <c r="V28" i="84"/>
  <c r="V19" i="84"/>
  <c r="R19" i="84"/>
  <c r="V22" i="84"/>
  <c r="N35" i="84"/>
  <c r="V61" i="84"/>
  <c r="Z75" i="85"/>
  <c r="Z77" i="85"/>
  <c r="L27" i="86"/>
  <c r="V71" i="77"/>
  <c r="V75" i="77"/>
  <c r="V79" i="77"/>
  <c r="V91" i="77"/>
  <c r="V99" i="77"/>
  <c r="V111" i="77"/>
  <c r="V113" i="77"/>
  <c r="Z12" i="78"/>
  <c r="J26" i="78"/>
  <c r="J29" i="78"/>
  <c r="J20" i="79"/>
  <c r="V36" i="79"/>
  <c r="V40" i="79"/>
  <c r="V44" i="79"/>
  <c r="J48" i="79"/>
  <c r="V52" i="79"/>
  <c r="J58" i="79"/>
  <c r="V60" i="79"/>
  <c r="J69" i="79"/>
  <c r="V25" i="80"/>
  <c r="V29" i="80"/>
  <c r="V33" i="80"/>
  <c r="V53" i="80"/>
  <c r="V61" i="80"/>
  <c r="V73" i="80"/>
  <c r="N12" i="81"/>
  <c r="Z25" i="81"/>
  <c r="L35" i="81"/>
  <c r="N35" i="81" s="1"/>
  <c r="J61" i="81"/>
  <c r="X69" i="81"/>
  <c r="N75" i="81"/>
  <c r="L77" i="81"/>
  <c r="J82" i="81"/>
  <c r="H22" i="83"/>
  <c r="X12" i="84"/>
  <c r="Z12" i="84" s="1"/>
  <c r="L25" i="84"/>
  <c r="N25" i="84" s="1"/>
  <c r="R29" i="84"/>
  <c r="R33" i="84"/>
  <c r="R71" i="84"/>
  <c r="X77" i="84"/>
  <c r="V88" i="84"/>
  <c r="L121" i="85"/>
  <c r="D16" i="78"/>
  <c r="J58" i="81"/>
  <c r="X59" i="81"/>
  <c r="Z59" i="81" s="1"/>
  <c r="Z77" i="84"/>
  <c r="N121" i="85"/>
  <c r="D12" i="89"/>
  <c r="L14" i="89"/>
  <c r="Z25" i="84"/>
  <c r="N53" i="85"/>
  <c r="V70" i="77"/>
  <c r="V74" i="77"/>
  <c r="V78" i="77"/>
  <c r="V86" i="77"/>
  <c r="H16" i="78"/>
  <c r="V39" i="79"/>
  <c r="V43" i="79"/>
  <c r="V51" i="79"/>
  <c r="J55" i="79"/>
  <c r="L56" i="79"/>
  <c r="N56" i="79" s="1"/>
  <c r="V59" i="79"/>
  <c r="J66" i="79"/>
  <c r="L17" i="80"/>
  <c r="N17" i="80" s="1"/>
  <c r="L45" i="80"/>
  <c r="V48" i="80"/>
  <c r="X51" i="80"/>
  <c r="Z51" i="80" s="1"/>
  <c r="L57" i="80"/>
  <c r="V60" i="80"/>
  <c r="V72" i="80"/>
  <c r="L79" i="80"/>
  <c r="J29" i="81"/>
  <c r="J43" i="81"/>
  <c r="J30" i="83"/>
  <c r="J17" i="83"/>
  <c r="J18" i="83"/>
  <c r="J19" i="83"/>
  <c r="D12" i="84"/>
  <c r="V25" i="84"/>
  <c r="R42" i="84"/>
  <c r="N119" i="85"/>
  <c r="V23" i="86"/>
  <c r="V22" i="86"/>
  <c r="V18" i="86"/>
  <c r="V25" i="86"/>
  <c r="T20" i="86"/>
  <c r="V20" i="86" s="1"/>
  <c r="V24" i="86"/>
  <c r="V27" i="86"/>
  <c r="V26" i="86"/>
  <c r="V17" i="86"/>
  <c r="V16" i="86"/>
  <c r="V28" i="86"/>
  <c r="V30" i="86"/>
  <c r="V34" i="86"/>
  <c r="V47" i="77"/>
  <c r="V51" i="77"/>
  <c r="V87" i="77"/>
  <c r="V95" i="77"/>
  <c r="V107" i="77"/>
  <c r="V109" i="77"/>
  <c r="J14" i="78"/>
  <c r="J16" i="78"/>
  <c r="J18" i="78"/>
  <c r="J20" i="78"/>
  <c r="V20" i="79"/>
  <c r="V48" i="79"/>
  <c r="J54" i="79"/>
  <c r="J64" i="79"/>
  <c r="J65" i="79"/>
  <c r="V37" i="80"/>
  <c r="V41" i="80"/>
  <c r="V49" i="80"/>
  <c r="V65" i="80"/>
  <c r="V83" i="80"/>
  <c r="J18" i="81"/>
  <c r="J40" i="81"/>
  <c r="J60" i="81"/>
  <c r="Z61" i="81"/>
  <c r="J67" i="81"/>
  <c r="J72" i="81"/>
  <c r="J80" i="81"/>
  <c r="V19" i="83"/>
  <c r="T22" i="83"/>
  <c r="V22" i="83" s="1"/>
  <c r="V17" i="83"/>
  <c r="Z17" i="83"/>
  <c r="J26" i="83"/>
  <c r="V18" i="84"/>
  <c r="X25" i="84"/>
  <c r="V42" i="84"/>
  <c r="R46" i="84"/>
  <c r="Z56" i="84"/>
  <c r="J64" i="84"/>
  <c r="V60" i="77"/>
  <c r="V64" i="77"/>
  <c r="V68" i="77"/>
  <c r="V84" i="77"/>
  <c r="V96" i="77"/>
  <c r="V106" i="77"/>
  <c r="J27" i="79"/>
  <c r="V29" i="79"/>
  <c r="V33" i="79"/>
  <c r="J37" i="79"/>
  <c r="J41" i="79"/>
  <c r="J45" i="79"/>
  <c r="V49" i="79"/>
  <c r="V57" i="79"/>
  <c r="V69" i="79"/>
  <c r="V18" i="80"/>
  <c r="V46" i="80"/>
  <c r="V58" i="80"/>
  <c r="J17" i="81"/>
  <c r="J49" i="81"/>
  <c r="L57" i="81"/>
  <c r="N57" i="81" s="1"/>
  <c r="J74" i="81"/>
  <c r="R20" i="84"/>
  <c r="R38" i="84"/>
  <c r="Z46" i="84"/>
  <c r="V52" i="84"/>
  <c r="V56" i="84"/>
  <c r="N64" i="84"/>
  <c r="V74" i="84"/>
  <c r="L87" i="84"/>
  <c r="V24" i="78"/>
  <c r="V26" i="78"/>
  <c r="Z35" i="81"/>
  <c r="L48" i="81"/>
  <c r="L17" i="84"/>
  <c r="N17" i="84" s="1"/>
  <c r="Z94" i="85"/>
  <c r="J17" i="84"/>
  <c r="J27" i="84"/>
  <c r="J31" i="84"/>
  <c r="J70" i="84"/>
  <c r="J90" i="84"/>
  <c r="V41" i="85"/>
  <c r="V84" i="85"/>
  <c r="V104" i="85"/>
  <c r="V106" i="85"/>
  <c r="J108" i="85"/>
  <c r="J110" i="85"/>
  <c r="J112" i="85"/>
  <c r="N49" i="89"/>
  <c r="J36" i="84"/>
  <c r="J40" i="84"/>
  <c r="J48" i="84"/>
  <c r="J58" i="84"/>
  <c r="J94" i="84"/>
  <c r="V70" i="85"/>
  <c r="V86" i="85"/>
  <c r="J90" i="85"/>
  <c r="V96" i="85"/>
  <c r="Z17" i="88"/>
  <c r="Z25" i="88"/>
  <c r="V76" i="88"/>
  <c r="L60" i="89"/>
  <c r="N60" i="89" s="1"/>
  <c r="L13" i="84"/>
  <c r="N13" i="84" s="1"/>
  <c r="H22" i="84"/>
  <c r="J35" i="84"/>
  <c r="N75" i="84"/>
  <c r="J86" i="84"/>
  <c r="J34" i="85"/>
  <c r="V45" i="85"/>
  <c r="Z53" i="85"/>
  <c r="V74" i="85"/>
  <c r="V98" i="85"/>
  <c r="X119" i="85"/>
  <c r="Z119" i="85" s="1"/>
  <c r="F28" i="86"/>
  <c r="F27" i="86"/>
  <c r="L12" i="86"/>
  <c r="N12" i="86" s="1"/>
  <c r="F30" i="86"/>
  <c r="F17" i="86"/>
  <c r="F16" i="86"/>
  <c r="F34" i="86"/>
  <c r="F18" i="86"/>
  <c r="F24" i="86"/>
  <c r="F23" i="86"/>
  <c r="F26" i="86"/>
  <c r="F25" i="86"/>
  <c r="D20" i="86"/>
  <c r="J97" i="88"/>
  <c r="J75" i="88"/>
  <c r="J67" i="88"/>
  <c r="J59" i="88"/>
  <c r="J51" i="88"/>
  <c r="J43" i="88"/>
  <c r="J39" i="88"/>
  <c r="J25" i="88"/>
  <c r="J76" i="88"/>
  <c r="J68" i="88"/>
  <c r="J60" i="88"/>
  <c r="J52" i="88"/>
  <c r="J34" i="88"/>
  <c r="J30" i="88"/>
  <c r="J26" i="88"/>
  <c r="J24" i="88"/>
  <c r="J22" i="88"/>
  <c r="J85" i="88"/>
  <c r="J81" i="88"/>
  <c r="J77" i="88"/>
  <c r="J69" i="88"/>
  <c r="J61" i="88"/>
  <c r="J53" i="88"/>
  <c r="J35" i="88"/>
  <c r="H22" i="88"/>
  <c r="J86" i="88"/>
  <c r="J70" i="88"/>
  <c r="J62" i="88"/>
  <c r="J44" i="88"/>
  <c r="J40" i="88"/>
  <c r="J36" i="88"/>
  <c r="J87" i="88"/>
  <c r="J71" i="88"/>
  <c r="J63" i="88"/>
  <c r="J31" i="88"/>
  <c r="J27" i="88"/>
  <c r="J17" i="88"/>
  <c r="J88" i="88"/>
  <c r="J82" i="88"/>
  <c r="J78" i="88"/>
  <c r="J64" i="88"/>
  <c r="J54" i="88"/>
  <c r="J18" i="88"/>
  <c r="J89" i="88"/>
  <c r="J65" i="88"/>
  <c r="J45" i="88"/>
  <c r="J41" i="88"/>
  <c r="J37" i="88"/>
  <c r="J91" i="88"/>
  <c r="J83" i="88"/>
  <c r="J79" i="88"/>
  <c r="J55" i="88"/>
  <c r="J47" i="88"/>
  <c r="J19" i="88"/>
  <c r="J93" i="88"/>
  <c r="J73" i="88"/>
  <c r="J57" i="88"/>
  <c r="J49" i="88"/>
  <c r="J33" i="88"/>
  <c r="J29" i="88"/>
  <c r="X17" i="88"/>
  <c r="R50" i="88"/>
  <c r="J56" i="88"/>
  <c r="J58" i="88"/>
  <c r="R69" i="88"/>
  <c r="R75" i="88"/>
  <c r="R81" i="88"/>
  <c r="R64" i="89"/>
  <c r="R63" i="89"/>
  <c r="R56" i="89"/>
  <c r="R55" i="89"/>
  <c r="R75" i="89"/>
  <c r="R74" i="89"/>
  <c r="R70" i="89"/>
  <c r="R47" i="89"/>
  <c r="R46" i="89"/>
  <c r="R42" i="89"/>
  <c r="R38" i="89"/>
  <c r="R76" i="89"/>
  <c r="R49" i="89"/>
  <c r="R48" i="89"/>
  <c r="R71" i="89"/>
  <c r="R60" i="89"/>
  <c r="R59" i="89"/>
  <c r="R43" i="89"/>
  <c r="R39" i="89"/>
  <c r="R66" i="89"/>
  <c r="R51" i="89"/>
  <c r="R50" i="89"/>
  <c r="R34" i="89"/>
  <c r="R30" i="89"/>
  <c r="R78" i="89"/>
  <c r="R77" i="89"/>
  <c r="R61" i="89"/>
  <c r="R80" i="89"/>
  <c r="R79" i="89"/>
  <c r="R68" i="89"/>
  <c r="R67" i="89"/>
  <c r="R36" i="89"/>
  <c r="R35" i="89"/>
  <c r="R31" i="89"/>
  <c r="R27" i="89"/>
  <c r="R81" i="89"/>
  <c r="R73" i="89"/>
  <c r="R69" i="89"/>
  <c r="R65" i="89"/>
  <c r="R45" i="89"/>
  <c r="R83" i="89"/>
  <c r="R53" i="89"/>
  <c r="R32" i="89"/>
  <c r="R20" i="89"/>
  <c r="R41" i="89"/>
  <c r="R28" i="89"/>
  <c r="R87" i="89"/>
  <c r="R57" i="89"/>
  <c r="R37" i="89"/>
  <c r="R21" i="89"/>
  <c r="R33" i="89"/>
  <c r="R23" i="89"/>
  <c r="R85" i="89"/>
  <c r="R26" i="89"/>
  <c r="R18" i="89"/>
  <c r="R52" i="89"/>
  <c r="R19" i="89"/>
  <c r="R58" i="89"/>
  <c r="R62" i="89"/>
  <c r="Z70" i="92"/>
  <c r="X70" i="92"/>
  <c r="J97" i="85"/>
  <c r="J85" i="85"/>
  <c r="J75" i="85"/>
  <c r="J61" i="85"/>
  <c r="J57" i="85"/>
  <c r="J116" i="85"/>
  <c r="J104" i="85"/>
  <c r="J98" i="85"/>
  <c r="J86" i="85"/>
  <c r="J76" i="85"/>
  <c r="J48" i="85"/>
  <c r="J44" i="85"/>
  <c r="J40" i="85"/>
  <c r="J36" i="85"/>
  <c r="J117" i="85"/>
  <c r="J111" i="85"/>
  <c r="J105" i="85"/>
  <c r="J99" i="85"/>
  <c r="J87" i="85"/>
  <c r="J77" i="85"/>
  <c r="J71" i="85"/>
  <c r="J67" i="85"/>
  <c r="J118" i="85"/>
  <c r="J106" i="85"/>
  <c r="J88" i="85"/>
  <c r="J78" i="85"/>
  <c r="J62" i="85"/>
  <c r="J58" i="85"/>
  <c r="J119" i="85"/>
  <c r="J89" i="85"/>
  <c r="J49" i="85"/>
  <c r="J45" i="85"/>
  <c r="J41" i="85"/>
  <c r="J37" i="85"/>
  <c r="J120" i="85"/>
  <c r="J121" i="85"/>
  <c r="J107" i="85"/>
  <c r="J101" i="85"/>
  <c r="J91" i="85"/>
  <c r="J79" i="85"/>
  <c r="J63" i="85"/>
  <c r="J59" i="85"/>
  <c r="J55" i="85"/>
  <c r="J53" i="85"/>
  <c r="J113" i="85"/>
  <c r="J109" i="85"/>
  <c r="J93" i="85"/>
  <c r="J81" i="85"/>
  <c r="J73" i="85"/>
  <c r="J69" i="85"/>
  <c r="J65" i="85"/>
  <c r="J115" i="85"/>
  <c r="J103" i="85"/>
  <c r="J95" i="85"/>
  <c r="J83" i="85"/>
  <c r="J47" i="85"/>
  <c r="J43" i="85"/>
  <c r="J39" i="85"/>
  <c r="J35" i="85"/>
  <c r="J80" i="85"/>
  <c r="J92" i="85"/>
  <c r="J122" i="85"/>
  <c r="P12" i="86"/>
  <c r="X55" i="94"/>
  <c r="Z55" i="94"/>
  <c r="V55" i="94"/>
  <c r="J25" i="84"/>
  <c r="J39" i="84"/>
  <c r="J66" i="84"/>
  <c r="J80" i="84"/>
  <c r="J92" i="84"/>
  <c r="P12" i="85"/>
  <c r="J42" i="85"/>
  <c r="J60" i="85"/>
  <c r="J114" i="85"/>
  <c r="V87" i="88"/>
  <c r="V71" i="88"/>
  <c r="V63" i="88"/>
  <c r="V31" i="88"/>
  <c r="V27" i="88"/>
  <c r="V90" i="88"/>
  <c r="V82" i="88"/>
  <c r="V78" i="88"/>
  <c r="V54" i="88"/>
  <c r="V46" i="88"/>
  <c r="V18" i="88"/>
  <c r="V89" i="88"/>
  <c r="V65" i="88"/>
  <c r="V45" i="88"/>
  <c r="V41" i="88"/>
  <c r="V37" i="88"/>
  <c r="V72" i="88"/>
  <c r="V56" i="88"/>
  <c r="V48" i="88"/>
  <c r="V32" i="88"/>
  <c r="V28" i="88"/>
  <c r="V93" i="88"/>
  <c r="V91" i="88"/>
  <c r="V83" i="88"/>
  <c r="V79" i="88"/>
  <c r="V55" i="88"/>
  <c r="V47" i="88"/>
  <c r="V19" i="88"/>
  <c r="V74" i="88"/>
  <c r="V66" i="88"/>
  <c r="V58" i="88"/>
  <c r="V50" i="88"/>
  <c r="V42" i="88"/>
  <c r="V38" i="88"/>
  <c r="V73" i="88"/>
  <c r="V57" i="88"/>
  <c r="V49" i="88"/>
  <c r="V33" i="88"/>
  <c r="V29" i="88"/>
  <c r="V25" i="88"/>
  <c r="V97" i="88"/>
  <c r="V75" i="88"/>
  <c r="V67" i="88"/>
  <c r="V59" i="88"/>
  <c r="V51" i="88"/>
  <c r="V43" i="88"/>
  <c r="V39" i="88"/>
  <c r="V35" i="88"/>
  <c r="T22" i="88"/>
  <c r="V85" i="88"/>
  <c r="V81" i="88"/>
  <c r="V77" i="88"/>
  <c r="V69" i="88"/>
  <c r="V61" i="88"/>
  <c r="V53" i="88"/>
  <c r="V17" i="88"/>
  <c r="R43" i="88"/>
  <c r="J72" i="88"/>
  <c r="X12" i="89"/>
  <c r="Z12" i="89" s="1"/>
  <c r="N18" i="89"/>
  <c r="H85" i="89"/>
  <c r="R54" i="89"/>
  <c r="Z56" i="89"/>
  <c r="X56" i="89"/>
  <c r="X62" i="96"/>
  <c r="Z62" i="96" s="1"/>
  <c r="V62" i="96"/>
  <c r="J85" i="84"/>
  <c r="J59" i="84"/>
  <c r="J51" i="84"/>
  <c r="J43" i="84"/>
  <c r="J87" i="84"/>
  <c r="J81" i="84"/>
  <c r="J75" i="84"/>
  <c r="J69" i="84"/>
  <c r="J89" i="84"/>
  <c r="J77" i="84"/>
  <c r="J71" i="84"/>
  <c r="J63" i="84"/>
  <c r="J83" i="84"/>
  <c r="J79" i="84"/>
  <c r="J67" i="84"/>
  <c r="J55" i="84"/>
  <c r="J47" i="84"/>
  <c r="J20" i="84"/>
  <c r="J46" i="84"/>
  <c r="J52" i="84"/>
  <c r="J56" i="84"/>
  <c r="J62" i="84"/>
  <c r="J74" i="84"/>
  <c r="V121" i="85"/>
  <c r="V101" i="85"/>
  <c r="V89" i="85"/>
  <c r="V53" i="85"/>
  <c r="V49" i="85"/>
  <c r="V120" i="85"/>
  <c r="V112" i="85"/>
  <c r="V108" i="85"/>
  <c r="V100" i="85"/>
  <c r="V92" i="85"/>
  <c r="V80" i="85"/>
  <c r="V72" i="85"/>
  <c r="V68" i="85"/>
  <c r="V64" i="85"/>
  <c r="T51" i="85"/>
  <c r="V51" i="85" s="1"/>
  <c r="V107" i="85"/>
  <c r="V91" i="85"/>
  <c r="V79" i="85"/>
  <c r="V63" i="85"/>
  <c r="V59" i="85"/>
  <c r="V55" i="85"/>
  <c r="V124" i="85"/>
  <c r="V122" i="85"/>
  <c r="V114" i="85"/>
  <c r="V102" i="85"/>
  <c r="V94" i="85"/>
  <c r="V82" i="85"/>
  <c r="V46" i="85"/>
  <c r="V42" i="85"/>
  <c r="V38" i="85"/>
  <c r="V34" i="85"/>
  <c r="V113" i="85"/>
  <c r="V109" i="85"/>
  <c r="V93" i="85"/>
  <c r="V81" i="85"/>
  <c r="V73" i="85"/>
  <c r="V69" i="85"/>
  <c r="V65" i="85"/>
  <c r="V115" i="85"/>
  <c r="V103" i="85"/>
  <c r="V95" i="85"/>
  <c r="V83" i="85"/>
  <c r="V75" i="85"/>
  <c r="V47" i="85"/>
  <c r="V43" i="85"/>
  <c r="V39" i="85"/>
  <c r="V35" i="85"/>
  <c r="V117" i="85"/>
  <c r="V105" i="85"/>
  <c r="V97" i="85"/>
  <c r="V85" i="85"/>
  <c r="V77" i="85"/>
  <c r="V61" i="85"/>
  <c r="V57" i="85"/>
  <c r="V119" i="85"/>
  <c r="V111" i="85"/>
  <c r="V99" i="85"/>
  <c r="V87" i="85"/>
  <c r="V71" i="85"/>
  <c r="V67" i="85"/>
  <c r="V40" i="85"/>
  <c r="V62" i="85"/>
  <c r="V116" i="85"/>
  <c r="N78" i="89"/>
  <c r="L78" i="89"/>
  <c r="P12" i="93"/>
  <c r="X13" i="93"/>
  <c r="Z13" i="93" s="1"/>
  <c r="J29" i="84"/>
  <c r="J33" i="84"/>
  <c r="J42" i="84"/>
  <c r="J45" i="84"/>
  <c r="L60" i="84"/>
  <c r="J46" i="85"/>
  <c r="J64" i="85"/>
  <c r="J82" i="85"/>
  <c r="J94" i="85"/>
  <c r="L101" i="85"/>
  <c r="N101" i="85" s="1"/>
  <c r="V118" i="85"/>
  <c r="R49" i="88"/>
  <c r="V84" i="88"/>
  <c r="P85" i="89"/>
  <c r="J38" i="84"/>
  <c r="J61" i="84"/>
  <c r="N77" i="84"/>
  <c r="J88" i="84"/>
  <c r="Z89" i="84"/>
  <c r="V44" i="85"/>
  <c r="H51" i="85"/>
  <c r="J51" i="85" s="1"/>
  <c r="J56" i="85"/>
  <c r="V58" i="85"/>
  <c r="V60" i="85"/>
  <c r="N75" i="85"/>
  <c r="J84" i="85"/>
  <c r="Z105" i="85"/>
  <c r="J128" i="85"/>
  <c r="R44" i="88"/>
  <c r="R40" i="88"/>
  <c r="R36" i="88"/>
  <c r="R17" i="88"/>
  <c r="R88" i="88"/>
  <c r="R87" i="88"/>
  <c r="R71" i="88"/>
  <c r="R64" i="88"/>
  <c r="R63" i="88"/>
  <c r="R31" i="88"/>
  <c r="R27" i="88"/>
  <c r="R82" i="88"/>
  <c r="R78" i="88"/>
  <c r="R54" i="88"/>
  <c r="R18" i="88"/>
  <c r="R90" i="88"/>
  <c r="R89" i="88"/>
  <c r="R65" i="88"/>
  <c r="R46" i="88"/>
  <c r="R45" i="88"/>
  <c r="R41" i="88"/>
  <c r="R37" i="88"/>
  <c r="R72" i="88"/>
  <c r="R32" i="88"/>
  <c r="R28" i="88"/>
  <c r="R91" i="88"/>
  <c r="R83" i="88"/>
  <c r="R79" i="88"/>
  <c r="R56" i="88"/>
  <c r="R55" i="88"/>
  <c r="R48" i="88"/>
  <c r="R47" i="88"/>
  <c r="R19" i="88"/>
  <c r="R93" i="88"/>
  <c r="R66" i="88"/>
  <c r="R42" i="88"/>
  <c r="R38" i="88"/>
  <c r="X12" i="88"/>
  <c r="Z12" i="88" s="1"/>
  <c r="R84" i="88"/>
  <c r="R80" i="88"/>
  <c r="R25" i="88"/>
  <c r="R20" i="88"/>
  <c r="R35" i="88"/>
  <c r="R34" i="88"/>
  <c r="R30" i="88"/>
  <c r="R26" i="88"/>
  <c r="P22" i="88"/>
  <c r="R33" i="88"/>
  <c r="Z35" i="88"/>
  <c r="V52" i="88"/>
  <c r="V60" i="88"/>
  <c r="R86" i="88"/>
  <c r="X18" i="89"/>
  <c r="X46" i="84"/>
  <c r="J82" i="84"/>
  <c r="N91" i="84"/>
  <c r="D12" i="85"/>
  <c r="L13" i="85"/>
  <c r="N13" i="85" s="1"/>
  <c r="J54" i="85"/>
  <c r="J66" i="85"/>
  <c r="J96" i="85"/>
  <c r="Z101" i="85"/>
  <c r="J36" i="86"/>
  <c r="H39" i="86"/>
  <c r="L23" i="86"/>
  <c r="N23" i="86" s="1"/>
  <c r="Z18" i="89"/>
  <c r="T23" i="89"/>
  <c r="X23" i="89" s="1"/>
  <c r="V18" i="89"/>
  <c r="J27" i="86"/>
  <c r="L12" i="88"/>
  <c r="N12" i="88" s="1"/>
  <c r="F38" i="88"/>
  <c r="F42" i="88"/>
  <c r="F66" i="88"/>
  <c r="V74" i="89"/>
  <c r="V70" i="89"/>
  <c r="V58" i="89"/>
  <c r="V46" i="89"/>
  <c r="V42" i="89"/>
  <c r="V38" i="89"/>
  <c r="V87" i="89"/>
  <c r="V65" i="89"/>
  <c r="V57" i="89"/>
  <c r="V49" i="89"/>
  <c r="V33" i="89"/>
  <c r="V71" i="89"/>
  <c r="V59" i="89"/>
  <c r="V51" i="89"/>
  <c r="V43" i="89"/>
  <c r="V39" i="89"/>
  <c r="V78" i="89"/>
  <c r="V66" i="89"/>
  <c r="V50" i="89"/>
  <c r="V34" i="89"/>
  <c r="V30" i="89"/>
  <c r="V77" i="89"/>
  <c r="V61" i="89"/>
  <c r="V53" i="89"/>
  <c r="V25" i="89"/>
  <c r="V21" i="89"/>
  <c r="V80" i="89"/>
  <c r="V72" i="89"/>
  <c r="V68" i="89"/>
  <c r="V52" i="89"/>
  <c r="V44" i="89"/>
  <c r="V40" i="89"/>
  <c r="V36" i="89"/>
  <c r="V62" i="89"/>
  <c r="V54" i="89"/>
  <c r="V64" i="89"/>
  <c r="V56" i="89"/>
  <c r="J23" i="89"/>
  <c r="V27" i="89"/>
  <c r="X36" i="89"/>
  <c r="Z36" i="89" s="1"/>
  <c r="L51" i="89"/>
  <c r="N51" i="89" s="1"/>
  <c r="V75" i="89"/>
  <c r="V79" i="89"/>
  <c r="Z18" i="92"/>
  <c r="J38" i="92"/>
  <c r="J42" i="92"/>
  <c r="F28" i="88"/>
  <c r="F32" i="88"/>
  <c r="F72" i="88"/>
  <c r="J34" i="92"/>
  <c r="J91" i="92"/>
  <c r="H83" i="93"/>
  <c r="J83" i="93" s="1"/>
  <c r="X26" i="95"/>
  <c r="Z26" i="95" s="1"/>
  <c r="V26" i="95"/>
  <c r="J68" i="98"/>
  <c r="J23" i="86"/>
  <c r="F17" i="88"/>
  <c r="F18" i="88"/>
  <c r="F54" i="88"/>
  <c r="F78" i="88"/>
  <c r="F82" i="88"/>
  <c r="J28" i="89"/>
  <c r="V35" i="89"/>
  <c r="J39" i="89"/>
  <c r="J16" i="92"/>
  <c r="N19" i="92"/>
  <c r="Z52" i="92"/>
  <c r="V22" i="93"/>
  <c r="Z81" i="93"/>
  <c r="X81" i="93"/>
  <c r="F70" i="88"/>
  <c r="F71" i="88"/>
  <c r="F86" i="88"/>
  <c r="F87" i="88"/>
  <c r="J86" i="92"/>
  <c r="J78" i="92"/>
  <c r="J68" i="92"/>
  <c r="J87" i="92"/>
  <c r="J79" i="92"/>
  <c r="J90" i="92"/>
  <c r="J89" i="92"/>
  <c r="J76" i="92"/>
  <c r="J73" i="92"/>
  <c r="J53" i="92"/>
  <c r="J45" i="92"/>
  <c r="J29" i="92"/>
  <c r="J25" i="92"/>
  <c r="J21" i="92"/>
  <c r="J70" i="92"/>
  <c r="J67" i="92"/>
  <c r="J54" i="92"/>
  <c r="J30" i="92"/>
  <c r="J84" i="92"/>
  <c r="J63" i="92"/>
  <c r="J55" i="92"/>
  <c r="J39" i="92"/>
  <c r="J35" i="92"/>
  <c r="J31" i="92"/>
  <c r="J95" i="92"/>
  <c r="J81" i="92"/>
  <c r="J74" i="92"/>
  <c r="J64" i="92"/>
  <c r="J56" i="92"/>
  <c r="J46" i="92"/>
  <c r="J26" i="92"/>
  <c r="J22" i="92"/>
  <c r="J71" i="92"/>
  <c r="J57" i="92"/>
  <c r="J77" i="92"/>
  <c r="J65" i="92"/>
  <c r="J58" i="92"/>
  <c r="J40" i="92"/>
  <c r="J36" i="92"/>
  <c r="J32" i="92"/>
  <c r="N12" i="92"/>
  <c r="J85" i="92"/>
  <c r="J59" i="92"/>
  <c r="J47" i="92"/>
  <c r="J41" i="92"/>
  <c r="J27" i="92"/>
  <c r="J23" i="92"/>
  <c r="L12" i="92"/>
  <c r="J75" i="92"/>
  <c r="J61" i="92"/>
  <c r="J49" i="92"/>
  <c r="J43" i="92"/>
  <c r="J37" i="92"/>
  <c r="J33" i="92"/>
  <c r="J19" i="92"/>
  <c r="J93" i="92"/>
  <c r="J83" i="92"/>
  <c r="J69" i="92"/>
  <c r="J51" i="92"/>
  <c r="H16" i="92"/>
  <c r="J66" i="92"/>
  <c r="Z89" i="92"/>
  <c r="J100" i="92"/>
  <c r="X53" i="95"/>
  <c r="Z53" i="95" s="1"/>
  <c r="V53" i="95"/>
  <c r="T90" i="95"/>
  <c r="V86" i="95"/>
  <c r="L13" i="86"/>
  <c r="N13" i="86" s="1"/>
  <c r="D22" i="88"/>
  <c r="F35" i="88"/>
  <c r="F36" i="88"/>
  <c r="F40" i="88"/>
  <c r="F44" i="88"/>
  <c r="J20" i="89"/>
  <c r="J32" i="89"/>
  <c r="J43" i="89"/>
  <c r="X64" i="89"/>
  <c r="Z64" i="89" s="1"/>
  <c r="Z68" i="89"/>
  <c r="V76" i="89"/>
  <c r="J24" i="92"/>
  <c r="J28" i="92"/>
  <c r="L41" i="92"/>
  <c r="N41" i="92" s="1"/>
  <c r="N43" i="92"/>
  <c r="J62" i="92"/>
  <c r="Z78" i="92"/>
  <c r="Z86" i="92"/>
  <c r="X89" i="92"/>
  <c r="T83" i="93"/>
  <c r="D12" i="95"/>
  <c r="L15" i="95"/>
  <c r="N15" i="95" s="1"/>
  <c r="F22" i="88"/>
  <c r="F24" i="88"/>
  <c r="F52" i="88"/>
  <c r="F53" i="88"/>
  <c r="F60" i="88"/>
  <c r="F61" i="88"/>
  <c r="F68" i="88"/>
  <c r="F69" i="88"/>
  <c r="F76" i="88"/>
  <c r="F77" i="88"/>
  <c r="F81" i="88"/>
  <c r="F85" i="88"/>
  <c r="J60" i="92"/>
  <c r="D12" i="94"/>
  <c r="L13" i="94"/>
  <c r="N13" i="94" s="1"/>
  <c r="X47" i="100"/>
  <c r="Z47" i="100"/>
  <c r="X82" i="85"/>
  <c r="Z82" i="85" s="1"/>
  <c r="L88" i="85"/>
  <c r="N88" i="85" s="1"/>
  <c r="X94" i="85"/>
  <c r="J17" i="86"/>
  <c r="F25" i="88"/>
  <c r="F26" i="88"/>
  <c r="F30" i="88"/>
  <c r="F34" i="88"/>
  <c r="J80" i="89"/>
  <c r="J68" i="89"/>
  <c r="J62" i="89"/>
  <c r="J54" i="89"/>
  <c r="J36" i="89"/>
  <c r="J81" i="89"/>
  <c r="J73" i="89"/>
  <c r="J69" i="89"/>
  <c r="J45" i="89"/>
  <c r="J41" i="89"/>
  <c r="J37" i="89"/>
  <c r="J85" i="89"/>
  <c r="J83" i="89"/>
  <c r="J63" i="89"/>
  <c r="J55" i="89"/>
  <c r="J74" i="89"/>
  <c r="J70" i="89"/>
  <c r="J64" i="89"/>
  <c r="J56" i="89"/>
  <c r="J46" i="89"/>
  <c r="J42" i="89"/>
  <c r="J38" i="89"/>
  <c r="J87" i="89"/>
  <c r="J75" i="89"/>
  <c r="J65" i="89"/>
  <c r="J57" i="89"/>
  <c r="J47" i="89"/>
  <c r="J33" i="89"/>
  <c r="J29" i="89"/>
  <c r="J76" i="89"/>
  <c r="J58" i="89"/>
  <c r="J48" i="89"/>
  <c r="J66" i="89"/>
  <c r="J60" i="89"/>
  <c r="J50" i="89"/>
  <c r="J34" i="89"/>
  <c r="J30" i="89"/>
  <c r="J78" i="89"/>
  <c r="J72" i="89"/>
  <c r="V28" i="89"/>
  <c r="V48" i="89"/>
  <c r="X80" i="89"/>
  <c r="D93" i="92"/>
  <c r="L16" i="92"/>
  <c r="Z30" i="92"/>
  <c r="Z35" i="93"/>
  <c r="V35" i="93"/>
  <c r="N46" i="93"/>
  <c r="P12" i="94"/>
  <c r="X13" i="94"/>
  <c r="Z13" i="94" s="1"/>
  <c r="Z76" i="94"/>
  <c r="V76" i="94"/>
  <c r="F72" i="101"/>
  <c r="F59" i="101"/>
  <c r="F58" i="101"/>
  <c r="F19" i="101"/>
  <c r="F77" i="101"/>
  <c r="F33" i="101"/>
  <c r="F29" i="101"/>
  <c r="F82" i="101"/>
  <c r="F79" i="101"/>
  <c r="F62" i="101"/>
  <c r="F61" i="101"/>
  <c r="F54" i="101"/>
  <c r="F53" i="101"/>
  <c r="F30" i="101"/>
  <c r="F26" i="101"/>
  <c r="F25" i="101"/>
  <c r="F69" i="101"/>
  <c r="F68" i="101"/>
  <c r="F24" i="101"/>
  <c r="F22" i="101"/>
  <c r="F70" i="101"/>
  <c r="F46" i="101"/>
  <c r="F45" i="101"/>
  <c r="F18" i="101"/>
  <c r="F17" i="101"/>
  <c r="F75" i="101"/>
  <c r="F63" i="101"/>
  <c r="F57" i="101"/>
  <c r="F39" i="101"/>
  <c r="F28" i="101"/>
  <c r="L12" i="101"/>
  <c r="F37" i="101"/>
  <c r="F34" i="101"/>
  <c r="F20" i="101"/>
  <c r="F66" i="101"/>
  <c r="F64" i="101"/>
  <c r="F60" i="101"/>
  <c r="F44" i="101"/>
  <c r="F31" i="101"/>
  <c r="F51" i="101"/>
  <c r="F47" i="101"/>
  <c r="F42" i="101"/>
  <c r="F35" i="101"/>
  <c r="F55" i="101"/>
  <c r="F40" i="101"/>
  <c r="F32" i="101"/>
  <c r="F48" i="101"/>
  <c r="D22" i="101"/>
  <c r="F36" i="101"/>
  <c r="F38" i="101"/>
  <c r="F56" i="101"/>
  <c r="F67" i="101"/>
  <c r="F52" i="101"/>
  <c r="F50" i="101"/>
  <c r="F41" i="101"/>
  <c r="F27" i="101"/>
  <c r="F65" i="101"/>
  <c r="F49" i="101"/>
  <c r="F73" i="101"/>
  <c r="F43" i="101"/>
  <c r="J16" i="86"/>
  <c r="J30" i="86"/>
  <c r="F39" i="88"/>
  <c r="F43" i="88"/>
  <c r="F50" i="88"/>
  <c r="F51" i="88"/>
  <c r="F58" i="88"/>
  <c r="F59" i="88"/>
  <c r="F67" i="88"/>
  <c r="F74" i="88"/>
  <c r="F75" i="88"/>
  <c r="F97" i="88"/>
  <c r="Z80" i="89"/>
  <c r="J18" i="92"/>
  <c r="J48" i="92"/>
  <c r="P12" i="95"/>
  <c r="X13" i="95"/>
  <c r="Z13" i="95" s="1"/>
  <c r="F20" i="88"/>
  <c r="F80" i="88"/>
  <c r="F84" i="88"/>
  <c r="F93" i="88"/>
  <c r="N26" i="89"/>
  <c r="L58" i="89"/>
  <c r="J50" i="92"/>
  <c r="Z64" i="92"/>
  <c r="F43" i="92"/>
  <c r="F44" i="92"/>
  <c r="V55" i="92"/>
  <c r="V63" i="92"/>
  <c r="V64" i="92"/>
  <c r="F66" i="92"/>
  <c r="V67" i="92"/>
  <c r="R76" i="92"/>
  <c r="V84" i="92"/>
  <c r="V89" i="92"/>
  <c r="Z65" i="95"/>
  <c r="F85" i="92"/>
  <c r="F77" i="92"/>
  <c r="F73" i="92"/>
  <c r="F83" i="92"/>
  <c r="F82" i="92"/>
  <c r="F75" i="92"/>
  <c r="F71" i="92"/>
  <c r="F70" i="92"/>
  <c r="L14" i="92"/>
  <c r="V21" i="92"/>
  <c r="V25" i="92"/>
  <c r="V29" i="92"/>
  <c r="R34" i="92"/>
  <c r="R38" i="92"/>
  <c r="F41" i="92"/>
  <c r="F42" i="92"/>
  <c r="V45" i="92"/>
  <c r="V53" i="92"/>
  <c r="R62" i="92"/>
  <c r="V70" i="92"/>
  <c r="F72" i="92"/>
  <c r="V73" i="92"/>
  <c r="F78" i="92"/>
  <c r="Z80" i="92"/>
  <c r="R87" i="92"/>
  <c r="F91" i="92"/>
  <c r="N18" i="93"/>
  <c r="J32" i="93"/>
  <c r="J46" i="93"/>
  <c r="J57" i="93"/>
  <c r="Z60" i="93"/>
  <c r="Z26" i="94"/>
  <c r="Z36" i="94"/>
  <c r="Z63" i="94"/>
  <c r="J46" i="95"/>
  <c r="X49" i="95"/>
  <c r="Z49" i="95" s="1"/>
  <c r="J57" i="95"/>
  <c r="J64" i="95"/>
  <c r="X69" i="95"/>
  <c r="L79" i="95"/>
  <c r="N79" i="95" s="1"/>
  <c r="P16" i="92"/>
  <c r="R20" i="92"/>
  <c r="R24" i="92"/>
  <c r="R28" i="92"/>
  <c r="F32" i="92"/>
  <c r="F36" i="92"/>
  <c r="F40" i="92"/>
  <c r="R44" i="92"/>
  <c r="V51" i="92"/>
  <c r="F65" i="92"/>
  <c r="R66" i="92"/>
  <c r="F68" i="92"/>
  <c r="V79" i="92"/>
  <c r="X18" i="93"/>
  <c r="Z18" i="93" s="1"/>
  <c r="N63" i="93"/>
  <c r="N70" i="94"/>
  <c r="J38" i="95"/>
  <c r="Z51" i="95"/>
  <c r="Z60" i="95"/>
  <c r="Z71" i="95"/>
  <c r="X25" i="96"/>
  <c r="Z25" i="96" s="1"/>
  <c r="N18" i="98"/>
  <c r="F62" i="98"/>
  <c r="R14" i="92"/>
  <c r="R16" i="92"/>
  <c r="R18" i="92"/>
  <c r="V20" i="92"/>
  <c r="V24" i="92"/>
  <c r="V28" i="92"/>
  <c r="R33" i="92"/>
  <c r="R37" i="92"/>
  <c r="V44" i="92"/>
  <c r="R49" i="92"/>
  <c r="R50" i="92"/>
  <c r="V52" i="92"/>
  <c r="F56" i="92"/>
  <c r="F57" i="92"/>
  <c r="R61" i="92"/>
  <c r="F64" i="92"/>
  <c r="V66" i="92"/>
  <c r="R72" i="92"/>
  <c r="F90" i="92"/>
  <c r="N65" i="93"/>
  <c r="F89" i="98"/>
  <c r="R91" i="92"/>
  <c r="R82" i="92"/>
  <c r="R81" i="92"/>
  <c r="R70" i="92"/>
  <c r="R69" i="92"/>
  <c r="R65" i="92"/>
  <c r="R93" i="92"/>
  <c r="R100" i="92"/>
  <c r="R67" i="92"/>
  <c r="T16" i="92"/>
  <c r="R19" i="92"/>
  <c r="F22" i="92"/>
  <c r="F26" i="92"/>
  <c r="V33" i="92"/>
  <c r="V37" i="92"/>
  <c r="R42" i="92"/>
  <c r="R43" i="92"/>
  <c r="F46" i="92"/>
  <c r="V49" i="92"/>
  <c r="V61" i="92"/>
  <c r="N64" i="92"/>
  <c r="F74" i="92"/>
  <c r="F81" i="92"/>
  <c r="R86" i="92"/>
  <c r="F89" i="92"/>
  <c r="L90" i="92"/>
  <c r="N90" i="92" s="1"/>
  <c r="F95" i="92"/>
  <c r="R97" i="92"/>
  <c r="D12" i="93"/>
  <c r="X25" i="93"/>
  <c r="J29" i="93"/>
  <c r="Z48" i="93"/>
  <c r="J50" i="93"/>
  <c r="V69" i="93"/>
  <c r="J72" i="93"/>
  <c r="Z25" i="94"/>
  <c r="J49" i="94"/>
  <c r="J29" i="95"/>
  <c r="J33" i="95"/>
  <c r="V62" i="95"/>
  <c r="J74" i="95"/>
  <c r="Z81" i="95"/>
  <c r="V83" i="92"/>
  <c r="V75" i="92"/>
  <c r="V100" i="92"/>
  <c r="V97" i="92"/>
  <c r="V95" i="92"/>
  <c r="V86" i="92"/>
  <c r="V78" i="92"/>
  <c r="V14" i="92"/>
  <c r="V16" i="92"/>
  <c r="V18" i="92"/>
  <c r="R23" i="92"/>
  <c r="R27" i="92"/>
  <c r="F30" i="92"/>
  <c r="F31" i="92"/>
  <c r="F35" i="92"/>
  <c r="F39" i="92"/>
  <c r="V42" i="92"/>
  <c r="R47" i="92"/>
  <c r="R48" i="92"/>
  <c r="V50" i="92"/>
  <c r="F54" i="92"/>
  <c r="F55" i="92"/>
  <c r="R59" i="92"/>
  <c r="R60" i="92"/>
  <c r="F63" i="92"/>
  <c r="R68" i="92"/>
  <c r="R78" i="92"/>
  <c r="F84" i="92"/>
  <c r="R85" i="92"/>
  <c r="N89" i="92"/>
  <c r="V91" i="92"/>
  <c r="J79" i="93"/>
  <c r="J67" i="93"/>
  <c r="J59" i="93"/>
  <c r="J51" i="93"/>
  <c r="J43" i="93"/>
  <c r="J39" i="93"/>
  <c r="J25" i="93"/>
  <c r="J60" i="93"/>
  <c r="J52" i="93"/>
  <c r="J34" i="93"/>
  <c r="J30" i="93"/>
  <c r="J26" i="93"/>
  <c r="J24" i="93"/>
  <c r="J22" i="93"/>
  <c r="J81" i="93"/>
  <c r="J73" i="93"/>
  <c r="J61" i="93"/>
  <c r="J53" i="93"/>
  <c r="J68" i="93"/>
  <c r="J44" i="93"/>
  <c r="J40" i="93"/>
  <c r="J36" i="93"/>
  <c r="J85" i="93"/>
  <c r="J69" i="93"/>
  <c r="J31" i="93"/>
  <c r="J27" i="93"/>
  <c r="J74" i="93"/>
  <c r="J70" i="93"/>
  <c r="J62" i="93"/>
  <c r="J54" i="93"/>
  <c r="J63" i="93"/>
  <c r="J45" i="93"/>
  <c r="J41" i="93"/>
  <c r="J37" i="93"/>
  <c r="J75" i="93"/>
  <c r="J71" i="93"/>
  <c r="J65" i="93"/>
  <c r="J55" i="93"/>
  <c r="J47" i="93"/>
  <c r="J38" i="93"/>
  <c r="J56" i="93"/>
  <c r="X69" i="93"/>
  <c r="Z69" i="93" s="1"/>
  <c r="N76" i="93"/>
  <c r="N49" i="94"/>
  <c r="J81" i="95"/>
  <c r="J75" i="95"/>
  <c r="J69" i="95"/>
  <c r="J59" i="95"/>
  <c r="J49" i="95"/>
  <c r="J43" i="95"/>
  <c r="J39" i="95"/>
  <c r="J82" i="95"/>
  <c r="J70" i="95"/>
  <c r="J60" i="95"/>
  <c r="J50" i="95"/>
  <c r="J34" i="95"/>
  <c r="J30" i="95"/>
  <c r="J71" i="95"/>
  <c r="J61" i="95"/>
  <c r="J51" i="95"/>
  <c r="J21" i="95"/>
  <c r="J84" i="95"/>
  <c r="J76" i="95"/>
  <c r="J72" i="95"/>
  <c r="J62" i="95"/>
  <c r="J52" i="95"/>
  <c r="J44" i="95"/>
  <c r="J40" i="95"/>
  <c r="J26" i="95"/>
  <c r="J63" i="95"/>
  <c r="J53" i="95"/>
  <c r="J35" i="95"/>
  <c r="J31" i="95"/>
  <c r="J27" i="95"/>
  <c r="J25" i="95"/>
  <c r="J23" i="95"/>
  <c r="J88" i="95"/>
  <c r="J54" i="95"/>
  <c r="J36" i="95"/>
  <c r="H23" i="95"/>
  <c r="J77" i="95"/>
  <c r="J73" i="95"/>
  <c r="J45" i="95"/>
  <c r="J41" i="95"/>
  <c r="J37" i="95"/>
  <c r="J65" i="95"/>
  <c r="J55" i="95"/>
  <c r="J19" i="95"/>
  <c r="J56" i="95"/>
  <c r="Z62" i="95"/>
  <c r="X12" i="92"/>
  <c r="V23" i="92"/>
  <c r="V27" i="92"/>
  <c r="R32" i="92"/>
  <c r="R36" i="92"/>
  <c r="R40" i="92"/>
  <c r="R41" i="92"/>
  <c r="V43" i="92"/>
  <c r="V47" i="92"/>
  <c r="V59" i="92"/>
  <c r="V65" i="92"/>
  <c r="F67" i="92"/>
  <c r="V68" i="92"/>
  <c r="R77" i="92"/>
  <c r="V82" i="92"/>
  <c r="V85" i="92"/>
  <c r="R90" i="92"/>
  <c r="Z25" i="93"/>
  <c r="J33" i="93"/>
  <c r="J78" i="93"/>
  <c r="X25" i="95"/>
  <c r="Z25" i="95" s="1"/>
  <c r="V84" i="95"/>
  <c r="P12" i="96"/>
  <c r="X15" i="96"/>
  <c r="J56" i="96"/>
  <c r="X60" i="89"/>
  <c r="Z60" i="89" s="1"/>
  <c r="Z12" i="92"/>
  <c r="F21" i="92"/>
  <c r="F25" i="92"/>
  <c r="F29" i="92"/>
  <c r="V32" i="92"/>
  <c r="V36" i="92"/>
  <c r="V40" i="92"/>
  <c r="F45" i="92"/>
  <c r="V48" i="92"/>
  <c r="F52" i="92"/>
  <c r="F53" i="92"/>
  <c r="R57" i="92"/>
  <c r="R58" i="92"/>
  <c r="V60" i="92"/>
  <c r="R71" i="92"/>
  <c r="R74" i="92"/>
  <c r="F76" i="92"/>
  <c r="V77" i="92"/>
  <c r="F80" i="92"/>
  <c r="V81" i="92"/>
  <c r="X82" i="92"/>
  <c r="Z82" i="92" s="1"/>
  <c r="V90" i="92"/>
  <c r="F100" i="92"/>
  <c r="J19" i="93"/>
  <c r="J42" i="93"/>
  <c r="J58" i="93"/>
  <c r="H83" i="94"/>
  <c r="N47" i="95"/>
  <c r="N65" i="95"/>
  <c r="N67" i="95"/>
  <c r="Z84" i="95"/>
  <c r="N56" i="96"/>
  <c r="F70" i="98"/>
  <c r="R22" i="92"/>
  <c r="R26" i="92"/>
  <c r="F34" i="92"/>
  <c r="F38" i="92"/>
  <c r="V41" i="92"/>
  <c r="R46" i="92"/>
  <c r="V57" i="92"/>
  <c r="F62" i="92"/>
  <c r="R64" i="92"/>
  <c r="V71" i="92"/>
  <c r="V74" i="92"/>
  <c r="N80" i="92"/>
  <c r="R89" i="92"/>
  <c r="R95" i="92"/>
  <c r="Z24" i="93"/>
  <c r="J49" i="93"/>
  <c r="J64" i="93"/>
  <c r="Z18" i="94"/>
  <c r="N36" i="94"/>
  <c r="Z61" i="94"/>
  <c r="J20" i="95"/>
  <c r="J47" i="95"/>
  <c r="J58" i="95"/>
  <c r="J67" i="95"/>
  <c r="Z35" i="96"/>
  <c r="L89" i="96"/>
  <c r="L91" i="96"/>
  <c r="F56" i="98"/>
  <c r="F48" i="98"/>
  <c r="F47" i="98"/>
  <c r="F83" i="98"/>
  <c r="F82" i="98"/>
  <c r="F71" i="98"/>
  <c r="F78" i="98"/>
  <c r="F66" i="98"/>
  <c r="F58" i="98"/>
  <c r="F57" i="98"/>
  <c r="F50" i="98"/>
  <c r="F49" i="98"/>
  <c r="F34" i="98"/>
  <c r="F30" i="98"/>
  <c r="F85" i="98"/>
  <c r="F84" i="98"/>
  <c r="F73" i="98"/>
  <c r="F72" i="98"/>
  <c r="F60" i="98"/>
  <c r="F59" i="98"/>
  <c r="F52" i="98"/>
  <c r="F51" i="98"/>
  <c r="F44" i="98"/>
  <c r="F40" i="98"/>
  <c r="F87" i="98"/>
  <c r="F86" i="98"/>
  <c r="F79" i="98"/>
  <c r="F74" i="98"/>
  <c r="F31" i="98"/>
  <c r="F28" i="98"/>
  <c r="F54" i="98"/>
  <c r="F37" i="98"/>
  <c r="F77" i="98"/>
  <c r="F69" i="98"/>
  <c r="F42" i="98"/>
  <c r="F75" i="98"/>
  <c r="F63" i="98"/>
  <c r="F45" i="98"/>
  <c r="L12" i="98"/>
  <c r="F29" i="98"/>
  <c r="F25" i="98"/>
  <c r="D23" i="98"/>
  <c r="F19" i="98"/>
  <c r="F18" i="98"/>
  <c r="F80" i="98"/>
  <c r="F64" i="98"/>
  <c r="F61" i="98"/>
  <c r="F55" i="98"/>
  <c r="F38" i="98"/>
  <c r="F35" i="98"/>
  <c r="F32" i="98"/>
  <c r="F27" i="98"/>
  <c r="F93" i="98"/>
  <c r="F46" i="98"/>
  <c r="F20" i="98"/>
  <c r="F67" i="98"/>
  <c r="F36" i="98"/>
  <c r="F21" i="98"/>
  <c r="F81" i="98"/>
  <c r="F65" i="98"/>
  <c r="F53" i="98"/>
  <c r="F41" i="98"/>
  <c r="F43" i="98"/>
  <c r="F39" i="98"/>
  <c r="F33" i="98"/>
  <c r="F68" i="98"/>
  <c r="F26" i="98"/>
  <c r="N38" i="99"/>
  <c r="L38" i="99"/>
  <c r="V51" i="93"/>
  <c r="V59" i="93"/>
  <c r="V67" i="93"/>
  <c r="V79" i="93"/>
  <c r="V81" i="93"/>
  <c r="T23" i="94"/>
  <c r="V36" i="94"/>
  <c r="V40" i="94"/>
  <c r="V44" i="94"/>
  <c r="V52" i="94"/>
  <c r="V60" i="94"/>
  <c r="J70" i="94"/>
  <c r="V72" i="94"/>
  <c r="V39" i="95"/>
  <c r="V43" i="95"/>
  <c r="V51" i="95"/>
  <c r="V59" i="95"/>
  <c r="V71" i="95"/>
  <c r="V75" i="95"/>
  <c r="J59" i="96"/>
  <c r="J51" i="96"/>
  <c r="J43" i="96"/>
  <c r="J39" i="96"/>
  <c r="J25" i="96"/>
  <c r="J74" i="96"/>
  <c r="J60" i="96"/>
  <c r="J52" i="96"/>
  <c r="J34" i="96"/>
  <c r="J30" i="96"/>
  <c r="J26" i="96"/>
  <c r="J93" i="96"/>
  <c r="J85" i="96"/>
  <c r="J81" i="96"/>
  <c r="J69" i="96"/>
  <c r="J61" i="96"/>
  <c r="J53" i="96"/>
  <c r="J35" i="96"/>
  <c r="J94" i="96"/>
  <c r="J70" i="96"/>
  <c r="J62" i="96"/>
  <c r="J44" i="96"/>
  <c r="J40" i="96"/>
  <c r="J36" i="96"/>
  <c r="J95" i="96"/>
  <c r="J75" i="96"/>
  <c r="J71" i="96"/>
  <c r="J63" i="96"/>
  <c r="J97" i="96"/>
  <c r="J87" i="96"/>
  <c r="J77" i="96"/>
  <c r="J65" i="96"/>
  <c r="J45" i="96"/>
  <c r="J41" i="96"/>
  <c r="J37" i="96"/>
  <c r="J101" i="96"/>
  <c r="J89" i="96"/>
  <c r="J83" i="96"/>
  <c r="J79" i="96"/>
  <c r="J67" i="96"/>
  <c r="J55" i="96"/>
  <c r="J47" i="96"/>
  <c r="J24" i="96"/>
  <c r="J73" i="96"/>
  <c r="J82" i="96"/>
  <c r="J91" i="96"/>
  <c r="L64" i="98"/>
  <c r="N64" i="98" s="1"/>
  <c r="L16" i="102"/>
  <c r="N16" i="102" s="1"/>
  <c r="D12" i="102"/>
  <c r="X26" i="102"/>
  <c r="Z26" i="102" s="1"/>
  <c r="V25" i="93"/>
  <c r="V29" i="93"/>
  <c r="V33" i="93"/>
  <c r="V49" i="93"/>
  <c r="V57" i="93"/>
  <c r="V77" i="93"/>
  <c r="V26" i="94"/>
  <c r="V30" i="94"/>
  <c r="V34" i="94"/>
  <c r="J38" i="94"/>
  <c r="J42" i="94"/>
  <c r="J46" i="94"/>
  <c r="V50" i="94"/>
  <c r="J58" i="94"/>
  <c r="V66" i="94"/>
  <c r="V29" i="95"/>
  <c r="V33" i="95"/>
  <c r="V49" i="95"/>
  <c r="V57" i="95"/>
  <c r="V69" i="95"/>
  <c r="V81" i="95"/>
  <c r="V19" i="96"/>
  <c r="H22" i="96"/>
  <c r="N48" i="96"/>
  <c r="Z56" i="96"/>
  <c r="J66" i="96"/>
  <c r="V80" i="96"/>
  <c r="X91" i="96"/>
  <c r="Z94" i="96"/>
  <c r="T91" i="98"/>
  <c r="V23" i="98"/>
  <c r="R34" i="99"/>
  <c r="R33" i="99"/>
  <c r="R29" i="99"/>
  <c r="R28" i="99"/>
  <c r="R24" i="99"/>
  <c r="R36" i="99"/>
  <c r="R35" i="99"/>
  <c r="R30" i="99"/>
  <c r="R38" i="99"/>
  <c r="R37" i="99"/>
  <c r="R25" i="99"/>
  <c r="R21" i="99"/>
  <c r="X12" i="99"/>
  <c r="R39" i="99"/>
  <c r="R31" i="99"/>
  <c r="R20" i="99"/>
  <c r="R18" i="99"/>
  <c r="R16" i="99"/>
  <c r="R27" i="99"/>
  <c r="R32" i="99"/>
  <c r="R45" i="99"/>
  <c r="R26" i="99"/>
  <c r="H63" i="103"/>
  <c r="N16" i="103"/>
  <c r="V38" i="93"/>
  <c r="V42" i="93"/>
  <c r="V50" i="93"/>
  <c r="V58" i="93"/>
  <c r="V66" i="93"/>
  <c r="V78" i="93"/>
  <c r="V39" i="94"/>
  <c r="V43" i="94"/>
  <c r="V51" i="94"/>
  <c r="J57" i="94"/>
  <c r="V59" i="94"/>
  <c r="V71" i="94"/>
  <c r="J79" i="94"/>
  <c r="V38" i="95"/>
  <c r="V42" i="95"/>
  <c r="V46" i="95"/>
  <c r="V58" i="95"/>
  <c r="V66" i="95"/>
  <c r="V74" i="95"/>
  <c r="V78" i="95"/>
  <c r="J22" i="96"/>
  <c r="J29" i="96"/>
  <c r="V61" i="96"/>
  <c r="V64" i="96"/>
  <c r="J68" i="96"/>
  <c r="J90" i="96"/>
  <c r="Z91" i="96"/>
  <c r="N20" i="100"/>
  <c r="V47" i="93"/>
  <c r="V55" i="93"/>
  <c r="V71" i="93"/>
  <c r="V75" i="93"/>
  <c r="V20" i="94"/>
  <c r="J28" i="94"/>
  <c r="J32" i="94"/>
  <c r="V48" i="94"/>
  <c r="J56" i="94"/>
  <c r="J64" i="94"/>
  <c r="J68" i="94"/>
  <c r="J76" i="94"/>
  <c r="J77" i="94"/>
  <c r="V19" i="95"/>
  <c r="V47" i="95"/>
  <c r="V55" i="95"/>
  <c r="V67" i="95"/>
  <c r="V79" i="95"/>
  <c r="V97" i="96"/>
  <c r="V95" i="96"/>
  <c r="V87" i="96"/>
  <c r="V75" i="96"/>
  <c r="V71" i="96"/>
  <c r="V63" i="96"/>
  <c r="V31" i="96"/>
  <c r="V27" i="96"/>
  <c r="V86" i="96"/>
  <c r="V82" i="96"/>
  <c r="V78" i="96"/>
  <c r="V66" i="96"/>
  <c r="V54" i="96"/>
  <c r="V46" i="96"/>
  <c r="V89" i="96"/>
  <c r="V77" i="96"/>
  <c r="V65" i="96"/>
  <c r="V45" i="96"/>
  <c r="V41" i="96"/>
  <c r="V37" i="96"/>
  <c r="V88" i="96"/>
  <c r="V72" i="96"/>
  <c r="V56" i="96"/>
  <c r="V48" i="96"/>
  <c r="V32" i="96"/>
  <c r="V28" i="96"/>
  <c r="V101" i="96"/>
  <c r="V91" i="96"/>
  <c r="V83" i="96"/>
  <c r="V79" i="96"/>
  <c r="V67" i="96"/>
  <c r="V73" i="96"/>
  <c r="V57" i="96"/>
  <c r="V49" i="96"/>
  <c r="V33" i="96"/>
  <c r="V29" i="96"/>
  <c r="V25" i="96"/>
  <c r="V59" i="96"/>
  <c r="V51" i="96"/>
  <c r="V43" i="96"/>
  <c r="V39" i="96"/>
  <c r="V35" i="96"/>
  <c r="J17" i="96"/>
  <c r="V34" i="96"/>
  <c r="J50" i="96"/>
  <c r="V55" i="96"/>
  <c r="P12" i="98"/>
  <c r="X13" i="98"/>
  <c r="Z13" i="98" s="1"/>
  <c r="V26" i="98"/>
  <c r="N47" i="98"/>
  <c r="N59" i="98"/>
  <c r="V28" i="93"/>
  <c r="V32" i="93"/>
  <c r="V48" i="93"/>
  <c r="V56" i="93"/>
  <c r="V64" i="93"/>
  <c r="V76" i="93"/>
  <c r="V29" i="94"/>
  <c r="V33" i="94"/>
  <c r="J37" i="94"/>
  <c r="J41" i="94"/>
  <c r="J45" i="94"/>
  <c r="V49" i="94"/>
  <c r="J55" i="94"/>
  <c r="J63" i="94"/>
  <c r="V65" i="94"/>
  <c r="V69" i="94"/>
  <c r="V81" i="94"/>
  <c r="V28" i="95"/>
  <c r="V32" i="95"/>
  <c r="V56" i="95"/>
  <c r="V64" i="95"/>
  <c r="V18" i="96"/>
  <c r="V24" i="96"/>
  <c r="J31" i="96"/>
  <c r="J38" i="96"/>
  <c r="X48" i="96"/>
  <c r="Z48" i="96" s="1"/>
  <c r="V53" i="96"/>
  <c r="J57" i="96"/>
  <c r="N70" i="96"/>
  <c r="J72" i="96"/>
  <c r="J92" i="96"/>
  <c r="L16" i="98"/>
  <c r="X26" i="98"/>
  <c r="Z26" i="98" s="1"/>
  <c r="L61" i="98"/>
  <c r="L21" i="99"/>
  <c r="L14" i="100"/>
  <c r="D17" i="100"/>
  <c r="V65" i="93"/>
  <c r="V38" i="94"/>
  <c r="V42" i="94"/>
  <c r="V46" i="94"/>
  <c r="V58" i="94"/>
  <c r="J62" i="94"/>
  <c r="V70" i="94"/>
  <c r="J74" i="94"/>
  <c r="V41" i="95"/>
  <c r="V45" i="95"/>
  <c r="V65" i="95"/>
  <c r="V73" i="95"/>
  <c r="V77" i="95"/>
  <c r="N87" i="96"/>
  <c r="N61" i="98"/>
  <c r="X86" i="98"/>
  <c r="Z86" i="98" s="1"/>
  <c r="V86" i="98"/>
  <c r="X18" i="99"/>
  <c r="P43" i="99"/>
  <c r="V62" i="101"/>
  <c r="V54" i="101"/>
  <c r="V30" i="101"/>
  <c r="V26" i="101"/>
  <c r="V64" i="101"/>
  <c r="V56" i="101"/>
  <c r="V44" i="101"/>
  <c r="V40" i="101"/>
  <c r="V36" i="101"/>
  <c r="V73" i="101"/>
  <c r="V65" i="101"/>
  <c r="V57" i="101"/>
  <c r="V49" i="101"/>
  <c r="V41" i="101"/>
  <c r="V37" i="101"/>
  <c r="V48" i="101"/>
  <c r="V32" i="101"/>
  <c r="V28" i="101"/>
  <c r="V77" i="101"/>
  <c r="V61" i="101"/>
  <c r="V53" i="101"/>
  <c r="V33" i="101"/>
  <c r="V29" i="101"/>
  <c r="V25" i="101"/>
  <c r="V58" i="101"/>
  <c r="V35" i="101"/>
  <c r="V18" i="101"/>
  <c r="V45" i="101"/>
  <c r="V42" i="101"/>
  <c r="V22" i="101"/>
  <c r="T22" i="101"/>
  <c r="V69" i="101"/>
  <c r="V52" i="101"/>
  <c r="V67" i="101"/>
  <c r="V38" i="101"/>
  <c r="V27" i="101"/>
  <c r="V63" i="101"/>
  <c r="V59" i="101"/>
  <c r="V24" i="101"/>
  <c r="V19" i="101"/>
  <c r="V43" i="101"/>
  <c r="V17" i="101"/>
  <c r="V60" i="101"/>
  <c r="V46" i="101"/>
  <c r="V72" i="101"/>
  <c r="V20" i="101"/>
  <c r="V47" i="101"/>
  <c r="V39" i="101"/>
  <c r="Z12" i="101"/>
  <c r="V68" i="101"/>
  <c r="V51" i="101"/>
  <c r="V34" i="101"/>
  <c r="V18" i="93"/>
  <c r="V46" i="93"/>
  <c r="V54" i="93"/>
  <c r="V62" i="93"/>
  <c r="V70" i="93"/>
  <c r="V74" i="93"/>
  <c r="V19" i="94"/>
  <c r="J23" i="94"/>
  <c r="J25" i="94"/>
  <c r="J27" i="94"/>
  <c r="J31" i="94"/>
  <c r="J35" i="94"/>
  <c r="V47" i="94"/>
  <c r="J53" i="94"/>
  <c r="J61" i="94"/>
  <c r="J67" i="94"/>
  <c r="J73" i="94"/>
  <c r="V18" i="95"/>
  <c r="V54" i="95"/>
  <c r="V88" i="95"/>
  <c r="V90" i="95"/>
  <c r="T22" i="96"/>
  <c r="J28" i="96"/>
  <c r="J33" i="96"/>
  <c r="V36" i="96"/>
  <c r="J42" i="96"/>
  <c r="V47" i="96"/>
  <c r="V58" i="96"/>
  <c r="Z25" i="98"/>
  <c r="Z51" i="98"/>
  <c r="V51" i="98"/>
  <c r="R41" i="99"/>
  <c r="Z34" i="101"/>
  <c r="N53" i="101"/>
  <c r="V27" i="93"/>
  <c r="V31" i="93"/>
  <c r="V63" i="93"/>
  <c r="V85" i="93"/>
  <c r="J26" i="94"/>
  <c r="V28" i="94"/>
  <c r="V32" i="94"/>
  <c r="J40" i="94"/>
  <c r="J44" i="94"/>
  <c r="J52" i="94"/>
  <c r="V56" i="94"/>
  <c r="J60" i="94"/>
  <c r="V64" i="94"/>
  <c r="V27" i="95"/>
  <c r="V31" i="95"/>
  <c r="V35" i="95"/>
  <c r="D12" i="96"/>
  <c r="V22" i="96"/>
  <c r="V26" i="96"/>
  <c r="V38" i="96"/>
  <c r="V40" i="96"/>
  <c r="J49" i="96"/>
  <c r="J54" i="96"/>
  <c r="N62" i="96"/>
  <c r="V74" i="96"/>
  <c r="J76" i="96"/>
  <c r="V85" i="96"/>
  <c r="V92" i="96"/>
  <c r="V25" i="98"/>
  <c r="Z57" i="98"/>
  <c r="V57" i="98"/>
  <c r="X51" i="101"/>
  <c r="Z51" i="101" s="1"/>
  <c r="J30" i="98"/>
  <c r="N53" i="98"/>
  <c r="J65" i="98"/>
  <c r="J70" i="98"/>
  <c r="J76" i="98"/>
  <c r="Z84" i="98"/>
  <c r="N24" i="101"/>
  <c r="Z25" i="101"/>
  <c r="X68" i="101"/>
  <c r="Z68" i="101" s="1"/>
  <c r="X47" i="98"/>
  <c r="V68" i="98"/>
  <c r="N19" i="100"/>
  <c r="V30" i="100"/>
  <c r="V38" i="100"/>
  <c r="V55" i="100"/>
  <c r="R68" i="101"/>
  <c r="R67" i="101"/>
  <c r="R43" i="101"/>
  <c r="R39" i="101"/>
  <c r="R35" i="101"/>
  <c r="R24" i="101"/>
  <c r="R69" i="101"/>
  <c r="R64" i="101"/>
  <c r="R70" i="101"/>
  <c r="R47" i="101"/>
  <c r="R46" i="101"/>
  <c r="R18" i="101"/>
  <c r="R73" i="101"/>
  <c r="R72" i="101"/>
  <c r="R65" i="101"/>
  <c r="R58" i="101"/>
  <c r="R57" i="101"/>
  <c r="R41" i="101"/>
  <c r="R37" i="101"/>
  <c r="R66" i="101"/>
  <c r="R51" i="101"/>
  <c r="R50" i="101"/>
  <c r="R42" i="101"/>
  <c r="R38" i="101"/>
  <c r="X12" i="101"/>
  <c r="R55" i="101"/>
  <c r="R61" i="101"/>
  <c r="R32" i="101"/>
  <c r="R29" i="101"/>
  <c r="R26" i="101"/>
  <c r="R48" i="101"/>
  <c r="R40" i="101"/>
  <c r="R77" i="101"/>
  <c r="R49" i="101"/>
  <c r="R45" i="101"/>
  <c r="P22" i="101"/>
  <c r="R56" i="101"/>
  <c r="R52" i="101"/>
  <c r="R62" i="101"/>
  <c r="R36" i="101"/>
  <c r="R27" i="101"/>
  <c r="R59" i="101"/>
  <c r="R53" i="101"/>
  <c r="R33" i="101"/>
  <c r="R30" i="101"/>
  <c r="R19" i="101"/>
  <c r="R17" i="101"/>
  <c r="R31" i="101"/>
  <c r="J83" i="98"/>
  <c r="J71" i="98"/>
  <c r="J57" i="98"/>
  <c r="J49" i="98"/>
  <c r="J43" i="98"/>
  <c r="J39" i="98"/>
  <c r="J84" i="98"/>
  <c r="J78" i="98"/>
  <c r="J72" i="98"/>
  <c r="J66" i="98"/>
  <c r="J58" i="98"/>
  <c r="J50" i="98"/>
  <c r="J85" i="98"/>
  <c r="J73" i="98"/>
  <c r="J59" i="98"/>
  <c r="J51" i="98"/>
  <c r="J21" i="98"/>
  <c r="J86" i="98"/>
  <c r="J74" i="98"/>
  <c r="J60" i="98"/>
  <c r="J52" i="98"/>
  <c r="J44" i="98"/>
  <c r="J40" i="98"/>
  <c r="J87" i="98"/>
  <c r="J79" i="98"/>
  <c r="J75" i="98"/>
  <c r="J67" i="98"/>
  <c r="J61" i="98"/>
  <c r="J53" i="98"/>
  <c r="J35" i="98"/>
  <c r="J31" i="98"/>
  <c r="J27" i="98"/>
  <c r="J25" i="98"/>
  <c r="J89" i="98"/>
  <c r="Z47" i="98"/>
  <c r="J64" i="98"/>
  <c r="F20" i="99"/>
  <c r="F16" i="99"/>
  <c r="F41" i="99"/>
  <c r="F32" i="99"/>
  <c r="D18" i="99"/>
  <c r="F45" i="99"/>
  <c r="F27" i="99"/>
  <c r="F23" i="99"/>
  <c r="F33" i="99"/>
  <c r="F28" i="99"/>
  <c r="F24" i="99"/>
  <c r="F35" i="99"/>
  <c r="F34" i="99"/>
  <c r="Z24" i="101"/>
  <c r="J19" i="98"/>
  <c r="N25" i="98"/>
  <c r="J26" i="98"/>
  <c r="J29" i="98"/>
  <c r="V46" i="98"/>
  <c r="J32" i="99"/>
  <c r="J45" i="99"/>
  <c r="J27" i="99"/>
  <c r="J23" i="99"/>
  <c r="J50" i="99"/>
  <c r="J47" i="99"/>
  <c r="J33" i="99"/>
  <c r="J34" i="99"/>
  <c r="J28" i="99"/>
  <c r="J24" i="99"/>
  <c r="J35" i="99"/>
  <c r="J29" i="99"/>
  <c r="J36" i="99"/>
  <c r="J30" i="99"/>
  <c r="F22" i="99"/>
  <c r="F29" i="99"/>
  <c r="F36" i="99"/>
  <c r="J43" i="99"/>
  <c r="V46" i="100"/>
  <c r="N12" i="98"/>
  <c r="J18" i="98"/>
  <c r="H23" i="98"/>
  <c r="V32" i="98"/>
  <c r="J34" i="98"/>
  <c r="J45" i="98"/>
  <c r="J48" i="98"/>
  <c r="V52" i="98"/>
  <c r="V58" i="98"/>
  <c r="V61" i="98"/>
  <c r="J63" i="98"/>
  <c r="J82" i="98"/>
  <c r="V85" i="98"/>
  <c r="L12" i="99"/>
  <c r="H18" i="99"/>
  <c r="J22" i="99"/>
  <c r="V14" i="100"/>
  <c r="R20" i="101"/>
  <c r="Z47" i="101"/>
  <c r="R54" i="101"/>
  <c r="R63" i="101"/>
  <c r="J23" i="98"/>
  <c r="V38" i="98"/>
  <c r="J42" i="98"/>
  <c r="X61" i="98"/>
  <c r="Z61" i="98" s="1"/>
  <c r="J69" i="98"/>
  <c r="J77" i="98"/>
  <c r="N12" i="99"/>
  <c r="J18" i="99"/>
  <c r="F31" i="99"/>
  <c r="H53" i="100"/>
  <c r="N17" i="100"/>
  <c r="Z19" i="100"/>
  <c r="R28" i="101"/>
  <c r="R44" i="101"/>
  <c r="R60" i="101"/>
  <c r="V91" i="98"/>
  <c r="V89" i="98"/>
  <c r="V87" i="98"/>
  <c r="V79" i="98"/>
  <c r="V75" i="98"/>
  <c r="V67" i="98"/>
  <c r="V35" i="98"/>
  <c r="V31" i="98"/>
  <c r="V27" i="98"/>
  <c r="V62" i="98"/>
  <c r="V54" i="98"/>
  <c r="V69" i="98"/>
  <c r="V45" i="98"/>
  <c r="V41" i="98"/>
  <c r="V37" i="98"/>
  <c r="V80" i="98"/>
  <c r="V76" i="98"/>
  <c r="V64" i="98"/>
  <c r="V93" i="98"/>
  <c r="V63" i="98"/>
  <c r="V55" i="98"/>
  <c r="V47" i="98"/>
  <c r="V82" i="98"/>
  <c r="V81" i="98"/>
  <c r="V77" i="98"/>
  <c r="L36" i="98"/>
  <c r="N36" i="98" s="1"/>
  <c r="J37" i="98"/>
  <c r="Z49" i="98"/>
  <c r="N51" i="98"/>
  <c r="J54" i="98"/>
  <c r="L68" i="98"/>
  <c r="N68" i="98" s="1"/>
  <c r="F21" i="99"/>
  <c r="F26" i="99"/>
  <c r="J31" i="99"/>
  <c r="F38" i="99"/>
  <c r="V47" i="100"/>
  <c r="V29" i="100"/>
  <c r="V25" i="100"/>
  <c r="V21" i="100"/>
  <c r="V41" i="100"/>
  <c r="V42" i="100"/>
  <c r="V57" i="100"/>
  <c r="V45" i="100"/>
  <c r="V36" i="100"/>
  <c r="V20" i="100"/>
  <c r="V53" i="100"/>
  <c r="V48" i="100"/>
  <c r="V31" i="100"/>
  <c r="V19" i="100"/>
  <c r="V17" i="100"/>
  <c r="V15" i="100"/>
  <c r="V28" i="100"/>
  <c r="V23" i="100"/>
  <c r="T17" i="100"/>
  <c r="X17" i="100" s="1"/>
  <c r="V39" i="100"/>
  <c r="V50" i="100"/>
  <c r="V43" i="100"/>
  <c r="V37" i="100"/>
  <c r="V34" i="100"/>
  <c r="V60" i="100"/>
  <c r="V26" i="100"/>
  <c r="V35" i="100"/>
  <c r="V22" i="99"/>
  <c r="V26" i="99"/>
  <c r="Z43" i="100"/>
  <c r="J48" i="100"/>
  <c r="L58" i="101"/>
  <c r="T18" i="99"/>
  <c r="V31" i="99"/>
  <c r="V39" i="99"/>
  <c r="V41" i="99"/>
  <c r="V43" i="99"/>
  <c r="J36" i="100"/>
  <c r="J45" i="100"/>
  <c r="V93" i="102"/>
  <c r="V81" i="102"/>
  <c r="V76" i="102"/>
  <c r="V72" i="102"/>
  <c r="V64" i="102"/>
  <c r="V83" i="102"/>
  <c r="V71" i="102"/>
  <c r="V55" i="102"/>
  <c r="V85" i="102"/>
  <c r="V77" i="102"/>
  <c r="V73" i="102"/>
  <c r="V65" i="102"/>
  <c r="V57" i="102"/>
  <c r="V84" i="102"/>
  <c r="V60" i="102"/>
  <c r="V67" i="102"/>
  <c r="V59" i="102"/>
  <c r="V88" i="102"/>
  <c r="V86" i="102"/>
  <c r="V78" i="102"/>
  <c r="V74" i="102"/>
  <c r="V62" i="102"/>
  <c r="V89" i="102"/>
  <c r="V69" i="102"/>
  <c r="V61" i="102"/>
  <c r="V53" i="102"/>
  <c r="V79" i="102"/>
  <c r="V54" i="102"/>
  <c r="V49" i="102"/>
  <c r="V33" i="102"/>
  <c r="V29" i="102"/>
  <c r="V48" i="102"/>
  <c r="V20" i="102"/>
  <c r="V63" i="102"/>
  <c r="V51" i="102"/>
  <c r="V43" i="102"/>
  <c r="V39" i="102"/>
  <c r="V80" i="102"/>
  <c r="V58" i="102"/>
  <c r="V50" i="102"/>
  <c r="V34" i="102"/>
  <c r="V30" i="102"/>
  <c r="V26" i="102"/>
  <c r="V52" i="102"/>
  <c r="V44" i="102"/>
  <c r="V40" i="102"/>
  <c r="V36" i="102"/>
  <c r="T23" i="102"/>
  <c r="V66" i="102"/>
  <c r="V35" i="102"/>
  <c r="V31" i="102"/>
  <c r="V27" i="102"/>
  <c r="V82" i="102"/>
  <c r="V70" i="102"/>
  <c r="V56" i="102"/>
  <c r="V32" i="102"/>
  <c r="V28" i="102"/>
  <c r="H91" i="102"/>
  <c r="V45" i="102"/>
  <c r="Z12" i="99"/>
  <c r="V16" i="99"/>
  <c r="V18" i="99"/>
  <c r="V20" i="99"/>
  <c r="F53" i="100"/>
  <c r="F40" i="100"/>
  <c r="F36" i="100"/>
  <c r="F32" i="100"/>
  <c r="F42" i="100"/>
  <c r="F41" i="100"/>
  <c r="F46" i="100"/>
  <c r="F45" i="100"/>
  <c r="F38" i="100"/>
  <c r="F34" i="100"/>
  <c r="F39" i="100"/>
  <c r="F25" i="100"/>
  <c r="F30" i="100"/>
  <c r="R42" i="100"/>
  <c r="X53" i="101"/>
  <c r="J23" i="102"/>
  <c r="V38" i="102"/>
  <c r="L14" i="106"/>
  <c r="N14" i="106" s="1"/>
  <c r="D12" i="106"/>
  <c r="V21" i="99"/>
  <c r="V25" i="99"/>
  <c r="V37" i="99"/>
  <c r="J55" i="100"/>
  <c r="J41" i="100"/>
  <c r="J27" i="100"/>
  <c r="J23" i="100"/>
  <c r="J60" i="100"/>
  <c r="J57" i="100"/>
  <c r="J43" i="100"/>
  <c r="J37" i="100"/>
  <c r="J33" i="100"/>
  <c r="J46" i="100"/>
  <c r="J38" i="100"/>
  <c r="J34" i="100"/>
  <c r="J47" i="100"/>
  <c r="J29" i="100"/>
  <c r="J25" i="100"/>
  <c r="J21" i="100"/>
  <c r="J51" i="100"/>
  <c r="J50" i="100"/>
  <c r="F22" i="100"/>
  <c r="F33" i="100"/>
  <c r="F47" i="100"/>
  <c r="R48" i="100"/>
  <c r="P53" i="100"/>
  <c r="N61" i="101"/>
  <c r="V30" i="99"/>
  <c r="V38" i="99"/>
  <c r="L12" i="100"/>
  <c r="J22" i="100"/>
  <c r="F27" i="100"/>
  <c r="J30" i="100"/>
  <c r="R36" i="100"/>
  <c r="F44" i="100"/>
  <c r="X18" i="102"/>
  <c r="V41" i="102"/>
  <c r="V35" i="99"/>
  <c r="F35" i="100"/>
  <c r="J44" i="100"/>
  <c r="F51" i="100"/>
  <c r="P12" i="102"/>
  <c r="X13" i="102"/>
  <c r="Z13" i="102" s="1"/>
  <c r="Z18" i="102"/>
  <c r="V23" i="102"/>
  <c r="V47" i="102"/>
  <c r="Z14" i="103"/>
  <c r="T16" i="103"/>
  <c r="V24" i="99"/>
  <c r="V28" i="99"/>
  <c r="R45" i="100"/>
  <c r="R44" i="100"/>
  <c r="R28" i="100"/>
  <c r="R24" i="100"/>
  <c r="R47" i="100"/>
  <c r="R46" i="100"/>
  <c r="R38" i="100"/>
  <c r="R34" i="100"/>
  <c r="R51" i="100"/>
  <c r="R50" i="100"/>
  <c r="R39" i="100"/>
  <c r="R35" i="100"/>
  <c r="R53" i="100"/>
  <c r="R26" i="100"/>
  <c r="R22" i="100"/>
  <c r="R55" i="100"/>
  <c r="F24" i="100"/>
  <c r="R33" i="100"/>
  <c r="J35" i="100"/>
  <c r="J40" i="100"/>
  <c r="X41" i="100"/>
  <c r="Z41" i="100" s="1"/>
  <c r="F55" i="100"/>
  <c r="L17" i="101"/>
  <c r="N34" i="101"/>
  <c r="V18" i="102"/>
  <c r="L25" i="102"/>
  <c r="N25" i="102" s="1"/>
  <c r="V68" i="102"/>
  <c r="D63" i="103"/>
  <c r="L16" i="103"/>
  <c r="J37" i="101"/>
  <c r="J41" i="101"/>
  <c r="J47" i="101"/>
  <c r="J57" i="101"/>
  <c r="J65" i="101"/>
  <c r="J26" i="102"/>
  <c r="J40" i="102"/>
  <c r="J44" i="102"/>
  <c r="J52" i="102"/>
  <c r="X53" i="102"/>
  <c r="Z53" i="102" s="1"/>
  <c r="L58" i="102"/>
  <c r="J66" i="102"/>
  <c r="Z85" i="102"/>
  <c r="L50" i="104"/>
  <c r="N50" i="104" s="1"/>
  <c r="N54" i="104"/>
  <c r="J50" i="102"/>
  <c r="J80" i="102"/>
  <c r="V81" i="104"/>
  <c r="V77" i="104"/>
  <c r="V73" i="104"/>
  <c r="V57" i="104"/>
  <c r="V33" i="104"/>
  <c r="V29" i="104"/>
  <c r="V94" i="104"/>
  <c r="V84" i="104"/>
  <c r="V72" i="104"/>
  <c r="V68" i="104"/>
  <c r="V60" i="104"/>
  <c r="V48" i="104"/>
  <c r="V20" i="104"/>
  <c r="V85" i="104"/>
  <c r="V69" i="104"/>
  <c r="V61" i="104"/>
  <c r="V49" i="104"/>
  <c r="V64" i="104"/>
  <c r="V52" i="104"/>
  <c r="V44" i="104"/>
  <c r="V40" i="104"/>
  <c r="T23" i="104"/>
  <c r="V87" i="104"/>
  <c r="V79" i="104"/>
  <c r="V75" i="104"/>
  <c r="V63" i="104"/>
  <c r="V51" i="104"/>
  <c r="V35" i="104"/>
  <c r="V70" i="104"/>
  <c r="V54" i="104"/>
  <c r="V18" i="104"/>
  <c r="V65" i="104"/>
  <c r="V53" i="104"/>
  <c r="V45" i="104"/>
  <c r="V41" i="104"/>
  <c r="V37" i="104"/>
  <c r="V90" i="104"/>
  <c r="V71" i="104"/>
  <c r="V62" i="104"/>
  <c r="V46" i="104"/>
  <c r="V67" i="104"/>
  <c r="V27" i="104"/>
  <c r="V19" i="104"/>
  <c r="V31" i="104"/>
  <c r="V82" i="104"/>
  <c r="V42" i="104"/>
  <c r="V23" i="104"/>
  <c r="V76" i="104"/>
  <c r="V55" i="104"/>
  <c r="V74" i="104"/>
  <c r="V58" i="104"/>
  <c r="V50" i="104"/>
  <c r="V47" i="104"/>
  <c r="V38" i="104"/>
  <c r="V28" i="104"/>
  <c r="V25" i="104"/>
  <c r="V80" i="104"/>
  <c r="V56" i="104"/>
  <c r="V32" i="104"/>
  <c r="V88" i="104"/>
  <c r="V78" i="104"/>
  <c r="V36" i="104"/>
  <c r="V26" i="104"/>
  <c r="Z12" i="104"/>
  <c r="Z26" i="104"/>
  <c r="J36" i="101"/>
  <c r="J40" i="101"/>
  <c r="J44" i="101"/>
  <c r="J56" i="101"/>
  <c r="J64" i="101"/>
  <c r="J39" i="102"/>
  <c r="J43" i="102"/>
  <c r="J49" i="102"/>
  <c r="J58" i="102"/>
  <c r="X80" i="102"/>
  <c r="J86" i="102"/>
  <c r="L89" i="102"/>
  <c r="N89" i="102" s="1"/>
  <c r="D88" i="102"/>
  <c r="L88" i="102" s="1"/>
  <c r="N88" i="102" s="1"/>
  <c r="R63" i="103"/>
  <c r="R42" i="103"/>
  <c r="R41" i="103"/>
  <c r="R52" i="103"/>
  <c r="R36" i="103"/>
  <c r="R32" i="103"/>
  <c r="X12" i="103"/>
  <c r="R44" i="103"/>
  <c r="R43" i="103"/>
  <c r="R27" i="103"/>
  <c r="R23" i="103"/>
  <c r="R65" i="103"/>
  <c r="R19" i="103"/>
  <c r="R54" i="103"/>
  <c r="R53" i="103"/>
  <c r="R46" i="103"/>
  <c r="R45" i="103"/>
  <c r="R37" i="103"/>
  <c r="R33" i="103"/>
  <c r="R18" i="103"/>
  <c r="R16" i="103"/>
  <c r="R14" i="103"/>
  <c r="R67" i="103"/>
  <c r="R29" i="103"/>
  <c r="R28" i="103"/>
  <c r="R24" i="103"/>
  <c r="R20" i="103"/>
  <c r="P16" i="103"/>
  <c r="R56" i="103"/>
  <c r="R55" i="103"/>
  <c r="R48" i="103"/>
  <c r="R47" i="103"/>
  <c r="R70" i="103"/>
  <c r="R38" i="103"/>
  <c r="R34" i="103"/>
  <c r="R30" i="103"/>
  <c r="R58" i="103"/>
  <c r="R57" i="103"/>
  <c r="R50" i="103"/>
  <c r="R49" i="103"/>
  <c r="R25" i="103"/>
  <c r="R21" i="103"/>
  <c r="L18" i="103"/>
  <c r="N29" i="103"/>
  <c r="X40" i="103"/>
  <c r="N44" i="103"/>
  <c r="N46" i="103"/>
  <c r="N54" i="103"/>
  <c r="X12" i="104"/>
  <c r="V39" i="104"/>
  <c r="F68" i="104"/>
  <c r="H22" i="101"/>
  <c r="J55" i="101"/>
  <c r="J63" i="101"/>
  <c r="J69" i="101"/>
  <c r="J20" i="102"/>
  <c r="R40" i="103"/>
  <c r="L48" i="103"/>
  <c r="L56" i="103"/>
  <c r="N56" i="103" s="1"/>
  <c r="N18" i="104"/>
  <c r="Z48" i="104"/>
  <c r="F55" i="104"/>
  <c r="V59" i="104"/>
  <c r="N68" i="104"/>
  <c r="L26" i="105"/>
  <c r="N26" i="105" s="1"/>
  <c r="L69" i="102"/>
  <c r="Z80" i="102"/>
  <c r="N18" i="103"/>
  <c r="Z40" i="103"/>
  <c r="Z42" i="103"/>
  <c r="Z54" i="103"/>
  <c r="V83" i="104"/>
  <c r="J61" i="102"/>
  <c r="J89" i="102"/>
  <c r="J88" i="102"/>
  <c r="J68" i="102"/>
  <c r="J62" i="102"/>
  <c r="J79" i="102"/>
  <c r="J75" i="102"/>
  <c r="J69" i="102"/>
  <c r="J63" i="102"/>
  <c r="J53" i="102"/>
  <c r="J93" i="102"/>
  <c r="J81" i="102"/>
  <c r="J76" i="102"/>
  <c r="J64" i="102"/>
  <c r="J71" i="102"/>
  <c r="J55" i="102"/>
  <c r="J82" i="102"/>
  <c r="J72" i="102"/>
  <c r="J56" i="102"/>
  <c r="J83" i="102"/>
  <c r="J77" i="102"/>
  <c r="J73" i="102"/>
  <c r="J65" i="102"/>
  <c r="J57" i="102"/>
  <c r="J38" i="102"/>
  <c r="J42" i="102"/>
  <c r="J46" i="102"/>
  <c r="J67" i="102"/>
  <c r="N69" i="102"/>
  <c r="V30" i="104"/>
  <c r="V66" i="104"/>
  <c r="J20" i="101"/>
  <c r="J34" i="101"/>
  <c r="J52" i="101"/>
  <c r="J60" i="101"/>
  <c r="J19" i="102"/>
  <c r="Z18" i="103"/>
  <c r="R35" i="103"/>
  <c r="X42" i="103"/>
  <c r="J28" i="102"/>
  <c r="J32" i="102"/>
  <c r="J38" i="101"/>
  <c r="J42" i="101"/>
  <c r="J50" i="101"/>
  <c r="J37" i="102"/>
  <c r="J41" i="102"/>
  <c r="J45" i="102"/>
  <c r="J59" i="102"/>
  <c r="L66" i="102"/>
  <c r="N66" i="102" s="1"/>
  <c r="Z69" i="102"/>
  <c r="X83" i="102"/>
  <c r="Z83" i="102" s="1"/>
  <c r="J85" i="102"/>
  <c r="X14" i="103"/>
  <c r="R22" i="103"/>
  <c r="F70" i="104"/>
  <c r="F25" i="104"/>
  <c r="F23" i="104"/>
  <c r="F65" i="104"/>
  <c r="F64" i="104"/>
  <c r="F53" i="104"/>
  <c r="F52" i="104"/>
  <c r="F45" i="104"/>
  <c r="F41" i="104"/>
  <c r="D23" i="104"/>
  <c r="F66" i="104"/>
  <c r="F46" i="104"/>
  <c r="F42" i="104"/>
  <c r="F38" i="104"/>
  <c r="F37" i="104"/>
  <c r="F90" i="104"/>
  <c r="F81" i="104"/>
  <c r="F77" i="104"/>
  <c r="F57" i="104"/>
  <c r="F56" i="104"/>
  <c r="F33" i="104"/>
  <c r="F29" i="104"/>
  <c r="F94" i="104"/>
  <c r="F72" i="104"/>
  <c r="F83" i="104"/>
  <c r="F82" i="104"/>
  <c r="F67" i="104"/>
  <c r="F59" i="104"/>
  <c r="F58" i="104"/>
  <c r="F47" i="104"/>
  <c r="F43" i="104"/>
  <c r="F39" i="104"/>
  <c r="F78" i="104"/>
  <c r="F74" i="104"/>
  <c r="F73" i="104"/>
  <c r="F34" i="104"/>
  <c r="F30" i="104"/>
  <c r="F88" i="104"/>
  <c r="F61" i="104"/>
  <c r="F36" i="104"/>
  <c r="L12" i="104"/>
  <c r="N12" i="104" s="1"/>
  <c r="F48" i="104"/>
  <c r="F26" i="104"/>
  <c r="F86" i="104"/>
  <c r="F75" i="104"/>
  <c r="F69" i="104"/>
  <c r="F51" i="104"/>
  <c r="F21" i="104"/>
  <c r="F71" i="104"/>
  <c r="F54" i="104"/>
  <c r="F18" i="104"/>
  <c r="F84" i="104"/>
  <c r="F79" i="104"/>
  <c r="F62" i="104"/>
  <c r="F44" i="104"/>
  <c r="F27" i="104"/>
  <c r="F49" i="104"/>
  <c r="F35" i="104"/>
  <c r="F31" i="104"/>
  <c r="F19" i="104"/>
  <c r="F87" i="104"/>
  <c r="F60" i="104"/>
  <c r="F40" i="104"/>
  <c r="X18" i="105"/>
  <c r="Z18" i="105" s="1"/>
  <c r="P23" i="105"/>
  <c r="Z48" i="105"/>
  <c r="J14" i="103"/>
  <c r="J16" i="103"/>
  <c r="J18" i="103"/>
  <c r="J20" i="103"/>
  <c r="J24" i="103"/>
  <c r="J28" i="103"/>
  <c r="F33" i="103"/>
  <c r="F37" i="103"/>
  <c r="V40" i="103"/>
  <c r="F44" i="103"/>
  <c r="F45" i="103"/>
  <c r="J46" i="103"/>
  <c r="F53" i="103"/>
  <c r="J54" i="103"/>
  <c r="J67" i="103"/>
  <c r="H23" i="104"/>
  <c r="R25" i="104"/>
  <c r="R32" i="104"/>
  <c r="R45" i="104"/>
  <c r="J55" i="104"/>
  <c r="X56" i="104"/>
  <c r="Z56" i="104" s="1"/>
  <c r="J63" i="104"/>
  <c r="R80" i="104"/>
  <c r="F39" i="105"/>
  <c r="H67" i="105"/>
  <c r="N26" i="106"/>
  <c r="J19" i="103"/>
  <c r="V21" i="103"/>
  <c r="V25" i="103"/>
  <c r="J33" i="103"/>
  <c r="J37" i="103"/>
  <c r="J45" i="103"/>
  <c r="V49" i="103"/>
  <c r="J53" i="103"/>
  <c r="V57" i="103"/>
  <c r="F65" i="103"/>
  <c r="R20" i="104"/>
  <c r="J23" i="104"/>
  <c r="R28" i="104"/>
  <c r="J40" i="104"/>
  <c r="J42" i="104"/>
  <c r="R47" i="104"/>
  <c r="J52" i="104"/>
  <c r="R68" i="104"/>
  <c r="R72" i="104"/>
  <c r="J63" i="105"/>
  <c r="J83" i="106"/>
  <c r="J79" i="106"/>
  <c r="J59" i="106"/>
  <c r="J47" i="106"/>
  <c r="J43" i="106"/>
  <c r="J39" i="106"/>
  <c r="J84" i="106"/>
  <c r="J74" i="106"/>
  <c r="J60" i="106"/>
  <c r="J48" i="106"/>
  <c r="J34" i="106"/>
  <c r="J30" i="106"/>
  <c r="J85" i="106"/>
  <c r="J75" i="106"/>
  <c r="J69" i="106"/>
  <c r="J61" i="106"/>
  <c r="J49" i="106"/>
  <c r="J21" i="106"/>
  <c r="J86" i="106"/>
  <c r="J80" i="106"/>
  <c r="J76" i="106"/>
  <c r="J70" i="106"/>
  <c r="J62" i="106"/>
  <c r="J50" i="106"/>
  <c r="J44" i="106"/>
  <c r="J40" i="106"/>
  <c r="J26" i="106"/>
  <c r="J87" i="106"/>
  <c r="J71" i="106"/>
  <c r="J63" i="106"/>
  <c r="J51" i="106"/>
  <c r="J35" i="106"/>
  <c r="J31" i="106"/>
  <c r="J88" i="106"/>
  <c r="J64" i="106"/>
  <c r="J52" i="106"/>
  <c r="J89" i="106"/>
  <c r="J81" i="106"/>
  <c r="J77" i="106"/>
  <c r="J65" i="106"/>
  <c r="J72" i="106"/>
  <c r="J66" i="106"/>
  <c r="J54" i="106"/>
  <c r="J36" i="106"/>
  <c r="J32" i="106"/>
  <c r="J28" i="106"/>
  <c r="J18" i="106"/>
  <c r="J91" i="106"/>
  <c r="J67" i="106"/>
  <c r="J55" i="106"/>
  <c r="J37" i="106"/>
  <c r="J19" i="106"/>
  <c r="J46" i="106"/>
  <c r="J42" i="106"/>
  <c r="H23" i="106"/>
  <c r="J82" i="106"/>
  <c r="J57" i="106"/>
  <c r="J20" i="106"/>
  <c r="J53" i="106"/>
  <c r="J38" i="106"/>
  <c r="J27" i="106"/>
  <c r="J73" i="106"/>
  <c r="J25" i="106"/>
  <c r="J95" i="106"/>
  <c r="J29" i="106"/>
  <c r="J58" i="106"/>
  <c r="J56" i="106"/>
  <c r="J68" i="106"/>
  <c r="J45" i="106"/>
  <c r="J41" i="106"/>
  <c r="J33" i="106"/>
  <c r="F23" i="103"/>
  <c r="F27" i="103"/>
  <c r="V30" i="103"/>
  <c r="V34" i="103"/>
  <c r="V38" i="103"/>
  <c r="F42" i="103"/>
  <c r="F43" i="103"/>
  <c r="J44" i="103"/>
  <c r="V50" i="103"/>
  <c r="V58" i="103"/>
  <c r="J65" i="103"/>
  <c r="R55" i="104"/>
  <c r="N60" i="104"/>
  <c r="R76" i="104"/>
  <c r="J87" i="104"/>
  <c r="T63" i="105"/>
  <c r="F43" i="105"/>
  <c r="F48" i="105"/>
  <c r="R80" i="106"/>
  <c r="R76" i="106"/>
  <c r="R44" i="106"/>
  <c r="R40" i="106"/>
  <c r="R25" i="106"/>
  <c r="R88" i="106"/>
  <c r="R87" i="106"/>
  <c r="R71" i="106"/>
  <c r="R64" i="106"/>
  <c r="R63" i="106"/>
  <c r="R52" i="106"/>
  <c r="R51" i="106"/>
  <c r="R35" i="106"/>
  <c r="R31" i="106"/>
  <c r="R27" i="106"/>
  <c r="P23" i="106"/>
  <c r="R23" i="106" s="1"/>
  <c r="R89" i="106"/>
  <c r="R81" i="106"/>
  <c r="R77" i="106"/>
  <c r="R66" i="106"/>
  <c r="R65" i="106"/>
  <c r="R54" i="106"/>
  <c r="R53" i="106"/>
  <c r="R45" i="106"/>
  <c r="R41" i="106"/>
  <c r="R18" i="106"/>
  <c r="R91" i="106"/>
  <c r="R72" i="106"/>
  <c r="R37" i="106"/>
  <c r="R36" i="106"/>
  <c r="R32" i="106"/>
  <c r="R67" i="106"/>
  <c r="R56" i="106"/>
  <c r="R55" i="106"/>
  <c r="R82" i="106"/>
  <c r="R78" i="106"/>
  <c r="R95" i="106"/>
  <c r="R73" i="106"/>
  <c r="R58" i="106"/>
  <c r="R57" i="106"/>
  <c r="R33" i="106"/>
  <c r="R29" i="106"/>
  <c r="R68" i="106"/>
  <c r="R20" i="106"/>
  <c r="R75" i="106"/>
  <c r="R69" i="106"/>
  <c r="R49" i="106"/>
  <c r="R60" i="106"/>
  <c r="R62" i="106"/>
  <c r="R47" i="106"/>
  <c r="R79" i="106"/>
  <c r="R85" i="106"/>
  <c r="R83" i="106"/>
  <c r="R43" i="106"/>
  <c r="R39" i="106"/>
  <c r="R21" i="106"/>
  <c r="R19" i="106"/>
  <c r="R70" i="106"/>
  <c r="R50" i="106"/>
  <c r="R48" i="106"/>
  <c r="R26" i="106"/>
  <c r="X12" i="106"/>
  <c r="J23" i="103"/>
  <c r="J27" i="103"/>
  <c r="F32" i="103"/>
  <c r="F36" i="103"/>
  <c r="J43" i="103"/>
  <c r="V47" i="103"/>
  <c r="F52" i="103"/>
  <c r="V55" i="103"/>
  <c r="F61" i="103"/>
  <c r="F63" i="103"/>
  <c r="V70" i="103"/>
  <c r="L18" i="104"/>
  <c r="J19" i="104"/>
  <c r="R23" i="104"/>
  <c r="J31" i="104"/>
  <c r="J35" i="104"/>
  <c r="L54" i="104"/>
  <c r="X60" i="104"/>
  <c r="Z60" i="104" s="1"/>
  <c r="R94" i="104"/>
  <c r="R61" i="105"/>
  <c r="R56" i="105"/>
  <c r="R59" i="105"/>
  <c r="R53" i="105"/>
  <c r="R46" i="105"/>
  <c r="R45" i="105"/>
  <c r="R41" i="105"/>
  <c r="R37" i="105"/>
  <c r="R18" i="105"/>
  <c r="R65" i="105"/>
  <c r="R48" i="105"/>
  <c r="R47" i="105"/>
  <c r="R19" i="105"/>
  <c r="R42" i="105"/>
  <c r="R38" i="105"/>
  <c r="R57" i="105"/>
  <c r="R50" i="105"/>
  <c r="R49" i="105"/>
  <c r="R33" i="105"/>
  <c r="R29" i="105"/>
  <c r="R55" i="105"/>
  <c r="R20" i="105"/>
  <c r="R58" i="105"/>
  <c r="R43" i="105"/>
  <c r="R39" i="105"/>
  <c r="R52" i="105"/>
  <c r="R51" i="105"/>
  <c r="R35" i="105"/>
  <c r="R34" i="105"/>
  <c r="R30" i="105"/>
  <c r="Z26" i="105"/>
  <c r="R28" i="105"/>
  <c r="N48" i="105"/>
  <c r="F50" i="105"/>
  <c r="J23" i="106"/>
  <c r="N37" i="106"/>
  <c r="R46" i="106"/>
  <c r="N12" i="103"/>
  <c r="V24" i="103"/>
  <c r="V28" i="103"/>
  <c r="J32" i="103"/>
  <c r="J36" i="103"/>
  <c r="F40" i="103"/>
  <c r="F41" i="103"/>
  <c r="J42" i="103"/>
  <c r="V48" i="103"/>
  <c r="J52" i="103"/>
  <c r="V56" i="103"/>
  <c r="J63" i="103"/>
  <c r="J27" i="104"/>
  <c r="L37" i="104"/>
  <c r="J44" i="104"/>
  <c r="J46" i="104"/>
  <c r="N62" i="104"/>
  <c r="L62" i="104"/>
  <c r="J79" i="104"/>
  <c r="X48" i="105"/>
  <c r="L50" i="105"/>
  <c r="N50" i="105" s="1"/>
  <c r="T93" i="106"/>
  <c r="J41" i="103"/>
  <c r="V45" i="103"/>
  <c r="V53" i="103"/>
  <c r="J61" i="103"/>
  <c r="V67" i="103"/>
  <c r="R66" i="104"/>
  <c r="R46" i="104"/>
  <c r="R42" i="104"/>
  <c r="R38" i="104"/>
  <c r="R82" i="104"/>
  <c r="R81" i="104"/>
  <c r="R77" i="104"/>
  <c r="R58" i="104"/>
  <c r="R57" i="104"/>
  <c r="R33" i="104"/>
  <c r="R29" i="104"/>
  <c r="R78" i="104"/>
  <c r="R74" i="104"/>
  <c r="R34" i="104"/>
  <c r="R30" i="104"/>
  <c r="R86" i="104"/>
  <c r="R85" i="104"/>
  <c r="R69" i="104"/>
  <c r="R62" i="104"/>
  <c r="R61" i="104"/>
  <c r="R50" i="104"/>
  <c r="R49" i="104"/>
  <c r="R26" i="104"/>
  <c r="R44" i="104"/>
  <c r="R40" i="104"/>
  <c r="R87" i="104"/>
  <c r="R79" i="104"/>
  <c r="R75" i="104"/>
  <c r="R64" i="104"/>
  <c r="R63" i="104"/>
  <c r="R52" i="104"/>
  <c r="R51" i="104"/>
  <c r="R35" i="104"/>
  <c r="R31" i="104"/>
  <c r="R27" i="104"/>
  <c r="P23" i="104"/>
  <c r="R70" i="104"/>
  <c r="R19" i="104"/>
  <c r="N37" i="104"/>
  <c r="J62" i="104"/>
  <c r="R65" i="104"/>
  <c r="R67" i="104"/>
  <c r="J71" i="104"/>
  <c r="V23" i="106"/>
  <c r="V14" i="103"/>
  <c r="V16" i="103"/>
  <c r="V18" i="103"/>
  <c r="J22" i="103"/>
  <c r="J26" i="103"/>
  <c r="F31" i="103"/>
  <c r="F35" i="103"/>
  <c r="F39" i="103"/>
  <c r="J40" i="103"/>
  <c r="V46" i="103"/>
  <c r="F50" i="103"/>
  <c r="F51" i="103"/>
  <c r="V54" i="103"/>
  <c r="F58" i="103"/>
  <c r="F59" i="103"/>
  <c r="L61" i="103"/>
  <c r="V65" i="103"/>
  <c r="X13" i="104"/>
  <c r="J18" i="104"/>
  <c r="J37" i="104"/>
  <c r="J51" i="104"/>
  <c r="R84" i="104"/>
  <c r="L86" i="104"/>
  <c r="N86" i="104" s="1"/>
  <c r="R90" i="104"/>
  <c r="R74" i="106"/>
  <c r="R86" i="106"/>
  <c r="Z14" i="109"/>
  <c r="T16" i="109"/>
  <c r="X14" i="109"/>
  <c r="V27" i="103"/>
  <c r="J31" i="103"/>
  <c r="J35" i="103"/>
  <c r="J39" i="103"/>
  <c r="L40" i="103"/>
  <c r="N40" i="103" s="1"/>
  <c r="V43" i="103"/>
  <c r="X46" i="103"/>
  <c r="Z46" i="103" s="1"/>
  <c r="J51" i="103"/>
  <c r="X54" i="103"/>
  <c r="J59" i="103"/>
  <c r="J65" i="104"/>
  <c r="J53" i="104"/>
  <c r="J45" i="104"/>
  <c r="J41" i="104"/>
  <c r="J88" i="104"/>
  <c r="J80" i="104"/>
  <c r="J76" i="104"/>
  <c r="J54" i="104"/>
  <c r="J36" i="104"/>
  <c r="J32" i="104"/>
  <c r="J28" i="104"/>
  <c r="J90" i="104"/>
  <c r="J81" i="104"/>
  <c r="J77" i="104"/>
  <c r="J57" i="104"/>
  <c r="J33" i="104"/>
  <c r="J29" i="104"/>
  <c r="J94" i="104"/>
  <c r="J82" i="104"/>
  <c r="J72" i="104"/>
  <c r="J58" i="104"/>
  <c r="J83" i="104"/>
  <c r="J73" i="104"/>
  <c r="J67" i="104"/>
  <c r="J59" i="104"/>
  <c r="J47" i="104"/>
  <c r="J43" i="104"/>
  <c r="J39" i="104"/>
  <c r="J84" i="104"/>
  <c r="J78" i="104"/>
  <c r="J74" i="104"/>
  <c r="J68" i="104"/>
  <c r="J60" i="104"/>
  <c r="J48" i="104"/>
  <c r="J34" i="104"/>
  <c r="J30" i="104"/>
  <c r="J85" i="104"/>
  <c r="J69" i="104"/>
  <c r="J61" i="104"/>
  <c r="J49" i="104"/>
  <c r="J21" i="104"/>
  <c r="X37" i="104"/>
  <c r="Z37" i="104" s="1"/>
  <c r="N56" i="104"/>
  <c r="Z62" i="104"/>
  <c r="J64" i="104"/>
  <c r="R71" i="104"/>
  <c r="J86" i="104"/>
  <c r="Z90" i="104"/>
  <c r="X90" i="104"/>
  <c r="R25" i="105"/>
  <c r="F29" i="105"/>
  <c r="F40" i="105"/>
  <c r="F56" i="105"/>
  <c r="N52" i="106"/>
  <c r="L52" i="106"/>
  <c r="X86" i="106"/>
  <c r="Z86" i="106" s="1"/>
  <c r="X65" i="108"/>
  <c r="Z65" i="108" s="1"/>
  <c r="R65" i="108"/>
  <c r="V36" i="103"/>
  <c r="V44" i="103"/>
  <c r="F48" i="103"/>
  <c r="F49" i="103"/>
  <c r="J50" i="103"/>
  <c r="F56" i="103"/>
  <c r="F57" i="103"/>
  <c r="R21" i="104"/>
  <c r="N25" i="104"/>
  <c r="L26" i="104"/>
  <c r="N26" i="104" s="1"/>
  <c r="R37" i="104"/>
  <c r="R39" i="104"/>
  <c r="N48" i="104"/>
  <c r="R54" i="104"/>
  <c r="J56" i="104"/>
  <c r="R59" i="104"/>
  <c r="R73" i="104"/>
  <c r="F57" i="105"/>
  <c r="F61" i="105"/>
  <c r="F65" i="105"/>
  <c r="F55" i="105"/>
  <c r="F54" i="105"/>
  <c r="F51" i="105"/>
  <c r="F34" i="105"/>
  <c r="F30" i="105"/>
  <c r="F21" i="105"/>
  <c r="F59" i="105"/>
  <c r="F53" i="105"/>
  <c r="F31" i="105"/>
  <c r="F27" i="105"/>
  <c r="F26" i="105"/>
  <c r="F25" i="105"/>
  <c r="F23" i="105"/>
  <c r="F45" i="105"/>
  <c r="F41" i="105"/>
  <c r="F37" i="105"/>
  <c r="D23" i="105"/>
  <c r="F32" i="105"/>
  <c r="F28" i="105"/>
  <c r="L12" i="105"/>
  <c r="N12" i="105" s="1"/>
  <c r="F47" i="105"/>
  <c r="F46" i="105"/>
  <c r="F19" i="105"/>
  <c r="F18" i="105"/>
  <c r="F42" i="105"/>
  <c r="F38" i="105"/>
  <c r="Z25" i="105"/>
  <c r="R27" i="105"/>
  <c r="R36" i="105"/>
  <c r="F44" i="105"/>
  <c r="F49" i="105"/>
  <c r="R28" i="106"/>
  <c r="R61" i="106"/>
  <c r="V21" i="105"/>
  <c r="V23" i="105"/>
  <c r="V25" i="105"/>
  <c r="X58" i="105"/>
  <c r="V87" i="106"/>
  <c r="V71" i="106"/>
  <c r="V63" i="106"/>
  <c r="V51" i="106"/>
  <c r="V35" i="106"/>
  <c r="V31" i="106"/>
  <c r="V27" i="106"/>
  <c r="V66" i="106"/>
  <c r="V54" i="106"/>
  <c r="V18" i="106"/>
  <c r="V93" i="106"/>
  <c r="V91" i="106"/>
  <c r="V89" i="106"/>
  <c r="V81" i="106"/>
  <c r="V77" i="106"/>
  <c r="V65" i="106"/>
  <c r="V53" i="106"/>
  <c r="V45" i="106"/>
  <c r="V41" i="106"/>
  <c r="V37" i="106"/>
  <c r="V72" i="106"/>
  <c r="V56" i="106"/>
  <c r="V36" i="106"/>
  <c r="V32" i="106"/>
  <c r="V28" i="106"/>
  <c r="Z12" i="106"/>
  <c r="V67" i="106"/>
  <c r="V55" i="106"/>
  <c r="V82" i="106"/>
  <c r="V78" i="106"/>
  <c r="V58" i="106"/>
  <c r="V46" i="106"/>
  <c r="V42" i="106"/>
  <c r="V38" i="106"/>
  <c r="V95" i="106"/>
  <c r="V73" i="106"/>
  <c r="V57" i="106"/>
  <c r="V84" i="106"/>
  <c r="V68" i="106"/>
  <c r="V60" i="106"/>
  <c r="V48" i="106"/>
  <c r="V20" i="106"/>
  <c r="V83" i="106"/>
  <c r="V79" i="106"/>
  <c r="V75" i="106"/>
  <c r="V59" i="106"/>
  <c r="V47" i="106"/>
  <c r="V43" i="106"/>
  <c r="V39" i="106"/>
  <c r="X26" i="106"/>
  <c r="V30" i="106"/>
  <c r="N50" i="106"/>
  <c r="N70" i="106"/>
  <c r="V74" i="106"/>
  <c r="V76" i="106"/>
  <c r="V86" i="106"/>
  <c r="V31" i="108"/>
  <c r="J57" i="105"/>
  <c r="J58" i="105"/>
  <c r="J59" i="105"/>
  <c r="J65" i="105"/>
  <c r="J55" i="105"/>
  <c r="V26" i="105"/>
  <c r="V30" i="105"/>
  <c r="V34" i="105"/>
  <c r="J38" i="105"/>
  <c r="J42" i="105"/>
  <c r="J48" i="105"/>
  <c r="V51" i="105"/>
  <c r="Z52" i="105"/>
  <c r="L56" i="106"/>
  <c r="N56" i="106" s="1"/>
  <c r="R86" i="108"/>
  <c r="R85" i="108"/>
  <c r="R73" i="108"/>
  <c r="R33" i="108"/>
  <c r="R29" i="108"/>
  <c r="R68" i="108"/>
  <c r="R57" i="108"/>
  <c r="R56" i="108"/>
  <c r="R20" i="108"/>
  <c r="R87" i="108"/>
  <c r="R79" i="108"/>
  <c r="R48" i="108"/>
  <c r="R47" i="108"/>
  <c r="R43" i="108"/>
  <c r="R39" i="108"/>
  <c r="R75" i="108"/>
  <c r="R74" i="108"/>
  <c r="R59" i="108"/>
  <c r="R58" i="108"/>
  <c r="R34" i="108"/>
  <c r="R30" i="108"/>
  <c r="R90" i="108"/>
  <c r="R51" i="108"/>
  <c r="R35" i="108"/>
  <c r="R31" i="108"/>
  <c r="R27" i="108"/>
  <c r="R71" i="108"/>
  <c r="R70" i="108"/>
  <c r="R63" i="108"/>
  <c r="R62" i="108"/>
  <c r="R82" i="108"/>
  <c r="R81" i="108"/>
  <c r="R77" i="108"/>
  <c r="R45" i="108"/>
  <c r="R41" i="108"/>
  <c r="R18" i="108"/>
  <c r="R83" i="108"/>
  <c r="R52" i="108"/>
  <c r="R50" i="108"/>
  <c r="R38" i="108"/>
  <c r="R88" i="108"/>
  <c r="R61" i="108"/>
  <c r="R55" i="108"/>
  <c r="R84" i="108"/>
  <c r="R36" i="108"/>
  <c r="R28" i="108"/>
  <c r="R26" i="108"/>
  <c r="R21" i="108"/>
  <c r="R66" i="108"/>
  <c r="R64" i="108"/>
  <c r="R32" i="108"/>
  <c r="R53" i="108"/>
  <c r="R19" i="108"/>
  <c r="R69" i="108"/>
  <c r="R46" i="108"/>
  <c r="R37" i="108"/>
  <c r="R94" i="108"/>
  <c r="R67" i="108"/>
  <c r="R49" i="108"/>
  <c r="P23" i="108"/>
  <c r="R23" i="108" s="1"/>
  <c r="L60" i="110"/>
  <c r="N60" i="110" s="1"/>
  <c r="V35" i="105"/>
  <c r="V39" i="105"/>
  <c r="V43" i="105"/>
  <c r="J47" i="105"/>
  <c r="V52" i="105"/>
  <c r="J54" i="105"/>
  <c r="J61" i="105"/>
  <c r="Z26" i="106"/>
  <c r="V52" i="106"/>
  <c r="X14" i="107"/>
  <c r="V68" i="108"/>
  <c r="V56" i="108"/>
  <c r="V48" i="108"/>
  <c r="V20" i="108"/>
  <c r="V87" i="108"/>
  <c r="V79" i="108"/>
  <c r="V75" i="108"/>
  <c r="V59" i="108"/>
  <c r="V47" i="108"/>
  <c r="V43" i="108"/>
  <c r="V39" i="108"/>
  <c r="V74" i="108"/>
  <c r="V58" i="108"/>
  <c r="V50" i="108"/>
  <c r="V34" i="108"/>
  <c r="V30" i="108"/>
  <c r="V26" i="108"/>
  <c r="V69" i="108"/>
  <c r="V61" i="108"/>
  <c r="V49" i="108"/>
  <c r="V25" i="108"/>
  <c r="V21" i="108"/>
  <c r="V82" i="108"/>
  <c r="V70" i="108"/>
  <c r="V62" i="108"/>
  <c r="V81" i="108"/>
  <c r="V77" i="108"/>
  <c r="V65" i="108"/>
  <c r="V94" i="108"/>
  <c r="V84" i="108"/>
  <c r="V72" i="108"/>
  <c r="V64" i="108"/>
  <c r="V52" i="108"/>
  <c r="V36" i="108"/>
  <c r="V32" i="108"/>
  <c r="V28" i="108"/>
  <c r="Z12" i="108"/>
  <c r="V88" i="108"/>
  <c r="V86" i="108"/>
  <c r="V55" i="108"/>
  <c r="V18" i="108"/>
  <c r="V45" i="108"/>
  <c r="V71" i="108"/>
  <c r="V73" i="108"/>
  <c r="V66" i="108"/>
  <c r="V53" i="108"/>
  <c r="V41" i="108"/>
  <c r="V90" i="108"/>
  <c r="V51" i="108"/>
  <c r="V37" i="108"/>
  <c r="V19" i="108"/>
  <c r="V67" i="108"/>
  <c r="V46" i="108"/>
  <c r="T23" i="108"/>
  <c r="V57" i="108"/>
  <c r="V76" i="108"/>
  <c r="V44" i="108"/>
  <c r="V42" i="108"/>
  <c r="V35" i="108"/>
  <c r="V27" i="108"/>
  <c r="V63" i="108"/>
  <c r="V20" i="105"/>
  <c r="J28" i="105"/>
  <c r="J32" i="105"/>
  <c r="J46" i="105"/>
  <c r="V26" i="106"/>
  <c r="Z37" i="106"/>
  <c r="Z50" i="106"/>
  <c r="X50" i="106"/>
  <c r="N62" i="106"/>
  <c r="X70" i="106"/>
  <c r="Z70" i="106" s="1"/>
  <c r="X12" i="108"/>
  <c r="H96" i="108"/>
  <c r="V29" i="108"/>
  <c r="V54" i="108"/>
  <c r="R80" i="108"/>
  <c r="N90" i="108"/>
  <c r="L90" i="108"/>
  <c r="V29" i="105"/>
  <c r="V33" i="105"/>
  <c r="V49" i="105"/>
  <c r="V33" i="106"/>
  <c r="V50" i="106"/>
  <c r="V70" i="106"/>
  <c r="V85" i="106"/>
  <c r="R78" i="108"/>
  <c r="V80" i="108"/>
  <c r="X49" i="110"/>
  <c r="Z49" i="110" s="1"/>
  <c r="V53" i="105"/>
  <c r="V65" i="105"/>
  <c r="V55" i="105"/>
  <c r="V58" i="105"/>
  <c r="V50" i="105"/>
  <c r="V38" i="105"/>
  <c r="V42" i="105"/>
  <c r="V64" i="106"/>
  <c r="N20" i="107"/>
  <c r="L20" i="107"/>
  <c r="R60" i="108"/>
  <c r="V78" i="108"/>
  <c r="X62" i="106"/>
  <c r="Z62" i="106" s="1"/>
  <c r="X18" i="109"/>
  <c r="Z18" i="109" s="1"/>
  <c r="Z12" i="105"/>
  <c r="J26" i="105"/>
  <c r="V28" i="105"/>
  <c r="V32" i="105"/>
  <c r="J36" i="105"/>
  <c r="J40" i="105"/>
  <c r="J44" i="105"/>
  <c r="V48" i="105"/>
  <c r="J56" i="105"/>
  <c r="X61" i="105"/>
  <c r="V25" i="106"/>
  <c r="V62" i="106"/>
  <c r="R24" i="107"/>
  <c r="R16" i="107"/>
  <c r="P16" i="107"/>
  <c r="R18" i="107"/>
  <c r="R26" i="107"/>
  <c r="R20" i="107"/>
  <c r="X12" i="107"/>
  <c r="R29" i="107"/>
  <c r="R22" i="107"/>
  <c r="N25" i="108"/>
  <c r="J21" i="105"/>
  <c r="J35" i="105"/>
  <c r="V37" i="105"/>
  <c r="V41" i="105"/>
  <c r="V45" i="105"/>
  <c r="J52" i="105"/>
  <c r="V54" i="105"/>
  <c r="X25" i="106"/>
  <c r="Z25" i="106" s="1"/>
  <c r="V49" i="106"/>
  <c r="V69" i="106"/>
  <c r="Z75" i="106"/>
  <c r="N86" i="106"/>
  <c r="R76" i="108"/>
  <c r="V85" i="108"/>
  <c r="V29" i="107"/>
  <c r="V26" i="107"/>
  <c r="V24" i="107"/>
  <c r="V14" i="107"/>
  <c r="J20" i="107"/>
  <c r="D12" i="108"/>
  <c r="J51" i="108"/>
  <c r="J56" i="108"/>
  <c r="J90" i="108"/>
  <c r="V14" i="109"/>
  <c r="R37" i="110"/>
  <c r="R33" i="110"/>
  <c r="R57" i="110"/>
  <c r="R56" i="110"/>
  <c r="R45" i="110"/>
  <c r="R44" i="110"/>
  <c r="R28" i="110"/>
  <c r="R24" i="110"/>
  <c r="R64" i="110"/>
  <c r="R63" i="110"/>
  <c r="R58" i="110"/>
  <c r="R68" i="110"/>
  <c r="R67" i="110"/>
  <c r="R49" i="110"/>
  <c r="R48" i="110"/>
  <c r="R60" i="110"/>
  <c r="R59" i="110"/>
  <c r="R39" i="110"/>
  <c r="R35" i="110"/>
  <c r="R31" i="110"/>
  <c r="R51" i="110"/>
  <c r="R50" i="110"/>
  <c r="R26" i="110"/>
  <c r="R22" i="110"/>
  <c r="X12" i="110"/>
  <c r="R61" i="110"/>
  <c r="R27" i="110"/>
  <c r="R23" i="110"/>
  <c r="R43" i="110"/>
  <c r="R40" i="110"/>
  <c r="R38" i="110"/>
  <c r="R29" i="110"/>
  <c r="R25" i="110"/>
  <c r="R21" i="110"/>
  <c r="R55" i="110"/>
  <c r="R53" i="110"/>
  <c r="R41" i="110"/>
  <c r="P17" i="110"/>
  <c r="R17" i="110" s="1"/>
  <c r="R65" i="110"/>
  <c r="R36" i="110"/>
  <c r="R34" i="110"/>
  <c r="R30" i="110"/>
  <c r="R32" i="110"/>
  <c r="R19" i="110"/>
  <c r="R62" i="110"/>
  <c r="R47" i="110"/>
  <c r="R42" i="110"/>
  <c r="R20" i="110"/>
  <c r="R15" i="110"/>
  <c r="R72" i="110"/>
  <c r="J39" i="108"/>
  <c r="X67" i="108"/>
  <c r="Z67" i="108" s="1"/>
  <c r="J71" i="108"/>
  <c r="V64" i="110"/>
  <c r="V56" i="110"/>
  <c r="V44" i="110"/>
  <c r="V28" i="110"/>
  <c r="V24" i="110"/>
  <c r="V20" i="110"/>
  <c r="V63" i="110"/>
  <c r="V47" i="110"/>
  <c r="V19" i="110"/>
  <c r="V15" i="110"/>
  <c r="V58" i="110"/>
  <c r="V46" i="110"/>
  <c r="V38" i="110"/>
  <c r="V34" i="110"/>
  <c r="V67" i="110"/>
  <c r="V65" i="110"/>
  <c r="V59" i="110"/>
  <c r="V51" i="110"/>
  <c r="V39" i="110"/>
  <c r="V35" i="110"/>
  <c r="V31" i="110"/>
  <c r="V50" i="110"/>
  <c r="V26" i="110"/>
  <c r="V22" i="110"/>
  <c r="Z12" i="110"/>
  <c r="V61" i="110"/>
  <c r="V53" i="110"/>
  <c r="V41" i="110"/>
  <c r="V72" i="110"/>
  <c r="V62" i="110"/>
  <c r="V54" i="110"/>
  <c r="V42" i="110"/>
  <c r="V55" i="110"/>
  <c r="V29" i="110"/>
  <c r="V27" i="110"/>
  <c r="V25" i="110"/>
  <c r="V23" i="110"/>
  <c r="V21" i="110"/>
  <c r="T17" i="110"/>
  <c r="V48" i="110"/>
  <c r="V36" i="110"/>
  <c r="V49" i="110"/>
  <c r="V30" i="110"/>
  <c r="V68" i="110"/>
  <c r="V60" i="110"/>
  <c r="V32" i="110"/>
  <c r="V37" i="110"/>
  <c r="X90" i="108"/>
  <c r="L19" i="109"/>
  <c r="N19" i="109" s="1"/>
  <c r="R46" i="110"/>
  <c r="R52" i="110"/>
  <c r="R54" i="110"/>
  <c r="H16" i="107"/>
  <c r="L18" i="107"/>
  <c r="J18" i="108"/>
  <c r="L25" i="108"/>
  <c r="L26" i="108"/>
  <c r="N26" i="108" s="1"/>
  <c r="J43" i="108"/>
  <c r="J77" i="108"/>
  <c r="J81" i="108"/>
  <c r="L86" i="108"/>
  <c r="H70" i="110"/>
  <c r="V40" i="110"/>
  <c r="V52" i="110"/>
  <c r="X58" i="106"/>
  <c r="Z58" i="106" s="1"/>
  <c r="L64" i="106"/>
  <c r="N64" i="106" s="1"/>
  <c r="L88" i="106"/>
  <c r="J45" i="108"/>
  <c r="N55" i="108"/>
  <c r="N61" i="108"/>
  <c r="N86" i="108"/>
  <c r="R41" i="109"/>
  <c r="R40" i="109"/>
  <c r="R42" i="109"/>
  <c r="R48" i="109"/>
  <c r="R29" i="109"/>
  <c r="R18" i="109"/>
  <c r="R16" i="109"/>
  <c r="R14" i="109"/>
  <c r="R44" i="109"/>
  <c r="R33" i="109"/>
  <c r="R24" i="109"/>
  <c r="R20" i="109"/>
  <c r="P16" i="109"/>
  <c r="R50" i="109"/>
  <c r="R37" i="109"/>
  <c r="R30" i="109"/>
  <c r="R46" i="109"/>
  <c r="R31" i="109"/>
  <c r="R53" i="109"/>
  <c r="R38" i="109"/>
  <c r="R35" i="109"/>
  <c r="R26" i="109"/>
  <c r="R22" i="109"/>
  <c r="R43" i="109"/>
  <c r="N50" i="108"/>
  <c r="J61" i="108"/>
  <c r="J68" i="108"/>
  <c r="J70" i="108"/>
  <c r="Z71" i="108"/>
  <c r="V42" i="109"/>
  <c r="V43" i="109"/>
  <c r="V35" i="109"/>
  <c r="V53" i="109"/>
  <c r="V50" i="109"/>
  <c r="V48" i="109"/>
  <c r="V37" i="109"/>
  <c r="V44" i="109"/>
  <c r="V41" i="109"/>
  <c r="V33" i="109"/>
  <c r="V24" i="109"/>
  <c r="V20" i="109"/>
  <c r="V30" i="109"/>
  <c r="V46" i="109"/>
  <c r="V34" i="109"/>
  <c r="V25" i="109"/>
  <c r="V21" i="109"/>
  <c r="V31" i="109"/>
  <c r="V38" i="109"/>
  <c r="V26" i="109"/>
  <c r="V22" i="109"/>
  <c r="V32" i="109"/>
  <c r="V28" i="109"/>
  <c r="Z12" i="109"/>
  <c r="J94" i="108"/>
  <c r="J82" i="108"/>
  <c r="J72" i="108"/>
  <c r="J64" i="108"/>
  <c r="J52" i="108"/>
  <c r="J36" i="108"/>
  <c r="J32" i="108"/>
  <c r="J28" i="108"/>
  <c r="J83" i="108"/>
  <c r="J65" i="108"/>
  <c r="J53" i="108"/>
  <c r="J37" i="108"/>
  <c r="J19" i="108"/>
  <c r="J96" i="108"/>
  <c r="J84" i="108"/>
  <c r="J78" i="108"/>
  <c r="J66" i="108"/>
  <c r="J54" i="108"/>
  <c r="J46" i="108"/>
  <c r="J42" i="108"/>
  <c r="J38" i="108"/>
  <c r="J85" i="108"/>
  <c r="J73" i="108"/>
  <c r="J67" i="108"/>
  <c r="J55" i="108"/>
  <c r="J33" i="108"/>
  <c r="J29" i="108"/>
  <c r="J74" i="108"/>
  <c r="J58" i="108"/>
  <c r="J48" i="108"/>
  <c r="J34" i="108"/>
  <c r="J30" i="108"/>
  <c r="J75" i="108"/>
  <c r="J69" i="108"/>
  <c r="J59" i="108"/>
  <c r="J88" i="108"/>
  <c r="J80" i="108"/>
  <c r="J76" i="108"/>
  <c r="J60" i="108"/>
  <c r="J50" i="108"/>
  <c r="J44" i="108"/>
  <c r="J40" i="108"/>
  <c r="J26" i="108"/>
  <c r="J25" i="108"/>
  <c r="J47" i="108"/>
  <c r="J63" i="108"/>
  <c r="Z84" i="108"/>
  <c r="J92" i="108"/>
  <c r="X12" i="109"/>
  <c r="N28" i="109"/>
  <c r="Z67" i="110"/>
  <c r="X91" i="106"/>
  <c r="F24" i="107"/>
  <c r="D16" i="107"/>
  <c r="L14" i="107"/>
  <c r="F22" i="107"/>
  <c r="Z86" i="108"/>
  <c r="R19" i="109"/>
  <c r="X28" i="109"/>
  <c r="Z28" i="109" s="1"/>
  <c r="P40" i="109"/>
  <c r="X40" i="109" s="1"/>
  <c r="Z40" i="109" s="1"/>
  <c r="X42" i="109"/>
  <c r="Z42" i="109" s="1"/>
  <c r="L55" i="110"/>
  <c r="N55" i="110" s="1"/>
  <c r="T16" i="107"/>
  <c r="F29" i="107"/>
  <c r="J20" i="108"/>
  <c r="X25" i="108"/>
  <c r="Z25" i="108" s="1"/>
  <c r="J31" i="108"/>
  <c r="N57" i="108"/>
  <c r="X61" i="108"/>
  <c r="Z61" i="108" s="1"/>
  <c r="L67" i="108"/>
  <c r="N67" i="108" s="1"/>
  <c r="Z19" i="109"/>
  <c r="X19" i="109"/>
  <c r="R21" i="109"/>
  <c r="R28" i="109"/>
  <c r="R32" i="109"/>
  <c r="F21" i="109"/>
  <c r="F25" i="109"/>
  <c r="F34" i="109"/>
  <c r="F61" i="110"/>
  <c r="F60" i="110"/>
  <c r="F72" i="110"/>
  <c r="F52" i="110"/>
  <c r="F51" i="110"/>
  <c r="F40" i="110"/>
  <c r="F36" i="110"/>
  <c r="F32" i="110"/>
  <c r="F62" i="110"/>
  <c r="F54" i="110"/>
  <c r="F53" i="110"/>
  <c r="F56" i="110"/>
  <c r="F55" i="110"/>
  <c r="F44" i="110"/>
  <c r="F43" i="110"/>
  <c r="F28" i="110"/>
  <c r="F24" i="110"/>
  <c r="F63" i="110"/>
  <c r="F58" i="110"/>
  <c r="F57" i="110"/>
  <c r="F46" i="110"/>
  <c r="F45" i="110"/>
  <c r="F38" i="110"/>
  <c r="F34" i="110"/>
  <c r="F65" i="110"/>
  <c r="F64" i="110"/>
  <c r="F68" i="110"/>
  <c r="F59" i="110"/>
  <c r="F39" i="110"/>
  <c r="F35" i="110"/>
  <c r="F31" i="110"/>
  <c r="F30" i="110"/>
  <c r="N19" i="110"/>
  <c r="N30" i="110"/>
  <c r="D16" i="109"/>
  <c r="X19" i="110"/>
  <c r="Z19" i="110" s="1"/>
  <c r="D67" i="110"/>
  <c r="L67" i="110" s="1"/>
  <c r="L68" i="110"/>
  <c r="N68" i="110" s="1"/>
  <c r="F14" i="109"/>
  <c r="F16" i="109"/>
  <c r="J30" i="109"/>
  <c r="J37" i="109"/>
  <c r="D40" i="109"/>
  <c r="L40" i="109" s="1"/>
  <c r="N40" i="109" s="1"/>
  <c r="D17" i="110"/>
  <c r="X30" i="110"/>
  <c r="Z30" i="110" s="1"/>
  <c r="F41" i="110"/>
  <c r="Z60" i="110"/>
  <c r="H16" i="109"/>
  <c r="F37" i="109"/>
  <c r="F33" i="109"/>
  <c r="F42" i="109"/>
  <c r="F40" i="109"/>
  <c r="F43" i="109"/>
  <c r="F36" i="109"/>
  <c r="F23" i="110"/>
  <c r="F27" i="110"/>
  <c r="X41" i="110"/>
  <c r="N43" i="110"/>
  <c r="L43" i="110"/>
  <c r="N57" i="110"/>
  <c r="J53" i="109"/>
  <c r="J50" i="109"/>
  <c r="J43" i="109"/>
  <c r="J44" i="109"/>
  <c r="F23" i="109"/>
  <c r="F27" i="109"/>
  <c r="J28" i="109"/>
  <c r="J36" i="109"/>
  <c r="J40" i="109"/>
  <c r="F48" i="109"/>
  <c r="J43" i="110"/>
  <c r="Z51" i="110"/>
  <c r="L12" i="109"/>
  <c r="J23" i="109"/>
  <c r="J27" i="109"/>
  <c r="F32" i="109"/>
  <c r="J48" i="109"/>
  <c r="L12" i="110"/>
  <c r="N12" i="110" s="1"/>
  <c r="F15" i="110"/>
  <c r="F20" i="110"/>
  <c r="F33" i="110"/>
  <c r="Z41" i="110"/>
  <c r="F50" i="110"/>
  <c r="Z53" i="110"/>
  <c r="Z55" i="110"/>
  <c r="F67" i="110"/>
  <c r="N12" i="109"/>
  <c r="J32" i="109"/>
  <c r="L47" i="110"/>
  <c r="N47" i="110" s="1"/>
  <c r="N67" i="110"/>
  <c r="J22" i="110"/>
  <c r="J26" i="110"/>
  <c r="J50" i="110"/>
  <c r="J60" i="110"/>
  <c r="J70" i="110"/>
  <c r="J15" i="110"/>
  <c r="J17" i="110"/>
  <c r="J19" i="110"/>
  <c r="J21" i="110"/>
  <c r="J25" i="110"/>
  <c r="J29" i="110"/>
  <c r="J47" i="110"/>
  <c r="J65" i="110"/>
  <c r="J34" i="110"/>
  <c r="J38" i="110"/>
  <c r="J46" i="110"/>
  <c r="J58" i="110"/>
  <c r="J64" i="110"/>
  <c r="J45" i="110"/>
  <c r="J57" i="110"/>
  <c r="J63" i="110"/>
  <c r="J55" i="110"/>
  <c r="J42" i="110"/>
  <c r="J54" i="110"/>
  <c r="J62" i="110"/>
  <c r="J23" i="110"/>
  <c r="J27" i="110"/>
  <c r="J41" i="110"/>
  <c r="J53" i="110"/>
  <c r="J32" i="110"/>
  <c r="J36" i="110"/>
  <c r="J40" i="110"/>
  <c r="J52" i="110"/>
  <c r="T70" i="110" l="1"/>
  <c r="P107" i="64"/>
  <c r="X16" i="64"/>
  <c r="H265" i="15"/>
  <c r="J157" i="15"/>
  <c r="L18" i="113"/>
  <c r="D27" i="113"/>
  <c r="P27" i="31"/>
  <c r="X18" i="31"/>
  <c r="J22" i="83"/>
  <c r="H28" i="83"/>
  <c r="H89" i="81"/>
  <c r="T121" i="75"/>
  <c r="V53" i="75"/>
  <c r="T292" i="18"/>
  <c r="H27" i="28"/>
  <c r="N18" i="28"/>
  <c r="H27" i="17"/>
  <c r="N18" i="17"/>
  <c r="T92" i="104"/>
  <c r="H67" i="103"/>
  <c r="H99" i="96"/>
  <c r="T93" i="92"/>
  <c r="Z16" i="92"/>
  <c r="H93" i="92"/>
  <c r="L93" i="92" s="1"/>
  <c r="N16" i="92"/>
  <c r="T84" i="73"/>
  <c r="T116" i="77"/>
  <c r="P81" i="80"/>
  <c r="X22" i="80"/>
  <c r="D22" i="54"/>
  <c r="L16" i="54"/>
  <c r="D109" i="51"/>
  <c r="L56" i="51"/>
  <c r="N56" i="51" s="1"/>
  <c r="R96" i="45"/>
  <c r="R95" i="45"/>
  <c r="R79" i="45"/>
  <c r="R64" i="45"/>
  <c r="R63" i="45"/>
  <c r="R47" i="45"/>
  <c r="R43" i="45"/>
  <c r="R20" i="45"/>
  <c r="R74" i="45"/>
  <c r="R55" i="45"/>
  <c r="R54" i="45"/>
  <c r="R39" i="45"/>
  <c r="R38" i="45"/>
  <c r="R34" i="45"/>
  <c r="R30" i="45"/>
  <c r="R97" i="45"/>
  <c r="R89" i="45"/>
  <c r="R85" i="45"/>
  <c r="R66" i="45"/>
  <c r="R65" i="45"/>
  <c r="R21" i="45"/>
  <c r="R80" i="45"/>
  <c r="R57" i="45"/>
  <c r="R56" i="45"/>
  <c r="R48" i="45"/>
  <c r="R44" i="45"/>
  <c r="R40" i="45"/>
  <c r="X12" i="45"/>
  <c r="Z12" i="45" s="1"/>
  <c r="R75" i="45"/>
  <c r="R68" i="45"/>
  <c r="R67" i="45"/>
  <c r="R35" i="45"/>
  <c r="R31" i="45"/>
  <c r="R98" i="45"/>
  <c r="R90" i="45"/>
  <c r="R86" i="45"/>
  <c r="R58" i="45"/>
  <c r="R22" i="45"/>
  <c r="R100" i="45"/>
  <c r="R82" i="45"/>
  <c r="R81" i="45"/>
  <c r="R70" i="45"/>
  <c r="R69" i="45"/>
  <c r="R50" i="45"/>
  <c r="R49" i="45"/>
  <c r="R45" i="45"/>
  <c r="R41" i="45"/>
  <c r="R77" i="45"/>
  <c r="R76" i="45"/>
  <c r="R36" i="45"/>
  <c r="R32" i="45"/>
  <c r="R92" i="45"/>
  <c r="R91" i="45"/>
  <c r="R87" i="45"/>
  <c r="R83" i="45"/>
  <c r="R72" i="45"/>
  <c r="R71" i="45"/>
  <c r="R60" i="45"/>
  <c r="R59" i="45"/>
  <c r="R52" i="45"/>
  <c r="R51" i="45"/>
  <c r="R28" i="45"/>
  <c r="R23" i="45"/>
  <c r="R94" i="45"/>
  <c r="P25" i="45"/>
  <c r="R104" i="45"/>
  <c r="R88" i="45"/>
  <c r="R37" i="45"/>
  <c r="R61" i="45"/>
  <c r="R53" i="45"/>
  <c r="R78" i="45"/>
  <c r="R62" i="45"/>
  <c r="R29" i="45"/>
  <c r="R27" i="45"/>
  <c r="R93" i="45"/>
  <c r="R42" i="45"/>
  <c r="R84" i="45"/>
  <c r="R46" i="45"/>
  <c r="R25" i="45"/>
  <c r="R73" i="45"/>
  <c r="R33" i="45"/>
  <c r="H136" i="36"/>
  <c r="R147" i="30"/>
  <c r="R139" i="30"/>
  <c r="R151" i="30"/>
  <c r="R129" i="30"/>
  <c r="R105" i="30"/>
  <c r="R152" i="30"/>
  <c r="R141" i="30"/>
  <c r="R140" i="30"/>
  <c r="R117" i="30"/>
  <c r="R116" i="30"/>
  <c r="R97" i="30"/>
  <c r="R96" i="30"/>
  <c r="R156" i="30"/>
  <c r="R144" i="30"/>
  <c r="R136" i="30"/>
  <c r="R132" i="30"/>
  <c r="R109" i="30"/>
  <c r="R108" i="30"/>
  <c r="R120" i="30"/>
  <c r="R119" i="30"/>
  <c r="R100" i="30"/>
  <c r="R99" i="30"/>
  <c r="R138" i="30"/>
  <c r="R135" i="30"/>
  <c r="R110" i="30"/>
  <c r="R106" i="30"/>
  <c r="R92" i="30"/>
  <c r="R77" i="30"/>
  <c r="R73" i="30"/>
  <c r="R130" i="30"/>
  <c r="R121" i="30"/>
  <c r="R103" i="30"/>
  <c r="R69" i="30"/>
  <c r="R64" i="30"/>
  <c r="R60" i="30"/>
  <c r="R56" i="30"/>
  <c r="R52" i="30"/>
  <c r="R48" i="30"/>
  <c r="R44" i="30"/>
  <c r="R133" i="30"/>
  <c r="R124" i="30"/>
  <c r="R118" i="30"/>
  <c r="R114" i="30"/>
  <c r="R111" i="30"/>
  <c r="R107" i="30"/>
  <c r="R87" i="30"/>
  <c r="R83" i="30"/>
  <c r="R68" i="30"/>
  <c r="R127" i="30"/>
  <c r="R104" i="30"/>
  <c r="R93" i="30"/>
  <c r="R79" i="30"/>
  <c r="R78" i="30"/>
  <c r="R74" i="30"/>
  <c r="R70" i="30"/>
  <c r="P66" i="30"/>
  <c r="R131" i="30"/>
  <c r="R115" i="30"/>
  <c r="R61" i="30"/>
  <c r="R57" i="30"/>
  <c r="R53" i="30"/>
  <c r="R49" i="30"/>
  <c r="R45" i="30"/>
  <c r="R128" i="30"/>
  <c r="R88" i="30"/>
  <c r="R84" i="30"/>
  <c r="R80" i="30"/>
  <c r="R125" i="30"/>
  <c r="R122" i="30"/>
  <c r="R101" i="30"/>
  <c r="R75" i="30"/>
  <c r="R71" i="30"/>
  <c r="R145" i="30"/>
  <c r="R142" i="30"/>
  <c r="R134" i="30"/>
  <c r="R112" i="30"/>
  <c r="R98" i="30"/>
  <c r="R94" i="30"/>
  <c r="R62" i="30"/>
  <c r="R58" i="30"/>
  <c r="R54" i="30"/>
  <c r="R50" i="30"/>
  <c r="R46" i="30"/>
  <c r="R102" i="30"/>
  <c r="R90" i="30"/>
  <c r="R89" i="30"/>
  <c r="R85" i="30"/>
  <c r="R81" i="30"/>
  <c r="R42" i="30"/>
  <c r="R149" i="30"/>
  <c r="R95" i="30"/>
  <c r="R76" i="30"/>
  <c r="R72" i="30"/>
  <c r="X12" i="30"/>
  <c r="Z12" i="30" s="1"/>
  <c r="R43" i="30"/>
  <c r="R143" i="30"/>
  <c r="R126" i="30"/>
  <c r="R47" i="30"/>
  <c r="R82" i="30"/>
  <c r="R51" i="30"/>
  <c r="R55" i="30"/>
  <c r="R123" i="30"/>
  <c r="R113" i="30"/>
  <c r="R86" i="30"/>
  <c r="R59" i="30"/>
  <c r="R63" i="30"/>
  <c r="R150" i="30"/>
  <c r="R146" i="30"/>
  <c r="R91" i="30"/>
  <c r="R137" i="30"/>
  <c r="H128" i="27"/>
  <c r="J124" i="27"/>
  <c r="L163" i="12"/>
  <c r="N163" i="12" s="1"/>
  <c r="D278" i="12"/>
  <c r="T99" i="9"/>
  <c r="Z16" i="9"/>
  <c r="H278" i="12"/>
  <c r="Z18" i="53"/>
  <c r="T27" i="53"/>
  <c r="X18" i="43"/>
  <c r="P27" i="43"/>
  <c r="X18" i="41"/>
  <c r="P27" i="41"/>
  <c r="L18" i="43"/>
  <c r="D27" i="43"/>
  <c r="X18" i="37"/>
  <c r="P27" i="37"/>
  <c r="L18" i="31"/>
  <c r="D27" i="31"/>
  <c r="H27" i="29"/>
  <c r="N18" i="29"/>
  <c r="T27" i="26"/>
  <c r="Z18" i="26"/>
  <c r="H27" i="22"/>
  <c r="N18" i="22"/>
  <c r="H27" i="26"/>
  <c r="N18" i="26"/>
  <c r="T27" i="13"/>
  <c r="Z18" i="13"/>
  <c r="P27" i="11"/>
  <c r="X18" i="11"/>
  <c r="T67" i="105"/>
  <c r="R63" i="81"/>
  <c r="R31" i="81"/>
  <c r="R27" i="81"/>
  <c r="R75" i="81"/>
  <c r="R74" i="81"/>
  <c r="R70" i="81"/>
  <c r="R55" i="81"/>
  <c r="R54" i="81"/>
  <c r="R77" i="81"/>
  <c r="R76" i="81"/>
  <c r="R65" i="81"/>
  <c r="R64" i="81"/>
  <c r="R57" i="81"/>
  <c r="R56" i="81"/>
  <c r="R32" i="81"/>
  <c r="R28" i="81"/>
  <c r="R78" i="81"/>
  <c r="R66" i="81"/>
  <c r="R59" i="81"/>
  <c r="R58" i="81"/>
  <c r="R42" i="81"/>
  <c r="R38" i="81"/>
  <c r="R80" i="81"/>
  <c r="R50" i="81"/>
  <c r="R49" i="81"/>
  <c r="R72" i="81"/>
  <c r="R61" i="81"/>
  <c r="R60" i="81"/>
  <c r="R84" i="81"/>
  <c r="R46" i="81"/>
  <c r="R43" i="81"/>
  <c r="R29" i="81"/>
  <c r="R35" i="81"/>
  <c r="R53" i="81"/>
  <c r="R19" i="81"/>
  <c r="X12" i="81"/>
  <c r="Z12" i="81" s="1"/>
  <c r="R47" i="81"/>
  <c r="R41" i="81"/>
  <c r="R68" i="81"/>
  <c r="R44" i="81"/>
  <c r="R30" i="81"/>
  <c r="R20" i="81"/>
  <c r="R73" i="81"/>
  <c r="R51" i="81"/>
  <c r="R36" i="81"/>
  <c r="R33" i="81"/>
  <c r="R71" i="81"/>
  <c r="R48" i="81"/>
  <c r="R39" i="81"/>
  <c r="R25" i="81"/>
  <c r="R22" i="81"/>
  <c r="R24" i="81"/>
  <c r="P22" i="81"/>
  <c r="R52" i="81"/>
  <c r="R45" i="81"/>
  <c r="R69" i="81"/>
  <c r="R67" i="81"/>
  <c r="R40" i="81"/>
  <c r="R17" i="81"/>
  <c r="R34" i="81"/>
  <c r="R62" i="81"/>
  <c r="R37" i="81"/>
  <c r="R18" i="81"/>
  <c r="R26" i="81"/>
  <c r="D77" i="57"/>
  <c r="L16" i="57"/>
  <c r="L18" i="47"/>
  <c r="D27" i="47"/>
  <c r="D27" i="40"/>
  <c r="L18" i="40"/>
  <c r="H27" i="23"/>
  <c r="N18" i="23"/>
  <c r="H133" i="24"/>
  <c r="X18" i="52"/>
  <c r="P27" i="52"/>
  <c r="H99" i="108"/>
  <c r="D63" i="105"/>
  <c r="L23" i="105"/>
  <c r="N23" i="105" s="1"/>
  <c r="H92" i="104"/>
  <c r="Z18" i="99"/>
  <c r="T43" i="99"/>
  <c r="F92" i="96"/>
  <c r="F91" i="96"/>
  <c r="F84" i="96"/>
  <c r="F80" i="96"/>
  <c r="F68" i="96"/>
  <c r="F20" i="96"/>
  <c r="F59" i="96"/>
  <c r="F58" i="96"/>
  <c r="F51" i="96"/>
  <c r="F50" i="96"/>
  <c r="F43" i="96"/>
  <c r="F39" i="96"/>
  <c r="F74" i="96"/>
  <c r="F34" i="96"/>
  <c r="F30" i="96"/>
  <c r="F26" i="96"/>
  <c r="F25" i="96"/>
  <c r="F93" i="96"/>
  <c r="F85" i="96"/>
  <c r="F81" i="96"/>
  <c r="F69" i="96"/>
  <c r="F61" i="96"/>
  <c r="F60" i="96"/>
  <c r="F53" i="96"/>
  <c r="F52" i="96"/>
  <c r="F24" i="96"/>
  <c r="F22" i="96"/>
  <c r="F86" i="96"/>
  <c r="F82" i="96"/>
  <c r="F54" i="96"/>
  <c r="F18" i="96"/>
  <c r="F17" i="96"/>
  <c r="F97" i="96"/>
  <c r="F88" i="96"/>
  <c r="F87" i="96"/>
  <c r="F72" i="96"/>
  <c r="F32" i="96"/>
  <c r="F28" i="96"/>
  <c r="F101" i="96"/>
  <c r="F94" i="96"/>
  <c r="F89" i="96"/>
  <c r="F67" i="96"/>
  <c r="F56" i="96"/>
  <c r="F46" i="96"/>
  <c r="F65" i="96"/>
  <c r="F62" i="96"/>
  <c r="F49" i="96"/>
  <c r="F76" i="96"/>
  <c r="F44" i="96"/>
  <c r="F42" i="96"/>
  <c r="F33" i="96"/>
  <c r="F83" i="96"/>
  <c r="F79" i="96"/>
  <c r="F40" i="96"/>
  <c r="F95" i="96"/>
  <c r="F77" i="96"/>
  <c r="F70" i="96"/>
  <c r="F57" i="96"/>
  <c r="F47" i="96"/>
  <c r="F38" i="96"/>
  <c r="F36" i="96"/>
  <c r="F31" i="96"/>
  <c r="F63" i="96"/>
  <c r="F90" i="96"/>
  <c r="F29" i="96"/>
  <c r="F75" i="96"/>
  <c r="F71" i="96"/>
  <c r="F66" i="96"/>
  <c r="F41" i="96"/>
  <c r="F27" i="96"/>
  <c r="F78" i="96"/>
  <c r="F73" i="96"/>
  <c r="F64" i="96"/>
  <c r="F45" i="96"/>
  <c r="F35" i="96"/>
  <c r="F37" i="96"/>
  <c r="L12" i="96"/>
  <c r="N12" i="96" s="1"/>
  <c r="F55" i="96"/>
  <c r="F48" i="96"/>
  <c r="F19" i="96"/>
  <c r="D22" i="96"/>
  <c r="R61" i="98"/>
  <c r="R60" i="98"/>
  <c r="R53" i="98"/>
  <c r="R52" i="98"/>
  <c r="R44" i="98"/>
  <c r="R40" i="98"/>
  <c r="R87" i="98"/>
  <c r="R79" i="98"/>
  <c r="R75" i="98"/>
  <c r="R68" i="98"/>
  <c r="R67" i="98"/>
  <c r="R89" i="98"/>
  <c r="R62" i="98"/>
  <c r="R54" i="98"/>
  <c r="R69" i="98"/>
  <c r="R45" i="98"/>
  <c r="R41" i="98"/>
  <c r="R37" i="98"/>
  <c r="R80" i="98"/>
  <c r="R76" i="98"/>
  <c r="R32" i="98"/>
  <c r="R28" i="98"/>
  <c r="R93" i="98"/>
  <c r="R64" i="98"/>
  <c r="R29" i="98"/>
  <c r="R26" i="98"/>
  <c r="R25" i="98"/>
  <c r="R19" i="98"/>
  <c r="R72" i="98"/>
  <c r="R49" i="98"/>
  <c r="R55" i="98"/>
  <c r="R43" i="98"/>
  <c r="R38" i="98"/>
  <c r="R85" i="98"/>
  <c r="R58" i="98"/>
  <c r="R46" i="98"/>
  <c r="R35" i="98"/>
  <c r="R27" i="98"/>
  <c r="R20" i="98"/>
  <c r="R86" i="98"/>
  <c r="R73" i="98"/>
  <c r="R50" i="98"/>
  <c r="R39" i="98"/>
  <c r="R33" i="98"/>
  <c r="R56" i="98"/>
  <c r="R21" i="98"/>
  <c r="R71" i="98"/>
  <c r="R65" i="98"/>
  <c r="R63" i="98"/>
  <c r="R57" i="98"/>
  <c r="R59" i="98"/>
  <c r="R51" i="98"/>
  <c r="R47" i="98"/>
  <c r="R84" i="98"/>
  <c r="R82" i="98"/>
  <c r="R31" i="98"/>
  <c r="R74" i="98"/>
  <c r="R78" i="98"/>
  <c r="R66" i="98"/>
  <c r="R70" i="98"/>
  <c r="R30" i="98"/>
  <c r="P23" i="98"/>
  <c r="R23" i="98" s="1"/>
  <c r="R48" i="98"/>
  <c r="R18" i="98"/>
  <c r="X12" i="98"/>
  <c r="Z12" i="98" s="1"/>
  <c r="R77" i="98"/>
  <c r="R34" i="98"/>
  <c r="R83" i="98"/>
  <c r="R36" i="98"/>
  <c r="R42" i="98"/>
  <c r="R81" i="98"/>
  <c r="L22" i="88"/>
  <c r="N22" i="88" s="1"/>
  <c r="D95" i="88"/>
  <c r="J39" i="86"/>
  <c r="H89" i="89"/>
  <c r="T95" i="88"/>
  <c r="V22" i="88"/>
  <c r="H95" i="88"/>
  <c r="L16" i="78"/>
  <c r="D22" i="78"/>
  <c r="F119" i="75"/>
  <c r="F86" i="75"/>
  <c r="F78" i="75"/>
  <c r="F77" i="75"/>
  <c r="F50" i="75"/>
  <c r="F46" i="75"/>
  <c r="F42" i="75"/>
  <c r="F38" i="75"/>
  <c r="F109" i="75"/>
  <c r="F108" i="75"/>
  <c r="F97" i="75"/>
  <c r="F73" i="75"/>
  <c r="F69" i="75"/>
  <c r="F123" i="75"/>
  <c r="F111" i="75"/>
  <c r="F110" i="75"/>
  <c r="F51" i="75"/>
  <c r="F47" i="75"/>
  <c r="F43" i="75"/>
  <c r="F39" i="75"/>
  <c r="F98" i="75"/>
  <c r="F90" i="75"/>
  <c r="F89" i="75"/>
  <c r="F74" i="75"/>
  <c r="F70" i="75"/>
  <c r="F113" i="75"/>
  <c r="F112" i="75"/>
  <c r="F105" i="75"/>
  <c r="F81" i="75"/>
  <c r="F65" i="75"/>
  <c r="F61" i="75"/>
  <c r="F57" i="75"/>
  <c r="F56" i="75"/>
  <c r="F100" i="75"/>
  <c r="F99" i="75"/>
  <c r="F92" i="75"/>
  <c r="F91" i="75"/>
  <c r="F55" i="75"/>
  <c r="F48" i="75"/>
  <c r="F44" i="75"/>
  <c r="F40" i="75"/>
  <c r="F36" i="75"/>
  <c r="F35" i="75"/>
  <c r="F83" i="75"/>
  <c r="F82" i="75"/>
  <c r="F75" i="75"/>
  <c r="F71" i="75"/>
  <c r="F67" i="75"/>
  <c r="F66" i="75"/>
  <c r="D53" i="75"/>
  <c r="F96" i="75"/>
  <c r="F94" i="75"/>
  <c r="F49" i="75"/>
  <c r="F63" i="75"/>
  <c r="F79" i="75"/>
  <c r="F116" i="75"/>
  <c r="F106" i="75"/>
  <c r="F104" i="75"/>
  <c r="F101" i="75"/>
  <c r="F76" i="75"/>
  <c r="F68" i="75"/>
  <c r="F59" i="75"/>
  <c r="F37" i="75"/>
  <c r="F84" i="75"/>
  <c r="F72" i="75"/>
  <c r="F45" i="75"/>
  <c r="F102" i="75"/>
  <c r="F95" i="75"/>
  <c r="F87" i="75"/>
  <c r="F80" i="75"/>
  <c r="F64" i="75"/>
  <c r="F117" i="75"/>
  <c r="F114" i="75"/>
  <c r="F62" i="75"/>
  <c r="L12" i="75"/>
  <c r="N12" i="75" s="1"/>
  <c r="F107" i="75"/>
  <c r="F88" i="75"/>
  <c r="F118" i="75"/>
  <c r="F103" i="75"/>
  <c r="F85" i="75"/>
  <c r="F41" i="75"/>
  <c r="F58" i="75"/>
  <c r="F60" i="75"/>
  <c r="F93" i="75"/>
  <c r="R102" i="77"/>
  <c r="R94" i="77"/>
  <c r="R83" i="77"/>
  <c r="R82" i="77"/>
  <c r="R59" i="77"/>
  <c r="R54" i="77"/>
  <c r="R50" i="77"/>
  <c r="R46" i="77"/>
  <c r="R42" i="77"/>
  <c r="R105" i="77"/>
  <c r="R104" i="77"/>
  <c r="R77" i="77"/>
  <c r="R73" i="77"/>
  <c r="R58" i="77"/>
  <c r="R106" i="77"/>
  <c r="R85" i="77"/>
  <c r="R84" i="77"/>
  <c r="R68" i="77"/>
  <c r="R64" i="77"/>
  <c r="R60" i="77"/>
  <c r="P56" i="77"/>
  <c r="R56" i="77" s="1"/>
  <c r="R107" i="77"/>
  <c r="R96" i="77"/>
  <c r="R95" i="77"/>
  <c r="R51" i="77"/>
  <c r="R47" i="77"/>
  <c r="R43" i="77"/>
  <c r="R89" i="77"/>
  <c r="R88" i="77"/>
  <c r="R52" i="77"/>
  <c r="R48" i="77"/>
  <c r="R44" i="77"/>
  <c r="X12" i="77"/>
  <c r="Z12" i="77" s="1"/>
  <c r="R111" i="77"/>
  <c r="R79" i="77"/>
  <c r="R75" i="77"/>
  <c r="R71" i="77"/>
  <c r="R40" i="77"/>
  <c r="R99" i="77"/>
  <c r="R98" i="77"/>
  <c r="R91" i="77"/>
  <c r="R90" i="77"/>
  <c r="R66" i="77"/>
  <c r="R62" i="77"/>
  <c r="R97" i="77"/>
  <c r="R93" i="77"/>
  <c r="R81" i="77"/>
  <c r="R76" i="77"/>
  <c r="R74" i="77"/>
  <c r="R69" i="77"/>
  <c r="R67" i="77"/>
  <c r="R49" i="77"/>
  <c r="R100" i="77"/>
  <c r="R86" i="77"/>
  <c r="R65" i="77"/>
  <c r="R63" i="77"/>
  <c r="R61" i="77"/>
  <c r="R70" i="77"/>
  <c r="R72" i="77"/>
  <c r="R45" i="77"/>
  <c r="R101" i="77"/>
  <c r="R87" i="77"/>
  <c r="R53" i="77"/>
  <c r="R78" i="77"/>
  <c r="R92" i="77"/>
  <c r="R80" i="77"/>
  <c r="R41" i="77"/>
  <c r="D85" i="56"/>
  <c r="L81" i="56"/>
  <c r="F108" i="39"/>
  <c r="F88" i="39"/>
  <c r="F87" i="39"/>
  <c r="F60" i="39"/>
  <c r="F56" i="39"/>
  <c r="F52" i="39"/>
  <c r="F131" i="39"/>
  <c r="F123" i="39"/>
  <c r="F119" i="39"/>
  <c r="F115" i="39"/>
  <c r="F103" i="39"/>
  <c r="F79" i="39"/>
  <c r="F78" i="39"/>
  <c r="F47" i="39"/>
  <c r="F43" i="39"/>
  <c r="F144" i="39"/>
  <c r="F98" i="39"/>
  <c r="F90" i="39"/>
  <c r="F89" i="39"/>
  <c r="F70" i="39"/>
  <c r="F62" i="39"/>
  <c r="F61" i="39"/>
  <c r="F34" i="39"/>
  <c r="L12" i="39"/>
  <c r="N12" i="39" s="1"/>
  <c r="F125" i="39"/>
  <c r="F124" i="39"/>
  <c r="F109" i="39"/>
  <c r="F105" i="39"/>
  <c r="F104" i="39"/>
  <c r="F81" i="39"/>
  <c r="F80" i="39"/>
  <c r="F57" i="39"/>
  <c r="F53" i="39"/>
  <c r="F132" i="39"/>
  <c r="F120" i="39"/>
  <c r="F116" i="39"/>
  <c r="F92" i="39"/>
  <c r="F91" i="39"/>
  <c r="F64" i="39"/>
  <c r="F63" i="39"/>
  <c r="F48" i="39"/>
  <c r="F44" i="39"/>
  <c r="F40" i="39"/>
  <c r="F39" i="39"/>
  <c r="F99" i="39"/>
  <c r="F83" i="39"/>
  <c r="F82" i="39"/>
  <c r="F71" i="39"/>
  <c r="F38" i="39"/>
  <c r="F134" i="39"/>
  <c r="F133" i="39"/>
  <c r="F126" i="39"/>
  <c r="F110" i="39"/>
  <c r="F106" i="39"/>
  <c r="F94" i="39"/>
  <c r="F93" i="39"/>
  <c r="F66" i="39"/>
  <c r="F65" i="39"/>
  <c r="F58" i="39"/>
  <c r="F54" i="39"/>
  <c r="D36" i="39"/>
  <c r="F121" i="39"/>
  <c r="F117" i="39"/>
  <c r="F101" i="39"/>
  <c r="F100" i="39"/>
  <c r="F73" i="39"/>
  <c r="F72" i="39"/>
  <c r="F49" i="39"/>
  <c r="F45" i="39"/>
  <c r="F41" i="39"/>
  <c r="F137" i="39"/>
  <c r="F128" i="39"/>
  <c r="F127" i="39"/>
  <c r="F112" i="39"/>
  <c r="F111" i="39"/>
  <c r="F96" i="39"/>
  <c r="F95" i="39"/>
  <c r="F84" i="39"/>
  <c r="F68" i="39"/>
  <c r="F67" i="39"/>
  <c r="F32" i="39"/>
  <c r="F31" i="39"/>
  <c r="F138" i="39"/>
  <c r="F136" i="39"/>
  <c r="F107" i="39"/>
  <c r="F75" i="39"/>
  <c r="F74" i="39"/>
  <c r="F59" i="39"/>
  <c r="F55" i="39"/>
  <c r="F51" i="39"/>
  <c r="F50" i="39"/>
  <c r="F129" i="39"/>
  <c r="F118" i="39"/>
  <c r="F113" i="39"/>
  <c r="F76" i="39"/>
  <c r="F86" i="39"/>
  <c r="F102" i="39"/>
  <c r="F139" i="39"/>
  <c r="F42" i="39"/>
  <c r="F122" i="39"/>
  <c r="F33" i="39"/>
  <c r="F130" i="39"/>
  <c r="F97" i="39"/>
  <c r="F85" i="39"/>
  <c r="F46" i="39"/>
  <c r="F114" i="39"/>
  <c r="F77" i="39"/>
  <c r="F69" i="39"/>
  <c r="F140" i="39"/>
  <c r="F106" i="27"/>
  <c r="F105" i="27"/>
  <c r="F61" i="27"/>
  <c r="F59" i="27"/>
  <c r="F54" i="27"/>
  <c r="F50" i="27"/>
  <c r="F46" i="27"/>
  <c r="F42" i="27"/>
  <c r="F41" i="27"/>
  <c r="F113" i="27"/>
  <c r="F112" i="27"/>
  <c r="F97" i="27"/>
  <c r="F96" i="27"/>
  <c r="F81" i="27"/>
  <c r="F77" i="27"/>
  <c r="D59" i="27"/>
  <c r="F126" i="27"/>
  <c r="F88" i="27"/>
  <c r="F72" i="27"/>
  <c r="F68" i="27"/>
  <c r="F64" i="27"/>
  <c r="F115" i="27"/>
  <c r="F114" i="27"/>
  <c r="F107" i="27"/>
  <c r="F99" i="27"/>
  <c r="F98" i="27"/>
  <c r="F90" i="27"/>
  <c r="F89" i="27"/>
  <c r="F82" i="27"/>
  <c r="F78" i="27"/>
  <c r="F74" i="27"/>
  <c r="F73" i="27"/>
  <c r="F83" i="27"/>
  <c r="F79" i="27"/>
  <c r="F75" i="27"/>
  <c r="F119" i="27"/>
  <c r="F110" i="27"/>
  <c r="F109" i="27"/>
  <c r="F102" i="27"/>
  <c r="F94" i="27"/>
  <c r="F93" i="27"/>
  <c r="F70" i="27"/>
  <c r="F66" i="27"/>
  <c r="F120" i="27"/>
  <c r="F118" i="27"/>
  <c r="F85" i="27"/>
  <c r="F84" i="27"/>
  <c r="F108" i="27"/>
  <c r="F104" i="27"/>
  <c r="F91" i="27"/>
  <c r="F49" i="27"/>
  <c r="F87" i="27"/>
  <c r="F80" i="27"/>
  <c r="F62" i="27"/>
  <c r="F57" i="27"/>
  <c r="F52" i="27"/>
  <c r="F44" i="27"/>
  <c r="F101" i="27"/>
  <c r="F76" i="27"/>
  <c r="F47" i="27"/>
  <c r="F122" i="27"/>
  <c r="L12" i="27"/>
  <c r="N12" i="27" s="1"/>
  <c r="F111" i="27"/>
  <c r="F103" i="27"/>
  <c r="F92" i="27"/>
  <c r="F55" i="27"/>
  <c r="F63" i="27"/>
  <c r="F45" i="27"/>
  <c r="F65" i="27"/>
  <c r="F53" i="27"/>
  <c r="F48" i="27"/>
  <c r="F86" i="27"/>
  <c r="F100" i="27"/>
  <c r="F69" i="27"/>
  <c r="F116" i="27"/>
  <c r="F95" i="27"/>
  <c r="F56" i="27"/>
  <c r="F71" i="27"/>
  <c r="F43" i="27"/>
  <c r="F121" i="27"/>
  <c r="F51" i="27"/>
  <c r="F67" i="27"/>
  <c r="T282" i="12"/>
  <c r="R304" i="3"/>
  <c r="H27" i="52"/>
  <c r="N18" i="52"/>
  <c r="X18" i="53"/>
  <c r="P27" i="53"/>
  <c r="H27" i="31"/>
  <c r="N18" i="31"/>
  <c r="T27" i="41"/>
  <c r="Z18" i="41"/>
  <c r="L18" i="37"/>
  <c r="D27" i="37"/>
  <c r="H27" i="34"/>
  <c r="N18" i="34"/>
  <c r="T27" i="23"/>
  <c r="Z18" i="23"/>
  <c r="T27" i="22"/>
  <c r="Z18" i="22"/>
  <c r="X18" i="22"/>
  <c r="P27" i="22"/>
  <c r="L18" i="25"/>
  <c r="D27" i="25"/>
  <c r="H27" i="19"/>
  <c r="N18" i="19"/>
  <c r="T27" i="11"/>
  <c r="Z18" i="11"/>
  <c r="H27" i="11"/>
  <c r="N18" i="11"/>
  <c r="T27" i="4"/>
  <c r="Z18" i="4"/>
  <c r="Z18" i="8"/>
  <c r="T27" i="8"/>
  <c r="T22" i="107"/>
  <c r="Z16" i="107"/>
  <c r="T92" i="108"/>
  <c r="R97" i="74"/>
  <c r="R84" i="74"/>
  <c r="R83" i="74"/>
  <c r="R75" i="74"/>
  <c r="R71" i="74"/>
  <c r="R67" i="74"/>
  <c r="R56" i="74"/>
  <c r="R54" i="74"/>
  <c r="R36" i="74"/>
  <c r="R62" i="74"/>
  <c r="R58" i="74"/>
  <c r="P54" i="74"/>
  <c r="R77" i="74"/>
  <c r="R76" i="74"/>
  <c r="R72" i="74"/>
  <c r="R68" i="74"/>
  <c r="R79" i="74"/>
  <c r="R78" i="74"/>
  <c r="R90" i="74"/>
  <c r="R89" i="74"/>
  <c r="R73" i="74"/>
  <c r="R69" i="74"/>
  <c r="R80" i="74"/>
  <c r="R64" i="74"/>
  <c r="R60" i="74"/>
  <c r="X12" i="74"/>
  <c r="Z12" i="74" s="1"/>
  <c r="R93" i="74"/>
  <c r="R86" i="74"/>
  <c r="R47" i="74"/>
  <c r="R44" i="74"/>
  <c r="R66" i="74"/>
  <c r="R63" i="74"/>
  <c r="R50" i="74"/>
  <c r="R39" i="74"/>
  <c r="R61" i="74"/>
  <c r="R42" i="74"/>
  <c r="R87" i="74"/>
  <c r="R45" i="74"/>
  <c r="R59" i="74"/>
  <c r="R51" i="74"/>
  <c r="R48" i="74"/>
  <c r="R81" i="74"/>
  <c r="R91" i="74"/>
  <c r="R88" i="74"/>
  <c r="R43" i="74"/>
  <c r="R40" i="74"/>
  <c r="R37" i="74"/>
  <c r="R82" i="74"/>
  <c r="R57" i="74"/>
  <c r="R46" i="74"/>
  <c r="R65" i="74"/>
  <c r="R52" i="74"/>
  <c r="R38" i="74"/>
  <c r="R70" i="74"/>
  <c r="R41" i="74"/>
  <c r="R74" i="74"/>
  <c r="R49" i="74"/>
  <c r="R85" i="74"/>
  <c r="R118" i="21"/>
  <c r="R105" i="21"/>
  <c r="R104" i="21"/>
  <c r="R100" i="21"/>
  <c r="R73" i="21"/>
  <c r="R72" i="21"/>
  <c r="R53" i="21"/>
  <c r="R52" i="21"/>
  <c r="R48" i="21"/>
  <c r="R44" i="21"/>
  <c r="R96" i="21"/>
  <c r="R95" i="21"/>
  <c r="R83" i="21"/>
  <c r="R39" i="21"/>
  <c r="R35" i="21"/>
  <c r="R107" i="21"/>
  <c r="R106" i="21"/>
  <c r="R90" i="21"/>
  <c r="R75" i="21"/>
  <c r="R74" i="21"/>
  <c r="R63" i="21"/>
  <c r="R62" i="21"/>
  <c r="R55" i="21"/>
  <c r="R54" i="21"/>
  <c r="R26" i="21"/>
  <c r="R101" i="21"/>
  <c r="R97" i="21"/>
  <c r="R49" i="21"/>
  <c r="R45" i="21"/>
  <c r="R109" i="21"/>
  <c r="R108" i="21"/>
  <c r="R85" i="21"/>
  <c r="R84" i="21"/>
  <c r="R77" i="21"/>
  <c r="R76" i="21"/>
  <c r="R65" i="21"/>
  <c r="R64" i="21"/>
  <c r="R57" i="21"/>
  <c r="R56" i="21"/>
  <c r="R40" i="21"/>
  <c r="R36" i="21"/>
  <c r="X12" i="21"/>
  <c r="Z12" i="21" s="1"/>
  <c r="R91" i="21"/>
  <c r="R32" i="21"/>
  <c r="R27" i="21"/>
  <c r="R111" i="21"/>
  <c r="R110" i="21"/>
  <c r="R102" i="21"/>
  <c r="R98" i="21"/>
  <c r="R86" i="21"/>
  <c r="R79" i="21"/>
  <c r="R78" i="21"/>
  <c r="R67" i="21"/>
  <c r="R66" i="21"/>
  <c r="R59" i="21"/>
  <c r="R58" i="21"/>
  <c r="R50" i="21"/>
  <c r="R46" i="21"/>
  <c r="R31" i="21"/>
  <c r="R29" i="21"/>
  <c r="R42" i="21"/>
  <c r="R41" i="21"/>
  <c r="R37" i="21"/>
  <c r="R33" i="21"/>
  <c r="P29" i="21"/>
  <c r="R112" i="21"/>
  <c r="R92" i="21"/>
  <c r="R81" i="21"/>
  <c r="R80" i="21"/>
  <c r="R69" i="21"/>
  <c r="R68" i="21"/>
  <c r="R60" i="21"/>
  <c r="R114" i="21"/>
  <c r="R103" i="21"/>
  <c r="R99" i="21"/>
  <c r="R88" i="21"/>
  <c r="R87" i="21"/>
  <c r="R51" i="21"/>
  <c r="R47" i="21"/>
  <c r="R43" i="21"/>
  <c r="R24" i="21"/>
  <c r="R25" i="21"/>
  <c r="R94" i="21"/>
  <c r="R89" i="21"/>
  <c r="R82" i="21"/>
  <c r="R71" i="21"/>
  <c r="R61" i="21"/>
  <c r="R93" i="21"/>
  <c r="R38" i="21"/>
  <c r="R34" i="21"/>
  <c r="R70" i="21"/>
  <c r="D99" i="9"/>
  <c r="L16" i="9"/>
  <c r="H27" i="112"/>
  <c r="N18" i="112"/>
  <c r="T27" i="40"/>
  <c r="Z18" i="40"/>
  <c r="P63" i="103"/>
  <c r="X16" i="103"/>
  <c r="F98" i="77"/>
  <c r="F90" i="77"/>
  <c r="F89" i="77"/>
  <c r="F66" i="77"/>
  <c r="F62" i="77"/>
  <c r="F53" i="77"/>
  <c r="F49" i="77"/>
  <c r="F45" i="77"/>
  <c r="F41" i="77"/>
  <c r="F40" i="77"/>
  <c r="F100" i="77"/>
  <c r="F99" i="77"/>
  <c r="F92" i="77"/>
  <c r="F91" i="77"/>
  <c r="F80" i="77"/>
  <c r="F76" i="77"/>
  <c r="F72" i="77"/>
  <c r="F67" i="77"/>
  <c r="F63" i="77"/>
  <c r="F105" i="77"/>
  <c r="F84" i="77"/>
  <c r="F83" i="77"/>
  <c r="F68" i="77"/>
  <c r="F64" i="77"/>
  <c r="F60" i="77"/>
  <c r="F59" i="77"/>
  <c r="F106" i="77"/>
  <c r="F104" i="77"/>
  <c r="F95" i="77"/>
  <c r="F58" i="77"/>
  <c r="F51" i="77"/>
  <c r="F47" i="77"/>
  <c r="F43" i="77"/>
  <c r="F107" i="77"/>
  <c r="F86" i="77"/>
  <c r="F85" i="77"/>
  <c r="F78" i="77"/>
  <c r="F74" i="77"/>
  <c r="F73" i="77"/>
  <c r="D56" i="77"/>
  <c r="F48" i="77"/>
  <c r="F46" i="77"/>
  <c r="F71" i="77"/>
  <c r="F102" i="77"/>
  <c r="F97" i="77"/>
  <c r="F44" i="77"/>
  <c r="F93" i="77"/>
  <c r="F42" i="77"/>
  <c r="F88" i="77"/>
  <c r="F81" i="77"/>
  <c r="F69" i="77"/>
  <c r="F111" i="77"/>
  <c r="F65" i="77"/>
  <c r="F61" i="77"/>
  <c r="F54" i="77"/>
  <c r="F101" i="77"/>
  <c r="F87" i="77"/>
  <c r="F79" i="77"/>
  <c r="F77" i="77"/>
  <c r="F52" i="77"/>
  <c r="F50" i="77"/>
  <c r="F75" i="77"/>
  <c r="F70" i="77"/>
  <c r="L12" i="77"/>
  <c r="N12" i="77" s="1"/>
  <c r="F96" i="77"/>
  <c r="F94" i="77"/>
  <c r="F82" i="77"/>
  <c r="T77" i="70"/>
  <c r="V22" i="70"/>
  <c r="H318" i="3"/>
  <c r="L18" i="32"/>
  <c r="D27" i="32"/>
  <c r="H27" i="20"/>
  <c r="N18" i="20"/>
  <c r="X18" i="7"/>
  <c r="P27" i="7"/>
  <c r="L18" i="14"/>
  <c r="D27" i="14"/>
  <c r="N16" i="109"/>
  <c r="H46" i="109"/>
  <c r="V63" i="105"/>
  <c r="P93" i="106"/>
  <c r="X23" i="106"/>
  <c r="Z23" i="106" s="1"/>
  <c r="H70" i="105"/>
  <c r="J67" i="105"/>
  <c r="P47" i="99"/>
  <c r="X43" i="99"/>
  <c r="R43" i="99"/>
  <c r="L23" i="98"/>
  <c r="D91" i="98"/>
  <c r="R77" i="94"/>
  <c r="R76" i="94"/>
  <c r="R45" i="94"/>
  <c r="R41" i="94"/>
  <c r="R37" i="94"/>
  <c r="R18" i="94"/>
  <c r="R68" i="94"/>
  <c r="R64" i="94"/>
  <c r="R57" i="94"/>
  <c r="R56" i="94"/>
  <c r="R32" i="94"/>
  <c r="R28" i="94"/>
  <c r="X12" i="94"/>
  <c r="Z12" i="94" s="1"/>
  <c r="R19" i="94"/>
  <c r="R58" i="94"/>
  <c r="R47" i="94"/>
  <c r="R46" i="94"/>
  <c r="R42" i="94"/>
  <c r="R38" i="94"/>
  <c r="R81" i="94"/>
  <c r="R70" i="94"/>
  <c r="R69" i="94"/>
  <c r="R65" i="94"/>
  <c r="R33" i="94"/>
  <c r="R29" i="94"/>
  <c r="R49" i="94"/>
  <c r="R48" i="94"/>
  <c r="R20" i="94"/>
  <c r="R71" i="94"/>
  <c r="R59" i="94"/>
  <c r="R43" i="94"/>
  <c r="R39" i="94"/>
  <c r="R26" i="94"/>
  <c r="R21" i="94"/>
  <c r="R44" i="94"/>
  <c r="P23" i="94"/>
  <c r="R61" i="94"/>
  <c r="R74" i="94"/>
  <c r="R66" i="94"/>
  <c r="R54" i="94"/>
  <c r="R27" i="94"/>
  <c r="R72" i="94"/>
  <c r="R52" i="94"/>
  <c r="R31" i="94"/>
  <c r="R25" i="94"/>
  <c r="R35" i="94"/>
  <c r="R55" i="94"/>
  <c r="R73" i="94"/>
  <c r="R53" i="94"/>
  <c r="R51" i="94"/>
  <c r="R40" i="94"/>
  <c r="R30" i="94"/>
  <c r="R50" i="94"/>
  <c r="R36" i="94"/>
  <c r="R62" i="94"/>
  <c r="R34" i="94"/>
  <c r="R60" i="94"/>
  <c r="R63" i="94"/>
  <c r="R23" i="94"/>
  <c r="R67" i="94"/>
  <c r="F80" i="95"/>
  <c r="F79" i="95"/>
  <c r="F68" i="95"/>
  <c r="F67" i="95"/>
  <c r="F48" i="95"/>
  <c r="F47" i="95"/>
  <c r="F20" i="95"/>
  <c r="F75" i="95"/>
  <c r="F59" i="95"/>
  <c r="F58" i="95"/>
  <c r="F43" i="95"/>
  <c r="F39" i="95"/>
  <c r="F82" i="95"/>
  <c r="F81" i="95"/>
  <c r="F70" i="95"/>
  <c r="F69" i="95"/>
  <c r="F50" i="95"/>
  <c r="F49" i="95"/>
  <c r="F34" i="95"/>
  <c r="F30" i="95"/>
  <c r="F61" i="95"/>
  <c r="F60" i="95"/>
  <c r="F21" i="95"/>
  <c r="F76" i="95"/>
  <c r="F72" i="95"/>
  <c r="F71" i="95"/>
  <c r="F52" i="95"/>
  <c r="F51" i="95"/>
  <c r="F44" i="95"/>
  <c r="F40" i="95"/>
  <c r="F84" i="95"/>
  <c r="F63" i="95"/>
  <c r="F62" i="95"/>
  <c r="F35" i="95"/>
  <c r="F31" i="95"/>
  <c r="F27" i="95"/>
  <c r="F26" i="95"/>
  <c r="F88" i="95"/>
  <c r="F54" i="95"/>
  <c r="F53" i="95"/>
  <c r="F25" i="95"/>
  <c r="F23" i="95"/>
  <c r="F64" i="95"/>
  <c r="F32" i="95"/>
  <c r="F28" i="95"/>
  <c r="L12" i="95"/>
  <c r="N12" i="95" s="1"/>
  <c r="F77" i="95"/>
  <c r="F18" i="95"/>
  <c r="F65" i="95"/>
  <c r="F41" i="95"/>
  <c r="F37" i="95"/>
  <c r="F45" i="95"/>
  <c r="F74" i="95"/>
  <c r="F56" i="95"/>
  <c r="F33" i="95"/>
  <c r="F29" i="95"/>
  <c r="F19" i="95"/>
  <c r="F78" i="95"/>
  <c r="F66" i="95"/>
  <c r="F42" i="95"/>
  <c r="F36" i="95"/>
  <c r="F73" i="95"/>
  <c r="F46" i="95"/>
  <c r="F38" i="95"/>
  <c r="D23" i="95"/>
  <c r="F57" i="95"/>
  <c r="F55" i="95"/>
  <c r="P89" i="89"/>
  <c r="R84" i="76"/>
  <c r="R83" i="76"/>
  <c r="R69" i="76"/>
  <c r="R85" i="76"/>
  <c r="R75" i="76"/>
  <c r="R70" i="76"/>
  <c r="R89" i="76"/>
  <c r="R72" i="76"/>
  <c r="R71" i="76"/>
  <c r="R78" i="76"/>
  <c r="R63" i="76"/>
  <c r="R62" i="76"/>
  <c r="R79" i="76"/>
  <c r="R77" i="76"/>
  <c r="R46" i="76"/>
  <c r="R74" i="76"/>
  <c r="R68" i="76"/>
  <c r="R56" i="76"/>
  <c r="R50" i="76"/>
  <c r="R80" i="76"/>
  <c r="R57" i="76"/>
  <c r="R43" i="76"/>
  <c r="R39" i="76"/>
  <c r="R35" i="76"/>
  <c r="R47" i="76"/>
  <c r="R51" i="76"/>
  <c r="R44" i="76"/>
  <c r="R36" i="76"/>
  <c r="R65" i="76"/>
  <c r="R64" i="76"/>
  <c r="R58" i="76"/>
  <c r="R48" i="76"/>
  <c r="R40" i="76"/>
  <c r="R32" i="76"/>
  <c r="R81" i="76"/>
  <c r="R73" i="76"/>
  <c r="R53" i="76"/>
  <c r="R52" i="76"/>
  <c r="R31" i="76"/>
  <c r="R27" i="76"/>
  <c r="R41" i="76"/>
  <c r="R61" i="76"/>
  <c r="R33" i="76"/>
  <c r="R59" i="76"/>
  <c r="R55" i="76"/>
  <c r="R76" i="76"/>
  <c r="R66" i="76"/>
  <c r="R42" i="76"/>
  <c r="R38" i="76"/>
  <c r="R49" i="76"/>
  <c r="R34" i="76"/>
  <c r="R67" i="76"/>
  <c r="R45" i="76"/>
  <c r="R54" i="76"/>
  <c r="R37" i="76"/>
  <c r="P29" i="76"/>
  <c r="X12" i="76"/>
  <c r="Z12" i="76" s="1"/>
  <c r="R60" i="76"/>
  <c r="H109" i="77"/>
  <c r="T99" i="74"/>
  <c r="H81" i="70"/>
  <c r="R110" i="69"/>
  <c r="R109" i="69"/>
  <c r="R102" i="69"/>
  <c r="R101" i="69"/>
  <c r="R122" i="69"/>
  <c r="R93" i="69"/>
  <c r="R92" i="69"/>
  <c r="R113" i="69"/>
  <c r="R112" i="69"/>
  <c r="R96" i="69"/>
  <c r="R88" i="69"/>
  <c r="R115" i="69"/>
  <c r="R114" i="69"/>
  <c r="R107" i="69"/>
  <c r="R106" i="69"/>
  <c r="R98" i="69"/>
  <c r="R97" i="69"/>
  <c r="R89" i="69"/>
  <c r="R85" i="69"/>
  <c r="R118" i="69"/>
  <c r="R100" i="69"/>
  <c r="R99" i="69"/>
  <c r="R76" i="69"/>
  <c r="R72" i="69"/>
  <c r="R108" i="69"/>
  <c r="R104" i="69"/>
  <c r="R63" i="69"/>
  <c r="R59" i="69"/>
  <c r="R55" i="69"/>
  <c r="R51" i="69"/>
  <c r="R47" i="69"/>
  <c r="R95" i="69"/>
  <c r="R87" i="69"/>
  <c r="R82" i="69"/>
  <c r="R77" i="69"/>
  <c r="R73" i="69"/>
  <c r="R64" i="69"/>
  <c r="R60" i="69"/>
  <c r="R56" i="69"/>
  <c r="R52" i="69"/>
  <c r="R48" i="69"/>
  <c r="R90" i="69"/>
  <c r="R111" i="69"/>
  <c r="R83" i="69"/>
  <c r="R78" i="69"/>
  <c r="R74" i="69"/>
  <c r="X12" i="69"/>
  <c r="Z12" i="69" s="1"/>
  <c r="R105" i="69"/>
  <c r="R70" i="69"/>
  <c r="R65" i="69"/>
  <c r="R61" i="69"/>
  <c r="R57" i="69"/>
  <c r="R53" i="69"/>
  <c r="R49" i="69"/>
  <c r="R91" i="69"/>
  <c r="R86" i="69"/>
  <c r="R69" i="69"/>
  <c r="R45" i="69"/>
  <c r="R62" i="69"/>
  <c r="R58" i="69"/>
  <c r="R54" i="69"/>
  <c r="R50" i="69"/>
  <c r="R46" i="69"/>
  <c r="R116" i="69"/>
  <c r="R94" i="69"/>
  <c r="R81" i="69"/>
  <c r="R75" i="69"/>
  <c r="P67" i="69"/>
  <c r="R79" i="69"/>
  <c r="R80" i="69"/>
  <c r="R84" i="69"/>
  <c r="R103" i="69"/>
  <c r="R71" i="69"/>
  <c r="T81" i="56"/>
  <c r="Z16" i="56"/>
  <c r="D75" i="59"/>
  <c r="T104" i="33"/>
  <c r="V37" i="33"/>
  <c r="R106" i="33"/>
  <c r="R86" i="33"/>
  <c r="R71" i="33"/>
  <c r="R70" i="33"/>
  <c r="R46" i="33"/>
  <c r="R42" i="33"/>
  <c r="R93" i="33"/>
  <c r="R81" i="33"/>
  <c r="R33" i="33"/>
  <c r="R96" i="33"/>
  <c r="R95" i="33"/>
  <c r="R72" i="33"/>
  <c r="R61" i="33"/>
  <c r="R60" i="33"/>
  <c r="R56" i="33"/>
  <c r="R52" i="33"/>
  <c r="R97" i="33"/>
  <c r="R87" i="33"/>
  <c r="R47" i="33"/>
  <c r="R43" i="33"/>
  <c r="R98" i="33"/>
  <c r="R83" i="33"/>
  <c r="R82" i="33"/>
  <c r="R63" i="33"/>
  <c r="R62" i="33"/>
  <c r="R34" i="33"/>
  <c r="R100" i="33"/>
  <c r="R89" i="33"/>
  <c r="R88" i="33"/>
  <c r="R84" i="33"/>
  <c r="R65" i="33"/>
  <c r="R64" i="33"/>
  <c r="R48" i="33"/>
  <c r="R101" i="33"/>
  <c r="R76" i="33"/>
  <c r="R75" i="33"/>
  <c r="R40" i="33"/>
  <c r="R35" i="33"/>
  <c r="R31" i="33"/>
  <c r="R102" i="33"/>
  <c r="R90" i="33"/>
  <c r="R67" i="33"/>
  <c r="R66" i="33"/>
  <c r="R58" i="33"/>
  <c r="R54" i="33"/>
  <c r="R39" i="33"/>
  <c r="R37" i="33"/>
  <c r="R99" i="33"/>
  <c r="R50" i="33"/>
  <c r="R44" i="33"/>
  <c r="R73" i="33"/>
  <c r="R91" i="33"/>
  <c r="R69" i="33"/>
  <c r="R59" i="33"/>
  <c r="R57" i="33"/>
  <c r="R85" i="33"/>
  <c r="R74" i="33"/>
  <c r="R92" i="33"/>
  <c r="R55" i="33"/>
  <c r="P37" i="33"/>
  <c r="X12" i="33"/>
  <c r="Z12" i="33" s="1"/>
  <c r="R79" i="33"/>
  <c r="R53" i="33"/>
  <c r="R45" i="33"/>
  <c r="R41" i="33"/>
  <c r="R77" i="33"/>
  <c r="R51" i="33"/>
  <c r="R32" i="33"/>
  <c r="R49" i="33"/>
  <c r="R30" i="33"/>
  <c r="R68" i="33"/>
  <c r="R78" i="33"/>
  <c r="R80" i="33"/>
  <c r="H292" i="18"/>
  <c r="D116" i="21"/>
  <c r="L29" i="21"/>
  <c r="N29" i="21" s="1"/>
  <c r="X16" i="6"/>
  <c r="P22" i="6"/>
  <c r="N22" i="6"/>
  <c r="H26" i="6"/>
  <c r="T27" i="113"/>
  <c r="Z18" i="113"/>
  <c r="L18" i="52"/>
  <c r="D27" i="52"/>
  <c r="P27" i="46"/>
  <c r="X18" i="46"/>
  <c r="X18" i="40"/>
  <c r="P27" i="40"/>
  <c r="T27" i="38"/>
  <c r="Z18" i="38"/>
  <c r="H27" i="25"/>
  <c r="N18" i="25"/>
  <c r="T27" i="28"/>
  <c r="Z18" i="28"/>
  <c r="X18" i="14"/>
  <c r="P27" i="14"/>
  <c r="T27" i="17"/>
  <c r="Z18" i="17"/>
  <c r="F86" i="102"/>
  <c r="F85" i="102"/>
  <c r="F78" i="102"/>
  <c r="F74" i="102"/>
  <c r="F61" i="102"/>
  <c r="F60" i="102"/>
  <c r="F89" i="102"/>
  <c r="F68" i="102"/>
  <c r="F70" i="102"/>
  <c r="F69" i="102"/>
  <c r="F93" i="102"/>
  <c r="F81" i="102"/>
  <c r="F80" i="102"/>
  <c r="F76" i="102"/>
  <c r="F64" i="102"/>
  <c r="F71" i="102"/>
  <c r="F55" i="102"/>
  <c r="F82" i="102"/>
  <c r="F25" i="102"/>
  <c r="F23" i="102"/>
  <c r="F88" i="102"/>
  <c r="F59" i="102"/>
  <c r="F56" i="102"/>
  <c r="F53" i="102"/>
  <c r="F45" i="102"/>
  <c r="F41" i="102"/>
  <c r="F37" i="102"/>
  <c r="F36" i="102"/>
  <c r="D23" i="102"/>
  <c r="F83" i="102"/>
  <c r="F77" i="102"/>
  <c r="F75" i="102"/>
  <c r="F73" i="102"/>
  <c r="F62" i="102"/>
  <c r="F32" i="102"/>
  <c r="F28" i="102"/>
  <c r="L12" i="102"/>
  <c r="N12" i="102" s="1"/>
  <c r="F57" i="102"/>
  <c r="F19" i="102"/>
  <c r="F18" i="102"/>
  <c r="F79" i="102"/>
  <c r="F67" i="102"/>
  <c r="F65" i="102"/>
  <c r="F54" i="102"/>
  <c r="F33" i="102"/>
  <c r="F29" i="102"/>
  <c r="F63" i="102"/>
  <c r="F48" i="102"/>
  <c r="F47" i="102"/>
  <c r="F20" i="102"/>
  <c r="F43" i="102"/>
  <c r="F39" i="102"/>
  <c r="F84" i="102"/>
  <c r="F21" i="102"/>
  <c r="F46" i="102"/>
  <c r="F30" i="102"/>
  <c r="F51" i="102"/>
  <c r="F26" i="102"/>
  <c r="F35" i="102"/>
  <c r="F49" i="102"/>
  <c r="F72" i="102"/>
  <c r="F58" i="102"/>
  <c r="F52" i="102"/>
  <c r="F31" i="102"/>
  <c r="F38" i="102"/>
  <c r="F40" i="102"/>
  <c r="F34" i="102"/>
  <c r="F66" i="102"/>
  <c r="F42" i="102"/>
  <c r="F44" i="102"/>
  <c r="F50" i="102"/>
  <c r="F27" i="102"/>
  <c r="R76" i="95"/>
  <c r="R72" i="95"/>
  <c r="R53" i="95"/>
  <c r="R52" i="95"/>
  <c r="R44" i="95"/>
  <c r="R40" i="95"/>
  <c r="R25" i="95"/>
  <c r="R23" i="95"/>
  <c r="R63" i="95"/>
  <c r="R36" i="95"/>
  <c r="R35" i="95"/>
  <c r="R31" i="95"/>
  <c r="R27" i="95"/>
  <c r="P23" i="95"/>
  <c r="R88" i="95"/>
  <c r="R54" i="95"/>
  <c r="R77" i="95"/>
  <c r="R73" i="95"/>
  <c r="R45" i="95"/>
  <c r="R41" i="95"/>
  <c r="R37" i="95"/>
  <c r="R18" i="95"/>
  <c r="R65" i="95"/>
  <c r="R64" i="95"/>
  <c r="R32" i="95"/>
  <c r="R28" i="95"/>
  <c r="X12" i="95"/>
  <c r="Z12" i="95" s="1"/>
  <c r="R56" i="95"/>
  <c r="R55" i="95"/>
  <c r="R19" i="95"/>
  <c r="R79" i="95"/>
  <c r="R78" i="95"/>
  <c r="R74" i="95"/>
  <c r="R67" i="95"/>
  <c r="R66" i="95"/>
  <c r="R47" i="95"/>
  <c r="R46" i="95"/>
  <c r="R42" i="95"/>
  <c r="R38" i="95"/>
  <c r="R81" i="95"/>
  <c r="R80" i="95"/>
  <c r="R69" i="95"/>
  <c r="R68" i="95"/>
  <c r="R49" i="95"/>
  <c r="R48" i="95"/>
  <c r="R20" i="95"/>
  <c r="R82" i="95"/>
  <c r="R61" i="95"/>
  <c r="R33" i="95"/>
  <c r="R29" i="95"/>
  <c r="R70" i="95"/>
  <c r="R59" i="95"/>
  <c r="R50" i="95"/>
  <c r="R21" i="95"/>
  <c r="R84" i="95"/>
  <c r="R57" i="95"/>
  <c r="R62" i="95"/>
  <c r="R58" i="95"/>
  <c r="R26" i="95"/>
  <c r="R71" i="95"/>
  <c r="R39" i="95"/>
  <c r="R60" i="95"/>
  <c r="R51" i="95"/>
  <c r="R43" i="95"/>
  <c r="R30" i="95"/>
  <c r="R75" i="95"/>
  <c r="R34" i="95"/>
  <c r="T87" i="93"/>
  <c r="T126" i="85"/>
  <c r="H96" i="84"/>
  <c r="J22" i="84"/>
  <c r="T28" i="83"/>
  <c r="J86" i="81"/>
  <c r="H87" i="76"/>
  <c r="J29" i="76"/>
  <c r="D82" i="81"/>
  <c r="L22" i="81"/>
  <c r="N22" i="81" s="1"/>
  <c r="H84" i="73"/>
  <c r="J25" i="73"/>
  <c r="X16" i="78"/>
  <c r="P22" i="78"/>
  <c r="R28" i="73"/>
  <c r="R23" i="73"/>
  <c r="R80" i="73"/>
  <c r="R57" i="73"/>
  <c r="R56" i="73"/>
  <c r="R21" i="73"/>
  <c r="R86" i="73"/>
  <c r="R69" i="73"/>
  <c r="R68" i="73"/>
  <c r="R61" i="73"/>
  <c r="R60" i="73"/>
  <c r="R49" i="73"/>
  <c r="R48" i="73"/>
  <c r="R44" i="73"/>
  <c r="R40" i="73"/>
  <c r="X12" i="73"/>
  <c r="Z12" i="73" s="1"/>
  <c r="R66" i="73"/>
  <c r="R62" i="73"/>
  <c r="R50" i="73"/>
  <c r="R41" i="73"/>
  <c r="R35" i="73"/>
  <c r="R32" i="73"/>
  <c r="R73" i="73"/>
  <c r="R63" i="73"/>
  <c r="R58" i="73"/>
  <c r="R55" i="73"/>
  <c r="R51" i="73"/>
  <c r="R47" i="73"/>
  <c r="R30" i="73"/>
  <c r="R25" i="73"/>
  <c r="R76" i="73"/>
  <c r="R70" i="73"/>
  <c r="R59" i="73"/>
  <c r="R42" i="73"/>
  <c r="R39" i="73"/>
  <c r="P25" i="73"/>
  <c r="R77" i="73"/>
  <c r="R74" i="73"/>
  <c r="R71" i="73"/>
  <c r="R67" i="73"/>
  <c r="R45" i="73"/>
  <c r="R33" i="73"/>
  <c r="R27" i="73"/>
  <c r="R22" i="73"/>
  <c r="R82" i="73"/>
  <c r="R36" i="73"/>
  <c r="R31" i="73"/>
  <c r="R78" i="73"/>
  <c r="R52" i="73"/>
  <c r="R20" i="73"/>
  <c r="R64" i="73"/>
  <c r="R53" i="73"/>
  <c r="R43" i="73"/>
  <c r="R34" i="73"/>
  <c r="R72" i="73"/>
  <c r="R37" i="73"/>
  <c r="R54" i="73"/>
  <c r="R38" i="73"/>
  <c r="R29" i="73"/>
  <c r="R79" i="73"/>
  <c r="R75" i="73"/>
  <c r="R65" i="73"/>
  <c r="R46" i="73"/>
  <c r="F79" i="76"/>
  <c r="F74" i="76"/>
  <c r="F84" i="76"/>
  <c r="F75" i="76"/>
  <c r="F85" i="76"/>
  <c r="F83" i="76"/>
  <c r="F70" i="76"/>
  <c r="F69" i="76"/>
  <c r="F58" i="76"/>
  <c r="F57" i="76"/>
  <c r="F50" i="76"/>
  <c r="F46" i="76"/>
  <c r="F65" i="76"/>
  <c r="F59" i="76"/>
  <c r="F45" i="76"/>
  <c r="F37" i="76"/>
  <c r="F33" i="76"/>
  <c r="F32" i="76"/>
  <c r="F53" i="76"/>
  <c r="F49" i="76"/>
  <c r="F41" i="76"/>
  <c r="F31" i="76"/>
  <c r="F27" i="76"/>
  <c r="F76" i="76"/>
  <c r="F66" i="76"/>
  <c r="F60" i="76"/>
  <c r="F54" i="76"/>
  <c r="F38" i="76"/>
  <c r="F34" i="76"/>
  <c r="L12" i="76"/>
  <c r="N12" i="76" s="1"/>
  <c r="F67" i="76"/>
  <c r="F61" i="76"/>
  <c r="F55" i="76"/>
  <c r="F42" i="76"/>
  <c r="F77" i="76"/>
  <c r="F71" i="76"/>
  <c r="F68" i="76"/>
  <c r="F62" i="76"/>
  <c r="F56" i="76"/>
  <c r="F43" i="76"/>
  <c r="F80" i="76"/>
  <c r="F39" i="76"/>
  <c r="F35" i="76"/>
  <c r="F89" i="76"/>
  <c r="F47" i="76"/>
  <c r="F63" i="76"/>
  <c r="F52" i="76"/>
  <c r="D29" i="76"/>
  <c r="F78" i="76"/>
  <c r="F48" i="76"/>
  <c r="F72" i="76"/>
  <c r="F44" i="76"/>
  <c r="F40" i="76"/>
  <c r="F81" i="76"/>
  <c r="F36" i="76"/>
  <c r="F73" i="76"/>
  <c r="F51" i="76"/>
  <c r="F64" i="76"/>
  <c r="N16" i="68"/>
  <c r="H65" i="68"/>
  <c r="H76" i="58"/>
  <c r="N16" i="58"/>
  <c r="D61" i="60"/>
  <c r="L16" i="60"/>
  <c r="T69" i="68"/>
  <c r="X16" i="55"/>
  <c r="P33" i="55"/>
  <c r="H33" i="55"/>
  <c r="N16" i="55"/>
  <c r="T102" i="45"/>
  <c r="H149" i="39"/>
  <c r="R133" i="39"/>
  <c r="R132" i="39"/>
  <c r="R120" i="39"/>
  <c r="R116" i="39"/>
  <c r="R93" i="39"/>
  <c r="R92" i="39"/>
  <c r="R65" i="39"/>
  <c r="R64" i="39"/>
  <c r="R48" i="39"/>
  <c r="R44" i="39"/>
  <c r="R40" i="39"/>
  <c r="P36" i="39"/>
  <c r="R36" i="39" s="1"/>
  <c r="R100" i="39"/>
  <c r="R99" i="39"/>
  <c r="R83" i="39"/>
  <c r="R72" i="39"/>
  <c r="R71" i="39"/>
  <c r="R134" i="39"/>
  <c r="R127" i="39"/>
  <c r="R126" i="39"/>
  <c r="R111" i="39"/>
  <c r="R110" i="39"/>
  <c r="R106" i="39"/>
  <c r="R95" i="39"/>
  <c r="R94" i="39"/>
  <c r="R67" i="39"/>
  <c r="R66" i="39"/>
  <c r="R58" i="39"/>
  <c r="R54" i="39"/>
  <c r="R31" i="39"/>
  <c r="R137" i="39"/>
  <c r="R136" i="39"/>
  <c r="R121" i="39"/>
  <c r="R117" i="39"/>
  <c r="R101" i="39"/>
  <c r="R74" i="39"/>
  <c r="R73" i="39"/>
  <c r="R50" i="39"/>
  <c r="R49" i="39"/>
  <c r="R45" i="39"/>
  <c r="R41" i="39"/>
  <c r="R138" i="39"/>
  <c r="R129" i="39"/>
  <c r="R128" i="39"/>
  <c r="R113" i="39"/>
  <c r="R112" i="39"/>
  <c r="R96" i="39"/>
  <c r="R85" i="39"/>
  <c r="R84" i="39"/>
  <c r="R68" i="39"/>
  <c r="R32" i="39"/>
  <c r="R139" i="39"/>
  <c r="R107" i="39"/>
  <c r="R76" i="39"/>
  <c r="R75" i="39"/>
  <c r="R59" i="39"/>
  <c r="R55" i="39"/>
  <c r="R51" i="39"/>
  <c r="R140" i="39"/>
  <c r="R130" i="39"/>
  <c r="R122" i="39"/>
  <c r="R118" i="39"/>
  <c r="R114" i="39"/>
  <c r="R102" i="39"/>
  <c r="R87" i="39"/>
  <c r="R86" i="39"/>
  <c r="R46" i="39"/>
  <c r="R42" i="39"/>
  <c r="R97" i="39"/>
  <c r="R78" i="39"/>
  <c r="R77" i="39"/>
  <c r="R69" i="39"/>
  <c r="R33" i="39"/>
  <c r="R108" i="39"/>
  <c r="R89" i="39"/>
  <c r="R88" i="39"/>
  <c r="R61" i="39"/>
  <c r="R60" i="39"/>
  <c r="R56" i="39"/>
  <c r="R52" i="39"/>
  <c r="R131" i="39"/>
  <c r="R124" i="39"/>
  <c r="R123" i="39"/>
  <c r="R119" i="39"/>
  <c r="R115" i="39"/>
  <c r="R104" i="39"/>
  <c r="R103" i="39"/>
  <c r="R80" i="39"/>
  <c r="R79" i="39"/>
  <c r="R47" i="39"/>
  <c r="R43" i="39"/>
  <c r="R109" i="39"/>
  <c r="R98" i="39"/>
  <c r="R62" i="39"/>
  <c r="R90" i="39"/>
  <c r="R70" i="39"/>
  <c r="X12" i="39"/>
  <c r="Z12" i="39" s="1"/>
  <c r="R53" i="39"/>
  <c r="R91" i="39"/>
  <c r="R39" i="39"/>
  <c r="R81" i="39"/>
  <c r="R63" i="39"/>
  <c r="R57" i="39"/>
  <c r="R34" i="39"/>
  <c r="R144" i="39"/>
  <c r="R125" i="39"/>
  <c r="R105" i="39"/>
  <c r="R82" i="39"/>
  <c r="R38" i="39"/>
  <c r="R289" i="18"/>
  <c r="R276" i="18"/>
  <c r="R275" i="18"/>
  <c r="R263" i="18"/>
  <c r="R247" i="18"/>
  <c r="R240" i="18"/>
  <c r="R239" i="18"/>
  <c r="R215" i="18"/>
  <c r="R179" i="18"/>
  <c r="R175" i="18"/>
  <c r="R171" i="18"/>
  <c r="R167" i="18"/>
  <c r="R163" i="18"/>
  <c r="R159" i="18"/>
  <c r="R155" i="18"/>
  <c r="R151" i="18"/>
  <c r="R147" i="18"/>
  <c r="R143" i="18"/>
  <c r="R139" i="18"/>
  <c r="R135" i="18"/>
  <c r="R131" i="18"/>
  <c r="R127" i="18"/>
  <c r="R123" i="18"/>
  <c r="R290" i="18"/>
  <c r="R259" i="18"/>
  <c r="R258" i="18"/>
  <c r="R230" i="18"/>
  <c r="R207" i="18"/>
  <c r="R206" i="18"/>
  <c r="R202" i="18"/>
  <c r="R198" i="18"/>
  <c r="R277" i="18"/>
  <c r="R270" i="18"/>
  <c r="R269" i="18"/>
  <c r="R253" i="18"/>
  <c r="R242" i="18"/>
  <c r="R241" i="18"/>
  <c r="R222" i="18"/>
  <c r="R221" i="18"/>
  <c r="R193" i="18"/>
  <c r="R189" i="18"/>
  <c r="R280" i="18"/>
  <c r="R279" i="18"/>
  <c r="R264" i="18"/>
  <c r="R260" i="18"/>
  <c r="R248" i="18"/>
  <c r="R216" i="18"/>
  <c r="R209" i="18"/>
  <c r="R208" i="18"/>
  <c r="R185" i="18"/>
  <c r="R180" i="18"/>
  <c r="R176" i="18"/>
  <c r="R172" i="18"/>
  <c r="R168" i="18"/>
  <c r="R164" i="18"/>
  <c r="R160" i="18"/>
  <c r="R156" i="18"/>
  <c r="R152" i="18"/>
  <c r="R148" i="18"/>
  <c r="R144" i="18"/>
  <c r="R140" i="18"/>
  <c r="R136" i="18"/>
  <c r="R132" i="18"/>
  <c r="R128" i="18"/>
  <c r="R124" i="18"/>
  <c r="R281" i="18"/>
  <c r="R272" i="18"/>
  <c r="R271" i="18"/>
  <c r="R243" i="18"/>
  <c r="R232" i="18"/>
  <c r="R231" i="18"/>
  <c r="R223" i="18"/>
  <c r="R203" i="18"/>
  <c r="R199" i="18"/>
  <c r="R184" i="18"/>
  <c r="R294" i="18"/>
  <c r="R282" i="18"/>
  <c r="R254" i="18"/>
  <c r="R210" i="18"/>
  <c r="R194" i="18"/>
  <c r="R190" i="18"/>
  <c r="R186" i="18"/>
  <c r="R283" i="18"/>
  <c r="R273" i="18"/>
  <c r="R265" i="18"/>
  <c r="R261" i="18"/>
  <c r="R249" i="18"/>
  <c r="R234" i="18"/>
  <c r="R233" i="18"/>
  <c r="R217" i="18"/>
  <c r="R177" i="18"/>
  <c r="R173" i="18"/>
  <c r="R169" i="18"/>
  <c r="R165" i="18"/>
  <c r="R161" i="18"/>
  <c r="R157" i="18"/>
  <c r="R153" i="18"/>
  <c r="R149" i="18"/>
  <c r="R145" i="18"/>
  <c r="R141" i="18"/>
  <c r="R137" i="18"/>
  <c r="R133" i="18"/>
  <c r="R129" i="18"/>
  <c r="R125" i="18"/>
  <c r="R284" i="18"/>
  <c r="R244" i="18"/>
  <c r="R225" i="18"/>
  <c r="R224" i="18"/>
  <c r="R204" i="18"/>
  <c r="R200" i="18"/>
  <c r="R285" i="18"/>
  <c r="R256" i="18"/>
  <c r="R255" i="18"/>
  <c r="R236" i="18"/>
  <c r="R235" i="18"/>
  <c r="R212" i="18"/>
  <c r="R211" i="18"/>
  <c r="R196" i="18"/>
  <c r="R195" i="18"/>
  <c r="R191" i="18"/>
  <c r="R187" i="18"/>
  <c r="R286" i="18"/>
  <c r="R274" i="18"/>
  <c r="R267" i="18"/>
  <c r="R266" i="18"/>
  <c r="R262" i="18"/>
  <c r="R251" i="18"/>
  <c r="R250" i="18"/>
  <c r="R227" i="18"/>
  <c r="R226" i="18"/>
  <c r="R219" i="18"/>
  <c r="R218" i="18"/>
  <c r="R178" i="18"/>
  <c r="R174" i="18"/>
  <c r="R170" i="18"/>
  <c r="R166" i="18"/>
  <c r="R162" i="18"/>
  <c r="R158" i="18"/>
  <c r="R154" i="18"/>
  <c r="R150" i="18"/>
  <c r="R146" i="18"/>
  <c r="R142" i="18"/>
  <c r="R138" i="18"/>
  <c r="R134" i="18"/>
  <c r="R130" i="18"/>
  <c r="R126" i="18"/>
  <c r="R287" i="18"/>
  <c r="R205" i="18"/>
  <c r="R122" i="18"/>
  <c r="R252" i="18"/>
  <c r="R229" i="18"/>
  <c r="P182" i="18"/>
  <c r="R182" i="18" s="1"/>
  <c r="R246" i="18"/>
  <c r="R188" i="18"/>
  <c r="R213" i="18"/>
  <c r="R288" i="18"/>
  <c r="R268" i="18"/>
  <c r="R237" i="18"/>
  <c r="R197" i="18"/>
  <c r="R220" i="18"/>
  <c r="R192" i="18"/>
  <c r="X12" i="18"/>
  <c r="Z12" i="18" s="1"/>
  <c r="R228" i="18"/>
  <c r="R201" i="18"/>
  <c r="R214" i="18"/>
  <c r="R257" i="18"/>
  <c r="R238" i="18"/>
  <c r="R245" i="18"/>
  <c r="D265" i="15"/>
  <c r="L157" i="15"/>
  <c r="N157" i="15" s="1"/>
  <c r="T27" i="112"/>
  <c r="Z18" i="112"/>
  <c r="X18" i="112"/>
  <c r="P27" i="112"/>
  <c r="T27" i="43"/>
  <c r="Z18" i="43"/>
  <c r="T27" i="47"/>
  <c r="Z18" i="47"/>
  <c r="T27" i="34"/>
  <c r="Z18" i="34"/>
  <c r="L18" i="41"/>
  <c r="D27" i="41"/>
  <c r="X18" i="25"/>
  <c r="P27" i="25"/>
  <c r="T27" i="14"/>
  <c r="Z18" i="14"/>
  <c r="T27" i="16"/>
  <c r="Z18" i="16"/>
  <c r="X18" i="17"/>
  <c r="P27" i="17"/>
  <c r="P27" i="10"/>
  <c r="X18" i="10"/>
  <c r="T27" i="7"/>
  <c r="Z18" i="7"/>
  <c r="T85" i="89"/>
  <c r="X85" i="89" s="1"/>
  <c r="Z23" i="89"/>
  <c r="F91" i="74"/>
  <c r="F90" i="74"/>
  <c r="F51" i="74"/>
  <c r="F47" i="74"/>
  <c r="F43" i="74"/>
  <c r="F39" i="74"/>
  <c r="F74" i="74"/>
  <c r="F70" i="74"/>
  <c r="F93" i="74"/>
  <c r="F52" i="74"/>
  <c r="F48" i="74"/>
  <c r="F44" i="74"/>
  <c r="F40" i="74"/>
  <c r="F85" i="74"/>
  <c r="F84" i="74"/>
  <c r="F56" i="74"/>
  <c r="F54" i="74"/>
  <c r="F49" i="74"/>
  <c r="F45" i="74"/>
  <c r="F41" i="74"/>
  <c r="F37" i="74"/>
  <c r="F36" i="74"/>
  <c r="F76" i="74"/>
  <c r="F72" i="74"/>
  <c r="F68" i="74"/>
  <c r="D54" i="74"/>
  <c r="F82" i="74"/>
  <c r="F57" i="74"/>
  <c r="F46" i="74"/>
  <c r="F79" i="74"/>
  <c r="F65" i="74"/>
  <c r="F60" i="74"/>
  <c r="F38" i="74"/>
  <c r="F89" i="74"/>
  <c r="F77" i="74"/>
  <c r="F58" i="74"/>
  <c r="F97" i="74"/>
  <c r="F86" i="74"/>
  <c r="F83" i="74"/>
  <c r="F63" i="74"/>
  <c r="L12" i="74"/>
  <c r="N12" i="74" s="1"/>
  <c r="F80" i="74"/>
  <c r="F75" i="74"/>
  <c r="F73" i="74"/>
  <c r="F66" i="74"/>
  <c r="F50" i="74"/>
  <c r="F71" i="74"/>
  <c r="F87" i="74"/>
  <c r="F61" i="74"/>
  <c r="F42" i="74"/>
  <c r="F59" i="74"/>
  <c r="F81" i="74"/>
  <c r="F88" i="74"/>
  <c r="F62" i="74"/>
  <c r="F78" i="74"/>
  <c r="F67" i="74"/>
  <c r="F69" i="74"/>
  <c r="F64" i="74"/>
  <c r="X18" i="5"/>
  <c r="P27" i="5"/>
  <c r="D27" i="10"/>
  <c r="L18" i="10"/>
  <c r="X22" i="101"/>
  <c r="P75" i="101"/>
  <c r="J83" i="94"/>
  <c r="H86" i="94"/>
  <c r="T129" i="42"/>
  <c r="F121" i="42"/>
  <c r="F120" i="42"/>
  <c r="F113" i="42"/>
  <c r="F97" i="42"/>
  <c r="F93" i="42"/>
  <c r="F92" i="42"/>
  <c r="F69" i="42"/>
  <c r="F68" i="42"/>
  <c r="F53" i="42"/>
  <c r="F49" i="42"/>
  <c r="F45" i="42"/>
  <c r="F44" i="42"/>
  <c r="F108" i="42"/>
  <c r="F104" i="42"/>
  <c r="F80" i="42"/>
  <c r="F79" i="42"/>
  <c r="F124" i="42"/>
  <c r="F115" i="42"/>
  <c r="F114" i="42"/>
  <c r="F99" i="42"/>
  <c r="F98" i="42"/>
  <c r="F125" i="42"/>
  <c r="F123" i="42"/>
  <c r="F94" i="42"/>
  <c r="F82" i="42"/>
  <c r="F81" i="42"/>
  <c r="F54" i="42"/>
  <c r="F50" i="42"/>
  <c r="F46" i="42"/>
  <c r="F126" i="42"/>
  <c r="F117" i="42"/>
  <c r="F116" i="42"/>
  <c r="F109" i="42"/>
  <c r="F105" i="42"/>
  <c r="F101" i="42"/>
  <c r="F100" i="42"/>
  <c r="F89" i="42"/>
  <c r="F88" i="42"/>
  <c r="F73" i="42"/>
  <c r="F72" i="42"/>
  <c r="F127" i="42"/>
  <c r="F84" i="42"/>
  <c r="F83" i="42"/>
  <c r="F64" i="42"/>
  <c r="F56" i="42"/>
  <c r="F55" i="42"/>
  <c r="F95" i="42"/>
  <c r="F51" i="42"/>
  <c r="F47" i="42"/>
  <c r="F118" i="42"/>
  <c r="F110" i="42"/>
  <c r="F106" i="42"/>
  <c r="F102" i="42"/>
  <c r="F90" i="42"/>
  <c r="F74" i="42"/>
  <c r="F58" i="42"/>
  <c r="F57" i="42"/>
  <c r="F42" i="42"/>
  <c r="F38" i="42"/>
  <c r="F34" i="42"/>
  <c r="F33" i="42"/>
  <c r="F131" i="42"/>
  <c r="F85" i="42"/>
  <c r="F65" i="42"/>
  <c r="F70" i="42"/>
  <c r="F77" i="42"/>
  <c r="F60" i="42"/>
  <c r="F40" i="42"/>
  <c r="F107" i="42"/>
  <c r="F96" i="42"/>
  <c r="F59" i="42"/>
  <c r="F62" i="42"/>
  <c r="F27" i="42"/>
  <c r="F111" i="42"/>
  <c r="L12" i="42"/>
  <c r="N12" i="42" s="1"/>
  <c r="F103" i="42"/>
  <c r="F91" i="42"/>
  <c r="F66" i="42"/>
  <c r="F86" i="42"/>
  <c r="F78" i="42"/>
  <c r="F52" i="42"/>
  <c r="F48" i="42"/>
  <c r="F28" i="42"/>
  <c r="F76" i="42"/>
  <c r="F36" i="42"/>
  <c r="F63" i="42"/>
  <c r="F61" i="42"/>
  <c r="F25" i="42"/>
  <c r="F119" i="42"/>
  <c r="F112" i="42"/>
  <c r="F67" i="42"/>
  <c r="F43" i="42"/>
  <c r="F41" i="42"/>
  <c r="D30" i="42"/>
  <c r="F26" i="42"/>
  <c r="F75" i="42"/>
  <c r="F87" i="42"/>
  <c r="F35" i="42"/>
  <c r="F71" i="42"/>
  <c r="F37" i="42"/>
  <c r="F32" i="42"/>
  <c r="F39" i="42"/>
  <c r="D27" i="111"/>
  <c r="L18" i="111"/>
  <c r="N18" i="113"/>
  <c r="H27" i="113"/>
  <c r="H27" i="4"/>
  <c r="N18" i="4"/>
  <c r="D92" i="104"/>
  <c r="L23" i="104"/>
  <c r="N23" i="104" s="1"/>
  <c r="X53" i="100"/>
  <c r="P57" i="100"/>
  <c r="T97" i="106"/>
  <c r="Z16" i="103"/>
  <c r="T63" i="103"/>
  <c r="T91" i="102"/>
  <c r="T53" i="100"/>
  <c r="Z17" i="100"/>
  <c r="T75" i="101"/>
  <c r="Z22" i="101"/>
  <c r="T95" i="98"/>
  <c r="T79" i="94"/>
  <c r="V23" i="94"/>
  <c r="H126" i="85"/>
  <c r="D32" i="86"/>
  <c r="L20" i="86"/>
  <c r="N20" i="86" s="1"/>
  <c r="F20" i="86"/>
  <c r="L24" i="79"/>
  <c r="D71" i="79"/>
  <c r="H121" i="75"/>
  <c r="J53" i="75"/>
  <c r="X24" i="79"/>
  <c r="P71" i="79"/>
  <c r="F75" i="73"/>
  <c r="F35" i="73"/>
  <c r="F31" i="73"/>
  <c r="F76" i="73"/>
  <c r="F72" i="73"/>
  <c r="F71" i="73"/>
  <c r="F64" i="73"/>
  <c r="F63" i="73"/>
  <c r="F52" i="73"/>
  <c r="F51" i="73"/>
  <c r="F36" i="73"/>
  <c r="F32" i="73"/>
  <c r="F73" i="73"/>
  <c r="F37" i="73"/>
  <c r="F33" i="73"/>
  <c r="F29" i="73"/>
  <c r="F28" i="73"/>
  <c r="F80" i="73"/>
  <c r="F79" i="73"/>
  <c r="F56" i="73"/>
  <c r="F55" i="73"/>
  <c r="F27" i="73"/>
  <c r="F34" i="73"/>
  <c r="F23" i="73"/>
  <c r="F68" i="73"/>
  <c r="F53" i="73"/>
  <c r="F46" i="73"/>
  <c r="F65" i="73"/>
  <c r="F61" i="73"/>
  <c r="F57" i="73"/>
  <c r="F49" i="73"/>
  <c r="F21" i="73"/>
  <c r="F62" i="73"/>
  <c r="F54" i="73"/>
  <c r="F50" i="73"/>
  <c r="F66" i="73"/>
  <c r="F44" i="73"/>
  <c r="F41" i="73"/>
  <c r="F38" i="73"/>
  <c r="F69" i="73"/>
  <c r="F47" i="73"/>
  <c r="F86" i="73"/>
  <c r="F70" i="73"/>
  <c r="F58" i="73"/>
  <c r="F39" i="73"/>
  <c r="F30" i="73"/>
  <c r="D25" i="73"/>
  <c r="L12" i="73"/>
  <c r="N12" i="73" s="1"/>
  <c r="F42" i="73"/>
  <c r="F67" i="73"/>
  <c r="F59" i="73"/>
  <c r="F22" i="73"/>
  <c r="F82" i="73"/>
  <c r="F60" i="73"/>
  <c r="F48" i="73"/>
  <c r="F78" i="73"/>
  <c r="F43" i="73"/>
  <c r="F40" i="73"/>
  <c r="F20" i="73"/>
  <c r="F74" i="73"/>
  <c r="F77" i="73"/>
  <c r="F45" i="73"/>
  <c r="R116" i="75"/>
  <c r="T120" i="69"/>
  <c r="F116" i="71"/>
  <c r="F108" i="71"/>
  <c r="F92" i="71"/>
  <c r="F91" i="71"/>
  <c r="F56" i="71"/>
  <c r="F52" i="71"/>
  <c r="F48" i="71"/>
  <c r="F44" i="71"/>
  <c r="F83" i="71"/>
  <c r="F79" i="71"/>
  <c r="F75" i="71"/>
  <c r="F126" i="71"/>
  <c r="F119" i="71"/>
  <c r="F118" i="71"/>
  <c r="F85" i="71"/>
  <c r="F84" i="71"/>
  <c r="F57" i="71"/>
  <c r="F53" i="71"/>
  <c r="F49" i="71"/>
  <c r="F45" i="71"/>
  <c r="F120" i="71"/>
  <c r="F104" i="71"/>
  <c r="F103" i="71"/>
  <c r="F80" i="71"/>
  <c r="F76" i="71"/>
  <c r="F111" i="71"/>
  <c r="F95" i="71"/>
  <c r="F87" i="71"/>
  <c r="F86" i="71"/>
  <c r="F71" i="71"/>
  <c r="F67" i="71"/>
  <c r="F63" i="71"/>
  <c r="F62" i="71"/>
  <c r="F121" i="71"/>
  <c r="F106" i="71"/>
  <c r="F105" i="71"/>
  <c r="F61" i="71"/>
  <c r="F54" i="71"/>
  <c r="F50" i="71"/>
  <c r="F46" i="71"/>
  <c r="F42" i="71"/>
  <c r="F41" i="71"/>
  <c r="F113" i="71"/>
  <c r="F112" i="71"/>
  <c r="F97" i="71"/>
  <c r="F96" i="71"/>
  <c r="F81" i="71"/>
  <c r="F77" i="71"/>
  <c r="D59" i="71"/>
  <c r="F59" i="71" s="1"/>
  <c r="F122" i="71"/>
  <c r="F88" i="71"/>
  <c r="F72" i="71"/>
  <c r="F68" i="71"/>
  <c r="F64" i="71"/>
  <c r="F90" i="71"/>
  <c r="F89" i="71"/>
  <c r="F82" i="71"/>
  <c r="F78" i="71"/>
  <c r="F74" i="71"/>
  <c r="F73" i="71"/>
  <c r="L12" i="71"/>
  <c r="N12" i="71" s="1"/>
  <c r="F101" i="71"/>
  <c r="F100" i="71"/>
  <c r="F69" i="71"/>
  <c r="F65" i="71"/>
  <c r="F114" i="71"/>
  <c r="F110" i="71"/>
  <c r="F55" i="71"/>
  <c r="F51" i="71"/>
  <c r="F47" i="71"/>
  <c r="F43" i="71"/>
  <c r="F99" i="71"/>
  <c r="F115" i="71"/>
  <c r="F107" i="71"/>
  <c r="F93" i="71"/>
  <c r="F109" i="71"/>
  <c r="F66" i="71"/>
  <c r="F98" i="71"/>
  <c r="F70" i="71"/>
  <c r="F102" i="71"/>
  <c r="F94" i="71"/>
  <c r="Z16" i="60"/>
  <c r="T61" i="60"/>
  <c r="P61" i="60"/>
  <c r="X16" i="60"/>
  <c r="H61" i="60"/>
  <c r="N16" i="60"/>
  <c r="P22" i="54"/>
  <c r="X16" i="54"/>
  <c r="H81" i="56"/>
  <c r="N16" i="56"/>
  <c r="T22" i="54"/>
  <c r="Z16" i="54"/>
  <c r="R102" i="51"/>
  <c r="R94" i="51"/>
  <c r="R99" i="51"/>
  <c r="R77" i="51"/>
  <c r="R73" i="51"/>
  <c r="R58" i="51"/>
  <c r="R56" i="51"/>
  <c r="R106" i="51"/>
  <c r="R85" i="51"/>
  <c r="R84" i="51"/>
  <c r="R68" i="51"/>
  <c r="R64" i="51"/>
  <c r="R60" i="51"/>
  <c r="P56" i="51"/>
  <c r="R51" i="51"/>
  <c r="R47" i="51"/>
  <c r="R43" i="51"/>
  <c r="R100" i="51"/>
  <c r="R96" i="51"/>
  <c r="R95" i="51"/>
  <c r="R87" i="51"/>
  <c r="R86" i="51"/>
  <c r="R78" i="51"/>
  <c r="R74" i="51"/>
  <c r="R107" i="51"/>
  <c r="R101" i="51"/>
  <c r="R70" i="51"/>
  <c r="R69" i="51"/>
  <c r="R65" i="51"/>
  <c r="R61" i="51"/>
  <c r="R89" i="51"/>
  <c r="R88" i="51"/>
  <c r="R52" i="51"/>
  <c r="R48" i="51"/>
  <c r="R44" i="51"/>
  <c r="X12" i="51"/>
  <c r="Z12" i="51" s="1"/>
  <c r="R79" i="51"/>
  <c r="R75" i="51"/>
  <c r="R71" i="51"/>
  <c r="R40" i="51"/>
  <c r="R97" i="51"/>
  <c r="R91" i="51"/>
  <c r="R90" i="51"/>
  <c r="R53" i="51"/>
  <c r="R49" i="51"/>
  <c r="R45" i="51"/>
  <c r="R41" i="51"/>
  <c r="R105" i="51"/>
  <c r="R67" i="51"/>
  <c r="R63" i="51"/>
  <c r="R111" i="51"/>
  <c r="R104" i="51"/>
  <c r="R81" i="51"/>
  <c r="R54" i="51"/>
  <c r="R83" i="51"/>
  <c r="R50" i="51"/>
  <c r="R98" i="51"/>
  <c r="R92" i="51"/>
  <c r="R66" i="51"/>
  <c r="R62" i="51"/>
  <c r="R72" i="51"/>
  <c r="R46" i="51"/>
  <c r="R59" i="51"/>
  <c r="R93" i="51"/>
  <c r="R76" i="51"/>
  <c r="R80" i="51"/>
  <c r="R42" i="51"/>
  <c r="R82" i="51"/>
  <c r="T74" i="48"/>
  <c r="F104" i="51"/>
  <c r="L25" i="45"/>
  <c r="N25" i="45" s="1"/>
  <c r="D102" i="45"/>
  <c r="T140" i="36"/>
  <c r="R91" i="27"/>
  <c r="R90" i="27"/>
  <c r="R82" i="27"/>
  <c r="R78" i="27"/>
  <c r="R74" i="27"/>
  <c r="R101" i="27"/>
  <c r="R69" i="27"/>
  <c r="R65" i="27"/>
  <c r="R116" i="27"/>
  <c r="R109" i="27"/>
  <c r="R108" i="27"/>
  <c r="R93" i="27"/>
  <c r="R92" i="27"/>
  <c r="R56" i="27"/>
  <c r="R52" i="27"/>
  <c r="R48" i="27"/>
  <c r="R44" i="27"/>
  <c r="R119" i="27"/>
  <c r="R118" i="27"/>
  <c r="R120" i="27"/>
  <c r="R110" i="27"/>
  <c r="R103" i="27"/>
  <c r="R102" i="27"/>
  <c r="R94" i="27"/>
  <c r="R70" i="27"/>
  <c r="R66" i="27"/>
  <c r="R121" i="27"/>
  <c r="R112" i="27"/>
  <c r="R111" i="27"/>
  <c r="R96" i="27"/>
  <c r="R95" i="27"/>
  <c r="R87" i="27"/>
  <c r="R71" i="27"/>
  <c r="R67" i="27"/>
  <c r="R63" i="27"/>
  <c r="P59" i="27"/>
  <c r="R59" i="27" s="1"/>
  <c r="R106" i="27"/>
  <c r="R54" i="27"/>
  <c r="R50" i="27"/>
  <c r="R46" i="27"/>
  <c r="R42" i="27"/>
  <c r="R114" i="27"/>
  <c r="R113" i="27"/>
  <c r="R98" i="27"/>
  <c r="R97" i="27"/>
  <c r="R81" i="27"/>
  <c r="R77" i="27"/>
  <c r="R80" i="27"/>
  <c r="R57" i="27"/>
  <c r="R122" i="27"/>
  <c r="R105" i="27"/>
  <c r="R85" i="27"/>
  <c r="R76" i="27"/>
  <c r="R47" i="27"/>
  <c r="X12" i="27"/>
  <c r="Z12" i="27" s="1"/>
  <c r="R68" i="27"/>
  <c r="R115" i="27"/>
  <c r="R99" i="27"/>
  <c r="R72" i="27"/>
  <c r="R55" i="27"/>
  <c r="R107" i="27"/>
  <c r="R83" i="27"/>
  <c r="R45" i="27"/>
  <c r="R126" i="27"/>
  <c r="R53" i="27"/>
  <c r="R88" i="27"/>
  <c r="R86" i="27"/>
  <c r="R100" i="27"/>
  <c r="R84" i="27"/>
  <c r="R79" i="27"/>
  <c r="R75" i="27"/>
  <c r="R61" i="27"/>
  <c r="R51" i="27"/>
  <c r="R43" i="27"/>
  <c r="R73" i="27"/>
  <c r="R41" i="27"/>
  <c r="R104" i="27"/>
  <c r="R49" i="27"/>
  <c r="R62" i="27"/>
  <c r="R89" i="27"/>
  <c r="R64" i="27"/>
  <c r="H120" i="21"/>
  <c r="J195" i="3"/>
  <c r="F284" i="18"/>
  <c r="F255" i="18"/>
  <c r="F235" i="18"/>
  <c r="F234" i="18"/>
  <c r="F211" i="18"/>
  <c r="F195" i="18"/>
  <c r="F191" i="18"/>
  <c r="F187" i="18"/>
  <c r="F285" i="18"/>
  <c r="F274" i="18"/>
  <c r="F266" i="18"/>
  <c r="F262" i="18"/>
  <c r="F250" i="18"/>
  <c r="F226" i="18"/>
  <c r="F225" i="18"/>
  <c r="F218" i="18"/>
  <c r="F178" i="18"/>
  <c r="F174" i="18"/>
  <c r="F170" i="18"/>
  <c r="F166" i="18"/>
  <c r="F162" i="18"/>
  <c r="F158" i="18"/>
  <c r="F154" i="18"/>
  <c r="F150" i="18"/>
  <c r="F146" i="18"/>
  <c r="F142" i="18"/>
  <c r="F138" i="18"/>
  <c r="F134" i="18"/>
  <c r="F130" i="18"/>
  <c r="F126" i="18"/>
  <c r="F286" i="18"/>
  <c r="F257" i="18"/>
  <c r="F256" i="18"/>
  <c r="F245" i="18"/>
  <c r="F237" i="18"/>
  <c r="F236" i="18"/>
  <c r="F213" i="18"/>
  <c r="F212" i="18"/>
  <c r="F205" i="18"/>
  <c r="F201" i="18"/>
  <c r="F197" i="18"/>
  <c r="F196" i="18"/>
  <c r="F287" i="18"/>
  <c r="F268" i="18"/>
  <c r="F267" i="18"/>
  <c r="F252" i="18"/>
  <c r="F251" i="18"/>
  <c r="F228" i="18"/>
  <c r="F227" i="18"/>
  <c r="F220" i="18"/>
  <c r="F219" i="18"/>
  <c r="F192" i="18"/>
  <c r="F188" i="18"/>
  <c r="F288" i="18"/>
  <c r="F275" i="18"/>
  <c r="F263" i="18"/>
  <c r="F247" i="18"/>
  <c r="F246" i="18"/>
  <c r="F239" i="18"/>
  <c r="F238" i="18"/>
  <c r="F215" i="18"/>
  <c r="F214" i="18"/>
  <c r="F179" i="18"/>
  <c r="F175" i="18"/>
  <c r="F171" i="18"/>
  <c r="F167" i="18"/>
  <c r="F163" i="18"/>
  <c r="F159" i="18"/>
  <c r="F155" i="18"/>
  <c r="F151" i="18"/>
  <c r="F147" i="18"/>
  <c r="F143" i="18"/>
  <c r="F139" i="18"/>
  <c r="F135" i="18"/>
  <c r="F131" i="18"/>
  <c r="F127" i="18"/>
  <c r="F123" i="18"/>
  <c r="F122" i="18"/>
  <c r="F289" i="18"/>
  <c r="F258" i="18"/>
  <c r="F230" i="18"/>
  <c r="F229" i="18"/>
  <c r="F206" i="18"/>
  <c r="F202" i="18"/>
  <c r="F198" i="18"/>
  <c r="F290" i="18"/>
  <c r="F277" i="18"/>
  <c r="F276" i="18"/>
  <c r="F269" i="18"/>
  <c r="F253" i="18"/>
  <c r="F241" i="18"/>
  <c r="F240" i="18"/>
  <c r="F221" i="18"/>
  <c r="F193" i="18"/>
  <c r="F189" i="18"/>
  <c r="F264" i="18"/>
  <c r="F260" i="18"/>
  <c r="F259" i="18"/>
  <c r="F248" i="18"/>
  <c r="F216" i="18"/>
  <c r="F208" i="18"/>
  <c r="F207" i="18"/>
  <c r="F180" i="18"/>
  <c r="F176" i="18"/>
  <c r="F172" i="18"/>
  <c r="F168" i="18"/>
  <c r="F164" i="18"/>
  <c r="F280" i="18"/>
  <c r="F271" i="18"/>
  <c r="F270" i="18"/>
  <c r="F243" i="18"/>
  <c r="F242" i="18"/>
  <c r="F231" i="18"/>
  <c r="F223" i="18"/>
  <c r="F222" i="18"/>
  <c r="F203" i="18"/>
  <c r="F199" i="18"/>
  <c r="F294" i="18"/>
  <c r="F281" i="18"/>
  <c r="F279" i="18"/>
  <c r="F254" i="18"/>
  <c r="F210" i="18"/>
  <c r="F209" i="18"/>
  <c r="F194" i="18"/>
  <c r="F190" i="18"/>
  <c r="F186" i="18"/>
  <c r="F185" i="18"/>
  <c r="F232" i="18"/>
  <c r="F217" i="18"/>
  <c r="F184" i="18"/>
  <c r="F169" i="18"/>
  <c r="L12" i="18"/>
  <c r="N12" i="18" s="1"/>
  <c r="F173" i="18"/>
  <c r="F177" i="18"/>
  <c r="F283" i="18"/>
  <c r="F273" i="18"/>
  <c r="F261" i="18"/>
  <c r="D182" i="18"/>
  <c r="F160" i="18"/>
  <c r="F156" i="18"/>
  <c r="F152" i="18"/>
  <c r="F148" i="18"/>
  <c r="F144" i="18"/>
  <c r="F140" i="18"/>
  <c r="F136" i="18"/>
  <c r="F132" i="18"/>
  <c r="F128" i="18"/>
  <c r="F124" i="18"/>
  <c r="F200" i="18"/>
  <c r="F249" i="18"/>
  <c r="F244" i="18"/>
  <c r="F233" i="18"/>
  <c r="F272" i="18"/>
  <c r="F204" i="18"/>
  <c r="F153" i="18"/>
  <c r="F137" i="18"/>
  <c r="F133" i="18"/>
  <c r="F149" i="18"/>
  <c r="F165" i="18"/>
  <c r="F157" i="18"/>
  <c r="F141" i="18"/>
  <c r="F125" i="18"/>
  <c r="F282" i="18"/>
  <c r="F224" i="18"/>
  <c r="F161" i="18"/>
  <c r="F145" i="18"/>
  <c r="F129" i="18"/>
  <c r="F265" i="18"/>
  <c r="H99" i="9"/>
  <c r="N16" i="9"/>
  <c r="Z16" i="6"/>
  <c r="T22" i="6"/>
  <c r="P318" i="3"/>
  <c r="X195" i="3"/>
  <c r="J163" i="12"/>
  <c r="X18" i="49"/>
  <c r="P27" i="49"/>
  <c r="L18" i="50"/>
  <c r="D27" i="50"/>
  <c r="P27" i="47"/>
  <c r="X18" i="47"/>
  <c r="L18" i="46"/>
  <c r="D27" i="46"/>
  <c r="H27" i="43"/>
  <c r="N18" i="43"/>
  <c r="L18" i="38"/>
  <c r="D27" i="38"/>
  <c r="H27" i="41"/>
  <c r="N18" i="41"/>
  <c r="T27" i="32"/>
  <c r="Z18" i="32"/>
  <c r="X18" i="23"/>
  <c r="P27" i="23"/>
  <c r="L18" i="23"/>
  <c r="D27" i="23"/>
  <c r="L18" i="22"/>
  <c r="D27" i="22"/>
  <c r="L18" i="26"/>
  <c r="D27" i="26"/>
  <c r="H27" i="16"/>
  <c r="N18" i="16"/>
  <c r="L18" i="16"/>
  <c r="D27" i="16"/>
  <c r="L18" i="8"/>
  <c r="D27" i="8"/>
  <c r="L18" i="4"/>
  <c r="D27" i="4"/>
  <c r="L18" i="5"/>
  <c r="D27" i="5"/>
  <c r="D69" i="68"/>
  <c r="L65" i="68"/>
  <c r="N18" i="10"/>
  <c r="H27" i="10"/>
  <c r="F68" i="106"/>
  <c r="F20" i="106"/>
  <c r="F83" i="106"/>
  <c r="F79" i="106"/>
  <c r="F59" i="106"/>
  <c r="F58" i="106"/>
  <c r="F47" i="106"/>
  <c r="F43" i="106"/>
  <c r="F39" i="106"/>
  <c r="F74" i="106"/>
  <c r="F34" i="106"/>
  <c r="F30" i="106"/>
  <c r="F85" i="106"/>
  <c r="F84" i="106"/>
  <c r="F69" i="106"/>
  <c r="F61" i="106"/>
  <c r="F60" i="106"/>
  <c r="F49" i="106"/>
  <c r="F48" i="106"/>
  <c r="F21" i="106"/>
  <c r="F80" i="106"/>
  <c r="F76" i="106"/>
  <c r="F75" i="106"/>
  <c r="F44" i="106"/>
  <c r="F40" i="106"/>
  <c r="F87" i="106"/>
  <c r="F86" i="106"/>
  <c r="F71" i="106"/>
  <c r="F70" i="106"/>
  <c r="F63" i="106"/>
  <c r="F62" i="106"/>
  <c r="F51" i="106"/>
  <c r="F50" i="106"/>
  <c r="F35" i="106"/>
  <c r="F31" i="106"/>
  <c r="F27" i="106"/>
  <c r="F26" i="106"/>
  <c r="F89" i="106"/>
  <c r="F88" i="106"/>
  <c r="F81" i="106"/>
  <c r="F77" i="106"/>
  <c r="F65" i="106"/>
  <c r="F64" i="106"/>
  <c r="F53" i="106"/>
  <c r="F52" i="106"/>
  <c r="F45" i="106"/>
  <c r="F41" i="106"/>
  <c r="D23" i="106"/>
  <c r="F23" i="106" s="1"/>
  <c r="F72" i="106"/>
  <c r="F36" i="106"/>
  <c r="F32" i="106"/>
  <c r="F28" i="106"/>
  <c r="L12" i="106"/>
  <c r="N12" i="106" s="1"/>
  <c r="F78" i="106"/>
  <c r="F67" i="106"/>
  <c r="F91" i="106"/>
  <c r="F46" i="106"/>
  <c r="F42" i="106"/>
  <c r="F82" i="106"/>
  <c r="F57" i="106"/>
  <c r="F55" i="106"/>
  <c r="F38" i="106"/>
  <c r="F18" i="106"/>
  <c r="F73" i="106"/>
  <c r="F95" i="106"/>
  <c r="F66" i="106"/>
  <c r="F29" i="106"/>
  <c r="F25" i="106"/>
  <c r="F56" i="106"/>
  <c r="F54" i="106"/>
  <c r="F33" i="106"/>
  <c r="F19" i="106"/>
  <c r="F37" i="106"/>
  <c r="H95" i="102"/>
  <c r="H57" i="100"/>
  <c r="V83" i="93"/>
  <c r="F72" i="93"/>
  <c r="F20" i="93"/>
  <c r="F79" i="93"/>
  <c r="F78" i="93"/>
  <c r="F67" i="93"/>
  <c r="F59" i="93"/>
  <c r="F58" i="93"/>
  <c r="F51" i="93"/>
  <c r="F50" i="93"/>
  <c r="F43" i="93"/>
  <c r="F39" i="93"/>
  <c r="F73" i="93"/>
  <c r="F61" i="93"/>
  <c r="F60" i="93"/>
  <c r="F53" i="93"/>
  <c r="F52" i="93"/>
  <c r="F24" i="93"/>
  <c r="F22" i="93"/>
  <c r="F81" i="93"/>
  <c r="F68" i="93"/>
  <c r="F44" i="93"/>
  <c r="F40" i="93"/>
  <c r="F36" i="93"/>
  <c r="F35" i="93"/>
  <c r="F85" i="93"/>
  <c r="F31" i="93"/>
  <c r="F27" i="93"/>
  <c r="F74" i="93"/>
  <c r="F70" i="93"/>
  <c r="F69" i="93"/>
  <c r="F62" i="93"/>
  <c r="F54" i="93"/>
  <c r="F64" i="93"/>
  <c r="F63" i="93"/>
  <c r="F75" i="93"/>
  <c r="F66" i="93"/>
  <c r="F26" i="93"/>
  <c r="D22" i="93"/>
  <c r="F49" i="93"/>
  <c r="F42" i="93"/>
  <c r="F19" i="93"/>
  <c r="L12" i="93"/>
  <c r="N12" i="93" s="1"/>
  <c r="F47" i="93"/>
  <c r="F33" i="93"/>
  <c r="F38" i="93"/>
  <c r="F56" i="93"/>
  <c r="F29" i="93"/>
  <c r="F76" i="93"/>
  <c r="F65" i="93"/>
  <c r="F45" i="93"/>
  <c r="F34" i="93"/>
  <c r="F25" i="93"/>
  <c r="F77" i="93"/>
  <c r="F46" i="93"/>
  <c r="F30" i="93"/>
  <c r="F18" i="93"/>
  <c r="F57" i="93"/>
  <c r="F55" i="93"/>
  <c r="F71" i="93"/>
  <c r="F48" i="93"/>
  <c r="F28" i="93"/>
  <c r="F37" i="93"/>
  <c r="F41" i="93"/>
  <c r="F32" i="93"/>
  <c r="T93" i="95"/>
  <c r="H87" i="93"/>
  <c r="T82" i="81"/>
  <c r="T26" i="78"/>
  <c r="Z22" i="78"/>
  <c r="H124" i="71"/>
  <c r="R120" i="71"/>
  <c r="R105" i="71"/>
  <c r="R104" i="71"/>
  <c r="R80" i="71"/>
  <c r="R76" i="71"/>
  <c r="R61" i="71"/>
  <c r="R41" i="71"/>
  <c r="R121" i="71"/>
  <c r="R112" i="71"/>
  <c r="R111" i="71"/>
  <c r="R96" i="71"/>
  <c r="R95" i="71"/>
  <c r="R87" i="71"/>
  <c r="R71" i="71"/>
  <c r="R67" i="71"/>
  <c r="R63" i="71"/>
  <c r="P59" i="71"/>
  <c r="R122" i="71"/>
  <c r="R114" i="71"/>
  <c r="R113" i="71"/>
  <c r="R98" i="71"/>
  <c r="R97" i="71"/>
  <c r="R81" i="71"/>
  <c r="R77" i="71"/>
  <c r="R89" i="71"/>
  <c r="R88" i="71"/>
  <c r="R73" i="71"/>
  <c r="R72" i="71"/>
  <c r="R68" i="71"/>
  <c r="R64" i="71"/>
  <c r="R115" i="71"/>
  <c r="R107" i="71"/>
  <c r="R100" i="71"/>
  <c r="R99" i="71"/>
  <c r="R55" i="71"/>
  <c r="R51" i="71"/>
  <c r="R47" i="71"/>
  <c r="R43" i="71"/>
  <c r="R91" i="71"/>
  <c r="R90" i="71"/>
  <c r="R82" i="71"/>
  <c r="R78" i="71"/>
  <c r="R74" i="71"/>
  <c r="X12" i="71"/>
  <c r="Z12" i="71" s="1"/>
  <c r="R101" i="71"/>
  <c r="R69" i="71"/>
  <c r="R65" i="71"/>
  <c r="R116" i="71"/>
  <c r="R109" i="71"/>
  <c r="R108" i="71"/>
  <c r="R93" i="71"/>
  <c r="R92" i="71"/>
  <c r="R56" i="71"/>
  <c r="R52" i="71"/>
  <c r="R48" i="71"/>
  <c r="R44" i="71"/>
  <c r="R119" i="71"/>
  <c r="R118" i="71"/>
  <c r="R110" i="71"/>
  <c r="R103" i="71"/>
  <c r="R102" i="71"/>
  <c r="R94" i="71"/>
  <c r="R70" i="71"/>
  <c r="R66" i="71"/>
  <c r="R126" i="71"/>
  <c r="R86" i="71"/>
  <c r="R85" i="71"/>
  <c r="R62" i="71"/>
  <c r="R57" i="71"/>
  <c r="R53" i="71"/>
  <c r="R49" i="71"/>
  <c r="R45" i="71"/>
  <c r="R83" i="71"/>
  <c r="R84" i="71"/>
  <c r="R54" i="71"/>
  <c r="R50" i="71"/>
  <c r="R46" i="71"/>
  <c r="R42" i="71"/>
  <c r="R75" i="71"/>
  <c r="R106" i="71"/>
  <c r="R79" i="71"/>
  <c r="X53" i="75"/>
  <c r="Z53" i="75" s="1"/>
  <c r="P121" i="75"/>
  <c r="L16" i="61"/>
  <c r="D62" i="61"/>
  <c r="J56" i="51"/>
  <c r="H109" i="51"/>
  <c r="T81" i="57"/>
  <c r="V30" i="42"/>
  <c r="J146" i="39"/>
  <c r="R127" i="42"/>
  <c r="R117" i="42"/>
  <c r="R109" i="42"/>
  <c r="R105" i="42"/>
  <c r="R101" i="42"/>
  <c r="R89" i="42"/>
  <c r="R73" i="42"/>
  <c r="R41" i="42"/>
  <c r="R37" i="42"/>
  <c r="R84" i="42"/>
  <c r="R64" i="42"/>
  <c r="R57" i="42"/>
  <c r="R56" i="42"/>
  <c r="R95" i="42"/>
  <c r="R118" i="42"/>
  <c r="R111" i="42"/>
  <c r="R110" i="42"/>
  <c r="R106" i="42"/>
  <c r="R102" i="42"/>
  <c r="R90" i="42"/>
  <c r="R75" i="42"/>
  <c r="R74" i="42"/>
  <c r="R59" i="42"/>
  <c r="R58" i="42"/>
  <c r="R42" i="42"/>
  <c r="R38" i="42"/>
  <c r="R34" i="42"/>
  <c r="R131" i="42"/>
  <c r="R85" i="42"/>
  <c r="R66" i="42"/>
  <c r="R65" i="42"/>
  <c r="R112" i="42"/>
  <c r="R96" i="42"/>
  <c r="R77" i="42"/>
  <c r="R76" i="42"/>
  <c r="R61" i="42"/>
  <c r="R60" i="42"/>
  <c r="R52" i="42"/>
  <c r="R48" i="42"/>
  <c r="R120" i="42"/>
  <c r="R119" i="42"/>
  <c r="R107" i="42"/>
  <c r="R103" i="42"/>
  <c r="R92" i="42"/>
  <c r="R91" i="42"/>
  <c r="R68" i="42"/>
  <c r="R67" i="42"/>
  <c r="R44" i="42"/>
  <c r="R43" i="42"/>
  <c r="R39" i="42"/>
  <c r="R35" i="42"/>
  <c r="R86" i="42"/>
  <c r="R79" i="42"/>
  <c r="R78" i="42"/>
  <c r="R62" i="42"/>
  <c r="R121" i="42"/>
  <c r="R114" i="42"/>
  <c r="R113" i="42"/>
  <c r="R98" i="42"/>
  <c r="R97" i="42"/>
  <c r="R93" i="42"/>
  <c r="R70" i="42"/>
  <c r="R69" i="42"/>
  <c r="R53" i="42"/>
  <c r="R49" i="42"/>
  <c r="R45" i="42"/>
  <c r="R88" i="42"/>
  <c r="R125" i="42"/>
  <c r="R116" i="42"/>
  <c r="R80" i="42"/>
  <c r="R36" i="42"/>
  <c r="R87" i="42"/>
  <c r="R115" i="42"/>
  <c r="R104" i="42"/>
  <c r="R55" i="42"/>
  <c r="R28" i="42"/>
  <c r="R82" i="42"/>
  <c r="R46" i="42"/>
  <c r="R100" i="42"/>
  <c r="R54" i="42"/>
  <c r="R50" i="42"/>
  <c r="R40" i="42"/>
  <c r="R25" i="42"/>
  <c r="R108" i="42"/>
  <c r="R63" i="42"/>
  <c r="P30" i="42"/>
  <c r="R30" i="42" s="1"/>
  <c r="R124" i="42"/>
  <c r="R83" i="42"/>
  <c r="R32" i="42"/>
  <c r="R26" i="42"/>
  <c r="R81" i="42"/>
  <c r="R71" i="42"/>
  <c r="R126" i="42"/>
  <c r="R51" i="42"/>
  <c r="R47" i="42"/>
  <c r="R33" i="42"/>
  <c r="R27" i="42"/>
  <c r="R99" i="42"/>
  <c r="R123" i="42"/>
  <c r="R72" i="42"/>
  <c r="R94" i="42"/>
  <c r="X12" i="42"/>
  <c r="Z12" i="42" s="1"/>
  <c r="H104" i="33"/>
  <c r="F145" i="30"/>
  <c r="F137" i="30"/>
  <c r="F133" i="30"/>
  <c r="F121" i="30"/>
  <c r="F120" i="30"/>
  <c r="F101" i="30"/>
  <c r="F100" i="30"/>
  <c r="F93" i="30"/>
  <c r="F92" i="30"/>
  <c r="F112" i="30"/>
  <c r="F111" i="30"/>
  <c r="F151" i="30"/>
  <c r="F149" i="30"/>
  <c r="F140" i="30"/>
  <c r="F116" i="30"/>
  <c r="F115" i="30"/>
  <c r="F96" i="30"/>
  <c r="F95" i="30"/>
  <c r="F152" i="30"/>
  <c r="F135" i="30"/>
  <c r="F123" i="30"/>
  <c r="F132" i="30"/>
  <c r="F129" i="30"/>
  <c r="F89" i="30"/>
  <c r="F85" i="30"/>
  <c r="F81" i="30"/>
  <c r="F102" i="30"/>
  <c r="F76" i="30"/>
  <c r="F72" i="30"/>
  <c r="L12" i="30"/>
  <c r="N12" i="30" s="1"/>
  <c r="F150" i="30"/>
  <c r="F146" i="30"/>
  <c r="F143" i="30"/>
  <c r="F126" i="30"/>
  <c r="F113" i="30"/>
  <c r="F109" i="30"/>
  <c r="F91" i="30"/>
  <c r="F90" i="30"/>
  <c r="F63" i="30"/>
  <c r="F59" i="30"/>
  <c r="F55" i="30"/>
  <c r="F51" i="30"/>
  <c r="F47" i="30"/>
  <c r="F43" i="30"/>
  <c r="F42" i="30"/>
  <c r="F117" i="30"/>
  <c r="F106" i="30"/>
  <c r="F99" i="30"/>
  <c r="F86" i="30"/>
  <c r="F82" i="30"/>
  <c r="F138" i="30"/>
  <c r="F130" i="30"/>
  <c r="F110" i="30"/>
  <c r="F103" i="30"/>
  <c r="F77" i="30"/>
  <c r="F73" i="30"/>
  <c r="F118" i="30"/>
  <c r="F64" i="30"/>
  <c r="F60" i="30"/>
  <c r="F56" i="30"/>
  <c r="F52" i="30"/>
  <c r="F48" i="30"/>
  <c r="F44" i="30"/>
  <c r="F147" i="30"/>
  <c r="F144" i="30"/>
  <c r="F127" i="30"/>
  <c r="F124" i="30"/>
  <c r="F114" i="30"/>
  <c r="F107" i="30"/>
  <c r="F87" i="30"/>
  <c r="F83" i="30"/>
  <c r="F141" i="30"/>
  <c r="F104" i="30"/>
  <c r="F78" i="30"/>
  <c r="F74" i="30"/>
  <c r="F70" i="30"/>
  <c r="F69" i="30"/>
  <c r="F139" i="30"/>
  <c r="F136" i="30"/>
  <c r="F131" i="30"/>
  <c r="F97" i="30"/>
  <c r="F68" i="30"/>
  <c r="F66" i="30"/>
  <c r="F61" i="30"/>
  <c r="F57" i="30"/>
  <c r="F53" i="30"/>
  <c r="F49" i="30"/>
  <c r="F45" i="30"/>
  <c r="F156" i="30"/>
  <c r="F128" i="30"/>
  <c r="F125" i="30"/>
  <c r="F122" i="30"/>
  <c r="F88" i="30"/>
  <c r="F84" i="30"/>
  <c r="F80" i="30"/>
  <c r="F79" i="30"/>
  <c r="D66" i="30"/>
  <c r="F71" i="30"/>
  <c r="F46" i="30"/>
  <c r="F119" i="30"/>
  <c r="F50" i="30"/>
  <c r="F134" i="30"/>
  <c r="F108" i="30"/>
  <c r="F54" i="30"/>
  <c r="F58" i="30"/>
  <c r="F62" i="30"/>
  <c r="F105" i="30"/>
  <c r="F94" i="30"/>
  <c r="F75" i="30"/>
  <c r="F98" i="30"/>
  <c r="F142" i="30"/>
  <c r="T154" i="30"/>
  <c r="T318" i="3"/>
  <c r="Z195" i="3"/>
  <c r="V195" i="3"/>
  <c r="F254" i="15"/>
  <c r="P99" i="9"/>
  <c r="X16" i="9"/>
  <c r="H27" i="111"/>
  <c r="N18" i="111"/>
  <c r="L18" i="49"/>
  <c r="D27" i="49"/>
  <c r="H27" i="53"/>
  <c r="N18" i="53"/>
  <c r="T27" i="52"/>
  <c r="Z18" i="52"/>
  <c r="H27" i="50"/>
  <c r="N18" i="50"/>
  <c r="H27" i="46"/>
  <c r="N18" i="46"/>
  <c r="X18" i="44"/>
  <c r="P27" i="44"/>
  <c r="H27" i="44"/>
  <c r="N18" i="44"/>
  <c r="H27" i="35"/>
  <c r="N18" i="35"/>
  <c r="L18" i="29"/>
  <c r="D27" i="29"/>
  <c r="T27" i="19"/>
  <c r="Z18" i="19"/>
  <c r="L63" i="103"/>
  <c r="N63" i="103" s="1"/>
  <c r="D67" i="103"/>
  <c r="T124" i="27"/>
  <c r="F325" i="3"/>
  <c r="F324" i="3"/>
  <c r="F310" i="3"/>
  <c r="F299" i="3"/>
  <c r="F291" i="3"/>
  <c r="F287" i="3"/>
  <c r="F283" i="3"/>
  <c r="F267" i="3"/>
  <c r="F266" i="3"/>
  <c r="F219" i="3"/>
  <c r="F215" i="3"/>
  <c r="F211" i="3"/>
  <c r="L12" i="3"/>
  <c r="N12" i="3" s="1"/>
  <c r="F297" i="3"/>
  <c r="F311" i="3"/>
  <c r="F262" i="3"/>
  <c r="F261" i="3"/>
  <c r="F250" i="3"/>
  <c r="F249" i="3"/>
  <c r="F242" i="3"/>
  <c r="F241" i="3"/>
  <c r="F234" i="3"/>
  <c r="F206" i="3"/>
  <c r="F202" i="3"/>
  <c r="D195" i="3"/>
  <c r="F226" i="3"/>
  <c r="F214" i="3"/>
  <c r="F209" i="3"/>
  <c r="F312" i="3"/>
  <c r="F293" i="3"/>
  <c r="F292" i="3"/>
  <c r="F277" i="3"/>
  <c r="F273" i="3"/>
  <c r="F229" i="3"/>
  <c r="F221" i="3"/>
  <c r="F220" i="3"/>
  <c r="F193" i="3"/>
  <c r="F189" i="3"/>
  <c r="F185" i="3"/>
  <c r="F181" i="3"/>
  <c r="F177" i="3"/>
  <c r="F173" i="3"/>
  <c r="F169" i="3"/>
  <c r="F165" i="3"/>
  <c r="F161" i="3"/>
  <c r="F157" i="3"/>
  <c r="F153" i="3"/>
  <c r="F149" i="3"/>
  <c r="F145" i="3"/>
  <c r="F141" i="3"/>
  <c r="F137" i="3"/>
  <c r="F286" i="3"/>
  <c r="F281" i="3"/>
  <c r="F270" i="3"/>
  <c r="F313" i="3"/>
  <c r="F300" i="3"/>
  <c r="F288" i="3"/>
  <c r="F284" i="3"/>
  <c r="F268" i="3"/>
  <c r="F252" i="3"/>
  <c r="F251" i="3"/>
  <c r="F244" i="3"/>
  <c r="F243" i="3"/>
  <c r="F236" i="3"/>
  <c r="F235" i="3"/>
  <c r="F216" i="3"/>
  <c r="F212" i="3"/>
  <c r="F213" i="3"/>
  <c r="F314" i="3"/>
  <c r="F279" i="3"/>
  <c r="F278" i="3"/>
  <c r="F263" i="3"/>
  <c r="F223" i="3"/>
  <c r="F222" i="3"/>
  <c r="F207" i="3"/>
  <c r="F203" i="3"/>
  <c r="F199" i="3"/>
  <c r="F198" i="3"/>
  <c r="F315" i="3"/>
  <c r="F302" i="3"/>
  <c r="F301" i="3"/>
  <c r="F294" i="3"/>
  <c r="F274" i="3"/>
  <c r="F254" i="3"/>
  <c r="F253" i="3"/>
  <c r="F230" i="3"/>
  <c r="F197" i="3"/>
  <c r="F195" i="3"/>
  <c r="F190" i="3"/>
  <c r="F186" i="3"/>
  <c r="F182" i="3"/>
  <c r="F178" i="3"/>
  <c r="F174" i="3"/>
  <c r="F170" i="3"/>
  <c r="F166" i="3"/>
  <c r="F162" i="3"/>
  <c r="F158" i="3"/>
  <c r="F154" i="3"/>
  <c r="F150" i="3"/>
  <c r="F146" i="3"/>
  <c r="F142" i="3"/>
  <c r="F138" i="3"/>
  <c r="F134" i="3"/>
  <c r="F133" i="3"/>
  <c r="F217" i="3"/>
  <c r="F257" i="3"/>
  <c r="F316" i="3"/>
  <c r="F289" i="3"/>
  <c r="F285" i="3"/>
  <c r="F269" i="3"/>
  <c r="F245" i="3"/>
  <c r="F237" i="3"/>
  <c r="F290" i="3"/>
  <c r="F238" i="3"/>
  <c r="F305" i="3"/>
  <c r="F296" i="3"/>
  <c r="F295" i="3"/>
  <c r="F280" i="3"/>
  <c r="F264" i="3"/>
  <c r="F256" i="3"/>
  <c r="F255" i="3"/>
  <c r="F224" i="3"/>
  <c r="F208" i="3"/>
  <c r="F204" i="3"/>
  <c r="F200" i="3"/>
  <c r="F307" i="3"/>
  <c r="F282" i="3"/>
  <c r="F225" i="3"/>
  <c r="F210" i="3"/>
  <c r="F306" i="3"/>
  <c r="F304" i="3"/>
  <c r="F275" i="3"/>
  <c r="F247" i="3"/>
  <c r="F246" i="3"/>
  <c r="F231" i="3"/>
  <c r="F191" i="3"/>
  <c r="F187" i="3"/>
  <c r="F183" i="3"/>
  <c r="F179" i="3"/>
  <c r="F175" i="3"/>
  <c r="F171" i="3"/>
  <c r="F167" i="3"/>
  <c r="F163" i="3"/>
  <c r="F159" i="3"/>
  <c r="F155" i="3"/>
  <c r="F151" i="3"/>
  <c r="F147" i="3"/>
  <c r="F143" i="3"/>
  <c r="F139" i="3"/>
  <c r="F135" i="3"/>
  <c r="F320" i="3"/>
  <c r="F298" i="3"/>
  <c r="F258" i="3"/>
  <c r="F218" i="3"/>
  <c r="F184" i="3"/>
  <c r="F136" i="3"/>
  <c r="F276" i="3"/>
  <c r="F271" i="3"/>
  <c r="F188" i="3"/>
  <c r="F140" i="3"/>
  <c r="F180" i="3"/>
  <c r="F176" i="3"/>
  <c r="F168" i="3"/>
  <c r="F205" i="3"/>
  <c r="F227" i="3"/>
  <c r="F172" i="3"/>
  <c r="F259" i="3"/>
  <c r="F240" i="3"/>
  <c r="F156" i="3"/>
  <c r="F260" i="3"/>
  <c r="F164" i="3"/>
  <c r="F308" i="3"/>
  <c r="F272" i="3"/>
  <c r="F265" i="3"/>
  <c r="F248" i="3"/>
  <c r="F233" i="3"/>
  <c r="F160" i="3"/>
  <c r="F152" i="3"/>
  <c r="F239" i="3"/>
  <c r="F309" i="3"/>
  <c r="F148" i="3"/>
  <c r="F228" i="3"/>
  <c r="F144" i="3"/>
  <c r="F232" i="3"/>
  <c r="F201" i="3"/>
  <c r="F192" i="3"/>
  <c r="H27" i="37"/>
  <c r="N18" i="37"/>
  <c r="X18" i="13"/>
  <c r="P27" i="13"/>
  <c r="T32" i="86"/>
  <c r="R19" i="83"/>
  <c r="X12" i="83"/>
  <c r="Z12" i="83" s="1"/>
  <c r="R20" i="83"/>
  <c r="R26" i="83"/>
  <c r="R24" i="83"/>
  <c r="R22" i="83"/>
  <c r="P22" i="83"/>
  <c r="R30" i="83"/>
  <c r="R17" i="83"/>
  <c r="R18" i="83"/>
  <c r="R119" i="36"/>
  <c r="R103" i="36"/>
  <c r="R84" i="36"/>
  <c r="R83" i="36"/>
  <c r="R59" i="36"/>
  <c r="R43" i="36"/>
  <c r="R39" i="36"/>
  <c r="R35" i="36"/>
  <c r="P31" i="36"/>
  <c r="R127" i="36"/>
  <c r="R126" i="36"/>
  <c r="R114" i="36"/>
  <c r="R110" i="36"/>
  <c r="R99" i="36"/>
  <c r="R98" i="36"/>
  <c r="R75" i="36"/>
  <c r="R74" i="36"/>
  <c r="R66" i="36"/>
  <c r="R93" i="36"/>
  <c r="R86" i="36"/>
  <c r="R85" i="36"/>
  <c r="R53" i="36"/>
  <c r="R49" i="36"/>
  <c r="R26" i="36"/>
  <c r="R128" i="36"/>
  <c r="R121" i="36"/>
  <c r="R120" i="36"/>
  <c r="R105" i="36"/>
  <c r="R104" i="36"/>
  <c r="R100" i="36"/>
  <c r="R77" i="36"/>
  <c r="R76" i="36"/>
  <c r="R61" i="36"/>
  <c r="R60" i="36"/>
  <c r="R45" i="36"/>
  <c r="R44" i="36"/>
  <c r="R40" i="36"/>
  <c r="R36" i="36"/>
  <c r="R131" i="36"/>
  <c r="R130" i="36"/>
  <c r="R115" i="36"/>
  <c r="R111" i="36"/>
  <c r="R88" i="36"/>
  <c r="R87" i="36"/>
  <c r="R68" i="36"/>
  <c r="R67" i="36"/>
  <c r="R27" i="36"/>
  <c r="R132" i="36"/>
  <c r="R123" i="36"/>
  <c r="R122" i="36"/>
  <c r="R107" i="36"/>
  <c r="R106" i="36"/>
  <c r="R95" i="36"/>
  <c r="R94" i="36"/>
  <c r="R78" i="36"/>
  <c r="R63" i="36"/>
  <c r="R62" i="36"/>
  <c r="R54" i="36"/>
  <c r="R50" i="36"/>
  <c r="R46" i="36"/>
  <c r="R133" i="36"/>
  <c r="R101" i="36"/>
  <c r="R90" i="36"/>
  <c r="R89" i="36"/>
  <c r="R69" i="36"/>
  <c r="R41" i="36"/>
  <c r="R37" i="36"/>
  <c r="R134" i="36"/>
  <c r="R124" i="36"/>
  <c r="R116" i="36"/>
  <c r="R112" i="36"/>
  <c r="R108" i="36"/>
  <c r="R96" i="36"/>
  <c r="R64" i="36"/>
  <c r="R28" i="36"/>
  <c r="R91" i="36"/>
  <c r="R80" i="36"/>
  <c r="R79" i="36"/>
  <c r="R56" i="36"/>
  <c r="R55" i="36"/>
  <c r="R51" i="36"/>
  <c r="R47" i="36"/>
  <c r="R72" i="36"/>
  <c r="R118" i="36"/>
  <c r="R70" i="36"/>
  <c r="R34" i="36"/>
  <c r="R138" i="36"/>
  <c r="R109" i="36"/>
  <c r="R97" i="36"/>
  <c r="R31" i="36"/>
  <c r="R81" i="36"/>
  <c r="R57" i="36"/>
  <c r="R71" i="36"/>
  <c r="R42" i="36"/>
  <c r="R38" i="36"/>
  <c r="X12" i="36"/>
  <c r="Z12" i="36" s="1"/>
  <c r="R113" i="36"/>
  <c r="R73" i="36"/>
  <c r="R65" i="36"/>
  <c r="R29" i="36"/>
  <c r="R92" i="36"/>
  <c r="R48" i="36"/>
  <c r="R117" i="36"/>
  <c r="R102" i="36"/>
  <c r="R82" i="36"/>
  <c r="R58" i="36"/>
  <c r="R33" i="36"/>
  <c r="R125" i="36"/>
  <c r="R52" i="36"/>
  <c r="N16" i="107"/>
  <c r="H22" i="107"/>
  <c r="D70" i="110"/>
  <c r="L17" i="110"/>
  <c r="N17" i="110" s="1"/>
  <c r="F17" i="110"/>
  <c r="V17" i="110"/>
  <c r="F90" i="108"/>
  <c r="F81" i="108"/>
  <c r="F77" i="108"/>
  <c r="F45" i="108"/>
  <c r="F41" i="108"/>
  <c r="D23" i="108"/>
  <c r="F23" i="108" s="1"/>
  <c r="F94" i="108"/>
  <c r="F72" i="108"/>
  <c r="F71" i="108"/>
  <c r="F64" i="108"/>
  <c r="F63" i="108"/>
  <c r="F52" i="108"/>
  <c r="F36" i="108"/>
  <c r="F32" i="108"/>
  <c r="F28" i="108"/>
  <c r="L12" i="108"/>
  <c r="N12" i="108" s="1"/>
  <c r="F83" i="108"/>
  <c r="F82" i="108"/>
  <c r="F19" i="108"/>
  <c r="F18" i="108"/>
  <c r="F78" i="108"/>
  <c r="F66" i="108"/>
  <c r="F65" i="108"/>
  <c r="F54" i="108"/>
  <c r="F53" i="108"/>
  <c r="F46" i="108"/>
  <c r="F42" i="108"/>
  <c r="F38" i="108"/>
  <c r="F37" i="108"/>
  <c r="F87" i="108"/>
  <c r="F86" i="108"/>
  <c r="F79" i="108"/>
  <c r="F47" i="108"/>
  <c r="F43" i="108"/>
  <c r="F39" i="108"/>
  <c r="F74" i="108"/>
  <c r="F58" i="108"/>
  <c r="F69" i="108"/>
  <c r="F49" i="108"/>
  <c r="F48" i="108"/>
  <c r="F21" i="108"/>
  <c r="F85" i="108"/>
  <c r="F35" i="108"/>
  <c r="F33" i="108"/>
  <c r="F29" i="108"/>
  <c r="F27" i="108"/>
  <c r="F80" i="108"/>
  <c r="F57" i="108"/>
  <c r="F31" i="108"/>
  <c r="F20" i="108"/>
  <c r="F60" i="108"/>
  <c r="F40" i="108"/>
  <c r="F88" i="108"/>
  <c r="F70" i="108"/>
  <c r="F68" i="108"/>
  <c r="F50" i="108"/>
  <c r="F25" i="108"/>
  <c r="F61" i="108"/>
  <c r="F55" i="108"/>
  <c r="F34" i="108"/>
  <c r="F84" i="108"/>
  <c r="F75" i="108"/>
  <c r="F73" i="108"/>
  <c r="F30" i="108"/>
  <c r="F26" i="108"/>
  <c r="F59" i="108"/>
  <c r="F67" i="108"/>
  <c r="F44" i="108"/>
  <c r="F76" i="108"/>
  <c r="F62" i="108"/>
  <c r="F56" i="108"/>
  <c r="F51" i="108"/>
  <c r="Z16" i="109"/>
  <c r="T46" i="109"/>
  <c r="H93" i="106"/>
  <c r="P63" i="105"/>
  <c r="X23" i="105"/>
  <c r="Z23" i="105" s="1"/>
  <c r="R23" i="105"/>
  <c r="J91" i="102"/>
  <c r="R22" i="101"/>
  <c r="F23" i="98"/>
  <c r="R44" i="96"/>
  <c r="R40" i="96"/>
  <c r="R36" i="96"/>
  <c r="R17" i="96"/>
  <c r="R95" i="96"/>
  <c r="R76" i="96"/>
  <c r="R75" i="96"/>
  <c r="R71" i="96"/>
  <c r="R64" i="96"/>
  <c r="R63" i="96"/>
  <c r="R31" i="96"/>
  <c r="R27" i="96"/>
  <c r="R97" i="96"/>
  <c r="R87" i="96"/>
  <c r="R86" i="96"/>
  <c r="R82" i="96"/>
  <c r="R54" i="96"/>
  <c r="R78" i="96"/>
  <c r="R77" i="96"/>
  <c r="R66" i="96"/>
  <c r="R65" i="96"/>
  <c r="R46" i="96"/>
  <c r="R45" i="96"/>
  <c r="R41" i="96"/>
  <c r="R37" i="96"/>
  <c r="R89" i="96"/>
  <c r="R88" i="96"/>
  <c r="R72" i="96"/>
  <c r="R91" i="96"/>
  <c r="R90" i="96"/>
  <c r="R42" i="96"/>
  <c r="R38" i="96"/>
  <c r="R92" i="96"/>
  <c r="R84" i="96"/>
  <c r="R80" i="96"/>
  <c r="R68" i="96"/>
  <c r="R25" i="96"/>
  <c r="R81" i="96"/>
  <c r="R79" i="96"/>
  <c r="R50" i="96"/>
  <c r="R85" i="96"/>
  <c r="R83" i="96"/>
  <c r="R74" i="96"/>
  <c r="R70" i="96"/>
  <c r="R60" i="96"/>
  <c r="R57" i="96"/>
  <c r="R26" i="96"/>
  <c r="R47" i="96"/>
  <c r="R58" i="96"/>
  <c r="R29" i="96"/>
  <c r="P22" i="96"/>
  <c r="X12" i="96"/>
  <c r="Z12" i="96" s="1"/>
  <c r="R53" i="96"/>
  <c r="R48" i="96"/>
  <c r="R18" i="96"/>
  <c r="R55" i="96"/>
  <c r="R51" i="96"/>
  <c r="R43" i="96"/>
  <c r="R34" i="96"/>
  <c r="R24" i="96"/>
  <c r="R93" i="96"/>
  <c r="R73" i="96"/>
  <c r="R61" i="96"/>
  <c r="R39" i="96"/>
  <c r="R32" i="96"/>
  <c r="R59" i="96"/>
  <c r="R35" i="96"/>
  <c r="R62" i="96"/>
  <c r="R33" i="96"/>
  <c r="R49" i="96"/>
  <c r="R28" i="96"/>
  <c r="R101" i="96"/>
  <c r="R30" i="96"/>
  <c r="R19" i="96"/>
  <c r="R67" i="96"/>
  <c r="R52" i="96"/>
  <c r="R69" i="96"/>
  <c r="R94" i="96"/>
  <c r="R20" i="96"/>
  <c r="R56" i="96"/>
  <c r="X16" i="92"/>
  <c r="P93" i="92"/>
  <c r="R34" i="86"/>
  <c r="R23" i="86"/>
  <c r="R18" i="86"/>
  <c r="R22" i="86"/>
  <c r="R20" i="86"/>
  <c r="R25" i="86"/>
  <c r="R24" i="86"/>
  <c r="P20" i="86"/>
  <c r="R27" i="86"/>
  <c r="R26" i="86"/>
  <c r="R28" i="86"/>
  <c r="X12" i="86"/>
  <c r="Z12" i="86" s="1"/>
  <c r="R16" i="86"/>
  <c r="R30" i="86"/>
  <c r="R17" i="86"/>
  <c r="F22" i="81"/>
  <c r="T87" i="76"/>
  <c r="V29" i="76"/>
  <c r="L22" i="70"/>
  <c r="N22" i="70" s="1"/>
  <c r="D77" i="70"/>
  <c r="H66" i="61"/>
  <c r="X16" i="58"/>
  <c r="P76" i="58"/>
  <c r="D76" i="58"/>
  <c r="L16" i="58"/>
  <c r="P77" i="57"/>
  <c r="X16" i="57"/>
  <c r="F101" i="33"/>
  <c r="F90" i="33"/>
  <c r="F89" i="33"/>
  <c r="F66" i="33"/>
  <c r="F65" i="33"/>
  <c r="F58" i="33"/>
  <c r="F54" i="33"/>
  <c r="F102" i="33"/>
  <c r="F85" i="33"/>
  <c r="F77" i="33"/>
  <c r="F76" i="33"/>
  <c r="F49" i="33"/>
  <c r="F45" i="33"/>
  <c r="F41" i="33"/>
  <c r="F40" i="33"/>
  <c r="F68" i="33"/>
  <c r="F67" i="33"/>
  <c r="F39" i="33"/>
  <c r="F37" i="33"/>
  <c r="F32" i="33"/>
  <c r="F91" i="33"/>
  <c r="F79" i="33"/>
  <c r="F78" i="33"/>
  <c r="F59" i="33"/>
  <c r="F55" i="33"/>
  <c r="F51" i="33"/>
  <c r="F50" i="33"/>
  <c r="D37" i="33"/>
  <c r="F106" i="33"/>
  <c r="F86" i="33"/>
  <c r="F70" i="33"/>
  <c r="F69" i="33"/>
  <c r="F46" i="33"/>
  <c r="F42" i="33"/>
  <c r="F72" i="33"/>
  <c r="F71" i="33"/>
  <c r="F60" i="33"/>
  <c r="F56" i="33"/>
  <c r="F52" i="33"/>
  <c r="F96" i="33"/>
  <c r="F87" i="33"/>
  <c r="F47" i="33"/>
  <c r="F43" i="33"/>
  <c r="F97" i="33"/>
  <c r="F95" i="33"/>
  <c r="F82" i="33"/>
  <c r="F62" i="33"/>
  <c r="F61" i="33"/>
  <c r="F34" i="33"/>
  <c r="F93" i="33"/>
  <c r="F88" i="33"/>
  <c r="F75" i="33"/>
  <c r="F63" i="33"/>
  <c r="F84" i="33"/>
  <c r="F80" i="33"/>
  <c r="F30" i="33"/>
  <c r="F35" i="33"/>
  <c r="F33" i="33"/>
  <c r="F99" i="33"/>
  <c r="F73" i="33"/>
  <c r="F44" i="33"/>
  <c r="F57" i="33"/>
  <c r="F48" i="33"/>
  <c r="F31" i="33"/>
  <c r="F83" i="33"/>
  <c r="F81" i="33"/>
  <c r="F64" i="33"/>
  <c r="F74" i="33"/>
  <c r="F92" i="33"/>
  <c r="L12" i="33"/>
  <c r="N12" i="33" s="1"/>
  <c r="F100" i="33"/>
  <c r="F53" i="33"/>
  <c r="F98" i="33"/>
  <c r="L31" i="36"/>
  <c r="N31" i="36" s="1"/>
  <c r="D136" i="36"/>
  <c r="J76" i="24"/>
  <c r="F127" i="24"/>
  <c r="F126" i="24"/>
  <c r="F119" i="24"/>
  <c r="F118" i="24"/>
  <c r="F99" i="24"/>
  <c r="F95" i="24"/>
  <c r="F91" i="24"/>
  <c r="F110" i="24"/>
  <c r="F109" i="24"/>
  <c r="F86" i="24"/>
  <c r="F82" i="24"/>
  <c r="F129" i="24"/>
  <c r="F128" i="24"/>
  <c r="F101" i="24"/>
  <c r="F100" i="24"/>
  <c r="F73" i="24"/>
  <c r="F69" i="24"/>
  <c r="F65" i="24"/>
  <c r="F61" i="24"/>
  <c r="F57" i="24"/>
  <c r="F53" i="24"/>
  <c r="F120" i="24"/>
  <c r="F112" i="24"/>
  <c r="F111" i="24"/>
  <c r="F96" i="24"/>
  <c r="F92" i="24"/>
  <c r="L12" i="24"/>
  <c r="N12" i="24" s="1"/>
  <c r="F103" i="24"/>
  <c r="F102" i="24"/>
  <c r="F87" i="24"/>
  <c r="F83" i="24"/>
  <c r="F131" i="24"/>
  <c r="F122" i="24"/>
  <c r="F121" i="24"/>
  <c r="F114" i="24"/>
  <c r="F113" i="24"/>
  <c r="F74" i="24"/>
  <c r="F70" i="24"/>
  <c r="F66" i="24"/>
  <c r="F62" i="24"/>
  <c r="F58" i="24"/>
  <c r="F54" i="24"/>
  <c r="F135" i="24"/>
  <c r="F105" i="24"/>
  <c r="F104" i="24"/>
  <c r="F97" i="24"/>
  <c r="F93" i="24"/>
  <c r="F124" i="24"/>
  <c r="F123" i="24"/>
  <c r="F116" i="24"/>
  <c r="F115" i="24"/>
  <c r="F88" i="24"/>
  <c r="F84" i="24"/>
  <c r="F80" i="24"/>
  <c r="F79" i="24"/>
  <c r="F78" i="24"/>
  <c r="F71" i="24"/>
  <c r="F67" i="24"/>
  <c r="F63" i="24"/>
  <c r="F59" i="24"/>
  <c r="F55" i="24"/>
  <c r="F51" i="24"/>
  <c r="F50" i="24"/>
  <c r="F106" i="24"/>
  <c r="F98" i="24"/>
  <c r="F94" i="24"/>
  <c r="F90" i="24"/>
  <c r="F89" i="24"/>
  <c r="D76" i="24"/>
  <c r="F56" i="24"/>
  <c r="F52" i="24"/>
  <c r="F108" i="24"/>
  <c r="F60" i="24"/>
  <c r="F81" i="24"/>
  <c r="F64" i="24"/>
  <c r="F68" i="24"/>
  <c r="F117" i="24"/>
  <c r="F72" i="24"/>
  <c r="F107" i="24"/>
  <c r="F125" i="24"/>
  <c r="F85" i="24"/>
  <c r="T265" i="15"/>
  <c r="L18" i="112"/>
  <c r="D27" i="112"/>
  <c r="T27" i="50"/>
  <c r="Z18" i="50"/>
  <c r="T27" i="46"/>
  <c r="Z18" i="46"/>
  <c r="X18" i="38"/>
  <c r="P27" i="38"/>
  <c r="X18" i="35"/>
  <c r="P27" i="35"/>
  <c r="X18" i="34"/>
  <c r="P27" i="34"/>
  <c r="H27" i="38"/>
  <c r="N18" i="38"/>
  <c r="L18" i="35"/>
  <c r="D27" i="35"/>
  <c r="T27" i="31"/>
  <c r="Z18" i="31"/>
  <c r="X18" i="28"/>
  <c r="P27" i="28"/>
  <c r="N18" i="32"/>
  <c r="H27" i="32"/>
  <c r="T27" i="25"/>
  <c r="Z18" i="25"/>
  <c r="H27" i="14"/>
  <c r="N18" i="14"/>
  <c r="H27" i="5"/>
  <c r="N18" i="5"/>
  <c r="T27" i="5"/>
  <c r="Z18" i="5"/>
  <c r="Z18" i="10"/>
  <c r="T27" i="10"/>
  <c r="R70" i="102"/>
  <c r="R93" i="102"/>
  <c r="R81" i="102"/>
  <c r="R76" i="102"/>
  <c r="R64" i="102"/>
  <c r="R83" i="102"/>
  <c r="R82" i="102"/>
  <c r="R77" i="102"/>
  <c r="R73" i="102"/>
  <c r="R66" i="102"/>
  <c r="R65" i="102"/>
  <c r="R58" i="102"/>
  <c r="R57" i="102"/>
  <c r="R85" i="102"/>
  <c r="R84" i="102"/>
  <c r="R67" i="102"/>
  <c r="R60" i="102"/>
  <c r="R59" i="102"/>
  <c r="R86" i="102"/>
  <c r="R78" i="102"/>
  <c r="R74" i="102"/>
  <c r="R47" i="102"/>
  <c r="R46" i="102"/>
  <c r="R42" i="102"/>
  <c r="R38" i="102"/>
  <c r="R79" i="102"/>
  <c r="R69" i="102"/>
  <c r="R54" i="102"/>
  <c r="R33" i="102"/>
  <c r="R29" i="102"/>
  <c r="R71" i="102"/>
  <c r="R49" i="102"/>
  <c r="R48" i="102"/>
  <c r="R20" i="102"/>
  <c r="R89" i="102"/>
  <c r="R63" i="102"/>
  <c r="R43" i="102"/>
  <c r="R39" i="102"/>
  <c r="R80" i="102"/>
  <c r="R26" i="102"/>
  <c r="R21" i="102"/>
  <c r="R61" i="102"/>
  <c r="R55" i="102"/>
  <c r="R52" i="102"/>
  <c r="R44" i="102"/>
  <c r="R40" i="102"/>
  <c r="R25" i="102"/>
  <c r="R23" i="102"/>
  <c r="R72" i="102"/>
  <c r="R36" i="102"/>
  <c r="R35" i="102"/>
  <c r="R88" i="102"/>
  <c r="R68" i="102"/>
  <c r="R62" i="102"/>
  <c r="R56" i="102"/>
  <c r="R45" i="102"/>
  <c r="R41" i="102"/>
  <c r="R37" i="102"/>
  <c r="R18" i="102"/>
  <c r="R31" i="102"/>
  <c r="P23" i="102"/>
  <c r="R27" i="102"/>
  <c r="X12" i="102"/>
  <c r="Z12" i="102" s="1"/>
  <c r="R34" i="102"/>
  <c r="R32" i="102"/>
  <c r="R30" i="102"/>
  <c r="R53" i="102"/>
  <c r="R51" i="102"/>
  <c r="R19" i="102"/>
  <c r="R75" i="102"/>
  <c r="R50" i="102"/>
  <c r="R28" i="102"/>
  <c r="T27" i="37"/>
  <c r="Z18" i="37"/>
  <c r="X18" i="32"/>
  <c r="P27" i="32"/>
  <c r="H75" i="101"/>
  <c r="N22" i="101"/>
  <c r="P27" i="8"/>
  <c r="X18" i="8"/>
  <c r="D43" i="99"/>
  <c r="L18" i="99"/>
  <c r="H74" i="110"/>
  <c r="P92" i="104"/>
  <c r="X23" i="104"/>
  <c r="Z23" i="104" s="1"/>
  <c r="H86" i="95"/>
  <c r="X22" i="88"/>
  <c r="Z22" i="88" s="1"/>
  <c r="P95" i="88"/>
  <c r="R22" i="88"/>
  <c r="F79" i="89"/>
  <c r="F78" i="89"/>
  <c r="F67" i="89"/>
  <c r="F35" i="89"/>
  <c r="F31" i="89"/>
  <c r="F62" i="89"/>
  <c r="F54" i="89"/>
  <c r="F53" i="89"/>
  <c r="F63" i="89"/>
  <c r="F55" i="89"/>
  <c r="F83" i="89"/>
  <c r="F74" i="89"/>
  <c r="F70" i="89"/>
  <c r="F46" i="89"/>
  <c r="F42" i="89"/>
  <c r="F38" i="89"/>
  <c r="F87" i="89"/>
  <c r="F65" i="89"/>
  <c r="F64" i="89"/>
  <c r="F57" i="89"/>
  <c r="F56" i="89"/>
  <c r="F33" i="89"/>
  <c r="F29" i="89"/>
  <c r="F71" i="89"/>
  <c r="F59" i="89"/>
  <c r="F58" i="89"/>
  <c r="F43" i="89"/>
  <c r="F39" i="89"/>
  <c r="F77" i="89"/>
  <c r="F61" i="89"/>
  <c r="F60" i="89"/>
  <c r="F40" i="89"/>
  <c r="F52" i="89"/>
  <c r="F47" i="89"/>
  <c r="F26" i="89"/>
  <c r="F25" i="89"/>
  <c r="D23" i="89"/>
  <c r="L12" i="89"/>
  <c r="N12" i="89" s="1"/>
  <c r="F69" i="89"/>
  <c r="F36" i="89"/>
  <c r="F34" i="89"/>
  <c r="F27" i="89"/>
  <c r="F19" i="89"/>
  <c r="F18" i="89"/>
  <c r="F75" i="89"/>
  <c r="F73" i="89"/>
  <c r="F50" i="89"/>
  <c r="F45" i="89"/>
  <c r="F30" i="89"/>
  <c r="F48" i="89"/>
  <c r="F41" i="89"/>
  <c r="F32" i="89"/>
  <c r="F20" i="89"/>
  <c r="F80" i="89"/>
  <c r="F68" i="89"/>
  <c r="F66" i="89"/>
  <c r="F21" i="89"/>
  <c r="F49" i="89"/>
  <c r="F44" i="89"/>
  <c r="F72" i="89"/>
  <c r="F76" i="89"/>
  <c r="F37" i="89"/>
  <c r="F28" i="89"/>
  <c r="F81" i="89"/>
  <c r="F51" i="89"/>
  <c r="P96" i="84"/>
  <c r="X22" i="84"/>
  <c r="Z22" i="84" s="1"/>
  <c r="L22" i="80"/>
  <c r="N22" i="80" s="1"/>
  <c r="D81" i="80"/>
  <c r="H81" i="80"/>
  <c r="J59" i="71"/>
  <c r="T124" i="71"/>
  <c r="F26" i="83"/>
  <c r="F24" i="83"/>
  <c r="F30" i="83"/>
  <c r="D22" i="83"/>
  <c r="F18" i="83"/>
  <c r="F17" i="83"/>
  <c r="F19" i="83"/>
  <c r="L12" i="83"/>
  <c r="N12" i="83" s="1"/>
  <c r="F20" i="83"/>
  <c r="Z16" i="64"/>
  <c r="T107" i="64"/>
  <c r="X16" i="61"/>
  <c r="P62" i="61"/>
  <c r="H120" i="69"/>
  <c r="Z16" i="58"/>
  <c r="T76" i="58"/>
  <c r="X70" i="48"/>
  <c r="Z70" i="48" s="1"/>
  <c r="P74" i="48"/>
  <c r="D22" i="6"/>
  <c r="L16" i="6"/>
  <c r="R267" i="12"/>
  <c r="X18" i="113"/>
  <c r="P27" i="113"/>
  <c r="X18" i="111"/>
  <c r="P27" i="111"/>
  <c r="Z18" i="111"/>
  <c r="T27" i="111"/>
  <c r="L18" i="53"/>
  <c r="D27" i="53"/>
  <c r="T27" i="35"/>
  <c r="Z18" i="35"/>
  <c r="H27" i="40"/>
  <c r="N18" i="40"/>
  <c r="L18" i="34"/>
  <c r="D27" i="34"/>
  <c r="D27" i="28"/>
  <c r="L18" i="28"/>
  <c r="X18" i="20"/>
  <c r="P27" i="20"/>
  <c r="X18" i="19"/>
  <c r="P27" i="19"/>
  <c r="L18" i="20"/>
  <c r="D27" i="20"/>
  <c r="H27" i="7"/>
  <c r="N18" i="7"/>
  <c r="X16" i="107"/>
  <c r="P22" i="107"/>
  <c r="H75" i="79"/>
  <c r="R104" i="24"/>
  <c r="R103" i="24"/>
  <c r="R87" i="24"/>
  <c r="R83" i="24"/>
  <c r="R123" i="24"/>
  <c r="R122" i="24"/>
  <c r="R115" i="24"/>
  <c r="R114" i="24"/>
  <c r="R79" i="24"/>
  <c r="R74" i="24"/>
  <c r="R70" i="24"/>
  <c r="R66" i="24"/>
  <c r="R62" i="24"/>
  <c r="R58" i="24"/>
  <c r="R54" i="24"/>
  <c r="R135" i="24"/>
  <c r="R105" i="24"/>
  <c r="R97" i="24"/>
  <c r="R93" i="24"/>
  <c r="R78" i="24"/>
  <c r="R76" i="24"/>
  <c r="R50" i="24"/>
  <c r="R124" i="24"/>
  <c r="R116" i="24"/>
  <c r="R89" i="24"/>
  <c r="R88" i="24"/>
  <c r="R84" i="24"/>
  <c r="R80" i="24"/>
  <c r="P76" i="24"/>
  <c r="R71" i="24"/>
  <c r="R67" i="24"/>
  <c r="R63" i="24"/>
  <c r="R59" i="24"/>
  <c r="R55" i="24"/>
  <c r="R51" i="24"/>
  <c r="R107" i="24"/>
  <c r="R106" i="24"/>
  <c r="R98" i="24"/>
  <c r="R94" i="24"/>
  <c r="R90" i="24"/>
  <c r="R126" i="24"/>
  <c r="R125" i="24"/>
  <c r="R118" i="24"/>
  <c r="R117" i="24"/>
  <c r="R85" i="24"/>
  <c r="R81" i="24"/>
  <c r="R109" i="24"/>
  <c r="R108" i="24"/>
  <c r="R72" i="24"/>
  <c r="R68" i="24"/>
  <c r="R64" i="24"/>
  <c r="R60" i="24"/>
  <c r="R56" i="24"/>
  <c r="R52" i="24"/>
  <c r="R128" i="24"/>
  <c r="R127" i="24"/>
  <c r="R119" i="24"/>
  <c r="R100" i="24"/>
  <c r="R99" i="24"/>
  <c r="R95" i="24"/>
  <c r="R91" i="24"/>
  <c r="R111" i="24"/>
  <c r="R110" i="24"/>
  <c r="R86" i="24"/>
  <c r="R82" i="24"/>
  <c r="R120" i="24"/>
  <c r="R113" i="24"/>
  <c r="R101" i="24"/>
  <c r="R131" i="24"/>
  <c r="R57" i="24"/>
  <c r="R53" i="24"/>
  <c r="R121" i="24"/>
  <c r="R61" i="24"/>
  <c r="R65" i="24"/>
  <c r="X12" i="24"/>
  <c r="Z12" i="24" s="1"/>
  <c r="R92" i="24"/>
  <c r="R69" i="24"/>
  <c r="R129" i="24"/>
  <c r="R102" i="24"/>
  <c r="R96" i="24"/>
  <c r="R73" i="24"/>
  <c r="R112" i="24"/>
  <c r="V23" i="89"/>
  <c r="X16" i="56"/>
  <c r="P81" i="56"/>
  <c r="D22" i="107"/>
  <c r="L16" i="107"/>
  <c r="P46" i="109"/>
  <c r="X16" i="109"/>
  <c r="X17" i="110"/>
  <c r="Z17" i="110" s="1"/>
  <c r="P70" i="110"/>
  <c r="X23" i="108"/>
  <c r="Z23" i="108" s="1"/>
  <c r="P92" i="108"/>
  <c r="F18" i="99"/>
  <c r="T99" i="96"/>
  <c r="D97" i="92"/>
  <c r="T103" i="84"/>
  <c r="F22" i="80"/>
  <c r="T75" i="79"/>
  <c r="X69" i="68"/>
  <c r="P72" i="68"/>
  <c r="P71" i="59"/>
  <c r="X16" i="59"/>
  <c r="D111" i="64"/>
  <c r="N16" i="64"/>
  <c r="H107" i="64"/>
  <c r="L107" i="64" s="1"/>
  <c r="T33" i="55"/>
  <c r="Z16" i="55"/>
  <c r="F56" i="51"/>
  <c r="H70" i="48"/>
  <c r="J17" i="48"/>
  <c r="N16" i="54"/>
  <c r="H22" i="54"/>
  <c r="H129" i="42"/>
  <c r="T142" i="39"/>
  <c r="R258" i="15"/>
  <c r="R248" i="15"/>
  <c r="R240" i="15"/>
  <c r="R236" i="15"/>
  <c r="R224" i="15"/>
  <c r="R209" i="15"/>
  <c r="R208" i="15"/>
  <c r="R192" i="15"/>
  <c r="R152" i="15"/>
  <c r="R148" i="15"/>
  <c r="R144" i="15"/>
  <c r="R140" i="15"/>
  <c r="R136" i="15"/>
  <c r="R132" i="15"/>
  <c r="R128" i="15"/>
  <c r="R124" i="15"/>
  <c r="R120" i="15"/>
  <c r="R116" i="15"/>
  <c r="R112" i="15"/>
  <c r="R108" i="15"/>
  <c r="R259" i="15"/>
  <c r="R219" i="15"/>
  <c r="R200" i="15"/>
  <c r="R199" i="15"/>
  <c r="R179" i="15"/>
  <c r="R175" i="15"/>
  <c r="R104" i="15"/>
  <c r="R260" i="15"/>
  <c r="R261" i="15"/>
  <c r="R249" i="15"/>
  <c r="R242" i="15"/>
  <c r="R241" i="15"/>
  <c r="R237" i="15"/>
  <c r="R226" i="15"/>
  <c r="R225" i="15"/>
  <c r="R202" i="15"/>
  <c r="R201" i="15"/>
  <c r="R194" i="15"/>
  <c r="R193" i="15"/>
  <c r="R153" i="15"/>
  <c r="R149" i="15"/>
  <c r="R145" i="15"/>
  <c r="R141" i="15"/>
  <c r="R137" i="15"/>
  <c r="R133" i="15"/>
  <c r="R129" i="15"/>
  <c r="R125" i="15"/>
  <c r="R121" i="15"/>
  <c r="R117" i="15"/>
  <c r="R113" i="15"/>
  <c r="R109" i="15"/>
  <c r="R105" i="15"/>
  <c r="R262" i="15"/>
  <c r="R232" i="15"/>
  <c r="R221" i="15"/>
  <c r="R220" i="15"/>
  <c r="R213" i="15"/>
  <c r="R212" i="15"/>
  <c r="R189" i="15"/>
  <c r="R188" i="15"/>
  <c r="R180" i="15"/>
  <c r="R176" i="15"/>
  <c r="R172" i="15"/>
  <c r="X12" i="15"/>
  <c r="Z12" i="15" s="1"/>
  <c r="R263" i="15"/>
  <c r="R243" i="15"/>
  <c r="R227" i="15"/>
  <c r="R204" i="15"/>
  <c r="R203" i="15"/>
  <c r="R195" i="15"/>
  <c r="R167" i="15"/>
  <c r="R163" i="15"/>
  <c r="R251" i="15"/>
  <c r="R250" i="15"/>
  <c r="R238" i="15"/>
  <c r="R222" i="15"/>
  <c r="R215" i="15"/>
  <c r="R214" i="15"/>
  <c r="R190" i="15"/>
  <c r="R154" i="15"/>
  <c r="R150" i="15"/>
  <c r="R146" i="15"/>
  <c r="R142" i="15"/>
  <c r="R138" i="15"/>
  <c r="R134" i="15"/>
  <c r="R130" i="15"/>
  <c r="R126" i="15"/>
  <c r="R122" i="15"/>
  <c r="R118" i="15"/>
  <c r="R114" i="15"/>
  <c r="R110" i="15"/>
  <c r="R106" i="15"/>
  <c r="R234" i="15"/>
  <c r="R233" i="15"/>
  <c r="R205" i="15"/>
  <c r="R182" i="15"/>
  <c r="R181" i="15"/>
  <c r="R177" i="15"/>
  <c r="R173" i="15"/>
  <c r="R252" i="15"/>
  <c r="R245" i="15"/>
  <c r="R244" i="15"/>
  <c r="R228" i="15"/>
  <c r="R217" i="15"/>
  <c r="R216" i="15"/>
  <c r="R197" i="15"/>
  <c r="R196" i="15"/>
  <c r="R168" i="15"/>
  <c r="R164" i="15"/>
  <c r="R267" i="15"/>
  <c r="R255" i="15"/>
  <c r="R254" i="15"/>
  <c r="R239" i="15"/>
  <c r="R235" i="15"/>
  <c r="R223" i="15"/>
  <c r="R191" i="15"/>
  <c r="R184" i="15"/>
  <c r="R183" i="15"/>
  <c r="R160" i="15"/>
  <c r="R155" i="15"/>
  <c r="R151" i="15"/>
  <c r="R147" i="15"/>
  <c r="R143" i="15"/>
  <c r="R139" i="15"/>
  <c r="R135" i="15"/>
  <c r="R131" i="15"/>
  <c r="R127" i="15"/>
  <c r="R123" i="15"/>
  <c r="R119" i="15"/>
  <c r="R115" i="15"/>
  <c r="R111" i="15"/>
  <c r="R107" i="15"/>
  <c r="R257" i="15"/>
  <c r="R247" i="15"/>
  <c r="R231" i="15"/>
  <c r="R229" i="15"/>
  <c r="R207" i="15"/>
  <c r="R178" i="15"/>
  <c r="R165" i="15"/>
  <c r="R211" i="15"/>
  <c r="R186" i="15"/>
  <c r="R171" i="15"/>
  <c r="R169" i="15"/>
  <c r="R218" i="15"/>
  <c r="R206" i="15"/>
  <c r="P157" i="15"/>
  <c r="R162" i="15"/>
  <c r="R256" i="15"/>
  <c r="R198" i="15"/>
  <c r="R166" i="15"/>
  <c r="R246" i="15"/>
  <c r="R230" i="15"/>
  <c r="R187" i="15"/>
  <c r="R185" i="15"/>
  <c r="R174" i="15"/>
  <c r="R159" i="15"/>
  <c r="R161" i="15"/>
  <c r="R210" i="15"/>
  <c r="R170" i="15"/>
  <c r="H27" i="49"/>
  <c r="N18" i="49"/>
  <c r="P27" i="50"/>
  <c r="X18" i="50"/>
  <c r="P27" i="29"/>
  <c r="X18" i="29"/>
  <c r="L18" i="19"/>
  <c r="D27" i="19"/>
  <c r="H27" i="8"/>
  <c r="N18" i="8"/>
  <c r="L18" i="7"/>
  <c r="D27" i="7"/>
  <c r="H27" i="13"/>
  <c r="N18" i="13"/>
  <c r="T27" i="44"/>
  <c r="Z18" i="44"/>
  <c r="P27" i="16"/>
  <c r="X18" i="16"/>
  <c r="X18" i="4"/>
  <c r="P27" i="4"/>
  <c r="D53" i="100"/>
  <c r="L17" i="100"/>
  <c r="D75" i="101"/>
  <c r="L22" i="101"/>
  <c r="N16" i="78"/>
  <c r="H22" i="78"/>
  <c r="N16" i="57"/>
  <c r="H77" i="57"/>
  <c r="H109" i="45"/>
  <c r="H154" i="30"/>
  <c r="J66" i="30"/>
  <c r="L16" i="109"/>
  <c r="D46" i="109"/>
  <c r="V23" i="108"/>
  <c r="H43" i="99"/>
  <c r="N18" i="99"/>
  <c r="N23" i="98"/>
  <c r="H91" i="98"/>
  <c r="F21" i="94"/>
  <c r="F72" i="94"/>
  <c r="F60" i="94"/>
  <c r="F52" i="94"/>
  <c r="F51" i="94"/>
  <c r="F44" i="94"/>
  <c r="F40" i="94"/>
  <c r="F67" i="94"/>
  <c r="F35" i="94"/>
  <c r="F31" i="94"/>
  <c r="F27" i="94"/>
  <c r="F26" i="94"/>
  <c r="F74" i="94"/>
  <c r="F73" i="94"/>
  <c r="F62" i="94"/>
  <c r="F61" i="94"/>
  <c r="F54" i="94"/>
  <c r="F53" i="94"/>
  <c r="F25" i="94"/>
  <c r="F23" i="94"/>
  <c r="F45" i="94"/>
  <c r="F41" i="94"/>
  <c r="F37" i="94"/>
  <c r="F36" i="94"/>
  <c r="D23" i="94"/>
  <c r="F77" i="94"/>
  <c r="F68" i="94"/>
  <c r="F64" i="94"/>
  <c r="F63" i="94"/>
  <c r="F56" i="94"/>
  <c r="F55" i="94"/>
  <c r="F32" i="94"/>
  <c r="F28" i="94"/>
  <c r="L12" i="94"/>
  <c r="N12" i="94" s="1"/>
  <c r="F76" i="94"/>
  <c r="F19" i="94"/>
  <c r="F18" i="94"/>
  <c r="F81" i="94"/>
  <c r="F69" i="94"/>
  <c r="F65" i="94"/>
  <c r="F33" i="94"/>
  <c r="F29" i="94"/>
  <c r="F58" i="94"/>
  <c r="F71" i="94"/>
  <c r="F48" i="94"/>
  <c r="F30" i="94"/>
  <c r="F42" i="94"/>
  <c r="F34" i="94"/>
  <c r="F46" i="94"/>
  <c r="F20" i="94"/>
  <c r="F59" i="94"/>
  <c r="F49" i="94"/>
  <c r="F66" i="94"/>
  <c r="F47" i="94"/>
  <c r="F43" i="94"/>
  <c r="F50" i="94"/>
  <c r="F39" i="94"/>
  <c r="F57" i="94"/>
  <c r="F38" i="94"/>
  <c r="F70" i="94"/>
  <c r="F128" i="85"/>
  <c r="F110" i="85"/>
  <c r="F74" i="85"/>
  <c r="F70" i="85"/>
  <c r="F66" i="85"/>
  <c r="F97" i="85"/>
  <c r="F96" i="85"/>
  <c r="F85" i="85"/>
  <c r="F84" i="85"/>
  <c r="F61" i="85"/>
  <c r="F57" i="85"/>
  <c r="F116" i="85"/>
  <c r="F104" i="85"/>
  <c r="F76" i="85"/>
  <c r="F75" i="85"/>
  <c r="F48" i="85"/>
  <c r="F44" i="85"/>
  <c r="F40" i="85"/>
  <c r="F36" i="85"/>
  <c r="L12" i="85"/>
  <c r="N12" i="85" s="1"/>
  <c r="F111" i="85"/>
  <c r="F99" i="85"/>
  <c r="F98" i="85"/>
  <c r="F87" i="85"/>
  <c r="F86" i="85"/>
  <c r="F71" i="85"/>
  <c r="F67" i="85"/>
  <c r="F118" i="85"/>
  <c r="F117" i="85"/>
  <c r="F106" i="85"/>
  <c r="F105" i="85"/>
  <c r="F78" i="85"/>
  <c r="F77" i="85"/>
  <c r="F62" i="85"/>
  <c r="F58" i="85"/>
  <c r="F120" i="85"/>
  <c r="F119" i="85"/>
  <c r="F112" i="85"/>
  <c r="F100" i="85"/>
  <c r="F72" i="85"/>
  <c r="F68" i="85"/>
  <c r="F122" i="85"/>
  <c r="F121" i="85"/>
  <c r="F102" i="85"/>
  <c r="F101" i="85"/>
  <c r="F53" i="85"/>
  <c r="F51" i="85"/>
  <c r="F46" i="85"/>
  <c r="F42" i="85"/>
  <c r="F38" i="85"/>
  <c r="F60" i="85"/>
  <c r="F56" i="85"/>
  <c r="F39" i="85"/>
  <c r="F35" i="85"/>
  <c r="F109" i="85"/>
  <c r="F91" i="85"/>
  <c r="F79" i="85"/>
  <c r="F37" i="85"/>
  <c r="F113" i="85"/>
  <c r="F89" i="85"/>
  <c r="F54" i="85"/>
  <c r="D51" i="85"/>
  <c r="F103" i="85"/>
  <c r="F107" i="85"/>
  <c r="F94" i="85"/>
  <c r="F82" i="85"/>
  <c r="F73" i="85"/>
  <c r="F64" i="85"/>
  <c r="F69" i="85"/>
  <c r="F114" i="85"/>
  <c r="F55" i="85"/>
  <c r="F92" i="85"/>
  <c r="F80" i="85"/>
  <c r="F65" i="85"/>
  <c r="F49" i="85"/>
  <c r="F95" i="85"/>
  <c r="F83" i="85"/>
  <c r="F47" i="85"/>
  <c r="F34" i="85"/>
  <c r="F115" i="85"/>
  <c r="F59" i="85"/>
  <c r="F90" i="85"/>
  <c r="F108" i="85"/>
  <c r="F63" i="85"/>
  <c r="F41" i="85"/>
  <c r="F124" i="85"/>
  <c r="F43" i="85"/>
  <c r="F45" i="85"/>
  <c r="F81" i="85"/>
  <c r="F93" i="85"/>
  <c r="F88" i="85"/>
  <c r="R69" i="93"/>
  <c r="R68" i="93"/>
  <c r="R44" i="93"/>
  <c r="R40" i="93"/>
  <c r="R36" i="93"/>
  <c r="R85" i="93"/>
  <c r="R31" i="93"/>
  <c r="R27" i="93"/>
  <c r="R74" i="93"/>
  <c r="R70" i="93"/>
  <c r="R63" i="93"/>
  <c r="R62" i="93"/>
  <c r="R54" i="93"/>
  <c r="R46" i="93"/>
  <c r="R45" i="93"/>
  <c r="R41" i="93"/>
  <c r="R37" i="93"/>
  <c r="R18" i="93"/>
  <c r="R65" i="93"/>
  <c r="R64" i="93"/>
  <c r="R32" i="93"/>
  <c r="R28" i="93"/>
  <c r="R76" i="93"/>
  <c r="R75" i="93"/>
  <c r="R71" i="93"/>
  <c r="R56" i="93"/>
  <c r="R55" i="93"/>
  <c r="R48" i="93"/>
  <c r="R47" i="93"/>
  <c r="R19" i="93"/>
  <c r="R66" i="93"/>
  <c r="R42" i="93"/>
  <c r="R38" i="93"/>
  <c r="R72" i="93"/>
  <c r="R81" i="93"/>
  <c r="R52" i="93"/>
  <c r="R50" i="93"/>
  <c r="R29" i="93"/>
  <c r="R24" i="93"/>
  <c r="R61" i="93"/>
  <c r="R25" i="93"/>
  <c r="R67" i="93"/>
  <c r="R59" i="93"/>
  <c r="R20" i="93"/>
  <c r="R79" i="93"/>
  <c r="R43" i="93"/>
  <c r="R34" i="93"/>
  <c r="R57" i="93"/>
  <c r="R73" i="93"/>
  <c r="R35" i="93"/>
  <c r="R78" i="93"/>
  <c r="R49" i="93"/>
  <c r="R53" i="93"/>
  <c r="R26" i="93"/>
  <c r="R33" i="93"/>
  <c r="R30" i="93"/>
  <c r="R60" i="93"/>
  <c r="R77" i="93"/>
  <c r="X12" i="93"/>
  <c r="Z12" i="93" s="1"/>
  <c r="R58" i="93"/>
  <c r="R51" i="93"/>
  <c r="P22" i="93"/>
  <c r="R39" i="93"/>
  <c r="R119" i="85"/>
  <c r="R118" i="85"/>
  <c r="R106" i="85"/>
  <c r="R78" i="85"/>
  <c r="R62" i="85"/>
  <c r="R58" i="85"/>
  <c r="R90" i="85"/>
  <c r="R89" i="85"/>
  <c r="R54" i="85"/>
  <c r="R49" i="85"/>
  <c r="R45" i="85"/>
  <c r="R41" i="85"/>
  <c r="R37" i="85"/>
  <c r="R121" i="85"/>
  <c r="R120" i="85"/>
  <c r="R112" i="85"/>
  <c r="R101" i="85"/>
  <c r="R100" i="85"/>
  <c r="R72" i="85"/>
  <c r="R68" i="85"/>
  <c r="R53" i="85"/>
  <c r="R51" i="85"/>
  <c r="R108" i="85"/>
  <c r="R107" i="85"/>
  <c r="R92" i="85"/>
  <c r="R91" i="85"/>
  <c r="R80" i="85"/>
  <c r="R79" i="85"/>
  <c r="R64" i="85"/>
  <c r="R63" i="85"/>
  <c r="R59" i="85"/>
  <c r="R55" i="85"/>
  <c r="P51" i="85"/>
  <c r="R122" i="85"/>
  <c r="R102" i="85"/>
  <c r="R46" i="85"/>
  <c r="R42" i="85"/>
  <c r="R38" i="85"/>
  <c r="R124" i="85"/>
  <c r="R60" i="85"/>
  <c r="R56" i="85"/>
  <c r="R128" i="85"/>
  <c r="R110" i="85"/>
  <c r="R75" i="85"/>
  <c r="R74" i="85"/>
  <c r="R70" i="85"/>
  <c r="R66" i="85"/>
  <c r="R117" i="85"/>
  <c r="R116" i="85"/>
  <c r="R105" i="85"/>
  <c r="R104" i="85"/>
  <c r="R77" i="85"/>
  <c r="R76" i="85"/>
  <c r="R48" i="85"/>
  <c r="R44" i="85"/>
  <c r="R40" i="85"/>
  <c r="R36" i="85"/>
  <c r="X12" i="85"/>
  <c r="Z12" i="85" s="1"/>
  <c r="R114" i="85"/>
  <c r="R103" i="85"/>
  <c r="R99" i="85"/>
  <c r="R73" i="85"/>
  <c r="R71" i="85"/>
  <c r="R87" i="85"/>
  <c r="R69" i="85"/>
  <c r="R67" i="85"/>
  <c r="R34" i="85"/>
  <c r="R97" i="85"/>
  <c r="R65" i="85"/>
  <c r="R95" i="85"/>
  <c r="R85" i="85"/>
  <c r="R47" i="85"/>
  <c r="R83" i="85"/>
  <c r="R57" i="85"/>
  <c r="R88" i="85"/>
  <c r="R43" i="85"/>
  <c r="R115" i="85"/>
  <c r="R98" i="85"/>
  <c r="R93" i="85"/>
  <c r="R81" i="85"/>
  <c r="R61" i="85"/>
  <c r="R94" i="85"/>
  <c r="R35" i="85"/>
  <c r="R96" i="85"/>
  <c r="R39" i="85"/>
  <c r="R82" i="85"/>
  <c r="R84" i="85"/>
  <c r="R109" i="85"/>
  <c r="R86" i="85"/>
  <c r="R111" i="85"/>
  <c r="R113" i="85"/>
  <c r="F98" i="84"/>
  <c r="F84" i="84"/>
  <c r="F80" i="84"/>
  <c r="F68" i="84"/>
  <c r="F86" i="84"/>
  <c r="F85" i="84"/>
  <c r="F74" i="84"/>
  <c r="F88" i="84"/>
  <c r="F87" i="84"/>
  <c r="F76" i="84"/>
  <c r="F75" i="84"/>
  <c r="F92" i="84"/>
  <c r="F91" i="84"/>
  <c r="F72" i="84"/>
  <c r="F71" i="84"/>
  <c r="F64" i="84"/>
  <c r="F41" i="84"/>
  <c r="F32" i="84"/>
  <c r="F28" i="84"/>
  <c r="F82" i="84"/>
  <c r="F65" i="84"/>
  <c r="F60" i="84"/>
  <c r="F51" i="84"/>
  <c r="F50" i="84"/>
  <c r="F19" i="84"/>
  <c r="F77" i="84"/>
  <c r="F61" i="84"/>
  <c r="F55" i="84"/>
  <c r="F38" i="84"/>
  <c r="L12" i="84"/>
  <c r="N12" i="84" s="1"/>
  <c r="F45" i="84"/>
  <c r="F42" i="84"/>
  <c r="F33" i="84"/>
  <c r="F29" i="84"/>
  <c r="F20" i="84"/>
  <c r="F89" i="84"/>
  <c r="F83" i="84"/>
  <c r="F69" i="84"/>
  <c r="F62" i="84"/>
  <c r="F56" i="84"/>
  <c r="F52" i="84"/>
  <c r="F46" i="84"/>
  <c r="F39" i="84"/>
  <c r="F78" i="84"/>
  <c r="F66" i="84"/>
  <c r="F57" i="84"/>
  <c r="F53" i="84"/>
  <c r="F47" i="84"/>
  <c r="F43" i="84"/>
  <c r="F34" i="84"/>
  <c r="F30" i="84"/>
  <c r="F26" i="84"/>
  <c r="F25" i="84"/>
  <c r="F67" i="84"/>
  <c r="F63" i="84"/>
  <c r="F24" i="84"/>
  <c r="F40" i="84"/>
  <c r="F36" i="84"/>
  <c r="F35" i="84"/>
  <c r="D22" i="84"/>
  <c r="F49" i="84"/>
  <c r="F70" i="84"/>
  <c r="F94" i="84"/>
  <c r="F58" i="84"/>
  <c r="F48" i="84"/>
  <c r="F18" i="84"/>
  <c r="F54" i="84"/>
  <c r="F27" i="84"/>
  <c r="F90" i="84"/>
  <c r="F79" i="84"/>
  <c r="F73" i="84"/>
  <c r="F44" i="84"/>
  <c r="F37" i="84"/>
  <c r="F31" i="84"/>
  <c r="F17" i="84"/>
  <c r="F81" i="84"/>
  <c r="F59" i="84"/>
  <c r="V22" i="81"/>
  <c r="Z22" i="80"/>
  <c r="T81" i="80"/>
  <c r="X22" i="70"/>
  <c r="Z22" i="70" s="1"/>
  <c r="P77" i="70"/>
  <c r="R22" i="70"/>
  <c r="J54" i="74"/>
  <c r="H95" i="74"/>
  <c r="R64" i="79"/>
  <c r="X65" i="68"/>
  <c r="Z65" i="68" s="1"/>
  <c r="F97" i="69"/>
  <c r="F89" i="69"/>
  <c r="F85" i="69"/>
  <c r="F116" i="69"/>
  <c r="F115" i="69"/>
  <c r="F108" i="69"/>
  <c r="F107" i="69"/>
  <c r="F122" i="69"/>
  <c r="F92" i="69"/>
  <c r="F91" i="69"/>
  <c r="F111" i="69"/>
  <c r="F110" i="69"/>
  <c r="F103" i="69"/>
  <c r="F102" i="69"/>
  <c r="F87" i="69"/>
  <c r="F83" i="69"/>
  <c r="F94" i="69"/>
  <c r="F93" i="69"/>
  <c r="F105" i="69"/>
  <c r="F104" i="69"/>
  <c r="F86" i="69"/>
  <c r="F101" i="69"/>
  <c r="F79" i="69"/>
  <c r="F75" i="69"/>
  <c r="F71" i="69"/>
  <c r="F70" i="69"/>
  <c r="F112" i="69"/>
  <c r="F99" i="69"/>
  <c r="F84" i="69"/>
  <c r="F69" i="69"/>
  <c r="F67" i="69"/>
  <c r="F62" i="69"/>
  <c r="F58" i="69"/>
  <c r="F54" i="69"/>
  <c r="F50" i="69"/>
  <c r="F46" i="69"/>
  <c r="F45" i="69"/>
  <c r="F106" i="69"/>
  <c r="F81" i="69"/>
  <c r="F80" i="69"/>
  <c r="D67" i="69"/>
  <c r="F76" i="69"/>
  <c r="F72" i="69"/>
  <c r="F95" i="69"/>
  <c r="F63" i="69"/>
  <c r="F59" i="69"/>
  <c r="F55" i="69"/>
  <c r="F51" i="69"/>
  <c r="F47" i="69"/>
  <c r="F118" i="69"/>
  <c r="F113" i="69"/>
  <c r="F82" i="69"/>
  <c r="F100" i="69"/>
  <c r="F77" i="69"/>
  <c r="F73" i="69"/>
  <c r="F64" i="69"/>
  <c r="F60" i="69"/>
  <c r="F56" i="69"/>
  <c r="F52" i="69"/>
  <c r="F48" i="69"/>
  <c r="F109" i="69"/>
  <c r="F96" i="69"/>
  <c r="F88" i="69"/>
  <c r="F78" i="69"/>
  <c r="F74" i="69"/>
  <c r="L12" i="69"/>
  <c r="N12" i="69" s="1"/>
  <c r="F114" i="69"/>
  <c r="F90" i="69"/>
  <c r="F49" i="69"/>
  <c r="F98" i="69"/>
  <c r="F53" i="69"/>
  <c r="F57" i="69"/>
  <c r="F61" i="69"/>
  <c r="F65" i="69"/>
  <c r="N16" i="59"/>
  <c r="H71" i="59"/>
  <c r="T62" i="61"/>
  <c r="Z16" i="61"/>
  <c r="L16" i="68"/>
  <c r="Z16" i="59"/>
  <c r="T71" i="59"/>
  <c r="D33" i="55"/>
  <c r="L16" i="55"/>
  <c r="F62" i="48"/>
  <c r="F54" i="48"/>
  <c r="F53" i="48"/>
  <c r="F42" i="48"/>
  <c r="F41" i="48"/>
  <c r="F37" i="48"/>
  <c r="F56" i="48"/>
  <c r="F55" i="48"/>
  <c r="F44" i="48"/>
  <c r="F43" i="48"/>
  <c r="F63" i="48"/>
  <c r="F65" i="48"/>
  <c r="F64" i="48"/>
  <c r="F29" i="48"/>
  <c r="F25" i="48"/>
  <c r="F21" i="48"/>
  <c r="F20" i="48"/>
  <c r="F48" i="48"/>
  <c r="F47" i="48"/>
  <c r="F67" i="48"/>
  <c r="F72" i="48"/>
  <c r="F52" i="48"/>
  <c r="F51" i="48"/>
  <c r="F40" i="48"/>
  <c r="F36" i="48"/>
  <c r="F32" i="48"/>
  <c r="F35" i="48"/>
  <c r="F27" i="48"/>
  <c r="F60" i="48"/>
  <c r="F50" i="48"/>
  <c r="F30" i="48"/>
  <c r="D17" i="48"/>
  <c r="F58" i="48"/>
  <c r="F38" i="48"/>
  <c r="F33" i="48"/>
  <c r="F22" i="48"/>
  <c r="F46" i="48"/>
  <c r="F68" i="48"/>
  <c r="F31" i="48"/>
  <c r="F28" i="48"/>
  <c r="F19" i="48"/>
  <c r="F61" i="48"/>
  <c r="F34" i="48"/>
  <c r="F23" i="48"/>
  <c r="F59" i="48"/>
  <c r="F49" i="48"/>
  <c r="F39" i="48"/>
  <c r="F26" i="48"/>
  <c r="F24" i="48"/>
  <c r="L12" i="48"/>
  <c r="N12" i="48" s="1"/>
  <c r="F45" i="48"/>
  <c r="F15" i="48"/>
  <c r="F57" i="48"/>
  <c r="V25" i="45"/>
  <c r="T113" i="51"/>
  <c r="T133" i="24"/>
  <c r="V59" i="27"/>
  <c r="T116" i="21"/>
  <c r="F267" i="12"/>
  <c r="F157" i="15"/>
  <c r="P278" i="12"/>
  <c r="X163" i="12"/>
  <c r="Z163" i="12" s="1"/>
  <c r="N18" i="47"/>
  <c r="H27" i="47"/>
  <c r="T27" i="49"/>
  <c r="Z18" i="49"/>
  <c r="D27" i="44"/>
  <c r="L18" i="44"/>
  <c r="X18" i="26"/>
  <c r="P27" i="26"/>
  <c r="T27" i="20"/>
  <c r="Z18" i="20"/>
  <c r="T27" i="29"/>
  <c r="Z18" i="29"/>
  <c r="L18" i="17"/>
  <c r="D27" i="17"/>
  <c r="D27" i="11"/>
  <c r="L18" i="11"/>
  <c r="L18" i="13"/>
  <c r="D27" i="13"/>
  <c r="T116" i="51" l="1"/>
  <c r="V113" i="51"/>
  <c r="T31" i="35"/>
  <c r="Z27" i="35"/>
  <c r="L77" i="70"/>
  <c r="N77" i="70" s="1"/>
  <c r="D81" i="70"/>
  <c r="F77" i="70"/>
  <c r="P31" i="29"/>
  <c r="X27" i="29"/>
  <c r="T31" i="31"/>
  <c r="Z27" i="31"/>
  <c r="H103" i="9"/>
  <c r="V28" i="83"/>
  <c r="T32" i="83"/>
  <c r="L27" i="52"/>
  <c r="D31" i="52"/>
  <c r="T31" i="22"/>
  <c r="Z27" i="22"/>
  <c r="H99" i="88"/>
  <c r="J95" i="88"/>
  <c r="T75" i="59"/>
  <c r="H81" i="57"/>
  <c r="T146" i="39"/>
  <c r="V142" i="39"/>
  <c r="T78" i="79"/>
  <c r="Z76" i="58"/>
  <c r="T80" i="58"/>
  <c r="H79" i="101"/>
  <c r="L27" i="35"/>
  <c r="D31" i="35"/>
  <c r="X20" i="86"/>
  <c r="Z20" i="86" s="1"/>
  <c r="P32" i="86"/>
  <c r="N109" i="51"/>
  <c r="H113" i="51"/>
  <c r="J109" i="51"/>
  <c r="X27" i="47"/>
  <c r="P31" i="47"/>
  <c r="P109" i="51"/>
  <c r="X56" i="51"/>
  <c r="Z56" i="51" s="1"/>
  <c r="T65" i="60"/>
  <c r="Z61" i="60"/>
  <c r="T79" i="101"/>
  <c r="V75" i="101"/>
  <c r="D96" i="104"/>
  <c r="L92" i="104"/>
  <c r="F92" i="104"/>
  <c r="Z27" i="7"/>
  <c r="T31" i="7"/>
  <c r="D269" i="15"/>
  <c r="L265" i="15"/>
  <c r="F265" i="15"/>
  <c r="H69" i="68"/>
  <c r="N65" i="68"/>
  <c r="X25" i="73"/>
  <c r="Z25" i="73" s="1"/>
  <c r="P84" i="73"/>
  <c r="P26" i="78"/>
  <c r="X22" i="78"/>
  <c r="D103" i="9"/>
  <c r="L99" i="9"/>
  <c r="N99" i="9" s="1"/>
  <c r="X54" i="74"/>
  <c r="Z54" i="74" s="1"/>
  <c r="P95" i="74"/>
  <c r="D88" i="56"/>
  <c r="H137" i="24"/>
  <c r="J133" i="24"/>
  <c r="P31" i="41"/>
  <c r="X27" i="41"/>
  <c r="D113" i="51"/>
  <c r="L109" i="51"/>
  <c r="F109" i="51"/>
  <c r="N27" i="28"/>
  <c r="H31" i="28"/>
  <c r="X27" i="31"/>
  <c r="P31" i="31"/>
  <c r="J109" i="45"/>
  <c r="T37" i="55"/>
  <c r="T31" i="112"/>
  <c r="Z27" i="112"/>
  <c r="J70" i="105"/>
  <c r="P154" i="30"/>
  <c r="X66" i="30"/>
  <c r="Z66" i="30" s="1"/>
  <c r="N27" i="17"/>
  <c r="H31" i="17"/>
  <c r="P31" i="16"/>
  <c r="X27" i="16"/>
  <c r="T31" i="46"/>
  <c r="Z27" i="46"/>
  <c r="L27" i="41"/>
  <c r="D31" i="41"/>
  <c r="X29" i="76"/>
  <c r="Z29" i="76" s="1"/>
  <c r="P87" i="76"/>
  <c r="D31" i="32"/>
  <c r="L27" i="32"/>
  <c r="N27" i="26"/>
  <c r="H31" i="26"/>
  <c r="L23" i="94"/>
  <c r="N23" i="94" s="1"/>
  <c r="D79" i="94"/>
  <c r="H47" i="99"/>
  <c r="N43" i="99"/>
  <c r="Z27" i="44"/>
  <c r="T31" i="44"/>
  <c r="X27" i="50"/>
  <c r="P31" i="50"/>
  <c r="X92" i="108"/>
  <c r="P96" i="108"/>
  <c r="R92" i="108"/>
  <c r="X27" i="20"/>
  <c r="P31" i="20"/>
  <c r="Z27" i="111"/>
  <c r="T31" i="111"/>
  <c r="H90" i="95"/>
  <c r="J86" i="95"/>
  <c r="X27" i="32"/>
  <c r="P31" i="32"/>
  <c r="N27" i="5"/>
  <c r="H31" i="5"/>
  <c r="Z27" i="50"/>
  <c r="T31" i="50"/>
  <c r="X31" i="36"/>
  <c r="Z31" i="36" s="1"/>
  <c r="P136" i="36"/>
  <c r="L195" i="3"/>
  <c r="N195" i="3" s="1"/>
  <c r="D318" i="3"/>
  <c r="N27" i="35"/>
  <c r="H31" i="35"/>
  <c r="N27" i="53"/>
  <c r="H31" i="53"/>
  <c r="T158" i="30"/>
  <c r="V154" i="30"/>
  <c r="H31" i="10"/>
  <c r="N27" i="10"/>
  <c r="L27" i="16"/>
  <c r="D31" i="16"/>
  <c r="D31" i="50"/>
  <c r="L27" i="50"/>
  <c r="L32" i="86"/>
  <c r="N32" i="86" s="1"/>
  <c r="D36" i="86"/>
  <c r="F32" i="86"/>
  <c r="T106" i="45"/>
  <c r="V102" i="45"/>
  <c r="D91" i="102"/>
  <c r="L23" i="102"/>
  <c r="N23" i="102" s="1"/>
  <c r="P104" i="33"/>
  <c r="X37" i="33"/>
  <c r="Z37" i="33" s="1"/>
  <c r="P79" i="94"/>
  <c r="X23" i="94"/>
  <c r="Z23" i="94" s="1"/>
  <c r="X93" i="106"/>
  <c r="Z93" i="106" s="1"/>
  <c r="P97" i="106"/>
  <c r="R93" i="106"/>
  <c r="H322" i="3"/>
  <c r="J318" i="3"/>
  <c r="N27" i="11"/>
  <c r="H31" i="11"/>
  <c r="T31" i="23"/>
  <c r="Z27" i="23"/>
  <c r="N27" i="52"/>
  <c r="H31" i="52"/>
  <c r="D124" i="27"/>
  <c r="L59" i="27"/>
  <c r="N59" i="27" s="1"/>
  <c r="L22" i="96"/>
  <c r="N22" i="96" s="1"/>
  <c r="D99" i="96"/>
  <c r="Z43" i="99"/>
  <c r="T47" i="99"/>
  <c r="N27" i="22"/>
  <c r="H31" i="22"/>
  <c r="T296" i="18"/>
  <c r="V292" i="18"/>
  <c r="D31" i="113"/>
  <c r="L27" i="113"/>
  <c r="L17" i="48"/>
  <c r="N17" i="48" s="1"/>
  <c r="D70" i="48"/>
  <c r="T128" i="71"/>
  <c r="V124" i="71"/>
  <c r="P97" i="92"/>
  <c r="X93" i="92"/>
  <c r="P31" i="53"/>
  <c r="X27" i="53"/>
  <c r="L27" i="17"/>
  <c r="D31" i="17"/>
  <c r="Z27" i="52"/>
  <c r="T31" i="52"/>
  <c r="P31" i="23"/>
  <c r="X27" i="23"/>
  <c r="D124" i="71"/>
  <c r="L59" i="71"/>
  <c r="N59" i="71" s="1"/>
  <c r="D84" i="73"/>
  <c r="L25" i="73"/>
  <c r="N25" i="73" s="1"/>
  <c r="H80" i="58"/>
  <c r="N76" i="58"/>
  <c r="X27" i="14"/>
  <c r="P31" i="14"/>
  <c r="Z27" i="4"/>
  <c r="T31" i="4"/>
  <c r="Z27" i="29"/>
  <c r="T31" i="29"/>
  <c r="P282" i="12"/>
  <c r="X278" i="12"/>
  <c r="Z278" i="12" s="1"/>
  <c r="R278" i="12"/>
  <c r="J95" i="74"/>
  <c r="H99" i="74"/>
  <c r="N22" i="78"/>
  <c r="H26" i="78"/>
  <c r="H133" i="42"/>
  <c r="J129" i="42"/>
  <c r="N81" i="80"/>
  <c r="J81" i="80"/>
  <c r="H85" i="80"/>
  <c r="D85" i="89"/>
  <c r="L23" i="89"/>
  <c r="N23" i="89" s="1"/>
  <c r="D31" i="112"/>
  <c r="L27" i="112"/>
  <c r="T91" i="76"/>
  <c r="V87" i="76"/>
  <c r="T36" i="86"/>
  <c r="V32" i="86"/>
  <c r="D31" i="49"/>
  <c r="L27" i="49"/>
  <c r="P129" i="42"/>
  <c r="X30" i="42"/>
  <c r="Z30" i="42" s="1"/>
  <c r="H90" i="93"/>
  <c r="J87" i="93"/>
  <c r="Z27" i="32"/>
  <c r="T31" i="32"/>
  <c r="T77" i="48"/>
  <c r="V74" i="48"/>
  <c r="X71" i="79"/>
  <c r="Z71" i="79" s="1"/>
  <c r="P75" i="79"/>
  <c r="R71" i="79"/>
  <c r="H130" i="85"/>
  <c r="J126" i="85"/>
  <c r="Z53" i="100"/>
  <c r="T57" i="100"/>
  <c r="H31" i="4"/>
  <c r="N27" i="4"/>
  <c r="P79" i="101"/>
  <c r="X75" i="101"/>
  <c r="Z75" i="101" s="1"/>
  <c r="R75" i="101"/>
  <c r="P31" i="10"/>
  <c r="X27" i="10"/>
  <c r="T31" i="34"/>
  <c r="Z27" i="34"/>
  <c r="D87" i="76"/>
  <c r="L29" i="76"/>
  <c r="N29" i="76" s="1"/>
  <c r="H100" i="84"/>
  <c r="J96" i="84"/>
  <c r="Z27" i="28"/>
  <c r="T31" i="28"/>
  <c r="Z27" i="113"/>
  <c r="T31" i="113"/>
  <c r="P92" i="89"/>
  <c r="R89" i="89"/>
  <c r="N27" i="23"/>
  <c r="H31" i="23"/>
  <c r="X27" i="43"/>
  <c r="P31" i="43"/>
  <c r="H131" i="27"/>
  <c r="J128" i="27"/>
  <c r="D26" i="54"/>
  <c r="L22" i="54"/>
  <c r="P85" i="80"/>
  <c r="X81" i="80"/>
  <c r="R81" i="80"/>
  <c r="T97" i="92"/>
  <c r="Z93" i="92"/>
  <c r="H31" i="13"/>
  <c r="N27" i="13"/>
  <c r="V103" i="84"/>
  <c r="X27" i="111"/>
  <c r="P31" i="111"/>
  <c r="D28" i="83"/>
  <c r="L22" i="83"/>
  <c r="N22" i="83" s="1"/>
  <c r="X77" i="57"/>
  <c r="Z77" i="57" s="1"/>
  <c r="P81" i="57"/>
  <c r="X27" i="13"/>
  <c r="P31" i="13"/>
  <c r="X27" i="49"/>
  <c r="P31" i="49"/>
  <c r="T26" i="54"/>
  <c r="Z22" i="54"/>
  <c r="F25" i="73"/>
  <c r="T95" i="102"/>
  <c r="V91" i="102"/>
  <c r="N27" i="113"/>
  <c r="H31" i="113"/>
  <c r="D129" i="42"/>
  <c r="L30" i="42"/>
  <c r="N30" i="42" s="1"/>
  <c r="X27" i="17"/>
  <c r="P31" i="17"/>
  <c r="H37" i="55"/>
  <c r="H88" i="73"/>
  <c r="J84" i="73"/>
  <c r="N26" i="6"/>
  <c r="H31" i="6"/>
  <c r="X67" i="69"/>
  <c r="Z67" i="69" s="1"/>
  <c r="P120" i="69"/>
  <c r="R67" i="69"/>
  <c r="H50" i="109"/>
  <c r="Z27" i="11"/>
  <c r="T31" i="11"/>
  <c r="N27" i="34"/>
  <c r="H31" i="34"/>
  <c r="D121" i="75"/>
  <c r="L53" i="75"/>
  <c r="N53" i="75" s="1"/>
  <c r="F53" i="75"/>
  <c r="T99" i="88"/>
  <c r="V95" i="88"/>
  <c r="T31" i="26"/>
  <c r="Z27" i="26"/>
  <c r="P31" i="8"/>
  <c r="X27" i="8"/>
  <c r="D109" i="77"/>
  <c r="L56" i="77"/>
  <c r="N56" i="77" s="1"/>
  <c r="H31" i="47"/>
  <c r="N27" i="47"/>
  <c r="X27" i="19"/>
  <c r="P31" i="19"/>
  <c r="L23" i="106"/>
  <c r="N23" i="106" s="1"/>
  <c r="D93" i="106"/>
  <c r="X61" i="60"/>
  <c r="P65" i="60"/>
  <c r="X70" i="110"/>
  <c r="P74" i="110"/>
  <c r="R70" i="110"/>
  <c r="H124" i="69"/>
  <c r="J120" i="69"/>
  <c r="N27" i="14"/>
  <c r="H31" i="14"/>
  <c r="N27" i="44"/>
  <c r="H31" i="44"/>
  <c r="Z27" i="20"/>
  <c r="T31" i="20"/>
  <c r="T66" i="61"/>
  <c r="D120" i="69"/>
  <c r="L67" i="69"/>
  <c r="N67" i="69" s="1"/>
  <c r="L27" i="7"/>
  <c r="D31" i="7"/>
  <c r="H78" i="79"/>
  <c r="L27" i="28"/>
  <c r="D31" i="28"/>
  <c r="P66" i="61"/>
  <c r="X62" i="61"/>
  <c r="Z62" i="61" s="1"/>
  <c r="P96" i="104"/>
  <c r="X92" i="104"/>
  <c r="Z92" i="104" s="1"/>
  <c r="R92" i="104"/>
  <c r="T31" i="37"/>
  <c r="Z27" i="37"/>
  <c r="P91" i="102"/>
  <c r="X23" i="102"/>
  <c r="Z23" i="102" s="1"/>
  <c r="P31" i="34"/>
  <c r="X27" i="34"/>
  <c r="T128" i="27"/>
  <c r="V124" i="27"/>
  <c r="X27" i="44"/>
  <c r="P31" i="44"/>
  <c r="D154" i="30"/>
  <c r="L66" i="30"/>
  <c r="N66" i="30" s="1"/>
  <c r="H60" i="100"/>
  <c r="N27" i="16"/>
  <c r="H31" i="16"/>
  <c r="N27" i="41"/>
  <c r="H31" i="41"/>
  <c r="L54" i="74"/>
  <c r="N54" i="74" s="1"/>
  <c r="D95" i="74"/>
  <c r="T31" i="47"/>
  <c r="Z27" i="47"/>
  <c r="X33" i="55"/>
  <c r="Z33" i="55" s="1"/>
  <c r="P37" i="55"/>
  <c r="F29" i="76"/>
  <c r="P86" i="95"/>
  <c r="X23" i="95"/>
  <c r="Z23" i="95" s="1"/>
  <c r="N27" i="25"/>
  <c r="H31" i="25"/>
  <c r="T108" i="33"/>
  <c r="V104" i="33"/>
  <c r="H84" i="70"/>
  <c r="J81" i="70"/>
  <c r="R29" i="76"/>
  <c r="D95" i="98"/>
  <c r="L91" i="98"/>
  <c r="F91" i="98"/>
  <c r="T81" i="70"/>
  <c r="V77" i="70"/>
  <c r="X29" i="21"/>
  <c r="Z29" i="21" s="1"/>
  <c r="P116" i="21"/>
  <c r="Z92" i="108"/>
  <c r="T96" i="108"/>
  <c r="V92" i="108"/>
  <c r="L27" i="37"/>
  <c r="D31" i="37"/>
  <c r="T285" i="12"/>
  <c r="V282" i="12"/>
  <c r="H92" i="89"/>
  <c r="J89" i="89"/>
  <c r="N92" i="104"/>
  <c r="H96" i="104"/>
  <c r="J92" i="104"/>
  <c r="D31" i="40"/>
  <c r="L27" i="40"/>
  <c r="T70" i="105"/>
  <c r="V67" i="105"/>
  <c r="T31" i="53"/>
  <c r="Z27" i="53"/>
  <c r="V116" i="77"/>
  <c r="H103" i="96"/>
  <c r="J99" i="96"/>
  <c r="H269" i="15"/>
  <c r="N265" i="15"/>
  <c r="J265" i="15"/>
  <c r="D106" i="45"/>
  <c r="L102" i="45"/>
  <c r="N102" i="45" s="1"/>
  <c r="F102" i="45"/>
  <c r="H26" i="54"/>
  <c r="N22" i="54"/>
  <c r="L46" i="109"/>
  <c r="N46" i="109" s="1"/>
  <c r="D50" i="109"/>
  <c r="D79" i="101"/>
  <c r="L75" i="101"/>
  <c r="N75" i="101" s="1"/>
  <c r="L111" i="64"/>
  <c r="D114" i="64"/>
  <c r="X22" i="107"/>
  <c r="P26" i="107"/>
  <c r="L27" i="34"/>
  <c r="D31" i="34"/>
  <c r="X27" i="113"/>
  <c r="P31" i="113"/>
  <c r="F22" i="83"/>
  <c r="L81" i="80"/>
  <c r="D85" i="80"/>
  <c r="F81" i="80"/>
  <c r="Z27" i="25"/>
  <c r="T31" i="25"/>
  <c r="T269" i="15"/>
  <c r="V265" i="15"/>
  <c r="L76" i="58"/>
  <c r="D80" i="58"/>
  <c r="P99" i="96"/>
  <c r="X22" i="96"/>
  <c r="Z22" i="96" s="1"/>
  <c r="X63" i="105"/>
  <c r="Z63" i="105" s="1"/>
  <c r="P67" i="105"/>
  <c r="R63" i="105"/>
  <c r="D74" i="110"/>
  <c r="L70" i="110"/>
  <c r="N70" i="110" s="1"/>
  <c r="F70" i="110"/>
  <c r="X22" i="83"/>
  <c r="Z22" i="83" s="1"/>
  <c r="P28" i="83"/>
  <c r="N27" i="111"/>
  <c r="H31" i="111"/>
  <c r="D66" i="61"/>
  <c r="L62" i="61"/>
  <c r="N62" i="61" s="1"/>
  <c r="H128" i="71"/>
  <c r="J124" i="71"/>
  <c r="V93" i="95"/>
  <c r="L27" i="26"/>
  <c r="D31" i="26"/>
  <c r="L27" i="38"/>
  <c r="D31" i="38"/>
  <c r="N81" i="56"/>
  <c r="H85" i="56"/>
  <c r="T124" i="69"/>
  <c r="V120" i="69"/>
  <c r="T67" i="103"/>
  <c r="Z63" i="103"/>
  <c r="L27" i="10"/>
  <c r="D31" i="10"/>
  <c r="X182" i="18"/>
  <c r="Z182" i="18" s="1"/>
  <c r="P292" i="18"/>
  <c r="T130" i="85"/>
  <c r="V126" i="85"/>
  <c r="P26" i="6"/>
  <c r="X22" i="6"/>
  <c r="L23" i="95"/>
  <c r="N23" i="95" s="1"/>
  <c r="D86" i="95"/>
  <c r="D31" i="14"/>
  <c r="L27" i="14"/>
  <c r="H31" i="19"/>
  <c r="N27" i="19"/>
  <c r="D31" i="47"/>
  <c r="L27" i="47"/>
  <c r="N27" i="29"/>
  <c r="H31" i="29"/>
  <c r="X25" i="45"/>
  <c r="Z25" i="45" s="1"/>
  <c r="P102" i="45"/>
  <c r="N67" i="103"/>
  <c r="H70" i="103"/>
  <c r="T125" i="75"/>
  <c r="V121" i="75"/>
  <c r="X74" i="48"/>
  <c r="Z74" i="48" s="1"/>
  <c r="P77" i="48"/>
  <c r="R74" i="48"/>
  <c r="P124" i="71"/>
  <c r="X59" i="71"/>
  <c r="Z59" i="71" s="1"/>
  <c r="Z85" i="89"/>
  <c r="T89" i="89"/>
  <c r="V85" i="89"/>
  <c r="J149" i="39"/>
  <c r="Z27" i="17"/>
  <c r="T31" i="17"/>
  <c r="H31" i="112"/>
  <c r="N27" i="112"/>
  <c r="D282" i="12"/>
  <c r="L278" i="12"/>
  <c r="N278" i="12" s="1"/>
  <c r="F278" i="12"/>
  <c r="H140" i="36"/>
  <c r="N136" i="36"/>
  <c r="J136" i="36"/>
  <c r="L33" i="55"/>
  <c r="N33" i="55" s="1"/>
  <c r="D37" i="55"/>
  <c r="Z27" i="5"/>
  <c r="T31" i="5"/>
  <c r="T84" i="57"/>
  <c r="J86" i="94"/>
  <c r="F17" i="48"/>
  <c r="H31" i="49"/>
  <c r="N27" i="49"/>
  <c r="N27" i="38"/>
  <c r="H31" i="38"/>
  <c r="T120" i="21"/>
  <c r="V116" i="21"/>
  <c r="X77" i="70"/>
  <c r="Z77" i="70" s="1"/>
  <c r="P81" i="70"/>
  <c r="R77" i="70"/>
  <c r="P265" i="15"/>
  <c r="X157" i="15"/>
  <c r="Z157" i="15" s="1"/>
  <c r="X46" i="109"/>
  <c r="P50" i="109"/>
  <c r="T111" i="64"/>
  <c r="Z107" i="64"/>
  <c r="H77" i="110"/>
  <c r="J74" i="110"/>
  <c r="N27" i="32"/>
  <c r="H31" i="32"/>
  <c r="P31" i="35"/>
  <c r="X27" i="35"/>
  <c r="L76" i="24"/>
  <c r="N76" i="24" s="1"/>
  <c r="D133" i="24"/>
  <c r="P80" i="58"/>
  <c r="X76" i="58"/>
  <c r="H97" i="106"/>
  <c r="J93" i="106"/>
  <c r="H26" i="107"/>
  <c r="N22" i="107"/>
  <c r="N27" i="37"/>
  <c r="H31" i="37"/>
  <c r="D70" i="103"/>
  <c r="L70" i="103" s="1"/>
  <c r="L67" i="103"/>
  <c r="H98" i="102"/>
  <c r="J95" i="102"/>
  <c r="D72" i="68"/>
  <c r="L69" i="68"/>
  <c r="L182" i="18"/>
  <c r="N182" i="18" s="1"/>
  <c r="D292" i="18"/>
  <c r="H123" i="21"/>
  <c r="J120" i="21"/>
  <c r="L27" i="111"/>
  <c r="D31" i="111"/>
  <c r="F30" i="42"/>
  <c r="T133" i="42"/>
  <c r="V129" i="42"/>
  <c r="X27" i="5"/>
  <c r="P31" i="5"/>
  <c r="Z27" i="16"/>
  <c r="T31" i="16"/>
  <c r="Z27" i="43"/>
  <c r="T31" i="43"/>
  <c r="D86" i="81"/>
  <c r="L82" i="81"/>
  <c r="N82" i="81" s="1"/>
  <c r="F82" i="81"/>
  <c r="Z27" i="38"/>
  <c r="T31" i="38"/>
  <c r="L75" i="59"/>
  <c r="D78" i="59"/>
  <c r="T102" i="74"/>
  <c r="V99" i="74"/>
  <c r="P67" i="103"/>
  <c r="X63" i="103"/>
  <c r="L27" i="25"/>
  <c r="D31" i="25"/>
  <c r="D142" i="39"/>
  <c r="L36" i="39"/>
  <c r="N36" i="39" s="1"/>
  <c r="F36" i="39"/>
  <c r="P109" i="77"/>
  <c r="X56" i="77"/>
  <c r="Z56" i="77" s="1"/>
  <c r="D67" i="105"/>
  <c r="L63" i="105"/>
  <c r="N63" i="105" s="1"/>
  <c r="F63" i="105"/>
  <c r="L27" i="31"/>
  <c r="D31" i="31"/>
  <c r="R66" i="30"/>
  <c r="T88" i="73"/>
  <c r="V84" i="73"/>
  <c r="J89" i="81"/>
  <c r="Z27" i="49"/>
  <c r="T31" i="49"/>
  <c r="N91" i="98"/>
  <c r="H95" i="98"/>
  <c r="J91" i="98"/>
  <c r="D31" i="43"/>
  <c r="L27" i="43"/>
  <c r="T322" i="3"/>
  <c r="Z318" i="3"/>
  <c r="V318" i="3"/>
  <c r="P125" i="75"/>
  <c r="X121" i="75"/>
  <c r="Z121" i="75" s="1"/>
  <c r="R121" i="75"/>
  <c r="L27" i="8"/>
  <c r="D31" i="8"/>
  <c r="H75" i="59"/>
  <c r="D31" i="13"/>
  <c r="L27" i="13"/>
  <c r="X22" i="93"/>
  <c r="Z22" i="93" s="1"/>
  <c r="P83" i="93"/>
  <c r="R22" i="93"/>
  <c r="D126" i="85"/>
  <c r="L51" i="85"/>
  <c r="N51" i="85" s="1"/>
  <c r="D57" i="100"/>
  <c r="L53" i="100"/>
  <c r="N53" i="100" s="1"/>
  <c r="N27" i="8"/>
  <c r="H31" i="8"/>
  <c r="H74" i="48"/>
  <c r="J70" i="48"/>
  <c r="D100" i="92"/>
  <c r="X95" i="88"/>
  <c r="Z95" i="88" s="1"/>
  <c r="P99" i="88"/>
  <c r="R95" i="88"/>
  <c r="D92" i="108"/>
  <c r="L23" i="108"/>
  <c r="N23" i="108" s="1"/>
  <c r="H31" i="46"/>
  <c r="N27" i="46"/>
  <c r="P103" i="9"/>
  <c r="X99" i="9"/>
  <c r="T29" i="78"/>
  <c r="Z29" i="78" s="1"/>
  <c r="Z26" i="78"/>
  <c r="D31" i="5"/>
  <c r="L27" i="5"/>
  <c r="L27" i="22"/>
  <c r="D31" i="22"/>
  <c r="P322" i="3"/>
  <c r="X318" i="3"/>
  <c r="R318" i="3"/>
  <c r="F182" i="18"/>
  <c r="P124" i="27"/>
  <c r="X59" i="27"/>
  <c r="Z59" i="27" s="1"/>
  <c r="P26" i="54"/>
  <c r="X22" i="54"/>
  <c r="T100" i="106"/>
  <c r="V97" i="106"/>
  <c r="X27" i="112"/>
  <c r="P31" i="112"/>
  <c r="Z69" i="68"/>
  <c r="T72" i="68"/>
  <c r="T90" i="93"/>
  <c r="V87" i="93"/>
  <c r="X27" i="40"/>
  <c r="P31" i="40"/>
  <c r="L71" i="59"/>
  <c r="N71" i="59" s="1"/>
  <c r="H113" i="77"/>
  <c r="J109" i="77"/>
  <c r="P31" i="7"/>
  <c r="X27" i="7"/>
  <c r="T26" i="107"/>
  <c r="Z22" i="107"/>
  <c r="T31" i="41"/>
  <c r="Z27" i="41"/>
  <c r="J99" i="108"/>
  <c r="P31" i="11"/>
  <c r="X27" i="11"/>
  <c r="H282" i="12"/>
  <c r="J278" i="12"/>
  <c r="T96" i="104"/>
  <c r="V92" i="104"/>
  <c r="X107" i="64"/>
  <c r="P111" i="64"/>
  <c r="L27" i="29"/>
  <c r="D31" i="29"/>
  <c r="T98" i="98"/>
  <c r="V95" i="98"/>
  <c r="N27" i="20"/>
  <c r="H31" i="20"/>
  <c r="N93" i="92"/>
  <c r="H97" i="92"/>
  <c r="L97" i="92" s="1"/>
  <c r="T103" i="96"/>
  <c r="V99" i="96"/>
  <c r="N107" i="64"/>
  <c r="H111" i="64"/>
  <c r="D96" i="84"/>
  <c r="L22" i="84"/>
  <c r="N22" i="84" s="1"/>
  <c r="T85" i="80"/>
  <c r="Z81" i="80"/>
  <c r="V81" i="80"/>
  <c r="X27" i="4"/>
  <c r="P31" i="4"/>
  <c r="D31" i="19"/>
  <c r="L27" i="19"/>
  <c r="P75" i="59"/>
  <c r="X71" i="59"/>
  <c r="Z71" i="59" s="1"/>
  <c r="D26" i="107"/>
  <c r="L22" i="107"/>
  <c r="P133" i="24"/>
  <c r="X76" i="24"/>
  <c r="Z76" i="24" s="1"/>
  <c r="N27" i="7"/>
  <c r="H31" i="7"/>
  <c r="H31" i="40"/>
  <c r="N27" i="40"/>
  <c r="X96" i="84"/>
  <c r="Z96" i="84" s="1"/>
  <c r="P100" i="84"/>
  <c r="R96" i="84"/>
  <c r="F23" i="89"/>
  <c r="D47" i="99"/>
  <c r="L43" i="99"/>
  <c r="F43" i="99"/>
  <c r="Z27" i="10"/>
  <c r="T31" i="10"/>
  <c r="P31" i="28"/>
  <c r="X27" i="28"/>
  <c r="P31" i="38"/>
  <c r="X27" i="38"/>
  <c r="D140" i="36"/>
  <c r="L136" i="36"/>
  <c r="F136" i="36"/>
  <c r="R22" i="96"/>
  <c r="Z46" i="109"/>
  <c r="T50" i="109"/>
  <c r="L22" i="93"/>
  <c r="N22" i="93" s="1"/>
  <c r="D83" i="93"/>
  <c r="N27" i="43"/>
  <c r="H31" i="43"/>
  <c r="Z22" i="6"/>
  <c r="T26" i="6"/>
  <c r="T143" i="36"/>
  <c r="V140" i="36"/>
  <c r="H125" i="75"/>
  <c r="J121" i="75"/>
  <c r="T83" i="94"/>
  <c r="V79" i="94"/>
  <c r="T31" i="14"/>
  <c r="Z27" i="14"/>
  <c r="L116" i="21"/>
  <c r="N116" i="21" s="1"/>
  <c r="D120" i="21"/>
  <c r="F116" i="21"/>
  <c r="P50" i="99"/>
  <c r="X47" i="99"/>
  <c r="R47" i="99"/>
  <c r="F56" i="77"/>
  <c r="T31" i="40"/>
  <c r="Z27" i="40"/>
  <c r="Z27" i="8"/>
  <c r="T31" i="8"/>
  <c r="P31" i="22"/>
  <c r="X27" i="22"/>
  <c r="L22" i="78"/>
  <c r="D26" i="78"/>
  <c r="D99" i="88"/>
  <c r="L95" i="88"/>
  <c r="N95" i="88" s="1"/>
  <c r="F95" i="88"/>
  <c r="P91" i="98"/>
  <c r="X23" i="98"/>
  <c r="Z23" i="98" s="1"/>
  <c r="L77" i="57"/>
  <c r="N77" i="57" s="1"/>
  <c r="D81" i="57"/>
  <c r="P82" i="81"/>
  <c r="X22" i="81"/>
  <c r="Z22" i="81" s="1"/>
  <c r="P31" i="37"/>
  <c r="X27" i="37"/>
  <c r="H32" i="83"/>
  <c r="J28" i="83"/>
  <c r="D31" i="11"/>
  <c r="L27" i="11"/>
  <c r="X27" i="46"/>
  <c r="P31" i="46"/>
  <c r="L27" i="53"/>
  <c r="D31" i="53"/>
  <c r="X27" i="26"/>
  <c r="P31" i="26"/>
  <c r="D31" i="44"/>
  <c r="L27" i="44"/>
  <c r="T137" i="24"/>
  <c r="V133" i="24"/>
  <c r="F22" i="84"/>
  <c r="P126" i="85"/>
  <c r="X51" i="85"/>
  <c r="Z51" i="85" s="1"/>
  <c r="H158" i="30"/>
  <c r="J154" i="30"/>
  <c r="R157" i="15"/>
  <c r="X72" i="68"/>
  <c r="X81" i="56"/>
  <c r="P85" i="56"/>
  <c r="D31" i="20"/>
  <c r="L27" i="20"/>
  <c r="D26" i="6"/>
  <c r="L22" i="6"/>
  <c r="F76" i="24"/>
  <c r="D104" i="33"/>
  <c r="L37" i="33"/>
  <c r="N37" i="33" s="1"/>
  <c r="H69" i="61"/>
  <c r="Z27" i="19"/>
  <c r="T31" i="19"/>
  <c r="H31" i="50"/>
  <c r="N27" i="50"/>
  <c r="H108" i="33"/>
  <c r="J104" i="33"/>
  <c r="R59" i="71"/>
  <c r="T86" i="81"/>
  <c r="V82" i="81"/>
  <c r="D31" i="4"/>
  <c r="L27" i="4"/>
  <c r="L27" i="23"/>
  <c r="D31" i="23"/>
  <c r="L27" i="46"/>
  <c r="D31" i="46"/>
  <c r="H65" i="60"/>
  <c r="D75" i="79"/>
  <c r="L71" i="79"/>
  <c r="N71" i="79" s="1"/>
  <c r="F71" i="79"/>
  <c r="X57" i="100"/>
  <c r="P60" i="100"/>
  <c r="X27" i="25"/>
  <c r="P31" i="25"/>
  <c r="P142" i="39"/>
  <c r="X36" i="39"/>
  <c r="Z36" i="39" s="1"/>
  <c r="D65" i="60"/>
  <c r="L61" i="60"/>
  <c r="N61" i="60" s="1"/>
  <c r="H91" i="76"/>
  <c r="J87" i="76"/>
  <c r="H296" i="18"/>
  <c r="J292" i="18"/>
  <c r="Z81" i="56"/>
  <c r="T85" i="56"/>
  <c r="H31" i="31"/>
  <c r="N27" i="31"/>
  <c r="X27" i="52"/>
  <c r="P31" i="52"/>
  <c r="Z27" i="13"/>
  <c r="T31" i="13"/>
  <c r="T103" i="9"/>
  <c r="Z99" i="9"/>
  <c r="Z70" i="110"/>
  <c r="T74" i="110"/>
  <c r="V70" i="110"/>
  <c r="X85" i="56" l="1"/>
  <c r="P88" i="56"/>
  <c r="P36" i="40"/>
  <c r="X31" i="40"/>
  <c r="X31" i="5"/>
  <c r="P36" i="5"/>
  <c r="X124" i="71"/>
  <c r="Z124" i="71" s="1"/>
  <c r="P128" i="71"/>
  <c r="R124" i="71"/>
  <c r="P31" i="6"/>
  <c r="X31" i="6" s="1"/>
  <c r="X26" i="6"/>
  <c r="X67" i="105"/>
  <c r="Z67" i="105" s="1"/>
  <c r="P70" i="105"/>
  <c r="R67" i="105"/>
  <c r="L85" i="80"/>
  <c r="D88" i="80"/>
  <c r="F85" i="80"/>
  <c r="N31" i="25"/>
  <c r="H36" i="25"/>
  <c r="N36" i="25" s="1"/>
  <c r="X31" i="44"/>
  <c r="P36" i="44"/>
  <c r="T69" i="61"/>
  <c r="N31" i="113"/>
  <c r="H36" i="113"/>
  <c r="N36" i="113" s="1"/>
  <c r="P36" i="10"/>
  <c r="X31" i="10"/>
  <c r="P78" i="79"/>
  <c r="X75" i="79"/>
  <c r="Z75" i="79" s="1"/>
  <c r="R75" i="79"/>
  <c r="L31" i="17"/>
  <c r="D36" i="17"/>
  <c r="D36" i="113"/>
  <c r="L31" i="113"/>
  <c r="H36" i="52"/>
  <c r="N36" i="52" s="1"/>
  <c r="N31" i="52"/>
  <c r="H36" i="53"/>
  <c r="N36" i="53" s="1"/>
  <c r="N31" i="53"/>
  <c r="P36" i="32"/>
  <c r="X31" i="32"/>
  <c r="T40" i="55"/>
  <c r="Z37" i="55"/>
  <c r="P29" i="78"/>
  <c r="X29" i="78" s="1"/>
  <c r="X26" i="78"/>
  <c r="L96" i="104"/>
  <c r="D99" i="104"/>
  <c r="F96" i="104"/>
  <c r="Z31" i="13"/>
  <c r="T36" i="13"/>
  <c r="Z36" i="13" s="1"/>
  <c r="T89" i="81"/>
  <c r="V86" i="81"/>
  <c r="N69" i="61"/>
  <c r="T53" i="109"/>
  <c r="P137" i="24"/>
  <c r="X133" i="24"/>
  <c r="Z133" i="24" s="1"/>
  <c r="R133" i="24"/>
  <c r="D36" i="5"/>
  <c r="L31" i="5"/>
  <c r="P102" i="88"/>
  <c r="X99" i="88"/>
  <c r="R99" i="88"/>
  <c r="D130" i="85"/>
  <c r="L126" i="85"/>
  <c r="N126" i="85" s="1"/>
  <c r="F126" i="85"/>
  <c r="P128" i="75"/>
  <c r="X125" i="75"/>
  <c r="R125" i="75"/>
  <c r="D285" i="12"/>
  <c r="L282" i="12"/>
  <c r="F282" i="12"/>
  <c r="H131" i="71"/>
  <c r="J128" i="71"/>
  <c r="V70" i="105"/>
  <c r="T84" i="70"/>
  <c r="V81" i="70"/>
  <c r="X96" i="104"/>
  <c r="P99" i="104"/>
  <c r="R96" i="104"/>
  <c r="N31" i="47"/>
  <c r="H36" i="47"/>
  <c r="N36" i="47" s="1"/>
  <c r="D125" i="75"/>
  <c r="L121" i="75"/>
  <c r="N121" i="75" s="1"/>
  <c r="F121" i="75"/>
  <c r="X31" i="43"/>
  <c r="P36" i="43"/>
  <c r="Z31" i="28"/>
  <c r="T36" i="28"/>
  <c r="Z36" i="28" s="1"/>
  <c r="P133" i="42"/>
  <c r="X129" i="42"/>
  <c r="Z129" i="42" s="1"/>
  <c r="R129" i="42"/>
  <c r="D89" i="89"/>
  <c r="L85" i="89"/>
  <c r="N85" i="89" s="1"/>
  <c r="F85" i="89"/>
  <c r="N80" i="58"/>
  <c r="H83" i="58"/>
  <c r="P83" i="94"/>
  <c r="X79" i="94"/>
  <c r="Z79" i="94" s="1"/>
  <c r="R79" i="94"/>
  <c r="X31" i="41"/>
  <c r="P36" i="41"/>
  <c r="X84" i="73"/>
  <c r="Z84" i="73" s="1"/>
  <c r="P88" i="73"/>
  <c r="R84" i="73"/>
  <c r="H116" i="51"/>
  <c r="J113" i="51"/>
  <c r="T36" i="31"/>
  <c r="Z36" i="31" s="1"/>
  <c r="Z31" i="31"/>
  <c r="H94" i="76"/>
  <c r="J91" i="76"/>
  <c r="T140" i="24"/>
  <c r="V137" i="24"/>
  <c r="H35" i="83"/>
  <c r="J32" i="83"/>
  <c r="L26" i="107"/>
  <c r="D29" i="107"/>
  <c r="P31" i="54"/>
  <c r="X26" i="54"/>
  <c r="P87" i="93"/>
  <c r="X83" i="93"/>
  <c r="Z83" i="93" s="1"/>
  <c r="R83" i="93"/>
  <c r="T91" i="73"/>
  <c r="V88" i="73"/>
  <c r="D146" i="39"/>
  <c r="L142" i="39"/>
  <c r="N142" i="39" s="1"/>
  <c r="F142" i="39"/>
  <c r="Z31" i="38"/>
  <c r="T36" i="38"/>
  <c r="Z36" i="38" s="1"/>
  <c r="T114" i="64"/>
  <c r="T123" i="21"/>
  <c r="V120" i="21"/>
  <c r="Z84" i="57"/>
  <c r="H36" i="112"/>
  <c r="N36" i="112" s="1"/>
  <c r="N31" i="112"/>
  <c r="H88" i="56"/>
  <c r="D69" i="61"/>
  <c r="L69" i="61" s="1"/>
  <c r="L66" i="61"/>
  <c r="N66" i="61" s="1"/>
  <c r="X99" i="96"/>
  <c r="Z99" i="96" s="1"/>
  <c r="P103" i="96"/>
  <c r="R99" i="96"/>
  <c r="X31" i="113"/>
  <c r="P36" i="113"/>
  <c r="D53" i="109"/>
  <c r="L50" i="109"/>
  <c r="V285" i="12"/>
  <c r="P90" i="95"/>
  <c r="X86" i="95"/>
  <c r="Z86" i="95" s="1"/>
  <c r="R86" i="95"/>
  <c r="T131" i="27"/>
  <c r="V128" i="27"/>
  <c r="P69" i="61"/>
  <c r="X66" i="61"/>
  <c r="Z66" i="61" s="1"/>
  <c r="D113" i="77"/>
  <c r="L109" i="77"/>
  <c r="N109" i="77" s="1"/>
  <c r="F109" i="77"/>
  <c r="X31" i="13"/>
  <c r="P36" i="13"/>
  <c r="N31" i="23"/>
  <c r="H36" i="23"/>
  <c r="N36" i="23" s="1"/>
  <c r="P82" i="101"/>
  <c r="X79" i="101"/>
  <c r="R79" i="101"/>
  <c r="V77" i="48"/>
  <c r="D36" i="49"/>
  <c r="L31" i="49"/>
  <c r="X282" i="12"/>
  <c r="Z282" i="12" s="1"/>
  <c r="P285" i="12"/>
  <c r="R282" i="12"/>
  <c r="D88" i="73"/>
  <c r="L84" i="73"/>
  <c r="N84" i="73" s="1"/>
  <c r="F84" i="73"/>
  <c r="X31" i="53"/>
  <c r="P36" i="53"/>
  <c r="T299" i="18"/>
  <c r="V296" i="18"/>
  <c r="T36" i="23"/>
  <c r="Z36" i="23" s="1"/>
  <c r="Z31" i="23"/>
  <c r="L31" i="16"/>
  <c r="D36" i="16"/>
  <c r="H93" i="95"/>
  <c r="J90" i="95"/>
  <c r="D36" i="32"/>
  <c r="L31" i="32"/>
  <c r="N31" i="17"/>
  <c r="H36" i="17"/>
  <c r="N36" i="17" s="1"/>
  <c r="P36" i="31"/>
  <c r="X31" i="31"/>
  <c r="H140" i="24"/>
  <c r="J137" i="24"/>
  <c r="P36" i="86"/>
  <c r="X32" i="86"/>
  <c r="Z32" i="86" s="1"/>
  <c r="R32" i="86"/>
  <c r="P36" i="29"/>
  <c r="X31" i="29"/>
  <c r="X109" i="77"/>
  <c r="Z109" i="77" s="1"/>
  <c r="P113" i="77"/>
  <c r="R109" i="77"/>
  <c r="R50" i="99"/>
  <c r="L31" i="47"/>
  <c r="D36" i="47"/>
  <c r="H36" i="41"/>
  <c r="N36" i="41" s="1"/>
  <c r="N31" i="41"/>
  <c r="N99" i="88"/>
  <c r="H102" i="88"/>
  <c r="J99" i="88"/>
  <c r="X31" i="52"/>
  <c r="P36" i="52"/>
  <c r="L26" i="78"/>
  <c r="D29" i="78"/>
  <c r="L47" i="99"/>
  <c r="D50" i="99"/>
  <c r="F47" i="99"/>
  <c r="V90" i="93"/>
  <c r="J98" i="102"/>
  <c r="P83" i="58"/>
  <c r="X83" i="58" s="1"/>
  <c r="X80" i="58"/>
  <c r="X50" i="109"/>
  <c r="Z50" i="109" s="1"/>
  <c r="P53" i="109"/>
  <c r="X53" i="109" s="1"/>
  <c r="N31" i="38"/>
  <c r="H36" i="38"/>
  <c r="N36" i="38" s="1"/>
  <c r="Z31" i="5"/>
  <c r="T36" i="5"/>
  <c r="Z36" i="5" s="1"/>
  <c r="Z31" i="17"/>
  <c r="T36" i="17"/>
  <c r="Z36" i="17" s="1"/>
  <c r="H36" i="19"/>
  <c r="N36" i="19" s="1"/>
  <c r="N31" i="19"/>
  <c r="P296" i="18"/>
  <c r="X292" i="18"/>
  <c r="Z292" i="18" s="1"/>
  <c r="R292" i="18"/>
  <c r="N31" i="111"/>
  <c r="H36" i="111"/>
  <c r="N36" i="111" s="1"/>
  <c r="L80" i="58"/>
  <c r="D83" i="58"/>
  <c r="H106" i="96"/>
  <c r="J103" i="96"/>
  <c r="L31" i="40"/>
  <c r="D36" i="40"/>
  <c r="L31" i="37"/>
  <c r="D36" i="37"/>
  <c r="D98" i="98"/>
  <c r="L95" i="98"/>
  <c r="F95" i="98"/>
  <c r="N31" i="16"/>
  <c r="H36" i="16"/>
  <c r="N36" i="16" s="1"/>
  <c r="L31" i="28"/>
  <c r="D36" i="28"/>
  <c r="N31" i="44"/>
  <c r="H36" i="44"/>
  <c r="N36" i="44" s="1"/>
  <c r="Z31" i="11"/>
  <c r="T36" i="11"/>
  <c r="Z36" i="11" s="1"/>
  <c r="H91" i="73"/>
  <c r="J88" i="73"/>
  <c r="T98" i="102"/>
  <c r="V95" i="102"/>
  <c r="Z97" i="92"/>
  <c r="T100" i="92"/>
  <c r="Z31" i="29"/>
  <c r="T36" i="29"/>
  <c r="Z36" i="29" s="1"/>
  <c r="N31" i="22"/>
  <c r="H36" i="22"/>
  <c r="N36" i="22" s="1"/>
  <c r="N31" i="11"/>
  <c r="H36" i="11"/>
  <c r="N36" i="11" s="1"/>
  <c r="P108" i="33"/>
  <c r="X104" i="33"/>
  <c r="Z104" i="33" s="1"/>
  <c r="R104" i="33"/>
  <c r="D322" i="3"/>
  <c r="L318" i="3"/>
  <c r="N318" i="3" s="1"/>
  <c r="F318" i="3"/>
  <c r="Z31" i="44"/>
  <c r="T36" i="44"/>
  <c r="Z36" i="44" s="1"/>
  <c r="P91" i="76"/>
  <c r="X87" i="76"/>
  <c r="Z87" i="76" s="1"/>
  <c r="R87" i="76"/>
  <c r="H72" i="68"/>
  <c r="N69" i="68"/>
  <c r="T36" i="22"/>
  <c r="Z36" i="22" s="1"/>
  <c r="Z31" i="22"/>
  <c r="X74" i="110"/>
  <c r="P77" i="110"/>
  <c r="R74" i="110"/>
  <c r="T82" i="101"/>
  <c r="Z79" i="101"/>
  <c r="V79" i="101"/>
  <c r="L104" i="33"/>
  <c r="N104" i="33" s="1"/>
  <c r="D108" i="33"/>
  <c r="F104" i="33"/>
  <c r="T327" i="3"/>
  <c r="V322" i="3"/>
  <c r="P36" i="37"/>
  <c r="X31" i="37"/>
  <c r="V143" i="36"/>
  <c r="N111" i="64"/>
  <c r="H114" i="64"/>
  <c r="V98" i="98"/>
  <c r="Z26" i="107"/>
  <c r="T29" i="107"/>
  <c r="Z29" i="107" s="1"/>
  <c r="Z72" i="68"/>
  <c r="P128" i="27"/>
  <c r="X124" i="27"/>
  <c r="Z124" i="27" s="1"/>
  <c r="R124" i="27"/>
  <c r="L133" i="24"/>
  <c r="N133" i="24" s="1"/>
  <c r="D137" i="24"/>
  <c r="F133" i="24"/>
  <c r="T128" i="75"/>
  <c r="Z125" i="75"/>
  <c r="V125" i="75"/>
  <c r="L31" i="38"/>
  <c r="D36" i="38"/>
  <c r="L31" i="34"/>
  <c r="D36" i="34"/>
  <c r="X37" i="55"/>
  <c r="P40" i="55"/>
  <c r="X40" i="55" s="1"/>
  <c r="P36" i="8"/>
  <c r="X31" i="8"/>
  <c r="X81" i="57"/>
  <c r="Z81" i="57" s="1"/>
  <c r="P84" i="57"/>
  <c r="X84" i="57" s="1"/>
  <c r="H103" i="84"/>
  <c r="J100" i="84"/>
  <c r="H36" i="4"/>
  <c r="N36" i="4" s="1"/>
  <c r="N31" i="4"/>
  <c r="Z31" i="32"/>
  <c r="T36" i="32"/>
  <c r="Z36" i="32" s="1"/>
  <c r="D128" i="71"/>
  <c r="L124" i="71"/>
  <c r="N124" i="71" s="1"/>
  <c r="F124" i="71"/>
  <c r="P100" i="92"/>
  <c r="X97" i="92"/>
  <c r="Z31" i="111"/>
  <c r="T36" i="111"/>
  <c r="Z36" i="111" s="1"/>
  <c r="N31" i="28"/>
  <c r="H36" i="28"/>
  <c r="N36" i="28" s="1"/>
  <c r="L88" i="56"/>
  <c r="Z65" i="60"/>
  <c r="T68" i="60"/>
  <c r="L31" i="35"/>
  <c r="D36" i="35"/>
  <c r="L31" i="52"/>
  <c r="D36" i="52"/>
  <c r="L81" i="70"/>
  <c r="N81" i="70" s="1"/>
  <c r="D84" i="70"/>
  <c r="F81" i="70"/>
  <c r="H36" i="13"/>
  <c r="N36" i="13" s="1"/>
  <c r="N31" i="13"/>
  <c r="D78" i="79"/>
  <c r="L75" i="79"/>
  <c r="N75" i="79" s="1"/>
  <c r="F75" i="79"/>
  <c r="Z31" i="41"/>
  <c r="T36" i="41"/>
  <c r="Z36" i="41" s="1"/>
  <c r="D68" i="60"/>
  <c r="L68" i="60" s="1"/>
  <c r="L65" i="60"/>
  <c r="L31" i="25"/>
  <c r="D36" i="25"/>
  <c r="H161" i="30"/>
  <c r="J158" i="30"/>
  <c r="D36" i="46"/>
  <c r="L31" i="46"/>
  <c r="P36" i="22"/>
  <c r="X31" i="22"/>
  <c r="L120" i="21"/>
  <c r="N120" i="21" s="1"/>
  <c r="D123" i="21"/>
  <c r="F120" i="21"/>
  <c r="L140" i="36"/>
  <c r="D143" i="36"/>
  <c r="F140" i="36"/>
  <c r="P103" i="84"/>
  <c r="X100" i="84"/>
  <c r="Z100" i="84" s="1"/>
  <c r="R100" i="84"/>
  <c r="D36" i="13"/>
  <c r="L31" i="13"/>
  <c r="D36" i="43"/>
  <c r="L31" i="43"/>
  <c r="L31" i="31"/>
  <c r="D36" i="31"/>
  <c r="L31" i="111"/>
  <c r="D36" i="111"/>
  <c r="D40" i="55"/>
  <c r="L40" i="55" s="1"/>
  <c r="L37" i="55"/>
  <c r="D36" i="14"/>
  <c r="L31" i="14"/>
  <c r="L31" i="10"/>
  <c r="D36" i="10"/>
  <c r="X28" i="83"/>
  <c r="Z28" i="83" s="1"/>
  <c r="P32" i="83"/>
  <c r="R28" i="83"/>
  <c r="N96" i="104"/>
  <c r="H99" i="104"/>
  <c r="J96" i="104"/>
  <c r="P36" i="34"/>
  <c r="X31" i="34"/>
  <c r="N31" i="14"/>
  <c r="H36" i="14"/>
  <c r="N36" i="14" s="1"/>
  <c r="X65" i="60"/>
  <c r="P68" i="60"/>
  <c r="X68" i="60" s="1"/>
  <c r="Z57" i="100"/>
  <c r="T60" i="100"/>
  <c r="X60" i="100" s="1"/>
  <c r="T39" i="86"/>
  <c r="V36" i="86"/>
  <c r="H136" i="42"/>
  <c r="J133" i="42"/>
  <c r="Z31" i="4"/>
  <c r="T36" i="4"/>
  <c r="Z36" i="4" s="1"/>
  <c r="Z47" i="99"/>
  <c r="T50" i="99"/>
  <c r="Z50" i="99" s="1"/>
  <c r="L91" i="102"/>
  <c r="N91" i="102" s="1"/>
  <c r="D95" i="102"/>
  <c r="F91" i="102"/>
  <c r="N31" i="10"/>
  <c r="H36" i="10"/>
  <c r="N36" i="10" s="1"/>
  <c r="P140" i="36"/>
  <c r="X136" i="36"/>
  <c r="Z136" i="36" s="1"/>
  <c r="R136" i="36"/>
  <c r="P158" i="30"/>
  <c r="X154" i="30"/>
  <c r="Z154" i="30" s="1"/>
  <c r="R154" i="30"/>
  <c r="L85" i="56"/>
  <c r="N85" i="56" s="1"/>
  <c r="T149" i="39"/>
  <c r="V146" i="39"/>
  <c r="H100" i="106"/>
  <c r="J97" i="106"/>
  <c r="T127" i="69"/>
  <c r="V124" i="69"/>
  <c r="D36" i="50"/>
  <c r="L31" i="50"/>
  <c r="X31" i="50"/>
  <c r="P36" i="50"/>
  <c r="H128" i="75"/>
  <c r="J125" i="75"/>
  <c r="D36" i="44"/>
  <c r="L31" i="44"/>
  <c r="D100" i="84"/>
  <c r="L96" i="84"/>
  <c r="N96" i="84" s="1"/>
  <c r="F96" i="84"/>
  <c r="L100" i="92"/>
  <c r="T136" i="42"/>
  <c r="V133" i="42"/>
  <c r="N65" i="60"/>
  <c r="H68" i="60"/>
  <c r="X31" i="26"/>
  <c r="P36" i="26"/>
  <c r="H36" i="31"/>
  <c r="N36" i="31" s="1"/>
  <c r="N31" i="31"/>
  <c r="P146" i="39"/>
  <c r="X142" i="39"/>
  <c r="Z142" i="39" s="1"/>
  <c r="R142" i="39"/>
  <c r="Z74" i="110"/>
  <c r="T77" i="110"/>
  <c r="V74" i="110"/>
  <c r="Z85" i="56"/>
  <c r="T88" i="56"/>
  <c r="X31" i="25"/>
  <c r="P36" i="25"/>
  <c r="D36" i="53"/>
  <c r="L31" i="53"/>
  <c r="X82" i="81"/>
  <c r="Z82" i="81" s="1"/>
  <c r="P86" i="81"/>
  <c r="R82" i="81"/>
  <c r="Z31" i="8"/>
  <c r="T36" i="8"/>
  <c r="Z36" i="8" s="1"/>
  <c r="Z26" i="6"/>
  <c r="T31" i="6"/>
  <c r="X75" i="59"/>
  <c r="P78" i="59"/>
  <c r="L31" i="29"/>
  <c r="D36" i="29"/>
  <c r="P36" i="7"/>
  <c r="X31" i="7"/>
  <c r="X31" i="112"/>
  <c r="P36" i="112"/>
  <c r="X103" i="9"/>
  <c r="P106" i="9"/>
  <c r="X106" i="9" s="1"/>
  <c r="H77" i="48"/>
  <c r="J74" i="48"/>
  <c r="N75" i="59"/>
  <c r="H78" i="59"/>
  <c r="P70" i="103"/>
  <c r="X67" i="103"/>
  <c r="L86" i="81"/>
  <c r="N86" i="81" s="1"/>
  <c r="D89" i="81"/>
  <c r="F86" i="81"/>
  <c r="X265" i="15"/>
  <c r="Z265" i="15" s="1"/>
  <c r="P269" i="15"/>
  <c r="R265" i="15"/>
  <c r="H36" i="49"/>
  <c r="N36" i="49" s="1"/>
  <c r="N31" i="49"/>
  <c r="N70" i="103"/>
  <c r="L86" i="95"/>
  <c r="N86" i="95" s="1"/>
  <c r="D90" i="95"/>
  <c r="F86" i="95"/>
  <c r="L31" i="26"/>
  <c r="D36" i="26"/>
  <c r="T272" i="15"/>
  <c r="V269" i="15"/>
  <c r="X26" i="107"/>
  <c r="P29" i="107"/>
  <c r="X29" i="107" s="1"/>
  <c r="T99" i="108"/>
  <c r="V96" i="108"/>
  <c r="T36" i="26"/>
  <c r="Z36" i="26" s="1"/>
  <c r="Z31" i="26"/>
  <c r="H53" i="109"/>
  <c r="N50" i="109"/>
  <c r="H40" i="55"/>
  <c r="N37" i="55"/>
  <c r="X85" i="80"/>
  <c r="P88" i="80"/>
  <c r="R85" i="80"/>
  <c r="D91" i="76"/>
  <c r="L87" i="76"/>
  <c r="N87" i="76" s="1"/>
  <c r="F87" i="76"/>
  <c r="P36" i="23"/>
  <c r="X31" i="23"/>
  <c r="T131" i="71"/>
  <c r="V128" i="71"/>
  <c r="J322" i="3"/>
  <c r="H327" i="3"/>
  <c r="X31" i="20"/>
  <c r="P36" i="20"/>
  <c r="N47" i="99"/>
  <c r="H50" i="99"/>
  <c r="N50" i="99" s="1"/>
  <c r="D36" i="41"/>
  <c r="L31" i="41"/>
  <c r="X95" i="74"/>
  <c r="Z95" i="74" s="1"/>
  <c r="P99" i="74"/>
  <c r="R95" i="74"/>
  <c r="L269" i="15"/>
  <c r="D272" i="15"/>
  <c r="F269" i="15"/>
  <c r="P113" i="51"/>
  <c r="X109" i="51"/>
  <c r="Z109" i="51" s="1"/>
  <c r="R109" i="51"/>
  <c r="H82" i="101"/>
  <c r="N79" i="101"/>
  <c r="T35" i="83"/>
  <c r="V32" i="83"/>
  <c r="H100" i="92"/>
  <c r="N97" i="92"/>
  <c r="L99" i="88"/>
  <c r="D102" i="88"/>
  <c r="F99" i="88"/>
  <c r="Z85" i="80"/>
  <c r="T88" i="80"/>
  <c r="V85" i="80"/>
  <c r="X77" i="48"/>
  <c r="Z77" i="48" s="1"/>
  <c r="R77" i="48"/>
  <c r="N269" i="15"/>
  <c r="H272" i="15"/>
  <c r="J269" i="15"/>
  <c r="N85" i="80"/>
  <c r="H88" i="80"/>
  <c r="J85" i="80"/>
  <c r="L31" i="23"/>
  <c r="D36" i="23"/>
  <c r="H111" i="33"/>
  <c r="J108" i="33"/>
  <c r="D84" i="57"/>
  <c r="L84" i="57" s="1"/>
  <c r="L81" i="57"/>
  <c r="P36" i="38"/>
  <c r="X31" i="38"/>
  <c r="N282" i="12"/>
  <c r="H285" i="12"/>
  <c r="J282" i="12"/>
  <c r="N31" i="8"/>
  <c r="H36" i="8"/>
  <c r="N36" i="8" s="1"/>
  <c r="N95" i="98"/>
  <c r="H98" i="98"/>
  <c r="J95" i="98"/>
  <c r="Z31" i="43"/>
  <c r="T36" i="43"/>
  <c r="Z36" i="43" s="1"/>
  <c r="N31" i="37"/>
  <c r="H36" i="37"/>
  <c r="N36" i="37" s="1"/>
  <c r="P36" i="35"/>
  <c r="X31" i="35"/>
  <c r="N26" i="54"/>
  <c r="H31" i="54"/>
  <c r="J84" i="70"/>
  <c r="T36" i="47"/>
  <c r="Z36" i="47" s="1"/>
  <c r="Z31" i="47"/>
  <c r="X91" i="102"/>
  <c r="Z91" i="102" s="1"/>
  <c r="P95" i="102"/>
  <c r="R91" i="102"/>
  <c r="L31" i="7"/>
  <c r="D36" i="7"/>
  <c r="D97" i="106"/>
  <c r="L93" i="106"/>
  <c r="N93" i="106" s="1"/>
  <c r="F93" i="106"/>
  <c r="X31" i="17"/>
  <c r="P36" i="17"/>
  <c r="D32" i="83"/>
  <c r="L28" i="83"/>
  <c r="N28" i="83" s="1"/>
  <c r="F28" i="83"/>
  <c r="H29" i="78"/>
  <c r="N29" i="78" s="1"/>
  <c r="N26" i="78"/>
  <c r="D103" i="96"/>
  <c r="L99" i="96"/>
  <c r="N99" i="96" s="1"/>
  <c r="F99" i="96"/>
  <c r="T109" i="45"/>
  <c r="V106" i="45"/>
  <c r="Z31" i="50"/>
  <c r="T36" i="50"/>
  <c r="Z36" i="50" s="1"/>
  <c r="D83" i="94"/>
  <c r="L79" i="94"/>
  <c r="N79" i="94" s="1"/>
  <c r="F79" i="94"/>
  <c r="Z31" i="7"/>
  <c r="T36" i="7"/>
  <c r="Z36" i="7" s="1"/>
  <c r="P36" i="47"/>
  <c r="X31" i="47"/>
  <c r="T36" i="35"/>
  <c r="Z36" i="35" s="1"/>
  <c r="Z31" i="35"/>
  <c r="V100" i="106"/>
  <c r="J77" i="110"/>
  <c r="N31" i="20"/>
  <c r="H36" i="20"/>
  <c r="N36" i="20" s="1"/>
  <c r="T133" i="85"/>
  <c r="V130" i="85"/>
  <c r="Z31" i="20"/>
  <c r="T36" i="20"/>
  <c r="Z36" i="20" s="1"/>
  <c r="N31" i="35"/>
  <c r="H36" i="35"/>
  <c r="N36" i="35" s="1"/>
  <c r="P36" i="46"/>
  <c r="X31" i="46"/>
  <c r="T36" i="14"/>
  <c r="Z36" i="14" s="1"/>
  <c r="Z31" i="14"/>
  <c r="N31" i="43"/>
  <c r="H36" i="43"/>
  <c r="N36" i="43" s="1"/>
  <c r="H36" i="40"/>
  <c r="N36" i="40" s="1"/>
  <c r="N31" i="40"/>
  <c r="D36" i="19"/>
  <c r="L31" i="19"/>
  <c r="X111" i="64"/>
  <c r="Z111" i="64" s="1"/>
  <c r="P114" i="64"/>
  <c r="X114" i="64" s="1"/>
  <c r="X322" i="3"/>
  <c r="Z322" i="3" s="1"/>
  <c r="P327" i="3"/>
  <c r="R322" i="3"/>
  <c r="H36" i="46"/>
  <c r="N36" i="46" s="1"/>
  <c r="N31" i="46"/>
  <c r="L31" i="8"/>
  <c r="D36" i="8"/>
  <c r="J123" i="21"/>
  <c r="H36" i="32"/>
  <c r="N36" i="32" s="1"/>
  <c r="N31" i="32"/>
  <c r="T92" i="89"/>
  <c r="X92" i="89" s="1"/>
  <c r="V89" i="89"/>
  <c r="X102" i="45"/>
  <c r="Z102" i="45" s="1"/>
  <c r="P106" i="45"/>
  <c r="R102" i="45"/>
  <c r="Z67" i="103"/>
  <c r="T70" i="103"/>
  <c r="Z31" i="25"/>
  <c r="T36" i="25"/>
  <c r="Z36" i="25" s="1"/>
  <c r="J92" i="89"/>
  <c r="P120" i="21"/>
  <c r="X116" i="21"/>
  <c r="Z116" i="21" s="1"/>
  <c r="R116" i="21"/>
  <c r="L95" i="74"/>
  <c r="N95" i="74" s="1"/>
  <c r="D99" i="74"/>
  <c r="F95" i="74"/>
  <c r="Z99" i="88"/>
  <c r="T102" i="88"/>
  <c r="V99" i="88"/>
  <c r="P124" i="69"/>
  <c r="X120" i="69"/>
  <c r="Z120" i="69" s="1"/>
  <c r="R120" i="69"/>
  <c r="X31" i="111"/>
  <c r="P36" i="111"/>
  <c r="D31" i="54"/>
  <c r="L26" i="54"/>
  <c r="R92" i="89"/>
  <c r="T94" i="76"/>
  <c r="V91" i="76"/>
  <c r="D74" i="48"/>
  <c r="L70" i="48"/>
  <c r="N70" i="48" s="1"/>
  <c r="F70" i="48"/>
  <c r="H84" i="57"/>
  <c r="N81" i="57"/>
  <c r="Z103" i="9"/>
  <c r="T106" i="9"/>
  <c r="T86" i="94"/>
  <c r="V83" i="94"/>
  <c r="T99" i="104"/>
  <c r="Z96" i="104"/>
  <c r="V96" i="104"/>
  <c r="L72" i="68"/>
  <c r="N31" i="34"/>
  <c r="H36" i="34"/>
  <c r="N36" i="34" s="1"/>
  <c r="H299" i="18"/>
  <c r="J296" i="18"/>
  <c r="H36" i="50"/>
  <c r="N36" i="50" s="1"/>
  <c r="N31" i="50"/>
  <c r="X126" i="85"/>
  <c r="Z126" i="85" s="1"/>
  <c r="P130" i="85"/>
  <c r="R126" i="85"/>
  <c r="T36" i="40"/>
  <c r="Z36" i="40" s="1"/>
  <c r="Z31" i="40"/>
  <c r="P36" i="28"/>
  <c r="X31" i="28"/>
  <c r="N31" i="7"/>
  <c r="H36" i="7"/>
  <c r="N36" i="7" s="1"/>
  <c r="X31" i="4"/>
  <c r="P36" i="4"/>
  <c r="T106" i="96"/>
  <c r="V103" i="96"/>
  <c r="H116" i="77"/>
  <c r="J113" i="77"/>
  <c r="L31" i="22"/>
  <c r="D36" i="22"/>
  <c r="Z31" i="49"/>
  <c r="T36" i="49"/>
  <c r="Z36" i="49" s="1"/>
  <c r="D70" i="105"/>
  <c r="L67" i="105"/>
  <c r="N67" i="105" s="1"/>
  <c r="F67" i="105"/>
  <c r="V102" i="74"/>
  <c r="Z31" i="16"/>
  <c r="T36" i="16"/>
  <c r="Z36" i="16" s="1"/>
  <c r="N140" i="36"/>
  <c r="H143" i="36"/>
  <c r="J140" i="36"/>
  <c r="L74" i="110"/>
  <c r="N74" i="110" s="1"/>
  <c r="D77" i="110"/>
  <c r="F74" i="110"/>
  <c r="T36" i="37"/>
  <c r="Z36" i="37" s="1"/>
  <c r="Z31" i="37"/>
  <c r="X31" i="19"/>
  <c r="P36" i="19"/>
  <c r="T31" i="54"/>
  <c r="Z26" i="54"/>
  <c r="X89" i="89"/>
  <c r="Z89" i="89" s="1"/>
  <c r="T36" i="34"/>
  <c r="Z36" i="34" s="1"/>
  <c r="Z31" i="34"/>
  <c r="H133" i="85"/>
  <c r="J130" i="85"/>
  <c r="J90" i="93"/>
  <c r="X31" i="14"/>
  <c r="P36" i="14"/>
  <c r="T36" i="52"/>
  <c r="Z36" i="52" s="1"/>
  <c r="Z31" i="52"/>
  <c r="X97" i="106"/>
  <c r="Z97" i="106" s="1"/>
  <c r="P100" i="106"/>
  <c r="R97" i="106"/>
  <c r="T161" i="30"/>
  <c r="V158" i="30"/>
  <c r="N31" i="5"/>
  <c r="H36" i="5"/>
  <c r="N36" i="5" s="1"/>
  <c r="X96" i="108"/>
  <c r="Z96" i="108" s="1"/>
  <c r="P99" i="108"/>
  <c r="R96" i="108"/>
  <c r="N31" i="26"/>
  <c r="H36" i="26"/>
  <c r="N36" i="26" s="1"/>
  <c r="Z31" i="46"/>
  <c r="T36" i="46"/>
  <c r="Z36" i="46" s="1"/>
  <c r="T36" i="112"/>
  <c r="Z36" i="112" s="1"/>
  <c r="Z31" i="112"/>
  <c r="L103" i="9"/>
  <c r="N103" i="9" s="1"/>
  <c r="D106" i="9"/>
  <c r="D36" i="11"/>
  <c r="L31" i="11"/>
  <c r="L79" i="101"/>
  <c r="D82" i="101"/>
  <c r="L82" i="101" s="1"/>
  <c r="P36" i="16"/>
  <c r="X31" i="16"/>
  <c r="L26" i="6"/>
  <c r="D31" i="6"/>
  <c r="L31" i="6" s="1"/>
  <c r="N31" i="6" s="1"/>
  <c r="D36" i="4"/>
  <c r="L31" i="4"/>
  <c r="Z31" i="19"/>
  <c r="T36" i="19"/>
  <c r="Z36" i="19" s="1"/>
  <c r="D36" i="20"/>
  <c r="L31" i="20"/>
  <c r="P95" i="98"/>
  <c r="X91" i="98"/>
  <c r="Z91" i="98" s="1"/>
  <c r="R91" i="98"/>
  <c r="L83" i="93"/>
  <c r="N83" i="93" s="1"/>
  <c r="D87" i="93"/>
  <c r="F83" i="93"/>
  <c r="Z31" i="10"/>
  <c r="T36" i="10"/>
  <c r="Z36" i="10" s="1"/>
  <c r="P36" i="11"/>
  <c r="X31" i="11"/>
  <c r="L92" i="108"/>
  <c r="N92" i="108" s="1"/>
  <c r="D96" i="108"/>
  <c r="F92" i="108"/>
  <c r="D60" i="100"/>
  <c r="L60" i="100" s="1"/>
  <c r="N60" i="100" s="1"/>
  <c r="L57" i="100"/>
  <c r="N57" i="100" s="1"/>
  <c r="D296" i="18"/>
  <c r="L292" i="18"/>
  <c r="N292" i="18" s="1"/>
  <c r="F292" i="18"/>
  <c r="H29" i="107"/>
  <c r="N29" i="107" s="1"/>
  <c r="N26" i="107"/>
  <c r="X81" i="70"/>
  <c r="Z81" i="70" s="1"/>
  <c r="P84" i="70"/>
  <c r="R81" i="70"/>
  <c r="N31" i="29"/>
  <c r="H36" i="29"/>
  <c r="N36" i="29" s="1"/>
  <c r="L114" i="64"/>
  <c r="L106" i="45"/>
  <c r="N106" i="45" s="1"/>
  <c r="D109" i="45"/>
  <c r="F106" i="45"/>
  <c r="T36" i="53"/>
  <c r="Z36" i="53" s="1"/>
  <c r="Z31" i="53"/>
  <c r="T111" i="33"/>
  <c r="V108" i="33"/>
  <c r="D158" i="30"/>
  <c r="L154" i="30"/>
  <c r="N154" i="30" s="1"/>
  <c r="F154" i="30"/>
  <c r="L120" i="69"/>
  <c r="N120" i="69" s="1"/>
  <c r="D124" i="69"/>
  <c r="F120" i="69"/>
  <c r="H127" i="69"/>
  <c r="J124" i="69"/>
  <c r="D133" i="42"/>
  <c r="L129" i="42"/>
  <c r="N129" i="42" s="1"/>
  <c r="F129" i="42"/>
  <c r="X31" i="49"/>
  <c r="P36" i="49"/>
  <c r="J131" i="27"/>
  <c r="Z31" i="113"/>
  <c r="T36" i="113"/>
  <c r="Z36" i="113" s="1"/>
  <c r="D36" i="112"/>
  <c r="L31" i="112"/>
  <c r="J99" i="74"/>
  <c r="H102" i="74"/>
  <c r="D128" i="27"/>
  <c r="L124" i="27"/>
  <c r="N124" i="27" s="1"/>
  <c r="F124" i="27"/>
  <c r="L36" i="86"/>
  <c r="N36" i="86" s="1"/>
  <c r="D39" i="86"/>
  <c r="F36" i="86"/>
  <c r="L113" i="51"/>
  <c r="N113" i="51" s="1"/>
  <c r="D116" i="51"/>
  <c r="F113" i="51"/>
  <c r="Z80" i="58"/>
  <c r="T83" i="58"/>
  <c r="Z75" i="59"/>
  <c r="T78" i="59"/>
  <c r="H106" i="9"/>
  <c r="V116" i="51"/>
  <c r="X36" i="17" l="1"/>
  <c r="L36" i="23"/>
  <c r="X36" i="4"/>
  <c r="L36" i="11"/>
  <c r="L36" i="38"/>
  <c r="X36" i="111"/>
  <c r="L36" i="14"/>
  <c r="X36" i="28"/>
  <c r="X36" i="23"/>
  <c r="L36" i="4"/>
  <c r="L36" i="41"/>
  <c r="L36" i="53"/>
  <c r="L36" i="25"/>
  <c r="L36" i="47"/>
  <c r="L36" i="52"/>
  <c r="X36" i="22"/>
  <c r="X36" i="112"/>
  <c r="X36" i="47"/>
  <c r="L36" i="111"/>
  <c r="L36" i="7"/>
  <c r="X36" i="49"/>
  <c r="L36" i="35"/>
  <c r="X36" i="38"/>
  <c r="X36" i="31"/>
  <c r="L36" i="112"/>
  <c r="X36" i="32"/>
  <c r="X36" i="19"/>
  <c r="X36" i="14"/>
  <c r="X36" i="46"/>
  <c r="X36" i="41"/>
  <c r="X36" i="7"/>
  <c r="L36" i="113"/>
  <c r="X99" i="108"/>
  <c r="R99" i="108"/>
  <c r="X269" i="15"/>
  <c r="Z269" i="15" s="1"/>
  <c r="P272" i="15"/>
  <c r="R269" i="15"/>
  <c r="V149" i="39"/>
  <c r="L128" i="71"/>
  <c r="N128" i="71" s="1"/>
  <c r="D131" i="71"/>
  <c r="F128" i="71"/>
  <c r="L137" i="24"/>
  <c r="N137" i="24" s="1"/>
  <c r="D140" i="24"/>
  <c r="F137" i="24"/>
  <c r="X296" i="18"/>
  <c r="Z296" i="18" s="1"/>
  <c r="P299" i="18"/>
  <c r="R296" i="18"/>
  <c r="V299" i="18"/>
  <c r="X36" i="113"/>
  <c r="V91" i="73"/>
  <c r="P91" i="73"/>
  <c r="X88" i="73"/>
  <c r="Z88" i="73" s="1"/>
  <c r="R88" i="73"/>
  <c r="Z40" i="55"/>
  <c r="J127" i="69"/>
  <c r="J143" i="36"/>
  <c r="V99" i="104"/>
  <c r="P123" i="21"/>
  <c r="X120" i="21"/>
  <c r="Z120" i="21" s="1"/>
  <c r="R120" i="21"/>
  <c r="X327" i="3"/>
  <c r="Z327" i="3" s="1"/>
  <c r="R327" i="3"/>
  <c r="J111" i="33"/>
  <c r="N82" i="101"/>
  <c r="N40" i="55"/>
  <c r="V272" i="15"/>
  <c r="X36" i="50"/>
  <c r="L143" i="36"/>
  <c r="N143" i="36" s="1"/>
  <c r="F143" i="36"/>
  <c r="Z68" i="60"/>
  <c r="N114" i="64"/>
  <c r="P94" i="76"/>
  <c r="X91" i="76"/>
  <c r="Z91" i="76" s="1"/>
  <c r="R91" i="76"/>
  <c r="L36" i="40"/>
  <c r="J102" i="88"/>
  <c r="X36" i="29"/>
  <c r="X69" i="61"/>
  <c r="V140" i="24"/>
  <c r="L89" i="89"/>
  <c r="N89" i="89" s="1"/>
  <c r="D92" i="89"/>
  <c r="F89" i="89"/>
  <c r="L130" i="85"/>
  <c r="N130" i="85" s="1"/>
  <c r="D133" i="85"/>
  <c r="F130" i="85"/>
  <c r="J99" i="104"/>
  <c r="L39" i="86"/>
  <c r="N39" i="86" s="1"/>
  <c r="F39" i="86"/>
  <c r="L109" i="45"/>
  <c r="N109" i="45" s="1"/>
  <c r="F109" i="45"/>
  <c r="P127" i="69"/>
  <c r="X124" i="69"/>
  <c r="Z124" i="69" s="1"/>
  <c r="R124" i="69"/>
  <c r="D86" i="94"/>
  <c r="L83" i="94"/>
  <c r="N83" i="94" s="1"/>
  <c r="F83" i="94"/>
  <c r="V77" i="110"/>
  <c r="X36" i="53"/>
  <c r="V123" i="21"/>
  <c r="L125" i="75"/>
  <c r="N125" i="75" s="1"/>
  <c r="D128" i="75"/>
  <c r="F125" i="75"/>
  <c r="V89" i="81"/>
  <c r="L124" i="69"/>
  <c r="N124" i="69" s="1"/>
  <c r="D127" i="69"/>
  <c r="F124" i="69"/>
  <c r="D299" i="18"/>
  <c r="L296" i="18"/>
  <c r="N296" i="18" s="1"/>
  <c r="F296" i="18"/>
  <c r="L106" i="9"/>
  <c r="L36" i="22"/>
  <c r="J299" i="18"/>
  <c r="V86" i="94"/>
  <c r="X36" i="35"/>
  <c r="X36" i="20"/>
  <c r="L36" i="26"/>
  <c r="L89" i="81"/>
  <c r="N89" i="81" s="1"/>
  <c r="F89" i="81"/>
  <c r="X86" i="81"/>
  <c r="Z86" i="81" s="1"/>
  <c r="P89" i="81"/>
  <c r="R86" i="81"/>
  <c r="L36" i="31"/>
  <c r="L78" i="79"/>
  <c r="N78" i="79" s="1"/>
  <c r="F78" i="79"/>
  <c r="V82" i="101"/>
  <c r="L36" i="32"/>
  <c r="V131" i="27"/>
  <c r="X103" i="96"/>
  <c r="Z103" i="96" s="1"/>
  <c r="P106" i="96"/>
  <c r="R103" i="96"/>
  <c r="Z114" i="64"/>
  <c r="P90" i="93"/>
  <c r="X87" i="93"/>
  <c r="Z87" i="93" s="1"/>
  <c r="R87" i="93"/>
  <c r="J131" i="71"/>
  <c r="X78" i="79"/>
  <c r="Z78" i="79" s="1"/>
  <c r="R78" i="79"/>
  <c r="J128" i="75"/>
  <c r="V88" i="80"/>
  <c r="V136" i="42"/>
  <c r="X113" i="51"/>
  <c r="Z113" i="51" s="1"/>
  <c r="P116" i="51"/>
  <c r="R113" i="51"/>
  <c r="L36" i="50"/>
  <c r="L123" i="21"/>
  <c r="N123" i="21" s="1"/>
  <c r="F123" i="21"/>
  <c r="L36" i="34"/>
  <c r="P131" i="27"/>
  <c r="X128" i="27"/>
  <c r="Z128" i="27" s="1"/>
  <c r="R128" i="27"/>
  <c r="L36" i="28"/>
  <c r="J106" i="96"/>
  <c r="X82" i="101"/>
  <c r="Z82" i="101" s="1"/>
  <c r="R82" i="101"/>
  <c r="J94" i="76"/>
  <c r="X133" i="42"/>
  <c r="Z133" i="42" s="1"/>
  <c r="P136" i="42"/>
  <c r="R133" i="42"/>
  <c r="X102" i="88"/>
  <c r="R102" i="88"/>
  <c r="P131" i="71"/>
  <c r="X128" i="71"/>
  <c r="Z128" i="71" s="1"/>
  <c r="R128" i="71"/>
  <c r="L32" i="83"/>
  <c r="N32" i="83" s="1"/>
  <c r="D35" i="83"/>
  <c r="F32" i="83"/>
  <c r="L102" i="88"/>
  <c r="N102" i="88" s="1"/>
  <c r="F102" i="88"/>
  <c r="J327" i="3"/>
  <c r="D94" i="76"/>
  <c r="L91" i="76"/>
  <c r="N91" i="76" s="1"/>
  <c r="F91" i="76"/>
  <c r="P161" i="30"/>
  <c r="X158" i="30"/>
  <c r="Z158" i="30" s="1"/>
  <c r="R158" i="30"/>
  <c r="X32" i="83"/>
  <c r="Z32" i="83" s="1"/>
  <c r="P35" i="83"/>
  <c r="R32" i="83"/>
  <c r="X77" i="110"/>
  <c r="Z77" i="110" s="1"/>
  <c r="R77" i="110"/>
  <c r="J93" i="95"/>
  <c r="X31" i="54"/>
  <c r="X36" i="10"/>
  <c r="L70" i="105"/>
  <c r="N70" i="105" s="1"/>
  <c r="F70" i="105"/>
  <c r="X95" i="98"/>
  <c r="Z95" i="98" s="1"/>
  <c r="P98" i="98"/>
  <c r="R95" i="98"/>
  <c r="V161" i="30"/>
  <c r="L36" i="19"/>
  <c r="V109" i="45"/>
  <c r="J88" i="80"/>
  <c r="L272" i="15"/>
  <c r="F272" i="15"/>
  <c r="L90" i="95"/>
  <c r="N90" i="95" s="1"/>
  <c r="D93" i="95"/>
  <c r="F90" i="95"/>
  <c r="X70" i="103"/>
  <c r="L36" i="29"/>
  <c r="P149" i="39"/>
  <c r="X146" i="39"/>
  <c r="Z146" i="39" s="1"/>
  <c r="R146" i="39"/>
  <c r="L36" i="43"/>
  <c r="X36" i="37"/>
  <c r="D327" i="3"/>
  <c r="L322" i="3"/>
  <c r="N322" i="3" s="1"/>
  <c r="F322" i="3"/>
  <c r="L83" i="58"/>
  <c r="L50" i="99"/>
  <c r="F50" i="99"/>
  <c r="P39" i="86"/>
  <c r="X36" i="86"/>
  <c r="Z36" i="86" s="1"/>
  <c r="R36" i="86"/>
  <c r="D91" i="73"/>
  <c r="L88" i="73"/>
  <c r="N88" i="73" s="1"/>
  <c r="F88" i="73"/>
  <c r="L29" i="107"/>
  <c r="X99" i="104"/>
  <c r="Z99" i="104" s="1"/>
  <c r="R99" i="104"/>
  <c r="L285" i="12"/>
  <c r="N285" i="12" s="1"/>
  <c r="F285" i="12"/>
  <c r="L36" i="5"/>
  <c r="X36" i="5"/>
  <c r="Z83" i="58"/>
  <c r="J102" i="74"/>
  <c r="L77" i="110"/>
  <c r="N77" i="110" s="1"/>
  <c r="F77" i="110"/>
  <c r="J116" i="77"/>
  <c r="X88" i="80"/>
  <c r="Z88" i="80" s="1"/>
  <c r="R88" i="80"/>
  <c r="N78" i="59"/>
  <c r="L100" i="84"/>
  <c r="N100" i="84" s="1"/>
  <c r="D103" i="84"/>
  <c r="F100" i="84"/>
  <c r="V127" i="69"/>
  <c r="J136" i="42"/>
  <c r="L36" i="10"/>
  <c r="L84" i="70"/>
  <c r="N84" i="70" s="1"/>
  <c r="F84" i="70"/>
  <c r="J103" i="84"/>
  <c r="L36" i="16"/>
  <c r="X36" i="13"/>
  <c r="X90" i="95"/>
  <c r="Z90" i="95" s="1"/>
  <c r="P93" i="95"/>
  <c r="R90" i="95"/>
  <c r="N88" i="56"/>
  <c r="X36" i="43"/>
  <c r="L78" i="59"/>
  <c r="L99" i="104"/>
  <c r="N99" i="104" s="1"/>
  <c r="F99" i="104"/>
  <c r="Z60" i="100"/>
  <c r="Z102" i="88"/>
  <c r="V102" i="88"/>
  <c r="Z106" i="9"/>
  <c r="L128" i="27"/>
  <c r="N128" i="27" s="1"/>
  <c r="D131" i="27"/>
  <c r="F128" i="27"/>
  <c r="J133" i="85"/>
  <c r="D161" i="30"/>
  <c r="L158" i="30"/>
  <c r="N158" i="30" s="1"/>
  <c r="F158" i="30"/>
  <c r="L96" i="108"/>
  <c r="N96" i="108" s="1"/>
  <c r="D99" i="108"/>
  <c r="F96" i="108"/>
  <c r="X36" i="16"/>
  <c r="D136" i="42"/>
  <c r="L133" i="42"/>
  <c r="N133" i="42" s="1"/>
  <c r="F133" i="42"/>
  <c r="L36" i="20"/>
  <c r="X100" i="106"/>
  <c r="Z100" i="106" s="1"/>
  <c r="R100" i="106"/>
  <c r="X130" i="85"/>
  <c r="Z130" i="85" s="1"/>
  <c r="P133" i="85"/>
  <c r="R130" i="85"/>
  <c r="N84" i="57"/>
  <c r="Z70" i="103"/>
  <c r="L36" i="8"/>
  <c r="V133" i="85"/>
  <c r="N100" i="92"/>
  <c r="Z99" i="108"/>
  <c r="V99" i="108"/>
  <c r="X78" i="59"/>
  <c r="Z78" i="59" s="1"/>
  <c r="P143" i="36"/>
  <c r="X140" i="36"/>
  <c r="Z140" i="36" s="1"/>
  <c r="R140" i="36"/>
  <c r="L36" i="13"/>
  <c r="V327" i="3"/>
  <c r="V98" i="102"/>
  <c r="L29" i="78"/>
  <c r="X50" i="99"/>
  <c r="J140" i="24"/>
  <c r="X285" i="12"/>
  <c r="Z285" i="12" s="1"/>
  <c r="R285" i="12"/>
  <c r="X83" i="94"/>
  <c r="Z83" i="94" s="1"/>
  <c r="P86" i="94"/>
  <c r="R83" i="94"/>
  <c r="L88" i="80"/>
  <c r="N88" i="80" s="1"/>
  <c r="F88" i="80"/>
  <c r="D77" i="48"/>
  <c r="L74" i="48"/>
  <c r="N74" i="48" s="1"/>
  <c r="F74" i="48"/>
  <c r="V94" i="76"/>
  <c r="L116" i="51"/>
  <c r="F116" i="51"/>
  <c r="X84" i="70"/>
  <c r="R84" i="70"/>
  <c r="V106" i="96"/>
  <c r="L31" i="54"/>
  <c r="D102" i="74"/>
  <c r="L99" i="74"/>
  <c r="N99" i="74" s="1"/>
  <c r="F99" i="74"/>
  <c r="N98" i="98"/>
  <c r="J98" i="98"/>
  <c r="N272" i="15"/>
  <c r="J272" i="15"/>
  <c r="P102" i="74"/>
  <c r="X99" i="74"/>
  <c r="Z99" i="74" s="1"/>
  <c r="R99" i="74"/>
  <c r="X36" i="25"/>
  <c r="X36" i="26"/>
  <c r="L36" i="44"/>
  <c r="X36" i="34"/>
  <c r="L36" i="46"/>
  <c r="X100" i="92"/>
  <c r="Z100" i="92" s="1"/>
  <c r="P111" i="33"/>
  <c r="X108" i="33"/>
  <c r="Z108" i="33" s="1"/>
  <c r="R108" i="33"/>
  <c r="L146" i="39"/>
  <c r="N146" i="39" s="1"/>
  <c r="D149" i="39"/>
  <c r="F146" i="39"/>
  <c r="J35" i="83"/>
  <c r="N116" i="51"/>
  <c r="J116" i="51"/>
  <c r="N83" i="58"/>
  <c r="Z84" i="70"/>
  <c r="V84" i="70"/>
  <c r="X137" i="24"/>
  <c r="Z137" i="24" s="1"/>
  <c r="P140" i="24"/>
  <c r="R137" i="24"/>
  <c r="Z69" i="61"/>
  <c r="X36" i="40"/>
  <c r="N106" i="9"/>
  <c r="L87" i="93"/>
  <c r="N87" i="93" s="1"/>
  <c r="D90" i="93"/>
  <c r="F87" i="93"/>
  <c r="Z92" i="89"/>
  <c r="V92" i="89"/>
  <c r="P98" i="102"/>
  <c r="X95" i="102"/>
  <c r="Z95" i="102" s="1"/>
  <c r="R95" i="102"/>
  <c r="X36" i="11"/>
  <c r="D106" i="96"/>
  <c r="L103" i="96"/>
  <c r="N103" i="96" s="1"/>
  <c r="F103" i="96"/>
  <c r="D100" i="106"/>
  <c r="L97" i="106"/>
  <c r="N97" i="106" s="1"/>
  <c r="F97" i="106"/>
  <c r="N31" i="54"/>
  <c r="V35" i="83"/>
  <c r="V131" i="71"/>
  <c r="Z31" i="6"/>
  <c r="J100" i="106"/>
  <c r="V128" i="75"/>
  <c r="N72" i="68"/>
  <c r="L98" i="98"/>
  <c r="F98" i="98"/>
  <c r="X36" i="52"/>
  <c r="X113" i="77"/>
  <c r="Z113" i="77" s="1"/>
  <c r="P116" i="77"/>
  <c r="R113" i="77"/>
  <c r="X128" i="75"/>
  <c r="Z128" i="75" s="1"/>
  <c r="R128" i="75"/>
  <c r="X36" i="44"/>
  <c r="X88" i="56"/>
  <c r="Z88" i="56" s="1"/>
  <c r="L95" i="102"/>
  <c r="N95" i="102" s="1"/>
  <c r="D98" i="102"/>
  <c r="F95" i="102"/>
  <c r="J285" i="12"/>
  <c r="V111" i="33"/>
  <c r="Z31" i="54"/>
  <c r="X106" i="45"/>
  <c r="Z106" i="45" s="1"/>
  <c r="P109" i="45"/>
  <c r="R106" i="45"/>
  <c r="J77" i="48"/>
  <c r="N68" i="60"/>
  <c r="V39" i="86"/>
  <c r="X103" i="84"/>
  <c r="Z103" i="84" s="1"/>
  <c r="R103" i="84"/>
  <c r="J161" i="30"/>
  <c r="X36" i="8"/>
  <c r="L108" i="33"/>
  <c r="N108" i="33" s="1"/>
  <c r="D111" i="33"/>
  <c r="F108" i="33"/>
  <c r="J91" i="73"/>
  <c r="L36" i="37"/>
  <c r="L36" i="49"/>
  <c r="D116" i="77"/>
  <c r="L113" i="77"/>
  <c r="N113" i="77" s="1"/>
  <c r="F113" i="77"/>
  <c r="L53" i="109"/>
  <c r="N53" i="109" s="1"/>
  <c r="Z53" i="109"/>
  <c r="L36" i="17"/>
  <c r="X70" i="105"/>
  <c r="Z70" i="105" s="1"/>
  <c r="R70" i="105"/>
  <c r="L93" i="95" l="1"/>
  <c r="N93" i="95" s="1"/>
  <c r="F93" i="95"/>
  <c r="X98" i="98"/>
  <c r="Z98" i="98" s="1"/>
  <c r="R98" i="98"/>
  <c r="L140" i="24"/>
  <c r="N140" i="24" s="1"/>
  <c r="F140" i="24"/>
  <c r="X109" i="45"/>
  <c r="Z109" i="45" s="1"/>
  <c r="R109" i="45"/>
  <c r="L161" i="30"/>
  <c r="N161" i="30" s="1"/>
  <c r="F161" i="30"/>
  <c r="X35" i="83"/>
  <c r="Z35" i="83" s="1"/>
  <c r="R35" i="83"/>
  <c r="L100" i="106"/>
  <c r="N100" i="106" s="1"/>
  <c r="F100" i="106"/>
  <c r="L77" i="48"/>
  <c r="N77" i="48" s="1"/>
  <c r="F77" i="48"/>
  <c r="L327" i="3"/>
  <c r="N327" i="3" s="1"/>
  <c r="F327" i="3"/>
  <c r="X123" i="21"/>
  <c r="Z123" i="21" s="1"/>
  <c r="R123" i="21"/>
  <c r="L131" i="71"/>
  <c r="N131" i="71" s="1"/>
  <c r="F131" i="71"/>
  <c r="L299" i="18"/>
  <c r="N299" i="18" s="1"/>
  <c r="F299" i="18"/>
  <c r="X116" i="51"/>
  <c r="Z116" i="51" s="1"/>
  <c r="R116" i="51"/>
  <c r="L127" i="69"/>
  <c r="N127" i="69" s="1"/>
  <c r="F127" i="69"/>
  <c r="L90" i="93"/>
  <c r="N90" i="93" s="1"/>
  <c r="F90" i="93"/>
  <c r="X116" i="77"/>
  <c r="Z116" i="77" s="1"/>
  <c r="R116" i="77"/>
  <c r="L116" i="77"/>
  <c r="N116" i="77" s="1"/>
  <c r="F116" i="77"/>
  <c r="L131" i="27"/>
  <c r="N131" i="27" s="1"/>
  <c r="F131" i="27"/>
  <c r="X93" i="95"/>
  <c r="Z93" i="95" s="1"/>
  <c r="R93" i="95"/>
  <c r="X161" i="30"/>
  <c r="Z161" i="30" s="1"/>
  <c r="R161" i="30"/>
  <c r="L106" i="96"/>
  <c r="N106" i="96" s="1"/>
  <c r="F106" i="96"/>
  <c r="L149" i="39"/>
  <c r="N149" i="39" s="1"/>
  <c r="F149" i="39"/>
  <c r="L136" i="42"/>
  <c r="N136" i="42" s="1"/>
  <c r="F136" i="42"/>
  <c r="L91" i="73"/>
  <c r="N91" i="73" s="1"/>
  <c r="F91" i="73"/>
  <c r="X131" i="71"/>
  <c r="Z131" i="71" s="1"/>
  <c r="R131" i="71"/>
  <c r="L86" i="94"/>
  <c r="N86" i="94" s="1"/>
  <c r="F86" i="94"/>
  <c r="X102" i="74"/>
  <c r="Z102" i="74" s="1"/>
  <c r="R102" i="74"/>
  <c r="X86" i="94"/>
  <c r="Z86" i="94" s="1"/>
  <c r="R86" i="94"/>
  <c r="L103" i="84"/>
  <c r="N103" i="84" s="1"/>
  <c r="F103" i="84"/>
  <c r="X90" i="93"/>
  <c r="Z90" i="93" s="1"/>
  <c r="R90" i="93"/>
  <c r="X140" i="24"/>
  <c r="Z140" i="24" s="1"/>
  <c r="R140" i="24"/>
  <c r="X149" i="39"/>
  <c r="Z149" i="39" s="1"/>
  <c r="R149" i="39"/>
  <c r="L94" i="76"/>
  <c r="N94" i="76" s="1"/>
  <c r="F94" i="76"/>
  <c r="L133" i="85"/>
  <c r="N133" i="85" s="1"/>
  <c r="F133" i="85"/>
  <c r="X272" i="15"/>
  <c r="Z272" i="15" s="1"/>
  <c r="R272" i="15"/>
  <c r="L35" i="83"/>
  <c r="N35" i="83" s="1"/>
  <c r="F35" i="83"/>
  <c r="X91" i="73"/>
  <c r="Z91" i="73" s="1"/>
  <c r="R91" i="73"/>
  <c r="L98" i="102"/>
  <c r="N98" i="102" s="1"/>
  <c r="F98" i="102"/>
  <c r="L99" i="108"/>
  <c r="N99" i="108" s="1"/>
  <c r="F99" i="108"/>
  <c r="X39" i="86"/>
  <c r="Z39" i="86" s="1"/>
  <c r="R39" i="86"/>
  <c r="L128" i="75"/>
  <c r="N128" i="75" s="1"/>
  <c r="F128" i="75"/>
  <c r="X127" i="69"/>
  <c r="Z127" i="69" s="1"/>
  <c r="R127" i="69"/>
  <c r="X299" i="18"/>
  <c r="Z299" i="18" s="1"/>
  <c r="R299" i="18"/>
  <c r="L102" i="74"/>
  <c r="N102" i="74" s="1"/>
  <c r="F102" i="74"/>
  <c r="X98" i="102"/>
  <c r="Z98" i="102" s="1"/>
  <c r="R98" i="102"/>
  <c r="X111" i="33"/>
  <c r="Z111" i="33" s="1"/>
  <c r="R111" i="33"/>
  <c r="X143" i="36"/>
  <c r="Z143" i="36" s="1"/>
  <c r="R143" i="36"/>
  <c r="X136" i="42"/>
  <c r="Z136" i="42" s="1"/>
  <c r="R136" i="42"/>
  <c r="X131" i="27"/>
  <c r="Z131" i="27" s="1"/>
  <c r="R131" i="27"/>
  <c r="X106" i="96"/>
  <c r="Z106" i="96" s="1"/>
  <c r="R106" i="96"/>
  <c r="X89" i="81"/>
  <c r="Z89" i="81" s="1"/>
  <c r="R89" i="81"/>
  <c r="X94" i="76"/>
  <c r="Z94" i="76" s="1"/>
  <c r="R94" i="76"/>
  <c r="L111" i="33"/>
  <c r="N111" i="33" s="1"/>
  <c r="F111" i="33"/>
  <c r="X133" i="85"/>
  <c r="Z133" i="85" s="1"/>
  <c r="R133" i="85"/>
  <c r="L92" i="89"/>
  <c r="N92" i="89" s="1"/>
  <c r="F92" i="89"/>
</calcChain>
</file>

<file path=xl/sharedStrings.xml><?xml version="1.0" encoding="utf-8"?>
<sst xmlns="http://schemas.openxmlformats.org/spreadsheetml/2006/main" count="2974" uniqueCount="315">
  <si>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</si>
  <si>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</si>
  <si>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</si>
  <si>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</si>
  <si>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</si>
  <si>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</si>
  <si>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</si>
  <si>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</si>
  <si>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</si>
  <si>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</si>
  <si>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</si>
  <si>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Budget</t>
  </si>
  <si>
    <t>Variance</t>
  </si>
  <si>
    <t xml:space="preserve">Forty Niner Shops, Inc. </t>
  </si>
  <si>
    <t>G &amp; A Allocation</t>
  </si>
  <si>
    <t>% of Sales</t>
  </si>
  <si>
    <t>% Budget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</si>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</sst>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1" fillId="0" borderId="0" xfId="3" applyNumberFormat="1" applyFont="1" applyFill="1"/>
    <xf numFmtId="168" fontId="2" fillId="2" borderId="2" xfId="2" applyNumberFormat="1" applyFont="1" applyFill="1" applyBorder="1"/>
    <xf numFmtId="164" fontId="2" fillId="0" borderId="0" xfId="1" applyNumberFormat="1" applyFont="1" applyFill="1" applyBorder="1"/>
    <xf numFmtId="167" fontId="2" fillId="2" borderId="2" xfId="3" applyNumberFormat="1" applyFont="1" applyFill="1" applyBorder="1"/>
    <xf numFmtId="0" fontId="2" fillId="0" borderId="0" xfId="0" applyFont="1"/>
    <xf numFmtId="0" fontId="1" fillId="0" borderId="0" xfId="0" applyFont="1"/>
    <xf numFmtId="49" fontId="1" fillId="0" borderId="0" xfId="0" applyNumberFormat="1" applyFont="1" applyFill="1" applyAlignment="1">
      <alignment horizontal="right"/>
    </xf>
    <xf numFmtId="0" fontId="0" fillId="0" borderId="0" xfId="0" applyFont="1" applyBorder="1"/>
    <xf numFmtId="49" fontId="0" fillId="0" borderId="0" xfId="0" applyNumberFormat="1" applyFont="1" applyFill="1" applyBorder="1" applyAlignment="1">
      <alignment horizontal="right"/>
    </xf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168" fontId="2" fillId="2" borderId="3" xfId="2" applyNumberFormat="1" applyFont="1" applyFill="1" applyBorder="1"/>
    <xf numFmtId="168" fontId="2" fillId="2" borderId="4" xfId="2" applyNumberFormat="1" applyFont="1" applyFill="1" applyBorder="1"/>
    <xf numFmtId="167" fontId="2" fillId="2" borderId="3" xfId="3" applyNumberFormat="1" applyFont="1" applyFill="1" applyBorder="1"/>
    <xf numFmtId="167" fontId="2" fillId="0" borderId="0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7" fontId="2" fillId="2" borderId="4" xfId="3" applyNumberFormat="1" applyFont="1" applyFill="1" applyBorder="1"/>
    <xf numFmtId="0" fontId="0" fillId="0" borderId="0" xfId="0" applyFill="1" applyBorder="1"/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0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167" fontId="2" fillId="2" borderId="1" xfId="0" applyNumberFormat="1" applyFont="1" applyFill="1" applyBorder="1" applyAlignment="1">
      <alignment horizontal="center"/>
    </xf>
    <xf numFmtId="167" fontId="0" fillId="0" borderId="0" xfId="3" applyNumberFormat="1" applyFont="1"/>
    <xf numFmtId="164" fontId="2" fillId="0" borderId="0" xfId="1" applyNumberFormat="1" applyFont="1" applyAlignment="1">
      <alignment horizontal="left"/>
    </xf>
    <xf numFmtId="167" fontId="0" fillId="0" borderId="0" xfId="3" applyNumberFormat="1" applyFont="1" applyAlignment="1">
      <alignment horizontal="centerContinuous"/>
    </xf>
    <xf numFmtId="167" fontId="0" fillId="0" borderId="0" xfId="0" applyNumberFormat="1" applyFill="1"/>
    <xf numFmtId="49" fontId="2" fillId="0" borderId="0" xfId="0" applyNumberFormat="1" applyFont="1" applyFill="1"/>
    <xf numFmtId="164" fontId="2" fillId="0" borderId="0" xfId="1" applyNumberFormat="1" applyFont="1" applyFill="1" applyAlignment="1">
      <alignment horizontal="centerContinuous"/>
    </xf>
    <xf numFmtId="0" fontId="3" fillId="0" borderId="0" xfId="0" applyFont="1" applyFill="1"/>
    <xf numFmtId="165" fontId="0" fillId="0" borderId="0" xfId="0" applyNumberFormat="1"/>
    <xf numFmtId="166" fontId="4" fillId="0" borderId="0" xfId="0" applyNumberFormat="1" applyFont="1" applyAlignment="1">
      <alignment horizontal="left"/>
    </xf>
    <xf numFmtId="0" fontId="0" fillId="0" borderId="0" xfId="0" applyFill="1" applyAlignment="1">
      <alignment horizontal="centerContinuous"/>
    </xf>
    <xf numFmtId="0" fontId="5" fillId="0" borderId="0" xfId="0" applyFont="1"/>
    <xf numFmtId="0" fontId="0" fillId="0" borderId="0" xfId="0" applyBorder="1"/>
    <xf numFmtId="0" fontId="2" fillId="0" borderId="0" xfId="0" applyFont="1" applyFill="1" applyBorder="1"/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244</v>
      </c>
      <c r="B3" s="41" t="s">
        <v>245</v>
      </c>
      <c r="C3" s="41" t="s">
        <v>18</v>
      </c>
      <c r="D3" s="41" t="s">
        <v>246</v>
      </c>
      <c r="E3" s="41" t="s">
        <v>247</v>
      </c>
      <c r="F3" s="41" t="s">
        <v>20</v>
      </c>
      <c r="G3" s="41" t="s">
        <v>248</v>
      </c>
      <c r="H3" s="41" t="s">
        <v>249</v>
      </c>
      <c r="I3" s="41" t="s">
        <v>250</v>
      </c>
      <c r="J3" s="41" t="s">
        <v>251</v>
      </c>
      <c r="K3" s="41" t="s">
        <v>252</v>
      </c>
      <c r="L3" s="41" t="s">
        <v>253</v>
      </c>
      <c r="M3" s="41" t="s">
        <v>254</v>
      </c>
      <c r="N3" s="41" t="s">
        <v>255</v>
      </c>
      <c r="O3" s="41" t="s">
        <v>256</v>
      </c>
      <c r="P3" s="41" t="s">
        <v>257</v>
      </c>
      <c r="Q3" s="41" t="s">
        <v>258</v>
      </c>
      <c r="R3" s="41" t="s">
        <v>259</v>
      </c>
      <c r="S3" s="41" t="s">
        <v>260</v>
      </c>
      <c r="T3" s="41" t="s">
        <v>261</v>
      </c>
      <c r="U3" s="41" t="s">
        <v>264</v>
      </c>
      <c r="V3" s="41" t="s">
        <v>265</v>
      </c>
      <c r="W3" s="41" t="s">
        <v>266</v>
      </c>
      <c r="X3" s="41" t="s">
        <v>267</v>
      </c>
      <c r="Y3" s="41" t="s">
        <v>268</v>
      </c>
      <c r="Z3" s="41" t="s">
        <v>269</v>
      </c>
      <c r="AA3" s="41" t="s">
        <v>270</v>
      </c>
      <c r="AB3" s="41" t="s">
        <v>271</v>
      </c>
      <c r="AC3" s="41" t="s">
        <v>272</v>
      </c>
      <c r="AD3" s="41" t="s">
        <v>273</v>
      </c>
      <c r="AE3" s="41" t="s">
        <v>274</v>
      </c>
      <c r="AF3" s="41" t="s">
        <v>275</v>
      </c>
      <c r="AG3" s="41" t="s">
        <v>276</v>
      </c>
      <c r="AH3" s="41" t="s">
        <v>277</v>
      </c>
      <c r="AI3" s="41" t="s">
        <v>278</v>
      </c>
      <c r="AJ3" s="41" t="s">
        <v>279</v>
      </c>
      <c r="AK3" s="41" t="s">
        <v>280</v>
      </c>
      <c r="AL3" s="41" t="s">
        <v>281</v>
      </c>
      <c r="AM3" s="41" t="s">
        <v>282</v>
      </c>
      <c r="AN3" s="41" t="s">
        <v>283</v>
      </c>
      <c r="AO3" s="41" t="s">
        <v>284</v>
      </c>
      <c r="AP3" s="41" t="s">
        <v>285</v>
      </c>
      <c r="AQ3" s="41" t="s">
        <v>286</v>
      </c>
      <c r="AR3" s="41" t="s">
        <v>287</v>
      </c>
      <c r="AS3" s="41" t="s">
        <v>288</v>
      </c>
      <c r="AT3" s="41" t="s">
        <v>289</v>
      </c>
      <c r="AU3" s="41" t="s">
        <v>290</v>
      </c>
      <c r="AV3" s="41" t="s">
        <v>262</v>
      </c>
      <c r="AW3" s="41" t="s">
        <v>263</v>
      </c>
      <c r="AX3" s="41" t="s">
        <v>291</v>
      </c>
      <c r="AY3" s="41" t="s">
        <v>292</v>
      </c>
      <c r="AZ3" s="41" t="s">
        <v>293</v>
      </c>
      <c r="BA3" s="41" t="s">
        <v>45</v>
      </c>
      <c r="BB3" s="41" t="s">
        <v>46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308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308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309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309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312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312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307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307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306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306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18</v>
      </c>
      <c r="B3" s="41" t="s">
        <v>19</v>
      </c>
      <c r="C3" s="41" t="s">
        <v>20</v>
      </c>
      <c r="D3" s="41" t="s">
        <v>21</v>
      </c>
      <c r="E3" s="41" t="s">
        <v>22</v>
      </c>
      <c r="F3" s="41" t="s">
        <v>23</v>
      </c>
      <c r="G3" s="41" t="s">
        <v>24</v>
      </c>
      <c r="H3" s="41" t="s">
        <v>25</v>
      </c>
      <c r="I3" s="41" t="s">
        <v>26</v>
      </c>
      <c r="J3" s="41" t="s">
        <v>27</v>
      </c>
      <c r="K3" s="41" t="s">
        <v>28</v>
      </c>
      <c r="L3" s="41" t="s">
        <v>29</v>
      </c>
      <c r="M3" s="41" t="s">
        <v>30</v>
      </c>
      <c r="N3" s="41" t="s">
        <v>31</v>
      </c>
      <c r="O3" s="41" t="s">
        <v>32</v>
      </c>
      <c r="P3" s="41" t="s">
        <v>33</v>
      </c>
      <c r="Q3" s="41" t="s">
        <v>34</v>
      </c>
      <c r="R3" s="41" t="s">
        <v>35</v>
      </c>
      <c r="S3" s="41" t="s">
        <v>36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48</v>
      </c>
      <c r="AB3" s="41" t="s">
        <v>49</v>
      </c>
      <c r="AC3" s="41" t="s">
        <v>50</v>
      </c>
      <c r="AD3" s="41" t="s">
        <v>51</v>
      </c>
      <c r="AE3" s="41" t="s">
        <v>52</v>
      </c>
      <c r="AF3" s="41" t="s">
        <v>53</v>
      </c>
      <c r="AG3" s="41" t="s">
        <v>54</v>
      </c>
      <c r="AH3" s="41" t="s">
        <v>55</v>
      </c>
      <c r="AI3" s="41" t="s">
        <v>56</v>
      </c>
      <c r="AJ3" s="41" t="s">
        <v>57</v>
      </c>
      <c r="AK3" s="41" t="s">
        <v>58</v>
      </c>
      <c r="AL3" s="41" t="s">
        <v>59</v>
      </c>
      <c r="AM3" s="41" t="s">
        <v>60</v>
      </c>
      <c r="AN3" s="41" t="s">
        <v>61</v>
      </c>
      <c r="AO3" s="41" t="s">
        <v>62</v>
      </c>
      <c r="AP3" s="41" t="s">
        <v>63</v>
      </c>
      <c r="AQ3" s="41" t="s">
        <v>64</v>
      </c>
      <c r="AR3" s="41" t="s">
        <v>65</v>
      </c>
      <c r="AS3" s="41" t="s">
        <v>66</v>
      </c>
      <c r="AT3" s="41" t="s">
        <v>67</v>
      </c>
      <c r="AU3" s="41" t="s">
        <v>68</v>
      </c>
      <c r="AV3" s="41" t="s">
        <v>69</v>
      </c>
      <c r="AW3" s="41" t="s">
        <v>70</v>
      </c>
      <c r="AX3" s="41" t="s">
        <v>71</v>
      </c>
      <c r="AY3" s="41" t="s">
        <v>72</v>
      </c>
      <c r="AZ3" s="41" t="s">
        <v>73</v>
      </c>
      <c r="BA3" s="41" t="s">
        <v>74</v>
      </c>
      <c r="BB3" s="41" t="s">
        <v>75</v>
      </c>
      <c r="BC3" s="41" t="s">
        <v>76</v>
      </c>
      <c r="BD3" s="41" t="s">
        <v>77</v>
      </c>
      <c r="BE3" s="41" t="s">
        <v>78</v>
      </c>
      <c r="BF3" s="41" t="s">
        <v>79</v>
      </c>
      <c r="BG3" s="41" t="s">
        <v>80</v>
      </c>
      <c r="BH3" s="41" t="s">
        <v>81</v>
      </c>
      <c r="BI3" s="41" t="s">
        <v>82</v>
      </c>
      <c r="BJ3" s="41" t="s">
        <v>83</v>
      </c>
      <c r="BK3" s="41" t="s">
        <v>84</v>
      </c>
      <c r="BL3" s="41" t="s">
        <v>85</v>
      </c>
      <c r="BM3" s="41" t="s">
        <v>86</v>
      </c>
      <c r="BN3" s="41" t="s">
        <v>87</v>
      </c>
      <c r="BO3" s="41" t="s">
        <v>88</v>
      </c>
      <c r="BP3" s="41" t="s">
        <v>89</v>
      </c>
      <c r="BQ3" s="41" t="s">
        <v>90</v>
      </c>
      <c r="BR3" s="41" t="s">
        <v>91</v>
      </c>
      <c r="BS3" s="41" t="s">
        <v>92</v>
      </c>
      <c r="BT3" s="41" t="s">
        <v>93</v>
      </c>
      <c r="BU3" s="41" t="s">
        <v>94</v>
      </c>
      <c r="BV3" s="41" t="s">
        <v>95</v>
      </c>
      <c r="BW3" s="41" t="s">
        <v>96</v>
      </c>
      <c r="BX3" s="41" t="s">
        <v>97</v>
      </c>
      <c r="BY3" s="41" t="s">
        <v>98</v>
      </c>
      <c r="BZ3" s="41" t="s">
        <v>99</v>
      </c>
      <c r="CA3" s="41" t="s">
        <v>100</v>
      </c>
      <c r="CB3" s="41" t="s">
        <v>101</v>
      </c>
      <c r="CC3" s="41" t="s">
        <v>102</v>
      </c>
      <c r="CD3" s="41" t="s">
        <v>103</v>
      </c>
      <c r="CE3" s="41" t="s">
        <v>104</v>
      </c>
      <c r="CF3" s="41" t="s">
        <v>105</v>
      </c>
      <c r="CG3" s="41" t="s">
        <v>106</v>
      </c>
      <c r="CH3" s="41" t="s">
        <v>107</v>
      </c>
      <c r="CI3" s="41" t="s">
        <v>108</v>
      </c>
      <c r="CJ3" s="41" t="s">
        <v>109</v>
      </c>
      <c r="CK3" s="41" t="s">
        <v>110</v>
      </c>
      <c r="CL3" s="41" t="s">
        <v>111</v>
      </c>
      <c r="CM3" s="41" t="s">
        <v>112</v>
      </c>
      <c r="CN3" s="41" t="s">
        <v>113</v>
      </c>
      <c r="CO3" s="41" t="s">
        <v>114</v>
      </c>
      <c r="CP3" s="41" t="s">
        <v>115</v>
      </c>
      <c r="CQ3" s="41" t="s">
        <v>116</v>
      </c>
      <c r="CR3" s="41" t="s">
        <v>117</v>
      </c>
      <c r="CS3" s="41" t="s">
        <v>118</v>
      </c>
      <c r="CT3" s="41" t="s">
        <v>119</v>
      </c>
      <c r="CU3" s="41" t="s">
        <v>120</v>
      </c>
      <c r="CV3" s="41" t="s">
        <v>121</v>
      </c>
      <c r="CW3" s="41" t="s">
        <v>122</v>
      </c>
      <c r="CX3" s="41" t="s">
        <v>123</v>
      </c>
      <c r="CY3" s="41" t="s">
        <v>124</v>
      </c>
      <c r="CZ3" s="41" t="s">
        <v>125</v>
      </c>
      <c r="DA3" s="41" t="s">
        <v>126</v>
      </c>
      <c r="DB3" s="41" t="s">
        <v>127</v>
      </c>
      <c r="DC3" s="41" t="s">
        <v>128</v>
      </c>
      <c r="DD3" s="41" t="s">
        <v>129</v>
      </c>
      <c r="DE3" s="41" t="s">
        <v>130</v>
      </c>
      <c r="DF3" s="41" t="s">
        <v>131</v>
      </c>
      <c r="DG3" s="41" t="s">
        <v>132</v>
      </c>
      <c r="DH3" s="41" t="s">
        <v>133</v>
      </c>
      <c r="DI3" s="41" t="s">
        <v>134</v>
      </c>
      <c r="DJ3" s="41" t="s">
        <v>135</v>
      </c>
      <c r="DK3" s="41" t="s">
        <v>136</v>
      </c>
      <c r="DL3" s="41" t="s">
        <v>137</v>
      </c>
      <c r="DM3" s="41" t="s">
        <v>138</v>
      </c>
      <c r="DN3" s="41" t="s">
        <v>139</v>
      </c>
      <c r="DO3" s="41" t="s">
        <v>140</v>
      </c>
      <c r="DP3" s="41" t="s">
        <v>141</v>
      </c>
      <c r="DQ3" s="41" t="s">
        <v>142</v>
      </c>
      <c r="DR3" s="41" t="s">
        <v>143</v>
      </c>
      <c r="DS3" s="41" t="s">
        <v>144</v>
      </c>
      <c r="DT3" s="41" t="s">
        <v>145</v>
      </c>
      <c r="DU3" s="41" t="s">
        <v>146</v>
      </c>
      <c r="DV3" s="41" t="s">
        <v>147</v>
      </c>
      <c r="DW3" s="41" t="s">
        <v>148</v>
      </c>
      <c r="DX3" s="41" t="s">
        <v>149</v>
      </c>
      <c r="DY3" s="41" t="s">
        <v>150</v>
      </c>
      <c r="DZ3" s="41" t="s">
        <v>151</v>
      </c>
      <c r="EA3" s="41" t="s">
        <v>152</v>
      </c>
      <c r="EB3" s="41" t="s">
        <v>153</v>
      </c>
      <c r="EC3" s="41" t="s">
        <v>154</v>
      </c>
      <c r="ED3" s="41" t="s">
        <v>155</v>
      </c>
      <c r="EE3" s="41" t="s">
        <v>156</v>
      </c>
      <c r="EF3" s="41" t="s">
        <v>157</v>
      </c>
      <c r="EG3" s="41" t="s">
        <v>158</v>
      </c>
      <c r="EH3" s="41" t="s">
        <v>159</v>
      </c>
      <c r="EI3" s="41" t="s">
        <v>160</v>
      </c>
      <c r="EJ3" s="41" t="s">
        <v>161</v>
      </c>
      <c r="EK3" s="41" t="s">
        <v>162</v>
      </c>
      <c r="EL3" s="41" t="s">
        <v>163</v>
      </c>
      <c r="EM3" s="41" t="s">
        <v>164</v>
      </c>
      <c r="EN3" s="41" t="s">
        <v>165</v>
      </c>
      <c r="EO3" s="41" t="s">
        <v>166</v>
      </c>
      <c r="EP3" s="41" t="s">
        <v>167</v>
      </c>
      <c r="EQ3" s="41" t="s">
        <v>168</v>
      </c>
      <c r="ER3" s="41" t="s">
        <v>169</v>
      </c>
      <c r="ES3" s="41" t="s">
        <v>170</v>
      </c>
      <c r="ET3" s="41" t="s">
        <v>171</v>
      </c>
      <c r="EU3" s="41" t="s">
        <v>172</v>
      </c>
      <c r="EV3" s="41" t="s">
        <v>173</v>
      </c>
      <c r="EW3" s="41" t="s">
        <v>174</v>
      </c>
      <c r="EX3" s="41" t="s">
        <v>175</v>
      </c>
      <c r="EY3" s="41" t="s">
        <v>176</v>
      </c>
      <c r="EZ3" s="41" t="s">
        <v>177</v>
      </c>
      <c r="FA3" s="41" t="s">
        <v>178</v>
      </c>
      <c r="FB3" s="41" t="s">
        <v>179</v>
      </c>
      <c r="FC3" s="41" t="s">
        <v>180</v>
      </c>
      <c r="FD3" s="41" t="s">
        <v>181</v>
      </c>
      <c r="FE3" s="41" t="s">
        <v>182</v>
      </c>
      <c r="FF3" s="41" t="s">
        <v>183</v>
      </c>
      <c r="FG3" s="41" t="s">
        <v>184</v>
      </c>
      <c r="FH3" s="41" t="s">
        <v>185</v>
      </c>
      <c r="FI3" s="41" t="s">
        <v>186</v>
      </c>
      <c r="FJ3" s="41" t="s">
        <v>187</v>
      </c>
      <c r="FK3" s="41" t="s">
        <v>188</v>
      </c>
      <c r="FL3" s="41" t="s">
        <v>189</v>
      </c>
      <c r="FM3" s="41" t="s">
        <v>190</v>
      </c>
      <c r="FN3" s="41" t="s">
        <v>191</v>
      </c>
      <c r="FO3" s="41" t="s">
        <v>192</v>
      </c>
      <c r="FP3" s="41" t="s">
        <v>193</v>
      </c>
      <c r="FQ3" s="41" t="s">
        <v>194</v>
      </c>
      <c r="FR3" s="41" t="s">
        <v>195</v>
      </c>
      <c r="FS3" s="41" t="s">
        <v>196</v>
      </c>
      <c r="FT3" s="41" t="s">
        <v>197</v>
      </c>
      <c r="FU3" s="41" t="s">
        <v>198</v>
      </c>
      <c r="FV3" s="41" t="s">
        <v>199</v>
      </c>
      <c r="FW3" s="41" t="s">
        <v>200</v>
      </c>
      <c r="FX3" s="41" t="s">
        <v>201</v>
      </c>
      <c r="FY3" s="41" t="s">
        <v>202</v>
      </c>
      <c r="FZ3" s="41" t="s">
        <v>203</v>
      </c>
      <c r="GA3" s="41" t="s">
        <v>204</v>
      </c>
      <c r="GB3" s="41" t="s">
        <v>205</v>
      </c>
      <c r="GC3" s="41" t="s">
        <v>206</v>
      </c>
      <c r="GD3" s="41" t="s">
        <v>207</v>
      </c>
      <c r="GE3" s="41" t="s">
        <v>208</v>
      </c>
      <c r="GF3" s="41" t="s">
        <v>209</v>
      </c>
      <c r="GG3" s="41" t="s">
        <v>210</v>
      </c>
      <c r="GH3" s="41" t="s">
        <v>211</v>
      </c>
      <c r="GI3" s="41" t="s">
        <v>212</v>
      </c>
      <c r="GJ3" s="41" t="s">
        <v>213</v>
      </c>
      <c r="GK3" s="41" t="s">
        <v>214</v>
      </c>
      <c r="GL3" s="41" t="s">
        <v>215</v>
      </c>
      <c r="GM3" s="41" t="s">
        <v>216</v>
      </c>
      <c r="GN3" s="41" t="s">
        <v>217</v>
      </c>
      <c r="GO3" s="41" t="s">
        <v>218</v>
      </c>
      <c r="GP3" s="41" t="s">
        <v>219</v>
      </c>
      <c r="GQ3" s="41" t="s">
        <v>220</v>
      </c>
      <c r="GR3" s="41" t="s">
        <v>221</v>
      </c>
      <c r="GS3" s="41" t="s">
        <v>222</v>
      </c>
      <c r="GT3" s="41" t="s">
        <v>223</v>
      </c>
      <c r="GU3" s="41" t="s">
        <v>224</v>
      </c>
      <c r="GV3" s="41" t="s">
        <v>225</v>
      </c>
      <c r="GW3" s="41" t="s">
        <v>226</v>
      </c>
      <c r="GX3" s="41" t="s">
        <v>227</v>
      </c>
      <c r="GY3" s="41" t="s">
        <v>228</v>
      </c>
      <c r="GZ3" s="41" t="s">
        <v>229</v>
      </c>
      <c r="HA3" s="41" t="s">
        <v>230</v>
      </c>
      <c r="HB3" s="41" t="s">
        <v>231</v>
      </c>
      <c r="HC3" s="41" t="s">
        <v>232</v>
      </c>
      <c r="HD3" s="41" t="s">
        <v>233</v>
      </c>
      <c r="HE3" s="41" t="s">
        <v>234</v>
      </c>
      <c r="HF3" s="41" t="s">
        <v>235</v>
      </c>
      <c r="HG3" s="41" t="s">
        <v>236</v>
      </c>
      <c r="HH3" s="41" t="s">
        <v>237</v>
      </c>
      <c r="HI3" s="41" t="s">
        <v>242</v>
      </c>
      <c r="HJ3" s="41" t="s">
        <v>243</v>
      </c>
      <c r="HK3" s="41"/>
      <c r="HL3" s="41" t="s">
        <v>44</v>
      </c>
      <c r="HM3" s="67"/>
      <c r="HN3" s="41" t="s">
        <v>45</v>
      </c>
      <c r="HO3" s="41" t="s">
        <v>46</v>
      </c>
      <c r="HP3" t="s">
        <v>47</v>
      </c>
      <c r="JK3" s="41" t="s">
        <v>238</v>
      </c>
      <c r="JL3" s="41" t="s">
        <v>239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240</v>
      </c>
      <c r="JL10002" s="41" t="s">
        <v>241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303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303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304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304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305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305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310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310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313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313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32"/>
  <sheetViews>
    <sheetView tabSelected="1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297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2637007.2399999998</v>
      </c>
      <c r="E12" s="4"/>
      <c r="F12" s="12"/>
      <c r="G12" s="4"/>
      <c r="H12" s="4">
        <f>SUM(OSRRefH13x_0)</f>
        <v>2455124.5614399998</v>
      </c>
      <c r="I12" s="4"/>
      <c r="J12" s="12"/>
      <c r="K12" s="4"/>
      <c r="L12" s="4">
        <f t="shared" ref="L12:L131" si="0">+D12-H12</f>
        <v>181882.67855999991</v>
      </c>
      <c r="M12" s="4"/>
      <c r="N12" s="12">
        <f t="shared" ref="N12:N131" si="1">IF(H12=0,0,L12/H12)</f>
        <v>7.4082871971807657E-2</v>
      </c>
      <c r="O12" s="10"/>
      <c r="P12" s="4">
        <f>SUM(OSRRefP13x_0)</f>
        <v>16094409.959999995</v>
      </c>
      <c r="Q12" s="4"/>
      <c r="R12" s="12"/>
      <c r="S12" s="4"/>
      <c r="T12" s="4">
        <f>SUM(OSRRefT13x_0)</f>
        <v>16478724.145300001</v>
      </c>
      <c r="U12" s="4"/>
      <c r="V12" s="12"/>
      <c r="W12" s="4"/>
      <c r="X12" s="4">
        <f t="shared" ref="X12:X131" si="2">+P12-T12</f>
        <v>-384314.1853000056</v>
      </c>
      <c r="Y12" s="4"/>
      <c r="Z12" s="12">
        <f t="shared" ref="Z12:Z131" si="3">IF(T12=0,0,X12/T12)</f>
        <v>-2.3321841054643678E-2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866126.56143999996</v>
      </c>
      <c r="I13" s="2"/>
      <c r="J13" s="19"/>
      <c r="K13" s="2"/>
      <c r="L13" s="2">
        <f t="shared" si="0"/>
        <v>-866126.56143999996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5039336.1453</v>
      </c>
      <c r="U13" s="2"/>
      <c r="V13" s="19"/>
      <c r="W13" s="2"/>
      <c r="X13" s="2">
        <f t="shared" si="2"/>
        <v>-5039336.1453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--8184.69</f>
        <v>8184.69</v>
      </c>
      <c r="E14" s="2"/>
      <c r="F14" s="19"/>
      <c r="G14" s="2"/>
      <c r="H14" s="2"/>
      <c r="I14" s="2"/>
      <c r="J14" s="19"/>
      <c r="K14" s="2"/>
      <c r="L14" s="2">
        <f t="shared" si="0"/>
        <v>8184.69</v>
      </c>
      <c r="M14" s="2"/>
      <c r="N14" s="19">
        <f t="shared" si="1"/>
        <v>0</v>
      </c>
      <c r="O14" s="11"/>
      <c r="P14" s="2">
        <f>--1503344.43</f>
        <v>1503344.43</v>
      </c>
      <c r="Q14" s="2"/>
      <c r="R14" s="19"/>
      <c r="S14" s="2"/>
      <c r="T14" s="2"/>
      <c r="U14" s="2"/>
      <c r="V14" s="19"/>
      <c r="W14" s="2"/>
      <c r="X14" s="2">
        <f t="shared" si="2"/>
        <v>1503344.43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--4182.93</f>
        <v>4182.93</v>
      </c>
      <c r="E15" s="2"/>
      <c r="F15" s="19"/>
      <c r="G15" s="2"/>
      <c r="H15" s="2"/>
      <c r="I15" s="2"/>
      <c r="J15" s="19"/>
      <c r="K15" s="2"/>
      <c r="L15" s="2">
        <f t="shared" si="0"/>
        <v>4182.93</v>
      </c>
      <c r="M15" s="2"/>
      <c r="N15" s="19">
        <f t="shared" si="1"/>
        <v>0</v>
      </c>
      <c r="O15" s="11"/>
      <c r="P15" s="2">
        <f>--670479.29</f>
        <v>670479.29</v>
      </c>
      <c r="Q15" s="2"/>
      <c r="R15" s="19"/>
      <c r="S15" s="2"/>
      <c r="T15" s="2"/>
      <c r="U15" s="2"/>
      <c r="V15" s="19"/>
      <c r="W15" s="2"/>
      <c r="X15" s="2">
        <f t="shared" si="2"/>
        <v>670479.29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--15844.66</f>
        <v>15844.66</v>
      </c>
      <c r="Q16" s="2"/>
      <c r="R16" s="19"/>
      <c r="S16" s="2"/>
      <c r="T16" s="2"/>
      <c r="U16" s="2"/>
      <c r="V16" s="19"/>
      <c r="W16" s="2"/>
      <c r="X16" s="2">
        <f t="shared" si="2"/>
        <v>15844.66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--119.4</f>
        <v>119.4</v>
      </c>
      <c r="E17" s="2"/>
      <c r="F17" s="19"/>
      <c r="G17" s="2"/>
      <c r="H17" s="2"/>
      <c r="I17" s="2"/>
      <c r="J17" s="19"/>
      <c r="K17" s="2"/>
      <c r="L17" s="2">
        <f t="shared" si="0"/>
        <v>119.4</v>
      </c>
      <c r="M17" s="2"/>
      <c r="N17" s="19">
        <f t="shared" si="1"/>
        <v>0</v>
      </c>
      <c r="O17" s="11"/>
      <c r="P17" s="2">
        <f>--30279.88</f>
        <v>30279.88</v>
      </c>
      <c r="Q17" s="2"/>
      <c r="R17" s="19"/>
      <c r="S17" s="2"/>
      <c r="T17" s="2"/>
      <c r="U17" s="2"/>
      <c r="V17" s="19"/>
      <c r="W17" s="2"/>
      <c r="X17" s="2">
        <f t="shared" si="2"/>
        <v>30279.88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--9.6</f>
        <v>9.6</v>
      </c>
      <c r="Q18" s="2"/>
      <c r="R18" s="19"/>
      <c r="S18" s="2"/>
      <c r="T18" s="2"/>
      <c r="U18" s="2"/>
      <c r="V18" s="19"/>
      <c r="W18" s="2"/>
      <c r="X18" s="2">
        <f t="shared" si="2"/>
        <v>9.6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--285.33</f>
        <v>285.33</v>
      </c>
      <c r="E19" s="2"/>
      <c r="F19" s="19"/>
      <c r="G19" s="2"/>
      <c r="H19" s="2"/>
      <c r="I19" s="2"/>
      <c r="J19" s="19"/>
      <c r="K19" s="2"/>
      <c r="L19" s="2">
        <f t="shared" si="0"/>
        <v>285.33</v>
      </c>
      <c r="M19" s="2"/>
      <c r="N19" s="19">
        <f t="shared" si="1"/>
        <v>0</v>
      </c>
      <c r="O19" s="11"/>
      <c r="P19" s="2">
        <f>--1112.72</f>
        <v>1112.72</v>
      </c>
      <c r="Q19" s="2"/>
      <c r="R19" s="19"/>
      <c r="S19" s="2"/>
      <c r="T19" s="2"/>
      <c r="U19" s="2"/>
      <c r="V19" s="19"/>
      <c r="W19" s="2"/>
      <c r="X19" s="2">
        <f t="shared" si="2"/>
        <v>1112.72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--189.13</f>
        <v>189.13</v>
      </c>
      <c r="E20" s="2"/>
      <c r="F20" s="19"/>
      <c r="G20" s="2"/>
      <c r="H20" s="2"/>
      <c r="I20" s="2"/>
      <c r="J20" s="19"/>
      <c r="K20" s="2"/>
      <c r="L20" s="2">
        <f t="shared" si="0"/>
        <v>189.13</v>
      </c>
      <c r="M20" s="2"/>
      <c r="N20" s="19">
        <f t="shared" si="1"/>
        <v>0</v>
      </c>
      <c r="O20" s="11"/>
      <c r="P20" s="2">
        <f>--883.35</f>
        <v>883.35</v>
      </c>
      <c r="Q20" s="2"/>
      <c r="R20" s="19"/>
      <c r="S20" s="2"/>
      <c r="T20" s="2"/>
      <c r="U20" s="2"/>
      <c r="V20" s="19"/>
      <c r="W20" s="2"/>
      <c r="X20" s="2">
        <f t="shared" si="2"/>
        <v>883.35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--5.49</f>
        <v>5.49</v>
      </c>
      <c r="E21" s="2"/>
      <c r="F21" s="19"/>
      <c r="G21" s="2"/>
      <c r="H21" s="2"/>
      <c r="I21" s="2"/>
      <c r="J21" s="19"/>
      <c r="K21" s="2"/>
      <c r="L21" s="2">
        <f t="shared" si="0"/>
        <v>5.49</v>
      </c>
      <c r="M21" s="2"/>
      <c r="N21" s="19">
        <f t="shared" si="1"/>
        <v>0</v>
      </c>
      <c r="O21" s="11"/>
      <c r="P21" s="2">
        <f>--231.16</f>
        <v>231.16</v>
      </c>
      <c r="Q21" s="2"/>
      <c r="R21" s="19"/>
      <c r="S21" s="2"/>
      <c r="T21" s="2"/>
      <c r="U21" s="2"/>
      <c r="V21" s="19"/>
      <c r="W21" s="2"/>
      <c r="X21" s="2">
        <f t="shared" si="2"/>
        <v>231.16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--277.82</f>
        <v>277.82</v>
      </c>
      <c r="E22" s="2"/>
      <c r="F22" s="19"/>
      <c r="G22" s="2"/>
      <c r="H22" s="2"/>
      <c r="I22" s="2"/>
      <c r="J22" s="19"/>
      <c r="K22" s="2"/>
      <c r="L22" s="2">
        <f t="shared" si="0"/>
        <v>277.82</v>
      </c>
      <c r="M22" s="2"/>
      <c r="N22" s="19">
        <f t="shared" si="1"/>
        <v>0</v>
      </c>
      <c r="O22" s="11"/>
      <c r="P22" s="2">
        <f>--2732.65</f>
        <v>2732.65</v>
      </c>
      <c r="Q22" s="2"/>
      <c r="R22" s="19"/>
      <c r="S22" s="2"/>
      <c r="T22" s="2"/>
      <c r="U22" s="2"/>
      <c r="V22" s="19"/>
      <c r="W22" s="2"/>
      <c r="X22" s="2">
        <f t="shared" si="2"/>
        <v>2732.65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--3.98</f>
        <v>3.98</v>
      </c>
      <c r="E23" s="2"/>
      <c r="F23" s="19"/>
      <c r="G23" s="2"/>
      <c r="H23" s="2"/>
      <c r="I23" s="2"/>
      <c r="J23" s="19"/>
      <c r="K23" s="2"/>
      <c r="L23" s="2">
        <f t="shared" si="0"/>
        <v>3.98</v>
      </c>
      <c r="M23" s="2"/>
      <c r="N23" s="19">
        <f t="shared" si="1"/>
        <v>0</v>
      </c>
      <c r="O23" s="11"/>
      <c r="P23" s="2">
        <f>--33.88</f>
        <v>33.880000000000003</v>
      </c>
      <c r="Q23" s="2"/>
      <c r="R23" s="19"/>
      <c r="S23" s="2"/>
      <c r="T23" s="2"/>
      <c r="U23" s="2"/>
      <c r="V23" s="19"/>
      <c r="W23" s="2"/>
      <c r="X23" s="2">
        <f t="shared" si="2"/>
        <v>33.880000000000003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--3212.68</f>
        <v>3212.68</v>
      </c>
      <c r="E24" s="2"/>
      <c r="F24" s="19"/>
      <c r="G24" s="2"/>
      <c r="H24" s="2"/>
      <c r="I24" s="2"/>
      <c r="J24" s="19"/>
      <c r="K24" s="2"/>
      <c r="L24" s="2">
        <f t="shared" si="0"/>
        <v>3212.68</v>
      </c>
      <c r="M24" s="2"/>
      <c r="N24" s="19">
        <f t="shared" si="1"/>
        <v>0</v>
      </c>
      <c r="O24" s="11"/>
      <c r="P24" s="2">
        <f>--29544.72</f>
        <v>29544.720000000001</v>
      </c>
      <c r="Q24" s="2"/>
      <c r="R24" s="19"/>
      <c r="S24" s="2"/>
      <c r="T24" s="2"/>
      <c r="U24" s="2"/>
      <c r="V24" s="19"/>
      <c r="W24" s="2"/>
      <c r="X24" s="2">
        <f t="shared" si="2"/>
        <v>29544.720000000001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--6609.41</f>
        <v>6609.41</v>
      </c>
      <c r="E25" s="2"/>
      <c r="F25" s="19"/>
      <c r="G25" s="2"/>
      <c r="H25" s="2"/>
      <c r="I25" s="2"/>
      <c r="J25" s="19"/>
      <c r="K25" s="2"/>
      <c r="L25" s="2">
        <f t="shared" si="0"/>
        <v>6609.41</v>
      </c>
      <c r="M25" s="2"/>
      <c r="N25" s="19">
        <f t="shared" si="1"/>
        <v>0</v>
      </c>
      <c r="O25" s="11"/>
      <c r="P25" s="2">
        <f>--43673.95</f>
        <v>43673.95</v>
      </c>
      <c r="Q25" s="2"/>
      <c r="R25" s="19"/>
      <c r="S25" s="2"/>
      <c r="T25" s="2"/>
      <c r="U25" s="2"/>
      <c r="V25" s="19"/>
      <c r="W25" s="2"/>
      <c r="X25" s="2">
        <f t="shared" si="2"/>
        <v>43673.95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--10515.54</f>
        <v>10515.54</v>
      </c>
      <c r="E26" s="2"/>
      <c r="F26" s="19"/>
      <c r="G26" s="2"/>
      <c r="H26" s="2"/>
      <c r="I26" s="2"/>
      <c r="J26" s="19"/>
      <c r="K26" s="2"/>
      <c r="L26" s="2">
        <f t="shared" si="0"/>
        <v>10515.54</v>
      </c>
      <c r="M26" s="2"/>
      <c r="N26" s="19">
        <f t="shared" si="1"/>
        <v>0</v>
      </c>
      <c r="O26" s="11"/>
      <c r="P26" s="2">
        <f>--154789.08</f>
        <v>154789.07999999999</v>
      </c>
      <c r="Q26" s="2"/>
      <c r="R26" s="19"/>
      <c r="S26" s="2"/>
      <c r="T26" s="2"/>
      <c r="U26" s="2"/>
      <c r="V26" s="19"/>
      <c r="W26" s="2"/>
      <c r="X26" s="2">
        <f t="shared" si="2"/>
        <v>154789.07999999999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--29388.04</f>
        <v>29388.04</v>
      </c>
      <c r="E27" s="2"/>
      <c r="F27" s="19"/>
      <c r="G27" s="2"/>
      <c r="H27" s="2"/>
      <c r="I27" s="2"/>
      <c r="J27" s="19"/>
      <c r="K27" s="2"/>
      <c r="L27" s="2">
        <f t="shared" si="0"/>
        <v>29388.04</v>
      </c>
      <c r="M27" s="2"/>
      <c r="N27" s="19">
        <f t="shared" si="1"/>
        <v>0</v>
      </c>
      <c r="O27" s="11"/>
      <c r="P27" s="2">
        <f>--175952.71</f>
        <v>175952.71</v>
      </c>
      <c r="Q27" s="2"/>
      <c r="R27" s="19"/>
      <c r="S27" s="2"/>
      <c r="T27" s="2"/>
      <c r="U27" s="2"/>
      <c r="V27" s="19"/>
      <c r="W27" s="2"/>
      <c r="X27" s="2">
        <f t="shared" si="2"/>
        <v>175952.71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--58.77</f>
        <v>58.77</v>
      </c>
      <c r="E28" s="2"/>
      <c r="F28" s="19"/>
      <c r="G28" s="2"/>
      <c r="H28" s="2"/>
      <c r="I28" s="2"/>
      <c r="J28" s="19"/>
      <c r="K28" s="2"/>
      <c r="L28" s="2">
        <f t="shared" si="0"/>
        <v>58.77</v>
      </c>
      <c r="M28" s="2"/>
      <c r="N28" s="19">
        <f t="shared" si="1"/>
        <v>0</v>
      </c>
      <c r="O28" s="11"/>
      <c r="P28" s="2">
        <f>--280.05</f>
        <v>280.05</v>
      </c>
      <c r="Q28" s="2"/>
      <c r="R28" s="19"/>
      <c r="S28" s="2"/>
      <c r="T28" s="2"/>
      <c r="U28" s="2"/>
      <c r="V28" s="19"/>
      <c r="W28" s="2"/>
      <c r="X28" s="2">
        <f t="shared" si="2"/>
        <v>280.05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--30308.52</f>
        <v>30308.52</v>
      </c>
      <c r="E29" s="2"/>
      <c r="F29" s="19"/>
      <c r="G29" s="2"/>
      <c r="H29" s="2"/>
      <c r="I29" s="2"/>
      <c r="J29" s="19"/>
      <c r="K29" s="2"/>
      <c r="L29" s="2">
        <f t="shared" si="0"/>
        <v>30308.52</v>
      </c>
      <c r="M29" s="2"/>
      <c r="N29" s="19">
        <f t="shared" si="1"/>
        <v>0</v>
      </c>
      <c r="O29" s="11"/>
      <c r="P29" s="2">
        <f>--162176.81</f>
        <v>162176.81</v>
      </c>
      <c r="Q29" s="2"/>
      <c r="R29" s="19"/>
      <c r="S29" s="2"/>
      <c r="T29" s="2"/>
      <c r="U29" s="2"/>
      <c r="V29" s="19"/>
      <c r="W29" s="2"/>
      <c r="X29" s="2">
        <f t="shared" si="2"/>
        <v>162176.81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--23.21</f>
        <v>23.21</v>
      </c>
      <c r="E30" s="2"/>
      <c r="F30" s="19"/>
      <c r="G30" s="2"/>
      <c r="H30" s="2"/>
      <c r="I30" s="2"/>
      <c r="J30" s="19"/>
      <c r="K30" s="2"/>
      <c r="L30" s="2">
        <f t="shared" si="0"/>
        <v>23.21</v>
      </c>
      <c r="M30" s="2"/>
      <c r="N30" s="19">
        <f t="shared" si="1"/>
        <v>0</v>
      </c>
      <c r="O30" s="11"/>
      <c r="P30" s="2">
        <f>--108.61</f>
        <v>108.61</v>
      </c>
      <c r="Q30" s="2"/>
      <c r="R30" s="19"/>
      <c r="S30" s="2"/>
      <c r="T30" s="2"/>
      <c r="U30" s="2"/>
      <c r="V30" s="19"/>
      <c r="W30" s="2"/>
      <c r="X30" s="2">
        <f t="shared" si="2"/>
        <v>108.61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--1247.1</f>
        <v>1247.0999999999999</v>
      </c>
      <c r="E31" s="2"/>
      <c r="F31" s="19"/>
      <c r="G31" s="2"/>
      <c r="H31" s="2"/>
      <c r="I31" s="2"/>
      <c r="J31" s="19"/>
      <c r="K31" s="2"/>
      <c r="L31" s="2">
        <f t="shared" si="0"/>
        <v>1247.0999999999999</v>
      </c>
      <c r="M31" s="2"/>
      <c r="N31" s="19">
        <f t="shared" si="1"/>
        <v>0</v>
      </c>
      <c r="O31" s="11"/>
      <c r="P31" s="2">
        <f>--6643.42</f>
        <v>6643.42</v>
      </c>
      <c r="Q31" s="2"/>
      <c r="R31" s="19"/>
      <c r="S31" s="2"/>
      <c r="T31" s="2"/>
      <c r="U31" s="2"/>
      <c r="V31" s="19"/>
      <c r="W31" s="2"/>
      <c r="X31" s="2">
        <f t="shared" si="2"/>
        <v>6643.42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--269.24</f>
        <v>269.24</v>
      </c>
      <c r="E32" s="2"/>
      <c r="F32" s="19"/>
      <c r="G32" s="2"/>
      <c r="H32" s="2"/>
      <c r="I32" s="2"/>
      <c r="J32" s="19"/>
      <c r="K32" s="2"/>
      <c r="L32" s="2">
        <f t="shared" si="0"/>
        <v>269.24</v>
      </c>
      <c r="M32" s="2"/>
      <c r="N32" s="19">
        <f t="shared" si="1"/>
        <v>0</v>
      </c>
      <c r="O32" s="11"/>
      <c r="P32" s="2">
        <f>--1133.6</f>
        <v>1133.5999999999999</v>
      </c>
      <c r="Q32" s="2"/>
      <c r="R32" s="19"/>
      <c r="S32" s="2"/>
      <c r="T32" s="2"/>
      <c r="U32" s="2"/>
      <c r="V32" s="19"/>
      <c r="W32" s="2"/>
      <c r="X32" s="2">
        <f t="shared" si="2"/>
        <v>1133.5999999999999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--74.6</f>
        <v>74.599999999999994</v>
      </c>
      <c r="E33" s="2"/>
      <c r="F33" s="19"/>
      <c r="G33" s="2"/>
      <c r="H33" s="2"/>
      <c r="I33" s="2"/>
      <c r="J33" s="19"/>
      <c r="K33" s="2"/>
      <c r="L33" s="2">
        <f t="shared" si="0"/>
        <v>74.599999999999994</v>
      </c>
      <c r="M33" s="2"/>
      <c r="N33" s="19">
        <f t="shared" si="1"/>
        <v>0</v>
      </c>
      <c r="O33" s="11"/>
      <c r="P33" s="2">
        <f>--377.17</f>
        <v>377.17</v>
      </c>
      <c r="Q33" s="2"/>
      <c r="R33" s="19"/>
      <c r="S33" s="2"/>
      <c r="T33" s="2"/>
      <c r="U33" s="2"/>
      <c r="V33" s="19"/>
      <c r="W33" s="2"/>
      <c r="X33" s="2">
        <f t="shared" si="2"/>
        <v>377.17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--249896.49</f>
        <v>249896.49</v>
      </c>
      <c r="E34" s="2"/>
      <c r="F34" s="19"/>
      <c r="G34" s="2"/>
      <c r="H34" s="2"/>
      <c r="I34" s="2"/>
      <c r="J34" s="19"/>
      <c r="K34" s="2"/>
      <c r="L34" s="2">
        <f t="shared" si="0"/>
        <v>249896.49</v>
      </c>
      <c r="M34" s="2"/>
      <c r="N34" s="19">
        <f t="shared" si="1"/>
        <v>0</v>
      </c>
      <c r="O34" s="11"/>
      <c r="P34" s="2">
        <f>--1098136.94</f>
        <v>1098136.94</v>
      </c>
      <c r="Q34" s="2"/>
      <c r="R34" s="19"/>
      <c r="S34" s="2"/>
      <c r="T34" s="2"/>
      <c r="U34" s="2"/>
      <c r="V34" s="19"/>
      <c r="W34" s="2"/>
      <c r="X34" s="2">
        <f t="shared" si="2"/>
        <v>1098136.94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--29333.75</f>
        <v>29333.75</v>
      </c>
      <c r="E35" s="2"/>
      <c r="F35" s="19"/>
      <c r="G35" s="2"/>
      <c r="H35" s="2"/>
      <c r="I35" s="2"/>
      <c r="J35" s="19"/>
      <c r="K35" s="2"/>
      <c r="L35" s="2">
        <f t="shared" si="0"/>
        <v>29333.75</v>
      </c>
      <c r="M35" s="2"/>
      <c r="N35" s="19">
        <f t="shared" si="1"/>
        <v>0</v>
      </c>
      <c r="O35" s="11"/>
      <c r="P35" s="2">
        <f>--258147.65</f>
        <v>258147.65</v>
      </c>
      <c r="Q35" s="2"/>
      <c r="R35" s="19"/>
      <c r="S35" s="2"/>
      <c r="T35" s="2"/>
      <c r="U35" s="2"/>
      <c r="V35" s="19"/>
      <c r="W35" s="2"/>
      <c r="X35" s="2">
        <f t="shared" si="2"/>
        <v>258147.65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--30667.82</f>
        <v>30667.82</v>
      </c>
      <c r="E36" s="2"/>
      <c r="F36" s="19"/>
      <c r="G36" s="2"/>
      <c r="H36" s="2"/>
      <c r="I36" s="2"/>
      <c r="J36" s="19"/>
      <c r="K36" s="2"/>
      <c r="L36" s="2">
        <f t="shared" si="0"/>
        <v>30667.82</v>
      </c>
      <c r="M36" s="2"/>
      <c r="N36" s="19">
        <f t="shared" si="1"/>
        <v>0</v>
      </c>
      <c r="O36" s="11"/>
      <c r="P36" s="2">
        <f>--154978.19</f>
        <v>154978.19</v>
      </c>
      <c r="Q36" s="2"/>
      <c r="R36" s="19"/>
      <c r="S36" s="2"/>
      <c r="T36" s="2"/>
      <c r="U36" s="2"/>
      <c r="V36" s="19"/>
      <c r="W36" s="2"/>
      <c r="X36" s="2">
        <f t="shared" si="2"/>
        <v>154978.19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--4302.17</f>
        <v>4302.17</v>
      </c>
      <c r="E37" s="2"/>
      <c r="F37" s="19"/>
      <c r="G37" s="2"/>
      <c r="H37" s="2"/>
      <c r="I37" s="2"/>
      <c r="J37" s="19"/>
      <c r="K37" s="2"/>
      <c r="L37" s="2">
        <f t="shared" si="0"/>
        <v>4302.17</v>
      </c>
      <c r="M37" s="2"/>
      <c r="N37" s="19">
        <f t="shared" si="1"/>
        <v>0</v>
      </c>
      <c r="O37" s="11"/>
      <c r="P37" s="2">
        <f>--4823.02</f>
        <v>4823.0200000000004</v>
      </c>
      <c r="Q37" s="2"/>
      <c r="R37" s="19"/>
      <c r="S37" s="2"/>
      <c r="T37" s="2"/>
      <c r="U37" s="2"/>
      <c r="V37" s="19"/>
      <c r="W37" s="2"/>
      <c r="X37" s="2">
        <f t="shared" si="2"/>
        <v>4823.0200000000004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--8230.63</f>
        <v>8230.6299999999992</v>
      </c>
      <c r="E38" s="2"/>
      <c r="F38" s="19"/>
      <c r="G38" s="2"/>
      <c r="H38" s="2"/>
      <c r="I38" s="2"/>
      <c r="J38" s="19"/>
      <c r="K38" s="2"/>
      <c r="L38" s="2">
        <f t="shared" si="0"/>
        <v>8230.6299999999992</v>
      </c>
      <c r="M38" s="2"/>
      <c r="N38" s="19">
        <f t="shared" si="1"/>
        <v>0</v>
      </c>
      <c r="O38" s="11"/>
      <c r="P38" s="2">
        <f>--41297.78</f>
        <v>41297.78</v>
      </c>
      <c r="Q38" s="2"/>
      <c r="R38" s="19"/>
      <c r="S38" s="2"/>
      <c r="T38" s="2"/>
      <c r="U38" s="2"/>
      <c r="V38" s="19"/>
      <c r="W38" s="2"/>
      <c r="X38" s="2">
        <f t="shared" si="2"/>
        <v>41297.78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--18665.34</f>
        <v>18665.34</v>
      </c>
      <c r="E39" s="2"/>
      <c r="F39" s="19"/>
      <c r="G39" s="2"/>
      <c r="H39" s="2"/>
      <c r="I39" s="2"/>
      <c r="J39" s="19"/>
      <c r="K39" s="2"/>
      <c r="L39" s="2">
        <f t="shared" si="0"/>
        <v>18665.34</v>
      </c>
      <c r="M39" s="2"/>
      <c r="N39" s="19">
        <f t="shared" si="1"/>
        <v>0</v>
      </c>
      <c r="O39" s="11"/>
      <c r="P39" s="2">
        <f>--54518.44</f>
        <v>54518.44</v>
      </c>
      <c r="Q39" s="2"/>
      <c r="R39" s="19"/>
      <c r="S39" s="2"/>
      <c r="T39" s="2"/>
      <c r="U39" s="2"/>
      <c r="V39" s="19"/>
      <c r="W39" s="2"/>
      <c r="X39" s="2">
        <f t="shared" si="2"/>
        <v>54518.44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--304.55</f>
        <v>304.55</v>
      </c>
      <c r="E40" s="2"/>
      <c r="F40" s="19"/>
      <c r="G40" s="2"/>
      <c r="H40" s="2"/>
      <c r="I40" s="2"/>
      <c r="J40" s="19"/>
      <c r="K40" s="2"/>
      <c r="L40" s="2">
        <f t="shared" si="0"/>
        <v>304.55</v>
      </c>
      <c r="M40" s="2"/>
      <c r="N40" s="19">
        <f t="shared" si="1"/>
        <v>0</v>
      </c>
      <c r="O40" s="11"/>
      <c r="P40" s="2">
        <f>--1678.55</f>
        <v>1678.55</v>
      </c>
      <c r="Q40" s="2"/>
      <c r="R40" s="19"/>
      <c r="S40" s="2"/>
      <c r="T40" s="2"/>
      <c r="U40" s="2"/>
      <c r="V40" s="19"/>
      <c r="W40" s="2"/>
      <c r="X40" s="2">
        <f t="shared" si="2"/>
        <v>1678.55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--74968.58</f>
        <v>74968.58</v>
      </c>
      <c r="E41" s="2"/>
      <c r="F41" s="19"/>
      <c r="G41" s="2"/>
      <c r="H41" s="2"/>
      <c r="I41" s="2"/>
      <c r="J41" s="19"/>
      <c r="K41" s="2"/>
      <c r="L41" s="2">
        <f t="shared" si="0"/>
        <v>74968.58</v>
      </c>
      <c r="M41" s="2"/>
      <c r="N41" s="19">
        <f t="shared" si="1"/>
        <v>0</v>
      </c>
      <c r="O41" s="11"/>
      <c r="P41" s="2">
        <f>--375004.52</f>
        <v>375004.52</v>
      </c>
      <c r="Q41" s="2"/>
      <c r="R41" s="19"/>
      <c r="S41" s="2"/>
      <c r="T41" s="2"/>
      <c r="U41" s="2"/>
      <c r="V41" s="19"/>
      <c r="W41" s="2"/>
      <c r="X41" s="2">
        <f t="shared" si="2"/>
        <v>375004.52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"4052", " - ", "TAXABLE SALES-FOOD")</f>
        <v xml:space="preserve">          4052 - TAXABLE SALES-FOOD</v>
      </c>
      <c r="C42" s="11"/>
      <c r="D42" s="2">
        <f>--85023.13</f>
        <v>85023.13</v>
      </c>
      <c r="E42" s="2"/>
      <c r="F42" s="19"/>
      <c r="G42" s="2"/>
      <c r="H42" s="2"/>
      <c r="I42" s="2"/>
      <c r="J42" s="19"/>
      <c r="K42" s="2"/>
      <c r="L42" s="2">
        <f t="shared" si="0"/>
        <v>85023.13</v>
      </c>
      <c r="M42" s="2"/>
      <c r="N42" s="19">
        <f t="shared" si="1"/>
        <v>0</v>
      </c>
      <c r="O42" s="11"/>
      <c r="P42" s="2">
        <f>--453845.53</f>
        <v>453845.53</v>
      </c>
      <c r="Q42" s="2"/>
      <c r="R42" s="19"/>
      <c r="S42" s="2"/>
      <c r="T42" s="2"/>
      <c r="U42" s="2"/>
      <c r="V42" s="19"/>
      <c r="W42" s="2"/>
      <c r="X42" s="2">
        <f t="shared" si="2"/>
        <v>453845.53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"4053", " - ", "TAXABLE SALES-FOOD")</f>
        <v xml:space="preserve">          4053 - TAXABLE SALES-FOOD</v>
      </c>
      <c r="C43" s="11"/>
      <c r="D43" s="2">
        <f>--20292.53</f>
        <v>20292.53</v>
      </c>
      <c r="E43" s="2"/>
      <c r="F43" s="19"/>
      <c r="G43" s="2"/>
      <c r="H43" s="2"/>
      <c r="I43" s="2"/>
      <c r="J43" s="19"/>
      <c r="K43" s="2"/>
      <c r="L43" s="2">
        <f t="shared" si="0"/>
        <v>20292.53</v>
      </c>
      <c r="M43" s="2"/>
      <c r="N43" s="19">
        <f t="shared" si="1"/>
        <v>0</v>
      </c>
      <c r="O43" s="11"/>
      <c r="P43" s="2">
        <f>--90170.93</f>
        <v>90170.93</v>
      </c>
      <c r="Q43" s="2"/>
      <c r="R43" s="19"/>
      <c r="S43" s="2"/>
      <c r="T43" s="2"/>
      <c r="U43" s="2"/>
      <c r="V43" s="19"/>
      <c r="W43" s="2"/>
      <c r="X43" s="2">
        <f t="shared" si="2"/>
        <v>90170.93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"4055", " - ", "TAXABLE SALES-FOOD")</f>
        <v xml:space="preserve">          4055 - TAXABLE SALES-FOOD</v>
      </c>
      <c r="C44" s="11"/>
      <c r="D44" s="2">
        <f>--49269.15</f>
        <v>49269.15</v>
      </c>
      <c r="E44" s="2"/>
      <c r="F44" s="19"/>
      <c r="G44" s="2"/>
      <c r="H44" s="2"/>
      <c r="I44" s="2"/>
      <c r="J44" s="19"/>
      <c r="K44" s="2"/>
      <c r="L44" s="2">
        <f t="shared" si="0"/>
        <v>49269.15</v>
      </c>
      <c r="M44" s="2"/>
      <c r="N44" s="19">
        <f t="shared" si="1"/>
        <v>0</v>
      </c>
      <c r="O44" s="11"/>
      <c r="P44" s="2">
        <f>--235911.89</f>
        <v>235911.89</v>
      </c>
      <c r="Q44" s="2"/>
      <c r="R44" s="19"/>
      <c r="S44" s="2"/>
      <c r="T44" s="2"/>
      <c r="U44" s="2"/>
      <c r="V44" s="19"/>
      <c r="W44" s="2"/>
      <c r="X44" s="2">
        <f t="shared" si="2"/>
        <v>235911.89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"4058", " - ", "TAXABLE SALES-FOOD")</f>
        <v xml:space="preserve">          4058 - TAXABLE SALES-FOOD</v>
      </c>
      <c r="C45" s="11"/>
      <c r="D45" s="2">
        <f>--14656.48</f>
        <v>14656.48</v>
      </c>
      <c r="E45" s="2"/>
      <c r="F45" s="19"/>
      <c r="G45" s="2"/>
      <c r="H45" s="2"/>
      <c r="I45" s="2"/>
      <c r="J45" s="19"/>
      <c r="K45" s="2"/>
      <c r="L45" s="2">
        <f t="shared" si="0"/>
        <v>14656.48</v>
      </c>
      <c r="M45" s="2"/>
      <c r="N45" s="19">
        <f t="shared" si="1"/>
        <v>0</v>
      </c>
      <c r="O45" s="11"/>
      <c r="P45" s="2">
        <f>--78802.41</f>
        <v>78802.41</v>
      </c>
      <c r="Q45" s="2"/>
      <c r="R45" s="19"/>
      <c r="S45" s="2"/>
      <c r="T45" s="2"/>
      <c r="U45" s="2"/>
      <c r="V45" s="19"/>
      <c r="W45" s="2"/>
      <c r="X45" s="2">
        <f t="shared" si="2"/>
        <v>78802.41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"4081", " - ", "TAXABLE SALES-ELECTRONICS")</f>
        <v xml:space="preserve">          4081 - TAXABLE SALES-ELECTRONICS</v>
      </c>
      <c r="C46" s="11"/>
      <c r="D46" s="2">
        <f>--16554.53</f>
        <v>16554.53</v>
      </c>
      <c r="E46" s="2"/>
      <c r="F46" s="19"/>
      <c r="G46" s="2"/>
      <c r="H46" s="2"/>
      <c r="I46" s="2"/>
      <c r="J46" s="19"/>
      <c r="K46" s="2"/>
      <c r="L46" s="2">
        <f t="shared" si="0"/>
        <v>16554.53</v>
      </c>
      <c r="M46" s="2"/>
      <c r="N46" s="19">
        <f t="shared" si="1"/>
        <v>0</v>
      </c>
      <c r="O46" s="11"/>
      <c r="P46" s="2">
        <f>--231804.25</f>
        <v>231804.25</v>
      </c>
      <c r="Q46" s="2"/>
      <c r="R46" s="19"/>
      <c r="S46" s="2"/>
      <c r="T46" s="2"/>
      <c r="U46" s="2"/>
      <c r="V46" s="19"/>
      <c r="W46" s="2"/>
      <c r="X46" s="2">
        <f t="shared" si="2"/>
        <v>231804.25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"4082", " - ", "TAXABLE SALES-COMPUTER HARDWAR")</f>
        <v xml:space="preserve">          4082 - TAXABLE SALES-COMPUTER HARDWAR</v>
      </c>
      <c r="C47" s="11"/>
      <c r="D47" s="2">
        <f>--134369.21</f>
        <v>134369.21</v>
      </c>
      <c r="E47" s="2"/>
      <c r="F47" s="19"/>
      <c r="G47" s="2"/>
      <c r="H47" s="2"/>
      <c r="I47" s="2"/>
      <c r="J47" s="19"/>
      <c r="K47" s="2"/>
      <c r="L47" s="2">
        <f t="shared" si="0"/>
        <v>134369.21</v>
      </c>
      <c r="M47" s="2"/>
      <c r="N47" s="19">
        <f t="shared" si="1"/>
        <v>0</v>
      </c>
      <c r="O47" s="11"/>
      <c r="P47" s="2">
        <f>--1282930.84</f>
        <v>1282930.8400000001</v>
      </c>
      <c r="Q47" s="2"/>
      <c r="R47" s="19"/>
      <c r="S47" s="2"/>
      <c r="T47" s="2"/>
      <c r="U47" s="2"/>
      <c r="V47" s="19"/>
      <c r="W47" s="2"/>
      <c r="X47" s="2">
        <f t="shared" si="2"/>
        <v>1282930.8400000001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"4083", " - ", "TAXABLE SALES-COMPUTER EQUIPME")</f>
        <v xml:space="preserve">          4083 - TAXABLE SALES-COMPUTER EQUIPME</v>
      </c>
      <c r="C48" s="11"/>
      <c r="D48" s="2">
        <f>--10037.71</f>
        <v>10037.709999999999</v>
      </c>
      <c r="E48" s="2"/>
      <c r="F48" s="19"/>
      <c r="G48" s="2"/>
      <c r="H48" s="2"/>
      <c r="I48" s="2"/>
      <c r="J48" s="19"/>
      <c r="K48" s="2"/>
      <c r="L48" s="2">
        <f t="shared" si="0"/>
        <v>10037.709999999999</v>
      </c>
      <c r="M48" s="2"/>
      <c r="N48" s="19">
        <f t="shared" si="1"/>
        <v>0</v>
      </c>
      <c r="O48" s="11"/>
      <c r="P48" s="2">
        <f>--64073.62</f>
        <v>64073.62</v>
      </c>
      <c r="Q48" s="2"/>
      <c r="R48" s="19"/>
      <c r="S48" s="2"/>
      <c r="T48" s="2"/>
      <c r="U48" s="2"/>
      <c r="V48" s="19"/>
      <c r="W48" s="2"/>
      <c r="X48" s="2">
        <f t="shared" si="2"/>
        <v>64073.62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"4084", " - ", "TAXABLE SALES-SOFTWARE LICENSE")</f>
        <v xml:space="preserve">          4084 - TAXABLE SALES-SOFTWARE LICENSE</v>
      </c>
      <c r="C49" s="11"/>
      <c r="D49" s="2">
        <f t="shared" ref="D49:D50" si="4">0</f>
        <v>0</v>
      </c>
      <c r="E49" s="2"/>
      <c r="F49" s="19"/>
      <c r="G49" s="2"/>
      <c r="H49" s="2"/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--129</f>
        <v>129</v>
      </c>
      <c r="Q49" s="2"/>
      <c r="R49" s="19"/>
      <c r="S49" s="2"/>
      <c r="T49" s="2"/>
      <c r="U49" s="2"/>
      <c r="V49" s="19"/>
      <c r="W49" s="2"/>
      <c r="X49" s="2">
        <f t="shared" si="2"/>
        <v>129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"4085", " - ", "TAXABLE SALES-SOFTWARE")</f>
        <v xml:space="preserve">          4085 - TAXABLE SALES-SOFTWARE</v>
      </c>
      <c r="C50" s="11"/>
      <c r="D50" s="2">
        <f t="shared" si="4"/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--4407.94</f>
        <v>4407.9399999999996</v>
      </c>
      <c r="Q50" s="2"/>
      <c r="R50" s="19"/>
      <c r="S50" s="2"/>
      <c r="T50" s="2"/>
      <c r="U50" s="2"/>
      <c r="V50" s="19"/>
      <c r="W50" s="2"/>
      <c r="X50" s="2">
        <f t="shared" si="2"/>
        <v>4407.9399999999996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"4086", " - ", "TAXABLE SALES-COMPUTER SUPPLIE")</f>
        <v xml:space="preserve">          4086 - TAXABLE SALES-COMPUTER SUPPLIE</v>
      </c>
      <c r="C51" s="11"/>
      <c r="D51" s="2">
        <f>--3874.61</f>
        <v>3874.61</v>
      </c>
      <c r="E51" s="2"/>
      <c r="F51" s="19"/>
      <c r="G51" s="2"/>
      <c r="H51" s="2"/>
      <c r="I51" s="2"/>
      <c r="J51" s="19"/>
      <c r="K51" s="2"/>
      <c r="L51" s="2">
        <f t="shared" si="0"/>
        <v>3874.61</v>
      </c>
      <c r="M51" s="2"/>
      <c r="N51" s="19">
        <f t="shared" si="1"/>
        <v>0</v>
      </c>
      <c r="O51" s="11"/>
      <c r="P51" s="2">
        <f>--31007.7</f>
        <v>31007.7</v>
      </c>
      <c r="Q51" s="2"/>
      <c r="R51" s="19"/>
      <c r="S51" s="2"/>
      <c r="T51" s="2"/>
      <c r="U51" s="2"/>
      <c r="V51" s="19"/>
      <c r="W51" s="2"/>
      <c r="X51" s="2">
        <f t="shared" si="2"/>
        <v>31007.7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"4088", " - ", "TAXABLE SALES-MUSIC")</f>
        <v xml:space="preserve">          4088 - TAXABLE SALES-MUSIC</v>
      </c>
      <c r="C52" s="11"/>
      <c r="D52" s="2">
        <f>--118.97</f>
        <v>118.97</v>
      </c>
      <c r="E52" s="2"/>
      <c r="F52" s="19"/>
      <c r="G52" s="2"/>
      <c r="H52" s="2"/>
      <c r="I52" s="2"/>
      <c r="J52" s="19"/>
      <c r="K52" s="2"/>
      <c r="L52" s="2">
        <f t="shared" si="0"/>
        <v>118.97</v>
      </c>
      <c r="M52" s="2"/>
      <c r="N52" s="19">
        <f t="shared" si="1"/>
        <v>0</v>
      </c>
      <c r="O52" s="11"/>
      <c r="P52" s="2">
        <f>--936.91</f>
        <v>936.91</v>
      </c>
      <c r="Q52" s="2"/>
      <c r="R52" s="19"/>
      <c r="S52" s="2"/>
      <c r="T52" s="2"/>
      <c r="U52" s="2"/>
      <c r="V52" s="19"/>
      <c r="W52" s="2"/>
      <c r="X52" s="2">
        <f t="shared" si="2"/>
        <v>936.91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"4092", " - ", "TAXABLE SALES-GRAD MERCH")</f>
        <v xml:space="preserve">          4092 - TAXABLE SALES-GRAD MERCH</v>
      </c>
      <c r="C53" s="11"/>
      <c r="D53" s="2">
        <f>--2389.54</f>
        <v>2389.54</v>
      </c>
      <c r="E53" s="2"/>
      <c r="F53" s="19"/>
      <c r="G53" s="2"/>
      <c r="H53" s="2"/>
      <c r="I53" s="2"/>
      <c r="J53" s="19"/>
      <c r="K53" s="2"/>
      <c r="L53" s="2">
        <f t="shared" si="0"/>
        <v>2389.54</v>
      </c>
      <c r="M53" s="2"/>
      <c r="N53" s="19">
        <f t="shared" si="1"/>
        <v>0</v>
      </c>
      <c r="O53" s="11"/>
      <c r="P53" s="2">
        <f>--7440.62</f>
        <v>7440.62</v>
      </c>
      <c r="Q53" s="2"/>
      <c r="R53" s="19"/>
      <c r="S53" s="2"/>
      <c r="T53" s="2"/>
      <c r="U53" s="2"/>
      <c r="V53" s="19"/>
      <c r="W53" s="2"/>
      <c r="X53" s="2">
        <f t="shared" si="2"/>
        <v>7440.62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"4095", " - ", "TAXABLE SALES-CUSTOMER SERVICE")</f>
        <v xml:space="preserve">          4095 - TAXABLE SALES-CUSTOMER SERVICE</v>
      </c>
      <c r="C54" s="11"/>
      <c r="D54" s="2">
        <f>--31.83</f>
        <v>31.83</v>
      </c>
      <c r="E54" s="2"/>
      <c r="F54" s="19"/>
      <c r="G54" s="2"/>
      <c r="H54" s="2"/>
      <c r="I54" s="2"/>
      <c r="J54" s="19"/>
      <c r="K54" s="2"/>
      <c r="L54" s="2">
        <f t="shared" si="0"/>
        <v>31.83</v>
      </c>
      <c r="M54" s="2"/>
      <c r="N54" s="19">
        <f t="shared" si="1"/>
        <v>0</v>
      </c>
      <c r="O54" s="11"/>
      <c r="P54" s="2">
        <f>--276.44</f>
        <v>276.44</v>
      </c>
      <c r="Q54" s="2"/>
      <c r="R54" s="19"/>
      <c r="S54" s="2"/>
      <c r="T54" s="2"/>
      <c r="U54" s="2"/>
      <c r="V54" s="19"/>
      <c r="W54" s="2"/>
      <c r="X54" s="2">
        <f t="shared" si="2"/>
        <v>276.44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"4100", " - ", "NON-TAXABLE SALES")</f>
        <v xml:space="preserve">          4100 - NON-TAXABLE SALES</v>
      </c>
      <c r="C55" s="11"/>
      <c r="D55" s="2">
        <f>--22773.89</f>
        <v>22773.89</v>
      </c>
      <c r="E55" s="2"/>
      <c r="F55" s="19"/>
      <c r="G55" s="2"/>
      <c r="H55" s="2">
        <v>1588998</v>
      </c>
      <c r="I55" s="2"/>
      <c r="J55" s="19"/>
      <c r="K55" s="2"/>
      <c r="L55" s="2">
        <f t="shared" si="0"/>
        <v>-1566224.11</v>
      </c>
      <c r="M55" s="2"/>
      <c r="N55" s="19">
        <f t="shared" si="1"/>
        <v>-0.985667766730984</v>
      </c>
      <c r="O55" s="11"/>
      <c r="P55" s="2">
        <f>--481291.56</f>
        <v>481291.56</v>
      </c>
      <c r="Q55" s="2"/>
      <c r="R55" s="19"/>
      <c r="S55" s="2"/>
      <c r="T55" s="2">
        <v>11439388</v>
      </c>
      <c r="U55" s="2"/>
      <c r="V55" s="19"/>
      <c r="W55" s="2"/>
      <c r="X55" s="2">
        <f t="shared" si="2"/>
        <v>-10958096.439999999</v>
      </c>
      <c r="Y55" s="2"/>
      <c r="Z55" s="19">
        <f t="shared" si="3"/>
        <v>-0.95792680867193236</v>
      </c>
    </row>
    <row r="56" spans="1:26" s="24" customFormat="1" hidden="1" outlineLevel="1" x14ac:dyDescent="0.25">
      <c r="A56" s="44"/>
      <c r="B56" s="11" t="str">
        <f>CONCATENATE("          ", "4101", " - ", "NON-TAXABLE SALES-NEW TEXT")</f>
        <v xml:space="preserve">          4101 - NON-TAXABLE SALES-NEW TEXT</v>
      </c>
      <c r="C56" s="11"/>
      <c r="D56" s="2">
        <f>--349.66</f>
        <v>349.66</v>
      </c>
      <c r="E56" s="2"/>
      <c r="F56" s="19"/>
      <c r="G56" s="2"/>
      <c r="H56" s="2"/>
      <c r="I56" s="2"/>
      <c r="J56" s="19"/>
      <c r="K56" s="2"/>
      <c r="L56" s="2">
        <f t="shared" si="0"/>
        <v>349.66</v>
      </c>
      <c r="M56" s="2"/>
      <c r="N56" s="19">
        <f t="shared" si="1"/>
        <v>0</v>
      </c>
      <c r="O56" s="11"/>
      <c r="P56" s="2">
        <f>--92680.75</f>
        <v>92680.75</v>
      </c>
      <c r="Q56" s="2"/>
      <c r="R56" s="19"/>
      <c r="S56" s="2"/>
      <c r="T56" s="2"/>
      <c r="U56" s="2"/>
      <c r="V56" s="19"/>
      <c r="W56" s="2"/>
      <c r="X56" s="2">
        <f t="shared" si="2"/>
        <v>92680.75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"4102", " - ", "NON-TAXABLE SALES-USED TEXT")</f>
        <v xml:space="preserve">          4102 - NON-TAXABLE SALES-USED TEXT</v>
      </c>
      <c r="C57" s="11"/>
      <c r="D57" s="2">
        <f>--584.52</f>
        <v>584.52</v>
      </c>
      <c r="E57" s="2"/>
      <c r="F57" s="19"/>
      <c r="G57" s="2"/>
      <c r="H57" s="2"/>
      <c r="I57" s="2"/>
      <c r="J57" s="19"/>
      <c r="K57" s="2"/>
      <c r="L57" s="2">
        <f t="shared" si="0"/>
        <v>584.52</v>
      </c>
      <c r="M57" s="2"/>
      <c r="N57" s="19">
        <f t="shared" si="1"/>
        <v>0</v>
      </c>
      <c r="O57" s="11"/>
      <c r="P57" s="2">
        <f>--37606.84</f>
        <v>37606.839999999997</v>
      </c>
      <c r="Q57" s="2"/>
      <c r="R57" s="19"/>
      <c r="S57" s="2"/>
      <c r="T57" s="2"/>
      <c r="U57" s="2"/>
      <c r="V57" s="19"/>
      <c r="W57" s="2"/>
      <c r="X57" s="2">
        <f t="shared" si="2"/>
        <v>37606.839999999997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"4103", " - ", "NON-TAXABLE SALES-RENTAL TEXT")</f>
        <v xml:space="preserve">          4103 - NON-TAXABLE SALES-RENTAL TEXT</v>
      </c>
      <c r="C58" s="11"/>
      <c r="D58" s="2">
        <f>0</f>
        <v>0</v>
      </c>
      <c r="E58" s="2"/>
      <c r="F58" s="19"/>
      <c r="G58" s="2"/>
      <c r="H58" s="2"/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--329.98</f>
        <v>329.98</v>
      </c>
      <c r="Q58" s="2"/>
      <c r="R58" s="19"/>
      <c r="S58" s="2"/>
      <c r="T58" s="2"/>
      <c r="U58" s="2"/>
      <c r="V58" s="19"/>
      <c r="W58" s="2"/>
      <c r="X58" s="2">
        <f t="shared" si="2"/>
        <v>329.98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"4104", " - ", "NON-TAXABLE SALES-DIGITAL TEXT")</f>
        <v xml:space="preserve">          4104 - NON-TAXABLE SALES-DIGITAL TEXT</v>
      </c>
      <c r="C59" s="11"/>
      <c r="D59" s="2">
        <f>--206.24</f>
        <v>206.24</v>
      </c>
      <c r="E59" s="2"/>
      <c r="F59" s="19"/>
      <c r="G59" s="2"/>
      <c r="H59" s="2"/>
      <c r="I59" s="2"/>
      <c r="J59" s="19"/>
      <c r="K59" s="2"/>
      <c r="L59" s="2">
        <f t="shared" si="0"/>
        <v>206.24</v>
      </c>
      <c r="M59" s="2"/>
      <c r="N59" s="19">
        <f t="shared" si="1"/>
        <v>0</v>
      </c>
      <c r="O59" s="11"/>
      <c r="P59" s="2">
        <f>--320699.09</f>
        <v>320699.09000000003</v>
      </c>
      <c r="Q59" s="2"/>
      <c r="R59" s="19"/>
      <c r="S59" s="2"/>
      <c r="T59" s="2"/>
      <c r="U59" s="2"/>
      <c r="V59" s="19"/>
      <c r="W59" s="2"/>
      <c r="X59" s="2">
        <f t="shared" si="2"/>
        <v>320699.09000000003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"4111", " - ", "NON-TAXABLE SALES-NO VALUE TEX")</f>
        <v xml:space="preserve">          4111 - NON-TAXABLE SALES-NO VALUE TEX</v>
      </c>
      <c r="C60" s="11"/>
      <c r="D60" s="2">
        <f>--492.72</f>
        <v>492.72</v>
      </c>
      <c r="E60" s="2"/>
      <c r="F60" s="19"/>
      <c r="G60" s="2"/>
      <c r="H60" s="2"/>
      <c r="I60" s="2"/>
      <c r="J60" s="19"/>
      <c r="K60" s="2"/>
      <c r="L60" s="2">
        <f t="shared" si="0"/>
        <v>492.72</v>
      </c>
      <c r="M60" s="2"/>
      <c r="N60" s="19">
        <f t="shared" si="1"/>
        <v>0</v>
      </c>
      <c r="O60" s="11"/>
      <c r="P60" s="2">
        <f>--7592.19</f>
        <v>7592.19</v>
      </c>
      <c r="Q60" s="2"/>
      <c r="R60" s="19"/>
      <c r="S60" s="2"/>
      <c r="T60" s="2"/>
      <c r="U60" s="2"/>
      <c r="V60" s="19"/>
      <c r="W60" s="2"/>
      <c r="X60" s="2">
        <f t="shared" si="2"/>
        <v>7592.19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"4113", " - ", "NON-TAXABLE SALES-TRADE BOOKS")</f>
        <v xml:space="preserve">          4113 - NON-TAXABLE SALES-TRADE BOOKS</v>
      </c>
      <c r="C61" s="11"/>
      <c r="D61" s="2">
        <f>0</f>
        <v>0</v>
      </c>
      <c r="E61" s="2"/>
      <c r="F61" s="19"/>
      <c r="G61" s="2"/>
      <c r="H61" s="2"/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>--1146.72</f>
        <v>1146.72</v>
      </c>
      <c r="Q61" s="2"/>
      <c r="R61" s="19"/>
      <c r="S61" s="2"/>
      <c r="T61" s="2"/>
      <c r="U61" s="2"/>
      <c r="V61" s="19"/>
      <c r="W61" s="2"/>
      <c r="X61" s="2">
        <f t="shared" si="2"/>
        <v>1146.72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"4118", " - ", "NON-TAXABLE SALES-STUDY GUIDES")</f>
        <v xml:space="preserve">          4118 - NON-TAXABLE SALES-STUDY GUIDES</v>
      </c>
      <c r="C62" s="11"/>
      <c r="D62" s="2">
        <f>--14.04</f>
        <v>14.04</v>
      </c>
      <c r="E62" s="2"/>
      <c r="F62" s="19"/>
      <c r="G62" s="2"/>
      <c r="H62" s="2"/>
      <c r="I62" s="2"/>
      <c r="J62" s="19"/>
      <c r="K62" s="2"/>
      <c r="L62" s="2">
        <f t="shared" si="0"/>
        <v>14.04</v>
      </c>
      <c r="M62" s="2"/>
      <c r="N62" s="19">
        <f t="shared" si="1"/>
        <v>0</v>
      </c>
      <c r="O62" s="11"/>
      <c r="P62" s="2">
        <f>--34.96</f>
        <v>34.96</v>
      </c>
      <c r="Q62" s="2"/>
      <c r="R62" s="19"/>
      <c r="S62" s="2"/>
      <c r="T62" s="2"/>
      <c r="U62" s="2"/>
      <c r="V62" s="19"/>
      <c r="W62" s="2"/>
      <c r="X62" s="2">
        <f t="shared" si="2"/>
        <v>34.96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"4125", " - ", "NON-TAXABLE SALES-TEST FORMS")</f>
        <v xml:space="preserve">          4125 - NON-TAXABLE SALES-TEST FORMS</v>
      </c>
      <c r="C63" s="11"/>
      <c r="D63" s="2">
        <f>0</f>
        <v>0</v>
      </c>
      <c r="E63" s="2"/>
      <c r="F63" s="19"/>
      <c r="G63" s="2"/>
      <c r="H63" s="2"/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--124.18</f>
        <v>124.18</v>
      </c>
      <c r="Q63" s="2"/>
      <c r="R63" s="19"/>
      <c r="S63" s="2"/>
      <c r="T63" s="2"/>
      <c r="U63" s="2"/>
      <c r="V63" s="19"/>
      <c r="W63" s="2"/>
      <c r="X63" s="2">
        <f t="shared" si="2"/>
        <v>124.18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"4126", " - ", "NON-TAXABLE SALES-WRITING INST")</f>
        <v xml:space="preserve">          4126 - NON-TAXABLE SALES-WRITING INST</v>
      </c>
      <c r="C64" s="11"/>
      <c r="D64" s="2">
        <f>--11.85</f>
        <v>11.85</v>
      </c>
      <c r="E64" s="2"/>
      <c r="F64" s="19"/>
      <c r="G64" s="2"/>
      <c r="H64" s="2"/>
      <c r="I64" s="2"/>
      <c r="J64" s="19"/>
      <c r="K64" s="2"/>
      <c r="L64" s="2">
        <f t="shared" si="0"/>
        <v>11.85</v>
      </c>
      <c r="M64" s="2"/>
      <c r="N64" s="19">
        <f t="shared" si="1"/>
        <v>0</v>
      </c>
      <c r="O64" s="11"/>
      <c r="P64" s="2">
        <f>--1470.38</f>
        <v>1470.38</v>
      </c>
      <c r="Q64" s="2"/>
      <c r="R64" s="19"/>
      <c r="S64" s="2"/>
      <c r="T64" s="2"/>
      <c r="U64" s="2"/>
      <c r="V64" s="19"/>
      <c r="W64" s="2"/>
      <c r="X64" s="2">
        <f t="shared" si="2"/>
        <v>1470.38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"4127", " - ", "NON-TAXABLE SALES-SCHOOL SUPPL")</f>
        <v xml:space="preserve">          4127 - NON-TAXABLE SALES-SCHOOL SUPPL</v>
      </c>
      <c r="C65" s="11"/>
      <c r="D65" s="2">
        <f>--6.28</f>
        <v>6.28</v>
      </c>
      <c r="E65" s="2"/>
      <c r="F65" s="19"/>
      <c r="G65" s="2"/>
      <c r="H65" s="2"/>
      <c r="I65" s="2"/>
      <c r="J65" s="19"/>
      <c r="K65" s="2"/>
      <c r="L65" s="2">
        <f t="shared" si="0"/>
        <v>6.28</v>
      </c>
      <c r="M65" s="2"/>
      <c r="N65" s="19">
        <f t="shared" si="1"/>
        <v>0</v>
      </c>
      <c r="O65" s="11"/>
      <c r="P65" s="2">
        <f>--2603.4</f>
        <v>2603.4</v>
      </c>
      <c r="Q65" s="2"/>
      <c r="R65" s="19"/>
      <c r="S65" s="2"/>
      <c r="T65" s="2"/>
      <c r="U65" s="2"/>
      <c r="V65" s="19"/>
      <c r="W65" s="2"/>
      <c r="X65" s="2">
        <f t="shared" si="2"/>
        <v>2603.4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"4128", " - ", "NON-TAXABLE SALES-ART/TECH")</f>
        <v xml:space="preserve">          4128 - NON-TAXABLE SALES-ART/TECH</v>
      </c>
      <c r="C66" s="11"/>
      <c r="D66" s="2">
        <f>0</f>
        <v>0</v>
      </c>
      <c r="E66" s="2"/>
      <c r="F66" s="19"/>
      <c r="G66" s="2"/>
      <c r="H66" s="2"/>
      <c r="I66" s="2"/>
      <c r="J66" s="19"/>
      <c r="K66" s="2"/>
      <c r="L66" s="2">
        <f t="shared" si="0"/>
        <v>0</v>
      </c>
      <c r="M66" s="2"/>
      <c r="N66" s="19">
        <f t="shared" si="1"/>
        <v>0</v>
      </c>
      <c r="O66" s="11"/>
      <c r="P66" s="2">
        <f>--348.72</f>
        <v>348.72</v>
      </c>
      <c r="Q66" s="2"/>
      <c r="R66" s="19"/>
      <c r="S66" s="2"/>
      <c r="T66" s="2"/>
      <c r="U66" s="2"/>
      <c r="V66" s="19"/>
      <c r="W66" s="2"/>
      <c r="X66" s="2">
        <f t="shared" si="2"/>
        <v>348.72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"4131", " - ", "NON-TAXABLE SALES-FOOD")</f>
        <v xml:space="preserve">          4131 - NON-TAXABLE SALES-FOOD</v>
      </c>
      <c r="C67" s="11"/>
      <c r="D67" s="2">
        <f>--8305.09</f>
        <v>8305.09</v>
      </c>
      <c r="E67" s="2"/>
      <c r="F67" s="19"/>
      <c r="G67" s="2"/>
      <c r="H67" s="2"/>
      <c r="I67" s="2"/>
      <c r="J67" s="19"/>
      <c r="K67" s="2"/>
      <c r="L67" s="2">
        <f t="shared" si="0"/>
        <v>8305.09</v>
      </c>
      <c r="M67" s="2"/>
      <c r="N67" s="19">
        <f t="shared" si="1"/>
        <v>0</v>
      </c>
      <c r="O67" s="11"/>
      <c r="P67" s="2">
        <f>--35027.51</f>
        <v>35027.51</v>
      </c>
      <c r="Q67" s="2"/>
      <c r="R67" s="19"/>
      <c r="S67" s="2"/>
      <c r="T67" s="2"/>
      <c r="U67" s="2"/>
      <c r="V67" s="19"/>
      <c r="W67" s="2"/>
      <c r="X67" s="2">
        <f t="shared" si="2"/>
        <v>35027.51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"4132", " - ", "NON-TAXABLE SALES-JUICE")</f>
        <v xml:space="preserve">          4132 - NON-TAXABLE SALES-JUICE</v>
      </c>
      <c r="C68" s="11"/>
      <c r="D68" s="2">
        <f>--142472.34</f>
        <v>142472.34</v>
      </c>
      <c r="E68" s="2"/>
      <c r="F68" s="19"/>
      <c r="G68" s="2"/>
      <c r="H68" s="2"/>
      <c r="I68" s="2"/>
      <c r="J68" s="19"/>
      <c r="K68" s="2"/>
      <c r="L68" s="2">
        <f t="shared" si="0"/>
        <v>142472.34</v>
      </c>
      <c r="M68" s="2"/>
      <c r="N68" s="19">
        <f t="shared" si="1"/>
        <v>0</v>
      </c>
      <c r="O68" s="11"/>
      <c r="P68" s="2">
        <f>--665344.79</f>
        <v>665344.79</v>
      </c>
      <c r="Q68" s="2"/>
      <c r="R68" s="19"/>
      <c r="S68" s="2"/>
      <c r="T68" s="2"/>
      <c r="U68" s="2"/>
      <c r="V68" s="19"/>
      <c r="W68" s="2"/>
      <c r="X68" s="2">
        <f t="shared" si="2"/>
        <v>665344.79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"4133", " - ", "NON-TAXABLE SALES-CANDY")</f>
        <v xml:space="preserve">          4133 - NON-TAXABLE SALES-CANDY</v>
      </c>
      <c r="C69" s="11"/>
      <c r="D69" s="2">
        <f>--2349.7</f>
        <v>2349.6999999999998</v>
      </c>
      <c r="E69" s="2"/>
      <c r="F69" s="19"/>
      <c r="G69" s="2"/>
      <c r="H69" s="2"/>
      <c r="I69" s="2"/>
      <c r="J69" s="19"/>
      <c r="K69" s="2"/>
      <c r="L69" s="2">
        <f t="shared" si="0"/>
        <v>2349.6999999999998</v>
      </c>
      <c r="M69" s="2"/>
      <c r="N69" s="19">
        <f t="shared" si="1"/>
        <v>0</v>
      </c>
      <c r="O69" s="11"/>
      <c r="P69" s="2">
        <f>--10816.56</f>
        <v>10816.56</v>
      </c>
      <c r="Q69" s="2"/>
      <c r="R69" s="19"/>
      <c r="S69" s="2"/>
      <c r="T69" s="2"/>
      <c r="U69" s="2"/>
      <c r="V69" s="19"/>
      <c r="W69" s="2"/>
      <c r="X69" s="2">
        <f t="shared" si="2"/>
        <v>10816.56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"4134", " - ", "NON-TAXABLE SALES-SODA")</f>
        <v xml:space="preserve">          4134 - NON-TAXABLE SALES-SODA</v>
      </c>
      <c r="C70" s="11"/>
      <c r="D70" s="2">
        <f>0</f>
        <v>0</v>
      </c>
      <c r="E70" s="2"/>
      <c r="F70" s="19"/>
      <c r="G70" s="2"/>
      <c r="H70" s="2"/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--0.39</f>
        <v>0.39</v>
      </c>
      <c r="Q70" s="2"/>
      <c r="R70" s="19"/>
      <c r="S70" s="2"/>
      <c r="T70" s="2"/>
      <c r="U70" s="2"/>
      <c r="V70" s="19"/>
      <c r="W70" s="2"/>
      <c r="X70" s="2">
        <f t="shared" si="2"/>
        <v>0.39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"4135", " - ", "NON-TAXABLE SALES")</f>
        <v xml:space="preserve">          4135 - NON-TAXABLE SALES</v>
      </c>
      <c r="C71" s="11"/>
      <c r="D71" s="2">
        <f>--10.77</f>
        <v>10.77</v>
      </c>
      <c r="E71" s="2"/>
      <c r="F71" s="19"/>
      <c r="G71" s="2"/>
      <c r="H71" s="2"/>
      <c r="I71" s="2"/>
      <c r="J71" s="19"/>
      <c r="K71" s="2"/>
      <c r="L71" s="2">
        <f t="shared" si="0"/>
        <v>10.77</v>
      </c>
      <c r="M71" s="2"/>
      <c r="N71" s="19">
        <f t="shared" si="1"/>
        <v>0</v>
      </c>
      <c r="O71" s="11"/>
      <c r="P71" s="2">
        <f>--114.73</f>
        <v>114.73</v>
      </c>
      <c r="Q71" s="2"/>
      <c r="R71" s="19"/>
      <c r="S71" s="2"/>
      <c r="T71" s="2"/>
      <c r="U71" s="2"/>
      <c r="V71" s="19"/>
      <c r="W71" s="2"/>
      <c r="X71" s="2">
        <f t="shared" si="2"/>
        <v>114.73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"4137", " - ", "NON-TAXABLE SALES-WATER")</f>
        <v xml:space="preserve">          4137 - NON-TAXABLE SALES-WATER</v>
      </c>
      <c r="C72" s="11"/>
      <c r="D72" s="2">
        <f>--1199.73</f>
        <v>1199.73</v>
      </c>
      <c r="E72" s="2"/>
      <c r="F72" s="19"/>
      <c r="G72" s="2"/>
      <c r="H72" s="2"/>
      <c r="I72" s="2"/>
      <c r="J72" s="19"/>
      <c r="K72" s="2"/>
      <c r="L72" s="2">
        <f t="shared" si="0"/>
        <v>1199.73</v>
      </c>
      <c r="M72" s="2"/>
      <c r="N72" s="19">
        <f t="shared" si="1"/>
        <v>0</v>
      </c>
      <c r="O72" s="11"/>
      <c r="P72" s="2">
        <f>--6313.88</f>
        <v>6313.88</v>
      </c>
      <c r="Q72" s="2"/>
      <c r="R72" s="19"/>
      <c r="S72" s="2"/>
      <c r="T72" s="2"/>
      <c r="U72" s="2"/>
      <c r="V72" s="19"/>
      <c r="W72" s="2"/>
      <c r="X72" s="2">
        <f t="shared" si="2"/>
        <v>6313.88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"4140", " - ", "NON-TAXABLE SALES-LOGO CLOTHIN")</f>
        <v xml:space="preserve">          4140 - NON-TAXABLE SALES-LOGO CLOTHIN</v>
      </c>
      <c r="C73" s="11"/>
      <c r="D73" s="2">
        <f>--7373.27</f>
        <v>7373.27</v>
      </c>
      <c r="E73" s="2"/>
      <c r="F73" s="19"/>
      <c r="G73" s="2"/>
      <c r="H73" s="2"/>
      <c r="I73" s="2"/>
      <c r="J73" s="19"/>
      <c r="K73" s="2"/>
      <c r="L73" s="2">
        <f t="shared" si="0"/>
        <v>7373.27</v>
      </c>
      <c r="M73" s="2"/>
      <c r="N73" s="19">
        <f t="shared" si="1"/>
        <v>0</v>
      </c>
      <c r="O73" s="11"/>
      <c r="P73" s="2">
        <f>--20008.79</f>
        <v>20008.79</v>
      </c>
      <c r="Q73" s="2"/>
      <c r="R73" s="19"/>
      <c r="S73" s="2"/>
      <c r="T73" s="2"/>
      <c r="U73" s="2"/>
      <c r="V73" s="19"/>
      <c r="W73" s="2"/>
      <c r="X73" s="2">
        <f t="shared" si="2"/>
        <v>20008.79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"4141", " - ", "NON-TAXABLE SALES-LOGO GIFTS")</f>
        <v xml:space="preserve">          4141 - NON-TAXABLE SALES-LOGO GIFTS</v>
      </c>
      <c r="C74" s="11"/>
      <c r="D74" s="2">
        <f>--434.35</f>
        <v>434.35</v>
      </c>
      <c r="E74" s="2"/>
      <c r="F74" s="19"/>
      <c r="G74" s="2"/>
      <c r="H74" s="2"/>
      <c r="I74" s="2"/>
      <c r="J74" s="19"/>
      <c r="K74" s="2"/>
      <c r="L74" s="2">
        <f t="shared" si="0"/>
        <v>434.35</v>
      </c>
      <c r="M74" s="2"/>
      <c r="N74" s="19">
        <f t="shared" si="1"/>
        <v>0</v>
      </c>
      <c r="O74" s="11"/>
      <c r="P74" s="2">
        <f>--1830.28</f>
        <v>1830.28</v>
      </c>
      <c r="Q74" s="2"/>
      <c r="R74" s="19"/>
      <c r="S74" s="2"/>
      <c r="T74" s="2"/>
      <c r="U74" s="2"/>
      <c r="V74" s="19"/>
      <c r="W74" s="2"/>
      <c r="X74" s="2">
        <f t="shared" si="2"/>
        <v>1830.28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"4142", " - ", "NON-TAXABLE SALES-EVERYDAY GIF")</f>
        <v xml:space="preserve">          4142 - NON-TAXABLE SALES-EVERYDAY GIF</v>
      </c>
      <c r="C75" s="11"/>
      <c r="D75" s="2">
        <f>--2013.22</f>
        <v>2013.22</v>
      </c>
      <c r="E75" s="2"/>
      <c r="F75" s="19"/>
      <c r="G75" s="2"/>
      <c r="H75" s="2"/>
      <c r="I75" s="2"/>
      <c r="J75" s="19"/>
      <c r="K75" s="2"/>
      <c r="L75" s="2">
        <f t="shared" si="0"/>
        <v>2013.22</v>
      </c>
      <c r="M75" s="2"/>
      <c r="N75" s="19">
        <f t="shared" si="1"/>
        <v>0</v>
      </c>
      <c r="O75" s="11"/>
      <c r="P75" s="2">
        <f>--7932.83</f>
        <v>7932.83</v>
      </c>
      <c r="Q75" s="2"/>
      <c r="R75" s="19"/>
      <c r="S75" s="2"/>
      <c r="T75" s="2"/>
      <c r="U75" s="2"/>
      <c r="V75" s="19"/>
      <c r="W75" s="2"/>
      <c r="X75" s="2">
        <f t="shared" si="2"/>
        <v>7932.83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"4144", " - ", "NON-TAXABLE SALES-ACCESSORIES")</f>
        <v xml:space="preserve">          4144 - NON-TAXABLE SALES-ACCESSORIES</v>
      </c>
      <c r="C76" s="11"/>
      <c r="D76" s="2">
        <f>--29.95</f>
        <v>29.95</v>
      </c>
      <c r="E76" s="2"/>
      <c r="F76" s="19"/>
      <c r="G76" s="2"/>
      <c r="H76" s="2"/>
      <c r="I76" s="2"/>
      <c r="J76" s="19"/>
      <c r="K76" s="2"/>
      <c r="L76" s="2">
        <f t="shared" si="0"/>
        <v>29.95</v>
      </c>
      <c r="M76" s="2"/>
      <c r="N76" s="19">
        <f t="shared" si="1"/>
        <v>0</v>
      </c>
      <c r="O76" s="11"/>
      <c r="P76" s="2">
        <f>--241.56</f>
        <v>241.56</v>
      </c>
      <c r="Q76" s="2"/>
      <c r="R76" s="19"/>
      <c r="S76" s="2"/>
      <c r="T76" s="2"/>
      <c r="U76" s="2"/>
      <c r="V76" s="19"/>
      <c r="W76" s="2"/>
      <c r="X76" s="2">
        <f t="shared" si="2"/>
        <v>241.56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"4145", " - ", "NON-TAXABLE SALES-SPECIAL ORDE")</f>
        <v xml:space="preserve">          4145 - NON-TAXABLE SALES-SPECIAL ORDE</v>
      </c>
      <c r="C77" s="11"/>
      <c r="D77" s="2">
        <f>--50</f>
        <v>50</v>
      </c>
      <c r="E77" s="2"/>
      <c r="F77" s="19"/>
      <c r="G77" s="2"/>
      <c r="H77" s="2"/>
      <c r="I77" s="2"/>
      <c r="J77" s="19"/>
      <c r="K77" s="2"/>
      <c r="L77" s="2">
        <f t="shared" si="0"/>
        <v>50</v>
      </c>
      <c r="M77" s="2"/>
      <c r="N77" s="19">
        <f t="shared" si="1"/>
        <v>0</v>
      </c>
      <c r="O77" s="11"/>
      <c r="P77" s="2">
        <f>--140</f>
        <v>140</v>
      </c>
      <c r="Q77" s="2"/>
      <c r="R77" s="19"/>
      <c r="S77" s="2"/>
      <c r="T77" s="2"/>
      <c r="U77" s="2"/>
      <c r="V77" s="19"/>
      <c r="W77" s="2"/>
      <c r="X77" s="2">
        <f t="shared" si="2"/>
        <v>140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"4146", " - ", "NON-TAXABLE SALES-COIN OP MACH")</f>
        <v xml:space="preserve">          4146 - NON-TAXABLE SALES-COIN OP MACH</v>
      </c>
      <c r="C78" s="11"/>
      <c r="D78" s="2">
        <f>--28930.75</f>
        <v>28930.75</v>
      </c>
      <c r="E78" s="2"/>
      <c r="F78" s="19"/>
      <c r="G78" s="2"/>
      <c r="H78" s="2"/>
      <c r="I78" s="2"/>
      <c r="J78" s="19"/>
      <c r="K78" s="2"/>
      <c r="L78" s="2">
        <f t="shared" si="0"/>
        <v>28930.75</v>
      </c>
      <c r="M78" s="2"/>
      <c r="N78" s="19">
        <f t="shared" si="1"/>
        <v>0</v>
      </c>
      <c r="O78" s="11"/>
      <c r="P78" s="2">
        <f>--119341.05</f>
        <v>119341.05</v>
      </c>
      <c r="Q78" s="2"/>
      <c r="R78" s="19"/>
      <c r="S78" s="2"/>
      <c r="T78" s="2"/>
      <c r="U78" s="2"/>
      <c r="V78" s="19"/>
      <c r="W78" s="2"/>
      <c r="X78" s="2">
        <f t="shared" si="2"/>
        <v>119341.05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"4147", " - ", "NON-TAXABLE SALES-MISC")</f>
        <v xml:space="preserve">          4147 - NON-TAXABLE SALES-MISC</v>
      </c>
      <c r="C79" s="11"/>
      <c r="D79" s="2">
        <f>--75</f>
        <v>75</v>
      </c>
      <c r="E79" s="2"/>
      <c r="F79" s="19"/>
      <c r="G79" s="2"/>
      <c r="H79" s="2"/>
      <c r="I79" s="2"/>
      <c r="J79" s="19"/>
      <c r="K79" s="2"/>
      <c r="L79" s="2">
        <f t="shared" si="0"/>
        <v>75</v>
      </c>
      <c r="M79" s="2"/>
      <c r="N79" s="19">
        <f t="shared" si="1"/>
        <v>0</v>
      </c>
      <c r="O79" s="11"/>
      <c r="P79" s="2">
        <f>--249.9</f>
        <v>249.9</v>
      </c>
      <c r="Q79" s="2"/>
      <c r="R79" s="19"/>
      <c r="S79" s="2"/>
      <c r="T79" s="2"/>
      <c r="U79" s="2"/>
      <c r="V79" s="19"/>
      <c r="W79" s="2"/>
      <c r="X79" s="2">
        <f t="shared" si="2"/>
        <v>249.9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"4151", " - ", "NON-TAXABLE SALES-FOOD")</f>
        <v xml:space="preserve">          4151 - NON-TAXABLE SALES-FOOD</v>
      </c>
      <c r="C80" s="11"/>
      <c r="D80" s="2">
        <f>--1405129.68</f>
        <v>1405129.68</v>
      </c>
      <c r="E80" s="2"/>
      <c r="F80" s="19"/>
      <c r="G80" s="2"/>
      <c r="H80" s="2"/>
      <c r="I80" s="2"/>
      <c r="J80" s="19"/>
      <c r="K80" s="2"/>
      <c r="L80" s="2">
        <f t="shared" si="0"/>
        <v>1405129.68</v>
      </c>
      <c r="M80" s="2"/>
      <c r="N80" s="19">
        <f t="shared" si="1"/>
        <v>0</v>
      </c>
      <c r="O80" s="11"/>
      <c r="P80" s="2">
        <f>--6379082.52</f>
        <v>6379082.5199999996</v>
      </c>
      <c r="Q80" s="2"/>
      <c r="R80" s="19"/>
      <c r="S80" s="2"/>
      <c r="T80" s="2"/>
      <c r="U80" s="2"/>
      <c r="V80" s="19"/>
      <c r="W80" s="2"/>
      <c r="X80" s="2">
        <f t="shared" si="2"/>
        <v>6379082.5199999996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"4152", " - ", "NON-TAXABLE SALES-FOOD")</f>
        <v xml:space="preserve">          4152 - NON-TAXABLE SALES-FOOD</v>
      </c>
      <c r="C81" s="11"/>
      <c r="D81" s="2">
        <f>--5402.66</f>
        <v>5402.66</v>
      </c>
      <c r="E81" s="2"/>
      <c r="F81" s="19"/>
      <c r="G81" s="2"/>
      <c r="H81" s="2"/>
      <c r="I81" s="2"/>
      <c r="J81" s="19"/>
      <c r="K81" s="2"/>
      <c r="L81" s="2">
        <f t="shared" si="0"/>
        <v>5402.66</v>
      </c>
      <c r="M81" s="2"/>
      <c r="N81" s="19">
        <f t="shared" si="1"/>
        <v>0</v>
      </c>
      <c r="O81" s="11"/>
      <c r="P81" s="2">
        <f>--30341.45</f>
        <v>30341.45</v>
      </c>
      <c r="Q81" s="2"/>
      <c r="R81" s="19"/>
      <c r="S81" s="2"/>
      <c r="T81" s="2"/>
      <c r="U81" s="2"/>
      <c r="V81" s="19"/>
      <c r="W81" s="2"/>
      <c r="X81" s="2">
        <f t="shared" si="2"/>
        <v>30341.45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"4153", " - ", "NON-TAXABLE SALES-FOOD")</f>
        <v xml:space="preserve">          4153 - NON-TAXABLE SALES-FOOD</v>
      </c>
      <c r="C82" s="11"/>
      <c r="D82" s="2">
        <f>--23754.6</f>
        <v>23754.6</v>
      </c>
      <c r="E82" s="2"/>
      <c r="F82" s="19"/>
      <c r="G82" s="2"/>
      <c r="H82" s="2"/>
      <c r="I82" s="2"/>
      <c r="J82" s="19"/>
      <c r="K82" s="2"/>
      <c r="L82" s="2">
        <f t="shared" si="0"/>
        <v>23754.6</v>
      </c>
      <c r="M82" s="2"/>
      <c r="N82" s="19">
        <f t="shared" si="1"/>
        <v>0</v>
      </c>
      <c r="O82" s="11"/>
      <c r="P82" s="2">
        <f>--218823.16</f>
        <v>218823.16</v>
      </c>
      <c r="Q82" s="2"/>
      <c r="R82" s="19"/>
      <c r="S82" s="2"/>
      <c r="T82" s="2"/>
      <c r="U82" s="2"/>
      <c r="V82" s="19"/>
      <c r="W82" s="2"/>
      <c r="X82" s="2">
        <f t="shared" si="2"/>
        <v>218823.16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"4155", " - ", "NON-TAXABLE SALES-FOOD")</f>
        <v xml:space="preserve">          4155 - NON-TAXABLE SALES-FOOD</v>
      </c>
      <c r="C83" s="11"/>
      <c r="D83" s="2">
        <f>--90106.86</f>
        <v>90106.86</v>
      </c>
      <c r="E83" s="2"/>
      <c r="F83" s="19"/>
      <c r="G83" s="2"/>
      <c r="H83" s="2"/>
      <c r="I83" s="2"/>
      <c r="J83" s="19"/>
      <c r="K83" s="2"/>
      <c r="L83" s="2">
        <f t="shared" si="0"/>
        <v>90106.86</v>
      </c>
      <c r="M83" s="2"/>
      <c r="N83" s="19">
        <f t="shared" si="1"/>
        <v>0</v>
      </c>
      <c r="O83" s="11"/>
      <c r="P83" s="2">
        <f>--424497</f>
        <v>424497</v>
      </c>
      <c r="Q83" s="2"/>
      <c r="R83" s="19"/>
      <c r="S83" s="2"/>
      <c r="T83" s="2"/>
      <c r="U83" s="2"/>
      <c r="V83" s="19"/>
      <c r="W83" s="2"/>
      <c r="X83" s="2">
        <f t="shared" si="2"/>
        <v>424497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"4158", " - ", "NON-TAXABLE SALES-FOOD")</f>
        <v xml:space="preserve">          4158 - NON-TAXABLE SALES-FOOD</v>
      </c>
      <c r="C84" s="11"/>
      <c r="D84" s="2">
        <f>--65166.99</f>
        <v>65166.99</v>
      </c>
      <c r="E84" s="2"/>
      <c r="F84" s="19"/>
      <c r="G84" s="2"/>
      <c r="H84" s="2"/>
      <c r="I84" s="2"/>
      <c r="J84" s="19"/>
      <c r="K84" s="2"/>
      <c r="L84" s="2">
        <f t="shared" si="0"/>
        <v>65166.99</v>
      </c>
      <c r="M84" s="2"/>
      <c r="N84" s="19">
        <f t="shared" si="1"/>
        <v>0</v>
      </c>
      <c r="O84" s="11"/>
      <c r="P84" s="2">
        <f>--272887.26</f>
        <v>272887.26</v>
      </c>
      <c r="Q84" s="2"/>
      <c r="R84" s="19"/>
      <c r="S84" s="2"/>
      <c r="T84" s="2"/>
      <c r="U84" s="2"/>
      <c r="V84" s="19"/>
      <c r="W84" s="2"/>
      <c r="X84" s="2">
        <f t="shared" si="2"/>
        <v>272887.26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"4181", " - ", "NON-TAXABLE SALES-ELECTRONICS")</f>
        <v xml:space="preserve">          4181 - NON-TAXABLE SALES-ELECTRONICS</v>
      </c>
      <c r="C85" s="11"/>
      <c r="D85" s="2">
        <f>0</f>
        <v>0</v>
      </c>
      <c r="E85" s="2"/>
      <c r="F85" s="19"/>
      <c r="G85" s="2"/>
      <c r="H85" s="2"/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>--1462.51</f>
        <v>1462.51</v>
      </c>
      <c r="Q85" s="2"/>
      <c r="R85" s="19"/>
      <c r="S85" s="2"/>
      <c r="T85" s="2"/>
      <c r="U85" s="2"/>
      <c r="V85" s="19"/>
      <c r="W85" s="2"/>
      <c r="X85" s="2">
        <f t="shared" si="2"/>
        <v>1462.51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"4182", " - ", "NON-TAXABLE SALES-COMPUTER HAR")</f>
        <v xml:space="preserve">          4182 - NON-TAXABLE SALES-COMPUTER HAR</v>
      </c>
      <c r="C86" s="11"/>
      <c r="D86" s="2">
        <f>--5749</f>
        <v>5749</v>
      </c>
      <c r="E86" s="2"/>
      <c r="F86" s="19"/>
      <c r="G86" s="2"/>
      <c r="H86" s="2"/>
      <c r="I86" s="2"/>
      <c r="J86" s="19"/>
      <c r="K86" s="2"/>
      <c r="L86" s="2">
        <f t="shared" si="0"/>
        <v>5749</v>
      </c>
      <c r="M86" s="2"/>
      <c r="N86" s="19">
        <f t="shared" si="1"/>
        <v>0</v>
      </c>
      <c r="O86" s="11"/>
      <c r="P86" s="2">
        <f>--62309</f>
        <v>62309</v>
      </c>
      <c r="Q86" s="2"/>
      <c r="R86" s="19"/>
      <c r="S86" s="2"/>
      <c r="T86" s="2"/>
      <c r="U86" s="2"/>
      <c r="V86" s="19"/>
      <c r="W86" s="2"/>
      <c r="X86" s="2">
        <f t="shared" si="2"/>
        <v>62309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"4183", " - ", "NON-TAXABLE SALES-COMPUTER EQU")</f>
        <v xml:space="preserve">          4183 - NON-TAXABLE SALES-COMPUTER EQU</v>
      </c>
      <c r="C87" s="11"/>
      <c r="D87" s="2">
        <f>--249.96</f>
        <v>249.96</v>
      </c>
      <c r="E87" s="2"/>
      <c r="F87" s="19"/>
      <c r="G87" s="2"/>
      <c r="H87" s="2"/>
      <c r="I87" s="2"/>
      <c r="J87" s="19"/>
      <c r="K87" s="2"/>
      <c r="L87" s="2">
        <f t="shared" si="0"/>
        <v>249.96</v>
      </c>
      <c r="M87" s="2"/>
      <c r="N87" s="19">
        <f t="shared" si="1"/>
        <v>0</v>
      </c>
      <c r="O87" s="11"/>
      <c r="P87" s="2">
        <f>--3304.88</f>
        <v>3304.88</v>
      </c>
      <c r="Q87" s="2"/>
      <c r="R87" s="19"/>
      <c r="S87" s="2"/>
      <c r="T87" s="2"/>
      <c r="U87" s="2"/>
      <c r="V87" s="19"/>
      <c r="W87" s="2"/>
      <c r="X87" s="2">
        <f t="shared" si="2"/>
        <v>3304.88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"4184", " - ", "NON-TAXABLE SALES-SOFTWARE LIC")</f>
        <v xml:space="preserve">          4184 - NON-TAXABLE SALES-SOFTWARE LIC</v>
      </c>
      <c r="C88" s="11"/>
      <c r="D88" s="2">
        <f>--1206</f>
        <v>1206</v>
      </c>
      <c r="E88" s="2"/>
      <c r="F88" s="19"/>
      <c r="G88" s="2"/>
      <c r="H88" s="2"/>
      <c r="I88" s="2"/>
      <c r="J88" s="19"/>
      <c r="K88" s="2"/>
      <c r="L88" s="2">
        <f t="shared" si="0"/>
        <v>1206</v>
      </c>
      <c r="M88" s="2"/>
      <c r="N88" s="19">
        <f t="shared" si="1"/>
        <v>0</v>
      </c>
      <c r="O88" s="11"/>
      <c r="P88" s="2">
        <f>--2728</f>
        <v>2728</v>
      </c>
      <c r="Q88" s="2"/>
      <c r="R88" s="19"/>
      <c r="S88" s="2"/>
      <c r="T88" s="2"/>
      <c r="U88" s="2"/>
      <c r="V88" s="19"/>
      <c r="W88" s="2"/>
      <c r="X88" s="2">
        <f t="shared" si="2"/>
        <v>2728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"4185", " - ", "NON-TAXABLE SALES-SOFTWARE")</f>
        <v xml:space="preserve">          4185 - NON-TAXABLE SALES-SOFTWARE</v>
      </c>
      <c r="C89" s="11"/>
      <c r="D89" s="2">
        <f>--495.98</f>
        <v>495.98</v>
      </c>
      <c r="E89" s="2"/>
      <c r="F89" s="19"/>
      <c r="G89" s="2"/>
      <c r="H89" s="2"/>
      <c r="I89" s="2"/>
      <c r="J89" s="19"/>
      <c r="K89" s="2"/>
      <c r="L89" s="2">
        <f t="shared" si="0"/>
        <v>495.98</v>
      </c>
      <c r="M89" s="2"/>
      <c r="N89" s="19">
        <f t="shared" si="1"/>
        <v>0</v>
      </c>
      <c r="O89" s="11"/>
      <c r="P89" s="2">
        <f>--8963.87</f>
        <v>8963.8700000000008</v>
      </c>
      <c r="Q89" s="2"/>
      <c r="R89" s="19"/>
      <c r="S89" s="2"/>
      <c r="T89" s="2"/>
      <c r="U89" s="2"/>
      <c r="V89" s="19"/>
      <c r="W89" s="2"/>
      <c r="X89" s="2">
        <f t="shared" si="2"/>
        <v>8963.8700000000008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"4186", " - ", "NON-TAXABLE SALES-COMPUTER SUP")</f>
        <v xml:space="preserve">          4186 - NON-TAXABLE SALES-COMPUTER SUP</v>
      </c>
      <c r="C90" s="11"/>
      <c r="D90" s="2">
        <f>--49.99</f>
        <v>49.99</v>
      </c>
      <c r="E90" s="2"/>
      <c r="F90" s="19"/>
      <c r="G90" s="2"/>
      <c r="H90" s="2"/>
      <c r="I90" s="2"/>
      <c r="J90" s="19"/>
      <c r="K90" s="2"/>
      <c r="L90" s="2">
        <f t="shared" si="0"/>
        <v>49.99</v>
      </c>
      <c r="M90" s="2"/>
      <c r="N90" s="19">
        <f t="shared" si="1"/>
        <v>0</v>
      </c>
      <c r="O90" s="11"/>
      <c r="P90" s="2">
        <f>--1572.4</f>
        <v>1572.4</v>
      </c>
      <c r="Q90" s="2"/>
      <c r="R90" s="19"/>
      <c r="S90" s="2"/>
      <c r="T90" s="2"/>
      <c r="U90" s="2"/>
      <c r="V90" s="19"/>
      <c r="W90" s="2"/>
      <c r="X90" s="2">
        <f t="shared" si="2"/>
        <v>1572.4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"4188", " - ", "NON-TAXABLE SALES-MUSIC")</f>
        <v xml:space="preserve">          4188 - NON-TAXABLE SALES-MUSIC</v>
      </c>
      <c r="C91" s="11"/>
      <c r="D91" s="2">
        <f>0</f>
        <v>0</v>
      </c>
      <c r="E91" s="2"/>
      <c r="F91" s="19"/>
      <c r="G91" s="2"/>
      <c r="H91" s="2"/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--219.96</f>
        <v>219.96</v>
      </c>
      <c r="Q91" s="2"/>
      <c r="R91" s="19"/>
      <c r="S91" s="2"/>
      <c r="T91" s="2"/>
      <c r="U91" s="2"/>
      <c r="V91" s="19"/>
      <c r="W91" s="2"/>
      <c r="X91" s="2">
        <f t="shared" si="2"/>
        <v>219.96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"4201", " - ", "SALES RETURN TAXABLE-NEW TEXT")</f>
        <v xml:space="preserve">          4201 - SALES RETURN TAXABLE-NEW TEXT</v>
      </c>
      <c r="C92" s="11"/>
      <c r="D92" s="2">
        <f>-314.9</f>
        <v>-314.89999999999998</v>
      </c>
      <c r="E92" s="2"/>
      <c r="F92" s="19"/>
      <c r="G92" s="2"/>
      <c r="H92" s="2"/>
      <c r="I92" s="2"/>
      <c r="J92" s="19"/>
      <c r="K92" s="2"/>
      <c r="L92" s="2">
        <f t="shared" si="0"/>
        <v>-314.89999999999998</v>
      </c>
      <c r="M92" s="2"/>
      <c r="N92" s="19">
        <f t="shared" si="1"/>
        <v>0</v>
      </c>
      <c r="O92" s="11"/>
      <c r="P92" s="2">
        <f>-78098.57</f>
        <v>-78098.570000000007</v>
      </c>
      <c r="Q92" s="2"/>
      <c r="R92" s="19"/>
      <c r="S92" s="2"/>
      <c r="T92" s="2"/>
      <c r="U92" s="2"/>
      <c r="V92" s="19"/>
      <c r="W92" s="2"/>
      <c r="X92" s="2">
        <f t="shared" si="2"/>
        <v>-78098.570000000007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"4202", " - ", "SALES RETURN TAXABLE-USED TEXT")</f>
        <v xml:space="preserve">          4202 - SALES RETURN TAXABLE-USED TEXT</v>
      </c>
      <c r="C93" s="11"/>
      <c r="D93" s="2">
        <f>-113.2</f>
        <v>-113.2</v>
      </c>
      <c r="E93" s="2"/>
      <c r="F93" s="19"/>
      <c r="G93" s="2"/>
      <c r="H93" s="2"/>
      <c r="I93" s="2"/>
      <c r="J93" s="19"/>
      <c r="K93" s="2"/>
      <c r="L93" s="2">
        <f t="shared" si="0"/>
        <v>-113.2</v>
      </c>
      <c r="M93" s="2"/>
      <c r="N93" s="19">
        <f t="shared" si="1"/>
        <v>0</v>
      </c>
      <c r="O93" s="11"/>
      <c r="P93" s="2">
        <f>-27042.2</f>
        <v>-27042.2</v>
      </c>
      <c r="Q93" s="2"/>
      <c r="R93" s="19"/>
      <c r="S93" s="2"/>
      <c r="T93" s="2"/>
      <c r="U93" s="2"/>
      <c r="V93" s="19"/>
      <c r="W93" s="2"/>
      <c r="X93" s="2">
        <f t="shared" si="2"/>
        <v>-27042.2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"4203", " - ", "SALES RETURN TAXABLE-RENTAL TE")</f>
        <v xml:space="preserve">          4203 - SALES RETURN TAXABLE-RENTAL TE</v>
      </c>
      <c r="C94" s="11"/>
      <c r="D94" s="2">
        <f>0</f>
        <v>0</v>
      </c>
      <c r="E94" s="2"/>
      <c r="F94" s="19"/>
      <c r="G94" s="2"/>
      <c r="H94" s="2"/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-144.99</f>
        <v>-144.99</v>
      </c>
      <c r="Q94" s="2"/>
      <c r="R94" s="19"/>
      <c r="S94" s="2"/>
      <c r="T94" s="2"/>
      <c r="U94" s="2"/>
      <c r="V94" s="19"/>
      <c r="W94" s="2"/>
      <c r="X94" s="2">
        <f t="shared" si="2"/>
        <v>-144.99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"4204", " - ", "SALES RETURN TAXABLE-DIGITAL T")</f>
        <v xml:space="preserve">          4204 - SALES RETURN TAXABLE-DIGITAL T</v>
      </c>
      <c r="C95" s="11"/>
      <c r="D95" s="2">
        <f>-119.4</f>
        <v>-119.4</v>
      </c>
      <c r="E95" s="2"/>
      <c r="F95" s="19"/>
      <c r="G95" s="2"/>
      <c r="H95" s="2"/>
      <c r="I95" s="2"/>
      <c r="J95" s="19"/>
      <c r="K95" s="2"/>
      <c r="L95" s="2">
        <f t="shared" si="0"/>
        <v>-119.4</v>
      </c>
      <c r="M95" s="2"/>
      <c r="N95" s="19">
        <f t="shared" si="1"/>
        <v>0</v>
      </c>
      <c r="O95" s="11"/>
      <c r="P95" s="2">
        <f>-11369.46</f>
        <v>-11369.46</v>
      </c>
      <c r="Q95" s="2"/>
      <c r="R95" s="19"/>
      <c r="S95" s="2"/>
      <c r="T95" s="2"/>
      <c r="U95" s="2"/>
      <c r="V95" s="19"/>
      <c r="W95" s="2"/>
      <c r="X95" s="2">
        <f t="shared" si="2"/>
        <v>-11369.46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"4213", " - ", "NON-TAXABLE SALES-TRADE BOOKS")</f>
        <v xml:space="preserve">          4213 - NON-TAXABLE SALES-TRADE BOOKS</v>
      </c>
      <c r="C96" s="11"/>
      <c r="D96" s="2">
        <f>-67.34</f>
        <v>-67.34</v>
      </c>
      <c r="E96" s="2"/>
      <c r="F96" s="19"/>
      <c r="G96" s="2"/>
      <c r="H96" s="2"/>
      <c r="I96" s="2"/>
      <c r="J96" s="19"/>
      <c r="K96" s="2"/>
      <c r="L96" s="2">
        <f t="shared" si="0"/>
        <v>-67.34</v>
      </c>
      <c r="M96" s="2"/>
      <c r="N96" s="19">
        <f t="shared" si="1"/>
        <v>0</v>
      </c>
      <c r="O96" s="11"/>
      <c r="P96" s="2">
        <f>-102.71</f>
        <v>-102.71</v>
      </c>
      <c r="Q96" s="2"/>
      <c r="R96" s="19"/>
      <c r="S96" s="2"/>
      <c r="T96" s="2"/>
      <c r="U96" s="2"/>
      <c r="V96" s="19"/>
      <c r="W96" s="2"/>
      <c r="X96" s="2">
        <f t="shared" si="2"/>
        <v>-102.71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"4217", " - ", "NON-TAXABLE SALES-DORM/HOUSEWA")</f>
        <v xml:space="preserve">          4217 - NON-TAXABLE SALES-DORM/HOUSEWA</v>
      </c>
      <c r="C97" s="11"/>
      <c r="D97" s="2">
        <f t="shared" ref="D97:D98" si="5">0</f>
        <v>0</v>
      </c>
      <c r="E97" s="2"/>
      <c r="F97" s="19"/>
      <c r="G97" s="2"/>
      <c r="H97" s="2"/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-2.98</f>
        <v>-2.98</v>
      </c>
      <c r="Q97" s="2"/>
      <c r="R97" s="19"/>
      <c r="S97" s="2"/>
      <c r="T97" s="2"/>
      <c r="U97" s="2"/>
      <c r="V97" s="19"/>
      <c r="W97" s="2"/>
      <c r="X97" s="2">
        <f t="shared" si="2"/>
        <v>-2.98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"4218", " - ", "SALES RETURN TAXABLE-STUDY GUI")</f>
        <v xml:space="preserve">          4218 - SALES RETURN TAXABLE-STUDY GUI</v>
      </c>
      <c r="C98" s="11"/>
      <c r="D98" s="2">
        <f t="shared" si="5"/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-32.75</f>
        <v>-32.75</v>
      </c>
      <c r="Q98" s="2"/>
      <c r="R98" s="19"/>
      <c r="S98" s="2"/>
      <c r="T98" s="2"/>
      <c r="U98" s="2"/>
      <c r="V98" s="19"/>
      <c r="W98" s="2"/>
      <c r="X98" s="2">
        <f t="shared" si="2"/>
        <v>-32.75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"4225", " - ", "SALES RETURN TAXABLE-TEST FORM")</f>
        <v xml:space="preserve">          4225 - SALES RETURN TAXABLE-TEST FORM</v>
      </c>
      <c r="C99" s="11"/>
      <c r="D99" s="2">
        <f>-23.91</f>
        <v>-23.91</v>
      </c>
      <c r="E99" s="2"/>
      <c r="F99" s="19"/>
      <c r="G99" s="2"/>
      <c r="H99" s="2"/>
      <c r="I99" s="2"/>
      <c r="J99" s="19"/>
      <c r="K99" s="2"/>
      <c r="L99" s="2">
        <f t="shared" si="0"/>
        <v>-23.91</v>
      </c>
      <c r="M99" s="2"/>
      <c r="N99" s="19">
        <f t="shared" si="1"/>
        <v>0</v>
      </c>
      <c r="O99" s="11"/>
      <c r="P99" s="2">
        <f>-65.46</f>
        <v>-65.459999999999994</v>
      </c>
      <c r="Q99" s="2"/>
      <c r="R99" s="19"/>
      <c r="S99" s="2"/>
      <c r="T99" s="2"/>
      <c r="U99" s="2"/>
      <c r="V99" s="19"/>
      <c r="W99" s="2"/>
      <c r="X99" s="2">
        <f t="shared" si="2"/>
        <v>-65.459999999999994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"4226", " - ", "SALES RETURN TAXABLE-WRITING I")</f>
        <v xml:space="preserve">          4226 - SALES RETURN TAXABLE-WRITING I</v>
      </c>
      <c r="C100" s="11"/>
      <c r="D100" s="2">
        <f>-13.74</f>
        <v>-13.74</v>
      </c>
      <c r="E100" s="2"/>
      <c r="F100" s="19"/>
      <c r="G100" s="2"/>
      <c r="H100" s="2"/>
      <c r="I100" s="2"/>
      <c r="J100" s="19"/>
      <c r="K100" s="2"/>
      <c r="L100" s="2">
        <f t="shared" si="0"/>
        <v>-13.74</v>
      </c>
      <c r="M100" s="2"/>
      <c r="N100" s="19">
        <f t="shared" si="1"/>
        <v>0</v>
      </c>
      <c r="O100" s="11"/>
      <c r="P100" s="2">
        <f>-489.71</f>
        <v>-489.71</v>
      </c>
      <c r="Q100" s="2"/>
      <c r="R100" s="19"/>
      <c r="S100" s="2"/>
      <c r="T100" s="2"/>
      <c r="U100" s="2"/>
      <c r="V100" s="19"/>
      <c r="W100" s="2"/>
      <c r="X100" s="2">
        <f t="shared" si="2"/>
        <v>-489.71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"4227", " - ", "SALES RETURN TAXABLE-SCHOOL SU")</f>
        <v xml:space="preserve">          4227 - SALES RETURN TAXABLE-SCHOOL SU</v>
      </c>
      <c r="C101" s="11"/>
      <c r="D101" s="2">
        <f>-917.34</f>
        <v>-917.34</v>
      </c>
      <c r="E101" s="2"/>
      <c r="F101" s="19"/>
      <c r="G101" s="2"/>
      <c r="H101" s="2"/>
      <c r="I101" s="2"/>
      <c r="J101" s="19"/>
      <c r="K101" s="2"/>
      <c r="L101" s="2">
        <f t="shared" si="0"/>
        <v>-917.34</v>
      </c>
      <c r="M101" s="2"/>
      <c r="N101" s="19">
        <f t="shared" si="1"/>
        <v>0</v>
      </c>
      <c r="O101" s="11"/>
      <c r="P101" s="2">
        <f>-5743.82</f>
        <v>-5743.82</v>
      </c>
      <c r="Q101" s="2"/>
      <c r="R101" s="19"/>
      <c r="S101" s="2"/>
      <c r="T101" s="2"/>
      <c r="U101" s="2"/>
      <c r="V101" s="19"/>
      <c r="W101" s="2"/>
      <c r="X101" s="2">
        <f t="shared" si="2"/>
        <v>-5743.82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"4228", " - ", "SALES RETURN TAXABLE-ART/TECH")</f>
        <v xml:space="preserve">          4228 - SALES RETURN TAXABLE-ART/TECH</v>
      </c>
      <c r="C102" s="11"/>
      <c r="D102" s="2">
        <f>-441.03</f>
        <v>-441.03</v>
      </c>
      <c r="E102" s="2"/>
      <c r="F102" s="19"/>
      <c r="G102" s="2"/>
      <c r="H102" s="2"/>
      <c r="I102" s="2"/>
      <c r="J102" s="19"/>
      <c r="K102" s="2"/>
      <c r="L102" s="2">
        <f t="shared" si="0"/>
        <v>-441.03</v>
      </c>
      <c r="M102" s="2"/>
      <c r="N102" s="19">
        <f t="shared" si="1"/>
        <v>0</v>
      </c>
      <c r="O102" s="11"/>
      <c r="P102" s="2">
        <f>-2871.29</f>
        <v>-2871.29</v>
      </c>
      <c r="Q102" s="2"/>
      <c r="R102" s="19"/>
      <c r="S102" s="2"/>
      <c r="T102" s="2"/>
      <c r="U102" s="2"/>
      <c r="V102" s="19"/>
      <c r="W102" s="2"/>
      <c r="X102" s="2">
        <f t="shared" si="2"/>
        <v>-2871.29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"4233", " - ", "SALES RETURN TAXABLE-CANDY")</f>
        <v xml:space="preserve">          4233 - SALES RETURN TAXABLE-CANDY</v>
      </c>
      <c r="C103" s="11"/>
      <c r="D103" s="2">
        <f>-1.29</f>
        <v>-1.29</v>
      </c>
      <c r="E103" s="2"/>
      <c r="F103" s="19"/>
      <c r="G103" s="2"/>
      <c r="H103" s="2"/>
      <c r="I103" s="2"/>
      <c r="J103" s="19"/>
      <c r="K103" s="2"/>
      <c r="L103" s="2">
        <f t="shared" si="0"/>
        <v>-1.29</v>
      </c>
      <c r="M103" s="2"/>
      <c r="N103" s="19">
        <f t="shared" si="1"/>
        <v>0</v>
      </c>
      <c r="O103" s="11"/>
      <c r="P103" s="2">
        <f>-1.29</f>
        <v>-1.29</v>
      </c>
      <c r="Q103" s="2"/>
      <c r="R103" s="19"/>
      <c r="S103" s="2"/>
      <c r="T103" s="2"/>
      <c r="U103" s="2"/>
      <c r="V103" s="19"/>
      <c r="W103" s="2"/>
      <c r="X103" s="2">
        <f t="shared" si="2"/>
        <v>-1.29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"4240", " - ", "SALES RETURN TAXABLE-LOGO CLOT")</f>
        <v xml:space="preserve">          4240 - SALES RETURN TAXABLE-LOGO CLOT</v>
      </c>
      <c r="C104" s="11"/>
      <c r="D104" s="2">
        <f>-10814.23</f>
        <v>-10814.23</v>
      </c>
      <c r="E104" s="2"/>
      <c r="F104" s="19"/>
      <c r="G104" s="2"/>
      <c r="H104" s="2"/>
      <c r="I104" s="2"/>
      <c r="J104" s="19"/>
      <c r="K104" s="2"/>
      <c r="L104" s="2">
        <f t="shared" si="0"/>
        <v>-10814.23</v>
      </c>
      <c r="M104" s="2"/>
      <c r="N104" s="19">
        <f t="shared" si="1"/>
        <v>0</v>
      </c>
      <c r="O104" s="11"/>
      <c r="P104" s="2">
        <f>-41109.03</f>
        <v>-41109.03</v>
      </c>
      <c r="Q104" s="2"/>
      <c r="R104" s="19"/>
      <c r="S104" s="2"/>
      <c r="T104" s="2"/>
      <c r="U104" s="2"/>
      <c r="V104" s="19"/>
      <c r="W104" s="2"/>
      <c r="X104" s="2">
        <f t="shared" si="2"/>
        <v>-41109.03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"4241", " - ", "SALES RETURN TAXABLE-LOGO GIFT")</f>
        <v xml:space="preserve">          4241 - SALES RETURN TAXABLE-LOGO GIFT</v>
      </c>
      <c r="C105" s="11"/>
      <c r="D105" s="2">
        <f>-491.64</f>
        <v>-491.64</v>
      </c>
      <c r="E105" s="2"/>
      <c r="F105" s="19"/>
      <c r="G105" s="2"/>
      <c r="H105" s="2"/>
      <c r="I105" s="2"/>
      <c r="J105" s="19"/>
      <c r="K105" s="2"/>
      <c r="L105" s="2">
        <f t="shared" si="0"/>
        <v>-491.64</v>
      </c>
      <c r="M105" s="2"/>
      <c r="N105" s="19">
        <f t="shared" si="1"/>
        <v>0</v>
      </c>
      <c r="O105" s="11"/>
      <c r="P105" s="2">
        <f>-3209.59</f>
        <v>-3209.59</v>
      </c>
      <c r="Q105" s="2"/>
      <c r="R105" s="19"/>
      <c r="S105" s="2"/>
      <c r="T105" s="2"/>
      <c r="U105" s="2"/>
      <c r="V105" s="19"/>
      <c r="W105" s="2"/>
      <c r="X105" s="2">
        <f t="shared" si="2"/>
        <v>-3209.59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"4242", " - ", "SALES RETURN TAXABLE-EVERYDAY")</f>
        <v xml:space="preserve">          4242 - SALES RETURN TAXABLE-EVERYDAY</v>
      </c>
      <c r="C106" s="11"/>
      <c r="D106" s="2">
        <f>-532.3</f>
        <v>-532.29999999999995</v>
      </c>
      <c r="E106" s="2"/>
      <c r="F106" s="19"/>
      <c r="G106" s="2"/>
      <c r="H106" s="2"/>
      <c r="I106" s="2"/>
      <c r="J106" s="19"/>
      <c r="K106" s="2"/>
      <c r="L106" s="2">
        <f t="shared" si="0"/>
        <v>-532.29999999999995</v>
      </c>
      <c r="M106" s="2"/>
      <c r="N106" s="19">
        <f t="shared" si="1"/>
        <v>0</v>
      </c>
      <c r="O106" s="11"/>
      <c r="P106" s="2">
        <f>-1691.87</f>
        <v>-1691.87</v>
      </c>
      <c r="Q106" s="2"/>
      <c r="R106" s="19"/>
      <c r="S106" s="2"/>
      <c r="T106" s="2"/>
      <c r="U106" s="2"/>
      <c r="V106" s="19"/>
      <c r="W106" s="2"/>
      <c r="X106" s="2">
        <f t="shared" si="2"/>
        <v>-1691.87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"4243", " - ", "SALES RETURN TAXABLE-CARDS")</f>
        <v xml:space="preserve">          4243 - SALES RETURN TAXABLE-CARDS</v>
      </c>
      <c r="C107" s="11"/>
      <c r="D107" s="2">
        <f>-316.34</f>
        <v>-316.33999999999997</v>
      </c>
      <c r="E107" s="2"/>
      <c r="F107" s="19"/>
      <c r="G107" s="2"/>
      <c r="H107" s="2"/>
      <c r="I107" s="2"/>
      <c r="J107" s="19"/>
      <c r="K107" s="2"/>
      <c r="L107" s="2">
        <f t="shared" si="0"/>
        <v>-316.33999999999997</v>
      </c>
      <c r="M107" s="2"/>
      <c r="N107" s="19">
        <f t="shared" si="1"/>
        <v>0</v>
      </c>
      <c r="O107" s="11"/>
      <c r="P107" s="2">
        <f>-320.84</f>
        <v>-320.83999999999997</v>
      </c>
      <c r="Q107" s="2"/>
      <c r="R107" s="19"/>
      <c r="S107" s="2"/>
      <c r="T107" s="2"/>
      <c r="U107" s="2"/>
      <c r="V107" s="19"/>
      <c r="W107" s="2"/>
      <c r="X107" s="2">
        <f t="shared" si="2"/>
        <v>-320.83999999999997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"4244", " - ", "SALES RETURN TAXABLE-ACCESSORI")</f>
        <v xml:space="preserve">          4244 - SALES RETURN TAXABLE-ACCESSORI</v>
      </c>
      <c r="C108" s="11"/>
      <c r="D108" s="2">
        <f>-96.7</f>
        <v>-96.7</v>
      </c>
      <c r="E108" s="2"/>
      <c r="F108" s="19"/>
      <c r="G108" s="2"/>
      <c r="H108" s="2"/>
      <c r="I108" s="2"/>
      <c r="J108" s="19"/>
      <c r="K108" s="2"/>
      <c r="L108" s="2">
        <f t="shared" si="0"/>
        <v>-96.7</v>
      </c>
      <c r="M108" s="2"/>
      <c r="N108" s="19">
        <f t="shared" si="1"/>
        <v>0</v>
      </c>
      <c r="O108" s="11"/>
      <c r="P108" s="2">
        <f>-1529.06</f>
        <v>-1529.06</v>
      </c>
      <c r="Q108" s="2"/>
      <c r="R108" s="19"/>
      <c r="S108" s="2"/>
      <c r="T108" s="2"/>
      <c r="U108" s="2"/>
      <c r="V108" s="19"/>
      <c r="W108" s="2"/>
      <c r="X108" s="2">
        <f t="shared" si="2"/>
        <v>-1529.06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"4245", " - ", "SALES RETURN TAXABLE-SPECIAL O")</f>
        <v xml:space="preserve">          4245 - SALES RETURN TAXABLE-SPECIAL O</v>
      </c>
      <c r="C109" s="11"/>
      <c r="D109" s="2">
        <f>0</f>
        <v>0</v>
      </c>
      <c r="E109" s="2"/>
      <c r="F109" s="19"/>
      <c r="G109" s="2"/>
      <c r="H109" s="2"/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-91.96</f>
        <v>-91.96</v>
      </c>
      <c r="Q109" s="2"/>
      <c r="R109" s="19"/>
      <c r="S109" s="2"/>
      <c r="T109" s="2"/>
      <c r="U109" s="2"/>
      <c r="V109" s="19"/>
      <c r="W109" s="2"/>
      <c r="X109" s="2">
        <f t="shared" si="2"/>
        <v>-91.96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"4281", " - ", "SALES RETURN TAXABLE-ELECTRONI")</f>
        <v xml:space="preserve">          4281 - SALES RETURN TAXABLE-ELECTRONI</v>
      </c>
      <c r="C110" s="11"/>
      <c r="D110" s="2">
        <f>-445.93</f>
        <v>-445.93</v>
      </c>
      <c r="E110" s="2"/>
      <c r="F110" s="19"/>
      <c r="G110" s="2"/>
      <c r="H110" s="2"/>
      <c r="I110" s="2"/>
      <c r="J110" s="19"/>
      <c r="K110" s="2"/>
      <c r="L110" s="2">
        <f t="shared" si="0"/>
        <v>-445.93</v>
      </c>
      <c r="M110" s="2"/>
      <c r="N110" s="19">
        <f t="shared" si="1"/>
        <v>0</v>
      </c>
      <c r="O110" s="11"/>
      <c r="P110" s="2">
        <f>-5047.06</f>
        <v>-5047.0600000000004</v>
      </c>
      <c r="Q110" s="2"/>
      <c r="R110" s="19"/>
      <c r="S110" s="2"/>
      <c r="T110" s="2"/>
      <c r="U110" s="2"/>
      <c r="V110" s="19"/>
      <c r="W110" s="2"/>
      <c r="X110" s="2">
        <f t="shared" si="2"/>
        <v>-5047.0600000000004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"4282", " - ", "SALES RETURN TAXABLE-COMPUTER")</f>
        <v xml:space="preserve">          4282 - SALES RETURN TAXABLE-COMPUTER</v>
      </c>
      <c r="C111" s="11"/>
      <c r="D111" s="2">
        <f>-10339.73</f>
        <v>-10339.73</v>
      </c>
      <c r="E111" s="2"/>
      <c r="F111" s="19"/>
      <c r="G111" s="2"/>
      <c r="H111" s="2"/>
      <c r="I111" s="2"/>
      <c r="J111" s="19"/>
      <c r="K111" s="2"/>
      <c r="L111" s="2">
        <f t="shared" si="0"/>
        <v>-10339.73</v>
      </c>
      <c r="M111" s="2"/>
      <c r="N111" s="19">
        <f t="shared" si="1"/>
        <v>0</v>
      </c>
      <c r="O111" s="11"/>
      <c r="P111" s="2">
        <f>-180477.59</f>
        <v>-180477.59</v>
      </c>
      <c r="Q111" s="2"/>
      <c r="R111" s="19"/>
      <c r="S111" s="2"/>
      <c r="T111" s="2"/>
      <c r="U111" s="2"/>
      <c r="V111" s="19"/>
      <c r="W111" s="2"/>
      <c r="X111" s="2">
        <f t="shared" si="2"/>
        <v>-180477.59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"4283", " - ", "SALES RETURN TAXABLE-COMPUTER")</f>
        <v xml:space="preserve">          4283 - SALES RETURN TAXABLE-COMPUTER</v>
      </c>
      <c r="C112" s="11"/>
      <c r="D112" s="2">
        <f>-423.91</f>
        <v>-423.91</v>
      </c>
      <c r="E112" s="2"/>
      <c r="F112" s="19"/>
      <c r="G112" s="2"/>
      <c r="H112" s="2"/>
      <c r="I112" s="2"/>
      <c r="J112" s="19"/>
      <c r="K112" s="2"/>
      <c r="L112" s="2">
        <f t="shared" si="0"/>
        <v>-423.91</v>
      </c>
      <c r="M112" s="2"/>
      <c r="N112" s="19">
        <f t="shared" si="1"/>
        <v>0</v>
      </c>
      <c r="O112" s="11"/>
      <c r="P112" s="2">
        <f>-2956.24</f>
        <v>-2956.24</v>
      </c>
      <c r="Q112" s="2"/>
      <c r="R112" s="19"/>
      <c r="S112" s="2"/>
      <c r="T112" s="2"/>
      <c r="U112" s="2"/>
      <c r="V112" s="19"/>
      <c r="W112" s="2"/>
      <c r="X112" s="2">
        <f t="shared" si="2"/>
        <v>-2956.24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"4284", " - ", "SALES RETURN TAXABLE-SOFTWARE")</f>
        <v xml:space="preserve">          4284 - SALES RETURN TAXABLE-SOFTWARE</v>
      </c>
      <c r="C113" s="11"/>
      <c r="D113" s="2">
        <f t="shared" ref="D113:D114" si="6">0</f>
        <v>0</v>
      </c>
      <c r="E113" s="2"/>
      <c r="F113" s="19"/>
      <c r="G113" s="2"/>
      <c r="H113" s="2"/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-129</f>
        <v>-129</v>
      </c>
      <c r="Q113" s="2"/>
      <c r="R113" s="19"/>
      <c r="S113" s="2"/>
      <c r="T113" s="2"/>
      <c r="U113" s="2"/>
      <c r="V113" s="19"/>
      <c r="W113" s="2"/>
      <c r="X113" s="2">
        <f t="shared" si="2"/>
        <v>-129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"4285", " - ", "SALES RETURN TAXABLE-SOFTWARE")</f>
        <v xml:space="preserve">          4285 - SALES RETURN TAXABLE-SOFTWARE</v>
      </c>
      <c r="C114" s="11"/>
      <c r="D114" s="2">
        <f t="shared" si="6"/>
        <v>0</v>
      </c>
      <c r="E114" s="2"/>
      <c r="F114" s="19"/>
      <c r="G114" s="2"/>
      <c r="H114" s="2"/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>-655.98</f>
        <v>-655.98</v>
      </c>
      <c r="Q114" s="2"/>
      <c r="R114" s="19"/>
      <c r="S114" s="2"/>
      <c r="T114" s="2"/>
      <c r="U114" s="2"/>
      <c r="V114" s="19"/>
      <c r="W114" s="2"/>
      <c r="X114" s="2">
        <f t="shared" si="2"/>
        <v>-655.98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"4286", " - ", "SALES RETURN TAXABLE-COMPUTER")</f>
        <v xml:space="preserve">          4286 - SALES RETURN TAXABLE-COMPUTER</v>
      </c>
      <c r="C115" s="11"/>
      <c r="D115" s="2">
        <f>-340.39</f>
        <v>-340.39</v>
      </c>
      <c r="E115" s="2"/>
      <c r="F115" s="19"/>
      <c r="G115" s="2"/>
      <c r="H115" s="2"/>
      <c r="I115" s="2"/>
      <c r="J115" s="19"/>
      <c r="K115" s="2"/>
      <c r="L115" s="2">
        <f t="shared" si="0"/>
        <v>-340.39</v>
      </c>
      <c r="M115" s="2"/>
      <c r="N115" s="19">
        <f t="shared" si="1"/>
        <v>0</v>
      </c>
      <c r="O115" s="11"/>
      <c r="P115" s="2">
        <f>-2791.99</f>
        <v>-2791.99</v>
      </c>
      <c r="Q115" s="2"/>
      <c r="R115" s="19"/>
      <c r="S115" s="2"/>
      <c r="T115" s="2"/>
      <c r="U115" s="2"/>
      <c r="V115" s="19"/>
      <c r="W115" s="2"/>
      <c r="X115" s="2">
        <f t="shared" si="2"/>
        <v>-2791.99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"4288", " - ", "TAXABLE SALES RETURN-MUSIC")</f>
        <v xml:space="preserve">          4288 - TAXABLE SALES RETURN-MUSIC</v>
      </c>
      <c r="C116" s="11"/>
      <c r="D116" s="2">
        <f>0</f>
        <v>0</v>
      </c>
      <c r="E116" s="2"/>
      <c r="F116" s="19"/>
      <c r="G116" s="2"/>
      <c r="H116" s="2"/>
      <c r="I116" s="2"/>
      <c r="J116" s="19"/>
      <c r="K116" s="2"/>
      <c r="L116" s="2">
        <f t="shared" si="0"/>
        <v>0</v>
      </c>
      <c r="M116" s="2"/>
      <c r="N116" s="19">
        <f t="shared" si="1"/>
        <v>0</v>
      </c>
      <c r="O116" s="11"/>
      <c r="P116" s="2">
        <f>-3.99</f>
        <v>-3.99</v>
      </c>
      <c r="Q116" s="2"/>
      <c r="R116" s="19"/>
      <c r="S116" s="2"/>
      <c r="T116" s="2"/>
      <c r="U116" s="2"/>
      <c r="V116" s="19"/>
      <c r="W116" s="2"/>
      <c r="X116" s="2">
        <f t="shared" si="2"/>
        <v>-3.99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"4292", " - ", "SALES RETURN TAXABLE-GRAD MERC")</f>
        <v xml:space="preserve">          4292 - SALES RETURN TAXABLE-GRAD MERC</v>
      </c>
      <c r="C117" s="11"/>
      <c r="D117" s="2">
        <f>-9.95</f>
        <v>-9.9499999999999993</v>
      </c>
      <c r="E117" s="2"/>
      <c r="F117" s="19"/>
      <c r="G117" s="2"/>
      <c r="H117" s="2"/>
      <c r="I117" s="2"/>
      <c r="J117" s="19"/>
      <c r="K117" s="2"/>
      <c r="L117" s="2">
        <f t="shared" si="0"/>
        <v>-9.9499999999999993</v>
      </c>
      <c r="M117" s="2"/>
      <c r="N117" s="19">
        <f t="shared" si="1"/>
        <v>0</v>
      </c>
      <c r="O117" s="11"/>
      <c r="P117" s="2">
        <f>-419.05</f>
        <v>-419.05</v>
      </c>
      <c r="Q117" s="2"/>
      <c r="R117" s="19"/>
      <c r="S117" s="2"/>
      <c r="T117" s="2"/>
      <c r="U117" s="2"/>
      <c r="V117" s="19"/>
      <c r="W117" s="2"/>
      <c r="X117" s="2">
        <f t="shared" si="2"/>
        <v>-419.05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"4295", " - ", "SALES RETURN TAXABLE-CUSTOMER")</f>
        <v xml:space="preserve">          4295 - SALES RETURN TAXABLE-CUSTOMER</v>
      </c>
      <c r="C118" s="11"/>
      <c r="D118" s="2">
        <f t="shared" ref="D118:D121" si="7">0</f>
        <v>0</v>
      </c>
      <c r="E118" s="2"/>
      <c r="F118" s="19"/>
      <c r="G118" s="2"/>
      <c r="H118" s="2"/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--0.99</f>
        <v>0.99</v>
      </c>
      <c r="Q118" s="2"/>
      <c r="R118" s="19"/>
      <c r="S118" s="2"/>
      <c r="T118" s="2"/>
      <c r="U118" s="2"/>
      <c r="V118" s="19"/>
      <c r="W118" s="2"/>
      <c r="X118" s="2">
        <f t="shared" si="2"/>
        <v>0.99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"4301", " - ", "SALES RETURN NON TAXABLE-NEW T")</f>
        <v xml:space="preserve">          4301 - SALES RETURN NON TAXABLE-NEW T</v>
      </c>
      <c r="C119" s="11"/>
      <c r="D119" s="2">
        <f t="shared" si="7"/>
        <v>0</v>
      </c>
      <c r="E119" s="2"/>
      <c r="F119" s="19"/>
      <c r="G119" s="2"/>
      <c r="H119" s="2"/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>-12310.98</f>
        <v>-12310.98</v>
      </c>
      <c r="Q119" s="2"/>
      <c r="R119" s="19"/>
      <c r="S119" s="2"/>
      <c r="T119" s="2"/>
      <c r="U119" s="2"/>
      <c r="V119" s="19"/>
      <c r="W119" s="2"/>
      <c r="X119" s="2">
        <f t="shared" si="2"/>
        <v>-12310.98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"4302", " - ", "SALES RETURN NON TAXABLE-TEXT")</f>
        <v xml:space="preserve">          4302 - SALES RETURN NON TAXABLE-TEXT</v>
      </c>
      <c r="C120" s="11"/>
      <c r="D120" s="2">
        <f t="shared" si="7"/>
        <v>0</v>
      </c>
      <c r="E120" s="2"/>
      <c r="F120" s="19"/>
      <c r="G120" s="2"/>
      <c r="H120" s="2"/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-683.8</f>
        <v>-683.8</v>
      </c>
      <c r="Q120" s="2"/>
      <c r="R120" s="19"/>
      <c r="S120" s="2"/>
      <c r="T120" s="2"/>
      <c r="U120" s="2"/>
      <c r="V120" s="19"/>
      <c r="W120" s="2"/>
      <c r="X120" s="2">
        <f t="shared" si="2"/>
        <v>-683.8</v>
      </c>
      <c r="Y120" s="2"/>
      <c r="Z120" s="19">
        <f t="shared" si="3"/>
        <v>0</v>
      </c>
    </row>
    <row r="121" spans="1:26" s="24" customFormat="1" hidden="1" outlineLevel="1" x14ac:dyDescent="0.25">
      <c r="A121" s="44"/>
      <c r="B121" s="11" t="str">
        <f>CONCATENATE("          ", "4303", " - ", "SALES RETURN NON-TAXABLE-RENTA")</f>
        <v xml:space="preserve">          4303 - SALES RETURN NON-TAXABLE-RENTA</v>
      </c>
      <c r="C121" s="11"/>
      <c r="D121" s="2">
        <f t="shared" si="7"/>
        <v>0</v>
      </c>
      <c r="E121" s="2"/>
      <c r="F121" s="19"/>
      <c r="G121" s="2"/>
      <c r="H121" s="2"/>
      <c r="I121" s="2"/>
      <c r="J121" s="19"/>
      <c r="K121" s="2"/>
      <c r="L121" s="2">
        <f t="shared" si="0"/>
        <v>0</v>
      </c>
      <c r="M121" s="2"/>
      <c r="N121" s="19">
        <f t="shared" si="1"/>
        <v>0</v>
      </c>
      <c r="O121" s="11"/>
      <c r="P121" s="2">
        <f>-184.99</f>
        <v>-184.99</v>
      </c>
      <c r="Q121" s="2"/>
      <c r="R121" s="19"/>
      <c r="S121" s="2"/>
      <c r="T121" s="2"/>
      <c r="U121" s="2"/>
      <c r="V121" s="19"/>
      <c r="W121" s="2"/>
      <c r="X121" s="2">
        <f t="shared" si="2"/>
        <v>-184.99</v>
      </c>
      <c r="Y121" s="2"/>
      <c r="Z121" s="19">
        <f t="shared" si="3"/>
        <v>0</v>
      </c>
    </row>
    <row r="122" spans="1:26" s="24" customFormat="1" hidden="1" outlineLevel="1" x14ac:dyDescent="0.25">
      <c r="A122" s="44"/>
      <c r="B122" s="11" t="str">
        <f>CONCATENATE("          ", "4304", " - ", "SALES RETURN NON TAXABLE-DIGIT")</f>
        <v xml:space="preserve">          4304 - SALES RETURN NON TAXABLE-DIGIT</v>
      </c>
      <c r="C122" s="11"/>
      <c r="D122" s="2">
        <f>-70.58</f>
        <v>-70.58</v>
      </c>
      <c r="E122" s="2"/>
      <c r="F122" s="19"/>
      <c r="G122" s="2"/>
      <c r="H122" s="2"/>
      <c r="I122" s="2"/>
      <c r="J122" s="19"/>
      <c r="K122" s="2"/>
      <c r="L122" s="2">
        <f t="shared" si="0"/>
        <v>-70.58</v>
      </c>
      <c r="M122" s="2"/>
      <c r="N122" s="19">
        <f t="shared" si="1"/>
        <v>0</v>
      </c>
      <c r="O122" s="11"/>
      <c r="P122" s="2">
        <f>-13203.87</f>
        <v>-13203.87</v>
      </c>
      <c r="Q122" s="2"/>
      <c r="R122" s="19"/>
      <c r="S122" s="2"/>
      <c r="T122" s="2"/>
      <c r="U122" s="2"/>
      <c r="V122" s="19"/>
      <c r="W122" s="2"/>
      <c r="X122" s="2">
        <f t="shared" si="2"/>
        <v>-13203.87</v>
      </c>
      <c r="Y122" s="2"/>
      <c r="Z122" s="19">
        <f t="shared" si="3"/>
        <v>0</v>
      </c>
    </row>
    <row r="123" spans="1:26" s="24" customFormat="1" hidden="1" outlineLevel="1" x14ac:dyDescent="0.25">
      <c r="A123" s="44"/>
      <c r="B123" s="11" t="str">
        <f>CONCATENATE("          ", "4311", " - ", "SALES RETURN NON TAXABLE-NO VA")</f>
        <v xml:space="preserve">          4311 - SALES RETURN NON TAXABLE-NO VA</v>
      </c>
      <c r="C123" s="11"/>
      <c r="D123" s="2">
        <f t="shared" ref="D123:D124" si="8">0</f>
        <v>0</v>
      </c>
      <c r="E123" s="2"/>
      <c r="F123" s="19"/>
      <c r="G123" s="2"/>
      <c r="H123" s="2"/>
      <c r="I123" s="2"/>
      <c r="J123" s="19"/>
      <c r="K123" s="2"/>
      <c r="L123" s="2">
        <f t="shared" si="0"/>
        <v>0</v>
      </c>
      <c r="M123" s="2"/>
      <c r="N123" s="19">
        <f t="shared" si="1"/>
        <v>0</v>
      </c>
      <c r="O123" s="11"/>
      <c r="P123" s="2">
        <f>-387.96</f>
        <v>-387.96</v>
      </c>
      <c r="Q123" s="2"/>
      <c r="R123" s="19"/>
      <c r="S123" s="2"/>
      <c r="T123" s="2"/>
      <c r="U123" s="2"/>
      <c r="V123" s="19"/>
      <c r="W123" s="2"/>
      <c r="X123" s="2">
        <f t="shared" si="2"/>
        <v>-387.96</v>
      </c>
      <c r="Y123" s="2"/>
      <c r="Z123" s="19">
        <f t="shared" si="3"/>
        <v>0</v>
      </c>
    </row>
    <row r="124" spans="1:26" s="24" customFormat="1" hidden="1" outlineLevel="1" x14ac:dyDescent="0.25">
      <c r="A124" s="44"/>
      <c r="B124" s="11" t="str">
        <f>CONCATENATE("          ", "4327", " - ", "SALES RETURN NON TAXABLE-SCHOO")</f>
        <v xml:space="preserve">          4327 - SALES RETURN NON TAXABLE-SCHOO</v>
      </c>
      <c r="C124" s="11"/>
      <c r="D124" s="2">
        <f t="shared" si="8"/>
        <v>0</v>
      </c>
      <c r="E124" s="2"/>
      <c r="F124" s="19"/>
      <c r="G124" s="2"/>
      <c r="H124" s="2"/>
      <c r="I124" s="2"/>
      <c r="J124" s="19"/>
      <c r="K124" s="2"/>
      <c r="L124" s="2">
        <f t="shared" si="0"/>
        <v>0</v>
      </c>
      <c r="M124" s="2"/>
      <c r="N124" s="19">
        <f t="shared" si="1"/>
        <v>0</v>
      </c>
      <c r="O124" s="11"/>
      <c r="P124" s="2">
        <f>-21.87</f>
        <v>-21.87</v>
      </c>
      <c r="Q124" s="2"/>
      <c r="R124" s="19"/>
      <c r="S124" s="2"/>
      <c r="T124" s="2"/>
      <c r="U124" s="2"/>
      <c r="V124" s="19"/>
      <c r="W124" s="2"/>
      <c r="X124" s="2">
        <f t="shared" si="2"/>
        <v>-21.87</v>
      </c>
      <c r="Y124" s="2"/>
      <c r="Z124" s="19">
        <f t="shared" si="3"/>
        <v>0</v>
      </c>
    </row>
    <row r="125" spans="1:26" s="24" customFormat="1" hidden="1" outlineLevel="1" x14ac:dyDescent="0.25">
      <c r="A125" s="44"/>
      <c r="B125" s="11" t="str">
        <f>CONCATENATE("          ", "4340", " - ", "SALES RETURN NON TAXABLE-LOGO")</f>
        <v xml:space="preserve">          4340 - SALES RETURN NON TAXABLE-LOGO</v>
      </c>
      <c r="C125" s="11"/>
      <c r="D125" s="2">
        <f>-29.95</f>
        <v>-29.95</v>
      </c>
      <c r="E125" s="2"/>
      <c r="F125" s="19"/>
      <c r="G125" s="2"/>
      <c r="H125" s="2"/>
      <c r="I125" s="2"/>
      <c r="J125" s="19"/>
      <c r="K125" s="2"/>
      <c r="L125" s="2">
        <f t="shared" si="0"/>
        <v>-29.95</v>
      </c>
      <c r="M125" s="2"/>
      <c r="N125" s="19">
        <f t="shared" si="1"/>
        <v>0</v>
      </c>
      <c r="O125" s="11"/>
      <c r="P125" s="2">
        <f>-323.4</f>
        <v>-323.39999999999998</v>
      </c>
      <c r="Q125" s="2"/>
      <c r="R125" s="19"/>
      <c r="S125" s="2"/>
      <c r="T125" s="2"/>
      <c r="U125" s="2"/>
      <c r="V125" s="19"/>
      <c r="W125" s="2"/>
      <c r="X125" s="2">
        <f t="shared" si="2"/>
        <v>-323.39999999999998</v>
      </c>
      <c r="Y125" s="2"/>
      <c r="Z125" s="19">
        <f t="shared" si="3"/>
        <v>0</v>
      </c>
    </row>
    <row r="126" spans="1:26" s="24" customFormat="1" hidden="1" outlineLevel="1" x14ac:dyDescent="0.25">
      <c r="A126" s="44"/>
      <c r="B126" s="11" t="str">
        <f>CONCATENATE("          ", "4341", " - ", "SALES RETURN NON TAXABLE-LOGO")</f>
        <v xml:space="preserve">          4341 - SALES RETURN NON TAXABLE-LOGO</v>
      </c>
      <c r="C126" s="11"/>
      <c r="D126" s="2">
        <f>0</f>
        <v>0</v>
      </c>
      <c r="E126" s="2"/>
      <c r="F126" s="19"/>
      <c r="G126" s="2"/>
      <c r="H126" s="2"/>
      <c r="I126" s="2"/>
      <c r="J126" s="19"/>
      <c r="K126" s="2"/>
      <c r="L126" s="2">
        <f t="shared" si="0"/>
        <v>0</v>
      </c>
      <c r="M126" s="2"/>
      <c r="N126" s="19">
        <f t="shared" si="1"/>
        <v>0</v>
      </c>
      <c r="O126" s="11"/>
      <c r="P126" s="2">
        <f>-10.9</f>
        <v>-10.9</v>
      </c>
      <c r="Q126" s="2"/>
      <c r="R126" s="19"/>
      <c r="S126" s="2"/>
      <c r="T126" s="2"/>
      <c r="U126" s="2"/>
      <c r="V126" s="19"/>
      <c r="W126" s="2"/>
      <c r="X126" s="2">
        <f t="shared" si="2"/>
        <v>-10.9</v>
      </c>
      <c r="Y126" s="2"/>
      <c r="Z126" s="19">
        <f t="shared" si="3"/>
        <v>0</v>
      </c>
    </row>
    <row r="127" spans="1:26" s="24" customFormat="1" hidden="1" outlineLevel="1" x14ac:dyDescent="0.25">
      <c r="A127" s="44"/>
      <c r="B127" s="11" t="str">
        <f>CONCATENATE("          ", "4342", " - ", "SALES RETURN NON TAXABLE-EVERY")</f>
        <v xml:space="preserve">          4342 - SALES RETURN NON TAXABLE-EVERY</v>
      </c>
      <c r="C127" s="11"/>
      <c r="D127" s="2">
        <f>-6.95</f>
        <v>-6.95</v>
      </c>
      <c r="E127" s="2"/>
      <c r="F127" s="19"/>
      <c r="G127" s="2"/>
      <c r="H127" s="2"/>
      <c r="I127" s="2"/>
      <c r="J127" s="19"/>
      <c r="K127" s="2"/>
      <c r="L127" s="2">
        <f t="shared" si="0"/>
        <v>-6.95</v>
      </c>
      <c r="M127" s="2"/>
      <c r="N127" s="19">
        <f t="shared" si="1"/>
        <v>0</v>
      </c>
      <c r="O127" s="11"/>
      <c r="P127" s="2">
        <f>-109.8</f>
        <v>-109.8</v>
      </c>
      <c r="Q127" s="2"/>
      <c r="R127" s="19"/>
      <c r="S127" s="2"/>
      <c r="T127" s="2"/>
      <c r="U127" s="2"/>
      <c r="V127" s="19"/>
      <c r="W127" s="2"/>
      <c r="X127" s="2">
        <f t="shared" si="2"/>
        <v>-109.8</v>
      </c>
      <c r="Y127" s="2"/>
      <c r="Z127" s="19">
        <f t="shared" si="3"/>
        <v>0</v>
      </c>
    </row>
    <row r="128" spans="1:26" s="24" customFormat="1" hidden="1" outlineLevel="1" x14ac:dyDescent="0.25">
      <c r="A128" s="44"/>
      <c r="B128" s="11" t="str">
        <f>CONCATENATE("          ", "4346", " - ", "SALES RETURN NON TAXABLE-COIN-")</f>
        <v xml:space="preserve">          4346 - SALES RETURN NON TAXABLE-COIN-</v>
      </c>
      <c r="C128" s="11"/>
      <c r="D128" s="2">
        <f t="shared" ref="D128:D131" si="9">0</f>
        <v>0</v>
      </c>
      <c r="E128" s="2"/>
      <c r="F128" s="19"/>
      <c r="G128" s="2"/>
      <c r="H128" s="2"/>
      <c r="I128" s="2"/>
      <c r="J128" s="19"/>
      <c r="K128" s="2"/>
      <c r="L128" s="2">
        <f t="shared" si="0"/>
        <v>0</v>
      </c>
      <c r="M128" s="2"/>
      <c r="N128" s="19">
        <f t="shared" si="1"/>
        <v>0</v>
      </c>
      <c r="O128" s="11"/>
      <c r="P128" s="2">
        <f>-8.15</f>
        <v>-8.15</v>
      </c>
      <c r="Q128" s="2"/>
      <c r="R128" s="19"/>
      <c r="S128" s="2"/>
      <c r="T128" s="2"/>
      <c r="U128" s="2"/>
      <c r="V128" s="19"/>
      <c r="W128" s="2"/>
      <c r="X128" s="2">
        <f t="shared" si="2"/>
        <v>-8.15</v>
      </c>
      <c r="Y128" s="2"/>
      <c r="Z128" s="19">
        <f t="shared" si="3"/>
        <v>0</v>
      </c>
    </row>
    <row r="129" spans="1:26" s="24" customFormat="1" hidden="1" outlineLevel="1" x14ac:dyDescent="0.25">
      <c r="A129" s="44"/>
      <c r="B129" s="11" t="str">
        <f>CONCATENATE("          ", "4381", " - ", "SALES RETURN NON TAXABLE-ELECT")</f>
        <v xml:space="preserve">          4381 - SALES RETURN NON TAXABLE-ELECT</v>
      </c>
      <c r="C129" s="11"/>
      <c r="D129" s="2">
        <f t="shared" si="9"/>
        <v>0</v>
      </c>
      <c r="E129" s="2"/>
      <c r="F129" s="19"/>
      <c r="G129" s="2"/>
      <c r="H129" s="2"/>
      <c r="I129" s="2"/>
      <c r="J129" s="19"/>
      <c r="K129" s="2"/>
      <c r="L129" s="2">
        <f t="shared" si="0"/>
        <v>0</v>
      </c>
      <c r="M129" s="2"/>
      <c r="N129" s="19">
        <f t="shared" si="1"/>
        <v>0</v>
      </c>
      <c r="O129" s="11"/>
      <c r="P129" s="2">
        <f>-1279.84</f>
        <v>-1279.8399999999999</v>
      </c>
      <c r="Q129" s="2"/>
      <c r="R129" s="19"/>
      <c r="S129" s="2"/>
      <c r="T129" s="2"/>
      <c r="U129" s="2"/>
      <c r="V129" s="19"/>
      <c r="W129" s="2"/>
      <c r="X129" s="2">
        <f t="shared" si="2"/>
        <v>-1279.8399999999999</v>
      </c>
      <c r="Y129" s="2"/>
      <c r="Z129" s="19">
        <f t="shared" si="3"/>
        <v>0</v>
      </c>
    </row>
    <row r="130" spans="1:26" s="24" customFormat="1" hidden="1" outlineLevel="1" x14ac:dyDescent="0.25">
      <c r="A130" s="44"/>
      <c r="B130" s="11" t="str">
        <f>CONCATENATE("          ", "4383", " - ", "SALES RETURN NON TAXABLE-COMPU")</f>
        <v xml:space="preserve">          4383 - SALES RETURN NON TAXABLE-COMPU</v>
      </c>
      <c r="C130" s="11"/>
      <c r="D130" s="2">
        <f t="shared" si="9"/>
        <v>0</v>
      </c>
      <c r="E130" s="2"/>
      <c r="F130" s="19"/>
      <c r="G130" s="2"/>
      <c r="H130" s="2"/>
      <c r="I130" s="2"/>
      <c r="J130" s="19"/>
      <c r="K130" s="2"/>
      <c r="L130" s="2">
        <f t="shared" si="0"/>
        <v>0</v>
      </c>
      <c r="M130" s="2"/>
      <c r="N130" s="19">
        <f t="shared" si="1"/>
        <v>0</v>
      </c>
      <c r="O130" s="11"/>
      <c r="P130" s="2">
        <f>-49.98</f>
        <v>-49.98</v>
      </c>
      <c r="Q130" s="2"/>
      <c r="R130" s="19"/>
      <c r="S130" s="2"/>
      <c r="T130" s="2"/>
      <c r="U130" s="2"/>
      <c r="V130" s="19"/>
      <c r="W130" s="2"/>
      <c r="X130" s="2">
        <f t="shared" si="2"/>
        <v>-49.98</v>
      </c>
      <c r="Y130" s="2"/>
      <c r="Z130" s="19">
        <f t="shared" si="3"/>
        <v>0</v>
      </c>
    </row>
    <row r="131" spans="1:26" s="24" customFormat="1" hidden="1" outlineLevel="1" x14ac:dyDescent="0.25">
      <c r="A131" s="44"/>
      <c r="B131" s="11" t="str">
        <f>CONCATENATE("          ", "4386", " - ", "SALES RETURN NON TAXABLE-COMPU")</f>
        <v xml:space="preserve">          4386 - SALES RETURN NON TAXABLE-COMPU</v>
      </c>
      <c r="C131" s="11"/>
      <c r="D131" s="2">
        <f t="shared" si="9"/>
        <v>0</v>
      </c>
      <c r="E131" s="2"/>
      <c r="F131" s="19"/>
      <c r="G131" s="2"/>
      <c r="H131" s="2"/>
      <c r="I131" s="2"/>
      <c r="J131" s="19"/>
      <c r="K131" s="2"/>
      <c r="L131" s="2">
        <f t="shared" si="0"/>
        <v>0</v>
      </c>
      <c r="M131" s="2"/>
      <c r="N131" s="19">
        <f t="shared" si="1"/>
        <v>0</v>
      </c>
      <c r="O131" s="11"/>
      <c r="P131" s="2">
        <f>-54.97</f>
        <v>-54.97</v>
      </c>
      <c r="Q131" s="2"/>
      <c r="R131" s="19"/>
      <c r="S131" s="2"/>
      <c r="T131" s="2"/>
      <c r="U131" s="2"/>
      <c r="V131" s="19"/>
      <c r="W131" s="2"/>
      <c r="X131" s="2">
        <f t="shared" si="2"/>
        <v>-54.97</v>
      </c>
      <c r="Y131" s="2"/>
      <c r="Z131" s="19">
        <f t="shared" si="3"/>
        <v>0</v>
      </c>
    </row>
    <row r="132" spans="1:26" x14ac:dyDescent="0.25">
      <c r="A132" s="9"/>
      <c r="B132" s="10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collapsed="1" x14ac:dyDescent="0.25">
      <c r="A133" s="10"/>
      <c r="B133" s="29" t="s">
        <v>8</v>
      </c>
      <c r="C133" s="10"/>
      <c r="D133" s="4">
        <f>SUM(OSRRefD16x_0)</f>
        <v>943425.60999999987</v>
      </c>
      <c r="E133" s="4"/>
      <c r="F133" s="12">
        <f t="shared" ref="F133:F193" si="10">IF(D$12=0,0,D133/D$12)</f>
        <v>0.35776375418673478</v>
      </c>
      <c r="G133" s="4"/>
      <c r="H133" s="4">
        <f>SUM(OSRRefH16x_0)</f>
        <v>857870.95172000001</v>
      </c>
      <c r="I133" s="4"/>
      <c r="J133" s="12">
        <f t="shared" ref="J133:J193" si="11">IF(H$12=0,0,H133/H$12)</f>
        <v>0.34942054069013689</v>
      </c>
      <c r="K133" s="4"/>
      <c r="L133" s="4">
        <f t="shared" ref="L133:L193" si="12">+D133-H133</f>
        <v>85554.658279999858</v>
      </c>
      <c r="M133" s="4"/>
      <c r="N133" s="12">
        <f t="shared" ref="N133:N193" si="13">IF(H133=0,0,L133/H133)</f>
        <v>9.9729053779552601E-2</v>
      </c>
      <c r="O133" s="10"/>
      <c r="P133" s="4">
        <f>SUM(OSRRefP16x_0)</f>
        <v>7187714.1800000016</v>
      </c>
      <c r="Q133" s="4"/>
      <c r="R133" s="12">
        <f t="shared" ref="R133:R193" si="14">IF(P$12=0,0,P133/P$12)</f>
        <v>0.44659693631912456</v>
      </c>
      <c r="S133" s="4"/>
      <c r="T133" s="4">
        <f>SUM(OSRRefT16x_0)</f>
        <v>7113071.2601899998</v>
      </c>
      <c r="U133" s="4"/>
      <c r="V133" s="12">
        <f t="shared" ref="V133:V193" si="15">IF(T$12=0,0,T133/T$12)</f>
        <v>0.43165181948984582</v>
      </c>
      <c r="W133" s="4"/>
      <c r="X133" s="4">
        <f t="shared" ref="X133:X193" si="16">+P133-T133</f>
        <v>74642.919810001738</v>
      </c>
      <c r="Y133" s="4"/>
      <c r="Z133" s="12">
        <f t="shared" ref="Z133:Z193" si="17">IF(T133=0,0,X133/T133)</f>
        <v>1.049376803347362E-2</v>
      </c>
    </row>
    <row r="134" spans="1:26" s="24" customFormat="1" hidden="1" outlineLevel="1" x14ac:dyDescent="0.25">
      <c r="A134" s="44"/>
      <c r="B134" s="11" t="str">
        <f>CONCATENATE("          ", "5000", " - ", "PURCHASES @ COST")</f>
        <v xml:space="preserve">          5000 - PURCHASES @ COST</v>
      </c>
      <c r="C134" s="11"/>
      <c r="D134" s="2"/>
      <c r="E134" s="2"/>
      <c r="F134" s="19">
        <f t="shared" si="10"/>
        <v>0</v>
      </c>
      <c r="G134" s="2"/>
      <c r="H134" s="2">
        <v>857870.95172000001</v>
      </c>
      <c r="I134" s="2"/>
      <c r="J134" s="19">
        <f t="shared" si="11"/>
        <v>0.34942054069013689</v>
      </c>
      <c r="K134" s="2"/>
      <c r="L134" s="2">
        <f t="shared" si="12"/>
        <v>-857870.95172000001</v>
      </c>
      <c r="M134" s="2"/>
      <c r="N134" s="19">
        <f t="shared" si="13"/>
        <v>-1</v>
      </c>
      <c r="O134" s="11"/>
      <c r="P134" s="2"/>
      <c r="Q134" s="2"/>
      <c r="R134" s="19">
        <f t="shared" si="14"/>
        <v>0</v>
      </c>
      <c r="S134" s="2"/>
      <c r="T134" s="2">
        <v>7113071.2601899998</v>
      </c>
      <c r="U134" s="2"/>
      <c r="V134" s="19">
        <f t="shared" si="15"/>
        <v>0.43165181948984582</v>
      </c>
      <c r="W134" s="2"/>
      <c r="X134" s="2">
        <f t="shared" si="16"/>
        <v>-7113071.2601899998</v>
      </c>
      <c r="Y134" s="2"/>
      <c r="Z134" s="19">
        <f t="shared" si="17"/>
        <v>-1</v>
      </c>
    </row>
    <row r="135" spans="1:26" s="24" customFormat="1" hidden="1" outlineLevel="1" x14ac:dyDescent="0.25">
      <c r="A135" s="44"/>
      <c r="B135" s="11" t="str">
        <f>CONCATENATE("          ", "5001", " - ", "PURCHASES @ COST-NEW TEXT")</f>
        <v xml:space="preserve">          5001 - PURCHASES @ COST-NEW TEXT</v>
      </c>
      <c r="C135" s="11"/>
      <c r="D135" s="2">
        <v>-175297.72999999998</v>
      </c>
      <c r="E135" s="2"/>
      <c r="F135" s="19">
        <f t="shared" si="10"/>
        <v>-6.6476013922510124E-2</v>
      </c>
      <c r="G135" s="2"/>
      <c r="H135" s="2"/>
      <c r="I135" s="2"/>
      <c r="J135" s="19">
        <f t="shared" si="11"/>
        <v>0</v>
      </c>
      <c r="K135" s="2"/>
      <c r="L135" s="2">
        <f t="shared" si="12"/>
        <v>-175297.72999999998</v>
      </c>
      <c r="M135" s="2"/>
      <c r="N135" s="19">
        <f t="shared" si="13"/>
        <v>0</v>
      </c>
      <c r="O135" s="11"/>
      <c r="P135" s="2">
        <v>1581850.69</v>
      </c>
      <c r="Q135" s="2"/>
      <c r="R135" s="19">
        <f t="shared" si="14"/>
        <v>9.8285721187134495E-2</v>
      </c>
      <c r="S135" s="2"/>
      <c r="T135" s="2"/>
      <c r="U135" s="2"/>
      <c r="V135" s="19">
        <f t="shared" si="15"/>
        <v>0</v>
      </c>
      <c r="W135" s="2"/>
      <c r="X135" s="2">
        <f t="shared" si="16"/>
        <v>1581850.69</v>
      </c>
      <c r="Y135" s="2"/>
      <c r="Z135" s="19">
        <f t="shared" si="17"/>
        <v>0</v>
      </c>
    </row>
    <row r="136" spans="1:26" s="24" customFormat="1" hidden="1" outlineLevel="1" x14ac:dyDescent="0.25">
      <c r="A136" s="44"/>
      <c r="B136" s="11" t="str">
        <f>CONCATENATE("          ", "5002", " - ", "PURCHASES @ COST-USED TEXT")</f>
        <v xml:space="preserve">          5002 - PURCHASES @ COST-USED TEXT</v>
      </c>
      <c r="C136" s="11"/>
      <c r="D136" s="2">
        <v>-155785.26999999999</v>
      </c>
      <c r="E136" s="2"/>
      <c r="F136" s="19">
        <f t="shared" si="10"/>
        <v>-5.9076542391290517E-2</v>
      </c>
      <c r="G136" s="2"/>
      <c r="H136" s="2"/>
      <c r="I136" s="2"/>
      <c r="J136" s="19">
        <f t="shared" si="11"/>
        <v>0</v>
      </c>
      <c r="K136" s="2"/>
      <c r="L136" s="2">
        <f t="shared" si="12"/>
        <v>-155785.26999999999</v>
      </c>
      <c r="M136" s="2"/>
      <c r="N136" s="19">
        <f t="shared" si="13"/>
        <v>0</v>
      </c>
      <c r="O136" s="11"/>
      <c r="P136" s="2">
        <v>212247.9</v>
      </c>
      <c r="Q136" s="2"/>
      <c r="R136" s="19">
        <f t="shared" si="14"/>
        <v>1.3187678239059846E-2</v>
      </c>
      <c r="S136" s="2"/>
      <c r="T136" s="2"/>
      <c r="U136" s="2"/>
      <c r="V136" s="19">
        <f t="shared" si="15"/>
        <v>0</v>
      </c>
      <c r="W136" s="2"/>
      <c r="X136" s="2">
        <f t="shared" si="16"/>
        <v>212247.9</v>
      </c>
      <c r="Y136" s="2"/>
      <c r="Z136" s="19">
        <f t="shared" si="17"/>
        <v>0</v>
      </c>
    </row>
    <row r="137" spans="1:26" s="24" customFormat="1" hidden="1" outlineLevel="1" x14ac:dyDescent="0.25">
      <c r="A137" s="44"/>
      <c r="B137" s="11" t="str">
        <f>CONCATENATE("          ", "5003", " - ", "PURCHASES @ COST-RENTAL TEXT")</f>
        <v xml:space="preserve">          5003 - PURCHASES @ COST-RENTAL TEXT</v>
      </c>
      <c r="C137" s="11"/>
      <c r="D137" s="2"/>
      <c r="E137" s="2"/>
      <c r="F137" s="19">
        <f t="shared" si="10"/>
        <v>0</v>
      </c>
      <c r="G137" s="2"/>
      <c r="H137" s="2"/>
      <c r="I137" s="2"/>
      <c r="J137" s="19">
        <f t="shared" si="11"/>
        <v>0</v>
      </c>
      <c r="K137" s="2"/>
      <c r="L137" s="2">
        <f t="shared" si="12"/>
        <v>0</v>
      </c>
      <c r="M137" s="2"/>
      <c r="N137" s="19">
        <f t="shared" si="13"/>
        <v>0</v>
      </c>
      <c r="O137" s="11"/>
      <c r="P137" s="2">
        <v>-78.400000000000006</v>
      </c>
      <c r="Q137" s="2"/>
      <c r="R137" s="19">
        <f t="shared" si="14"/>
        <v>-4.8712565539743485E-6</v>
      </c>
      <c r="S137" s="2"/>
      <c r="T137" s="2"/>
      <c r="U137" s="2"/>
      <c r="V137" s="19">
        <f t="shared" si="15"/>
        <v>0</v>
      </c>
      <c r="W137" s="2"/>
      <c r="X137" s="2">
        <f t="shared" si="16"/>
        <v>-78.400000000000006</v>
      </c>
      <c r="Y137" s="2"/>
      <c r="Z137" s="19">
        <f t="shared" si="17"/>
        <v>0</v>
      </c>
    </row>
    <row r="138" spans="1:26" s="24" customFormat="1" hidden="1" outlineLevel="1" x14ac:dyDescent="0.25">
      <c r="A138" s="44"/>
      <c r="B138" s="11" t="str">
        <f>CONCATENATE("          ", "5004", " - ", "PURCHASES @ COST-DIGITAL TEXT")</f>
        <v xml:space="preserve">          5004 - PURCHASES @ COST-DIGITAL TEXT</v>
      </c>
      <c r="C138" s="11"/>
      <c r="D138" s="2">
        <v>0.94</v>
      </c>
      <c r="E138" s="2"/>
      <c r="F138" s="19">
        <f t="shared" si="10"/>
        <v>3.5646470200817499E-7</v>
      </c>
      <c r="G138" s="2"/>
      <c r="H138" s="2"/>
      <c r="I138" s="2"/>
      <c r="J138" s="19">
        <f t="shared" si="11"/>
        <v>0</v>
      </c>
      <c r="K138" s="2"/>
      <c r="L138" s="2">
        <f t="shared" si="12"/>
        <v>0.94</v>
      </c>
      <c r="M138" s="2"/>
      <c r="N138" s="19">
        <f t="shared" si="13"/>
        <v>0</v>
      </c>
      <c r="O138" s="11"/>
      <c r="P138" s="2">
        <v>322779.97000000003</v>
      </c>
      <c r="Q138" s="2"/>
      <c r="R138" s="19">
        <f t="shared" si="14"/>
        <v>2.0055408729006931E-2</v>
      </c>
      <c r="S138" s="2"/>
      <c r="T138" s="2"/>
      <c r="U138" s="2"/>
      <c r="V138" s="19">
        <f t="shared" si="15"/>
        <v>0</v>
      </c>
      <c r="W138" s="2"/>
      <c r="X138" s="2">
        <f t="shared" si="16"/>
        <v>322779.97000000003</v>
      </c>
      <c r="Y138" s="2"/>
      <c r="Z138" s="19">
        <f t="shared" si="17"/>
        <v>0</v>
      </c>
    </row>
    <row r="139" spans="1:26" s="24" customFormat="1" hidden="1" outlineLevel="1" x14ac:dyDescent="0.25">
      <c r="A139" s="44"/>
      <c r="B139" s="11" t="str">
        <f>CONCATENATE("          ", "5011", " - ", "PURCHASES @ COST-NO VALUE TEXT")</f>
        <v xml:space="preserve">          5011 - PURCHASES @ COST-NO VALUE TEXT</v>
      </c>
      <c r="C139" s="11"/>
      <c r="D139" s="2">
        <v>66</v>
      </c>
      <c r="E139" s="2"/>
      <c r="F139" s="19">
        <f t="shared" si="10"/>
        <v>2.5028372694191011E-5</v>
      </c>
      <c r="G139" s="2"/>
      <c r="H139" s="2"/>
      <c r="I139" s="2"/>
      <c r="J139" s="19">
        <f t="shared" si="11"/>
        <v>0</v>
      </c>
      <c r="K139" s="2"/>
      <c r="L139" s="2">
        <f t="shared" si="12"/>
        <v>66</v>
      </c>
      <c r="M139" s="2"/>
      <c r="N139" s="19">
        <f t="shared" si="13"/>
        <v>0</v>
      </c>
      <c r="O139" s="11"/>
      <c r="P139" s="2">
        <v>3741</v>
      </c>
      <c r="Q139" s="2"/>
      <c r="R139" s="19">
        <f t="shared" si="14"/>
        <v>2.3244095367880147E-4</v>
      </c>
      <c r="S139" s="2"/>
      <c r="T139" s="2"/>
      <c r="U139" s="2"/>
      <c r="V139" s="19">
        <f t="shared" si="15"/>
        <v>0</v>
      </c>
      <c r="W139" s="2"/>
      <c r="X139" s="2">
        <f t="shared" si="16"/>
        <v>3741</v>
      </c>
      <c r="Y139" s="2"/>
      <c r="Z139" s="19">
        <f t="shared" si="17"/>
        <v>0</v>
      </c>
    </row>
    <row r="140" spans="1:26" s="24" customFormat="1" hidden="1" outlineLevel="1" x14ac:dyDescent="0.25">
      <c r="A140" s="44"/>
      <c r="B140" s="11" t="str">
        <f>CONCATENATE("          ", "5013", " - ", "PURCHASES @ COST-TRADE BOOKS")</f>
        <v xml:space="preserve">          5013 - PURCHASES @ COST-TRADE BOOKS</v>
      </c>
      <c r="C140" s="11"/>
      <c r="D140" s="2">
        <v>10.79</v>
      </c>
      <c r="E140" s="2"/>
      <c r="F140" s="19">
        <f t="shared" si="10"/>
        <v>4.0917597177321361E-6</v>
      </c>
      <c r="G140" s="2"/>
      <c r="H140" s="2"/>
      <c r="I140" s="2"/>
      <c r="J140" s="19">
        <f t="shared" si="11"/>
        <v>0</v>
      </c>
      <c r="K140" s="2"/>
      <c r="L140" s="2">
        <f t="shared" si="12"/>
        <v>10.79</v>
      </c>
      <c r="M140" s="2"/>
      <c r="N140" s="19">
        <f t="shared" si="13"/>
        <v>0</v>
      </c>
      <c r="O140" s="11"/>
      <c r="P140" s="2">
        <v>698.14</v>
      </c>
      <c r="Q140" s="2"/>
      <c r="R140" s="19">
        <f t="shared" si="14"/>
        <v>4.3377794012648614E-5</v>
      </c>
      <c r="S140" s="2"/>
      <c r="T140" s="2"/>
      <c r="U140" s="2"/>
      <c r="V140" s="19">
        <f t="shared" si="15"/>
        <v>0</v>
      </c>
      <c r="W140" s="2"/>
      <c r="X140" s="2">
        <f t="shared" si="16"/>
        <v>698.14</v>
      </c>
      <c r="Y140" s="2"/>
      <c r="Z140" s="19">
        <f t="shared" si="17"/>
        <v>0</v>
      </c>
    </row>
    <row r="141" spans="1:26" s="24" customFormat="1" hidden="1" outlineLevel="1" x14ac:dyDescent="0.25">
      <c r="A141" s="44"/>
      <c r="B141" s="11" t="str">
        <f>CONCATENATE("          ", "5014", " - ", "PURCHASES @ COST-REMAINDERS")</f>
        <v xml:space="preserve">          5014 - PURCHASES @ COST-REMAINDERS</v>
      </c>
      <c r="C141" s="11"/>
      <c r="D141" s="2">
        <v>114.84</v>
      </c>
      <c r="E141" s="2"/>
      <c r="F141" s="19">
        <f t="shared" si="10"/>
        <v>4.3549368487892366E-5</v>
      </c>
      <c r="G141" s="2"/>
      <c r="H141" s="2"/>
      <c r="I141" s="2"/>
      <c r="J141" s="19">
        <f t="shared" si="11"/>
        <v>0</v>
      </c>
      <c r="K141" s="2"/>
      <c r="L141" s="2">
        <f t="shared" si="12"/>
        <v>114.84</v>
      </c>
      <c r="M141" s="2"/>
      <c r="N141" s="19">
        <f t="shared" si="13"/>
        <v>0</v>
      </c>
      <c r="O141" s="11"/>
      <c r="P141" s="2">
        <v>456.81</v>
      </c>
      <c r="Q141" s="2"/>
      <c r="R141" s="19">
        <f t="shared" si="14"/>
        <v>2.8383146765574258E-5</v>
      </c>
      <c r="S141" s="2"/>
      <c r="T141" s="2"/>
      <c r="U141" s="2"/>
      <c r="V141" s="19">
        <f t="shared" si="15"/>
        <v>0</v>
      </c>
      <c r="W141" s="2"/>
      <c r="X141" s="2">
        <f t="shared" si="16"/>
        <v>456.81</v>
      </c>
      <c r="Y141" s="2"/>
      <c r="Z141" s="19">
        <f t="shared" si="17"/>
        <v>0</v>
      </c>
    </row>
    <row r="142" spans="1:26" s="24" customFormat="1" hidden="1" outlineLevel="1" x14ac:dyDescent="0.25">
      <c r="A142" s="44"/>
      <c r="B142" s="11" t="str">
        <f>CONCATENATE("          ", "5017", " - ", "PURCHASES @ COST-DORM/HOUSEWAR")</f>
        <v xml:space="preserve">          5017 - PURCHASES @ COST-DORM/HOUSEWAR</v>
      </c>
      <c r="C142" s="11"/>
      <c r="D142" s="2"/>
      <c r="E142" s="2"/>
      <c r="F142" s="19">
        <f t="shared" si="10"/>
        <v>0</v>
      </c>
      <c r="G142" s="2"/>
      <c r="H142" s="2"/>
      <c r="I142" s="2"/>
      <c r="J142" s="19">
        <f t="shared" si="11"/>
        <v>0</v>
      </c>
      <c r="K142" s="2"/>
      <c r="L142" s="2">
        <f t="shared" si="12"/>
        <v>0</v>
      </c>
      <c r="M142" s="2"/>
      <c r="N142" s="19">
        <f t="shared" si="13"/>
        <v>0</v>
      </c>
      <c r="O142" s="11"/>
      <c r="P142" s="2">
        <v>0</v>
      </c>
      <c r="Q142" s="2"/>
      <c r="R142" s="19">
        <f t="shared" si="14"/>
        <v>0</v>
      </c>
      <c r="S142" s="2"/>
      <c r="T142" s="2"/>
      <c r="U142" s="2"/>
      <c r="V142" s="19">
        <f t="shared" si="15"/>
        <v>0</v>
      </c>
      <c r="W142" s="2"/>
      <c r="X142" s="2">
        <f t="shared" si="16"/>
        <v>0</v>
      </c>
      <c r="Y142" s="2"/>
      <c r="Z142" s="19">
        <f t="shared" si="17"/>
        <v>0</v>
      </c>
    </row>
    <row r="143" spans="1:26" s="24" customFormat="1" hidden="1" outlineLevel="1" x14ac:dyDescent="0.25">
      <c r="A143" s="44"/>
      <c r="B143" s="11" t="str">
        <f>CONCATENATE("          ", "5018", " - ", "PURCHASES @ COST-STUDY GUIDES")</f>
        <v xml:space="preserve">          5018 - PURCHASES @ COST-STUDY GUIDES</v>
      </c>
      <c r="C143" s="11"/>
      <c r="D143" s="2"/>
      <c r="E143" s="2"/>
      <c r="F143" s="19">
        <f t="shared" si="10"/>
        <v>0</v>
      </c>
      <c r="G143" s="2"/>
      <c r="H143" s="2"/>
      <c r="I143" s="2"/>
      <c r="J143" s="19">
        <f t="shared" si="11"/>
        <v>0</v>
      </c>
      <c r="K143" s="2"/>
      <c r="L143" s="2">
        <f t="shared" si="12"/>
        <v>0</v>
      </c>
      <c r="M143" s="2"/>
      <c r="N143" s="19">
        <f t="shared" si="13"/>
        <v>0</v>
      </c>
      <c r="O143" s="11"/>
      <c r="P143" s="2">
        <v>802.09</v>
      </c>
      <c r="Q143" s="2"/>
      <c r="R143" s="19">
        <f t="shared" si="14"/>
        <v>4.9836558282873532E-5</v>
      </c>
      <c r="S143" s="2"/>
      <c r="T143" s="2"/>
      <c r="U143" s="2"/>
      <c r="V143" s="19">
        <f t="shared" si="15"/>
        <v>0</v>
      </c>
      <c r="W143" s="2"/>
      <c r="X143" s="2">
        <f t="shared" si="16"/>
        <v>802.09</v>
      </c>
      <c r="Y143" s="2"/>
      <c r="Z143" s="19">
        <f t="shared" si="17"/>
        <v>0</v>
      </c>
    </row>
    <row r="144" spans="1:26" s="24" customFormat="1" hidden="1" outlineLevel="1" x14ac:dyDescent="0.25">
      <c r="A144" s="44"/>
      <c r="B144" s="11" t="str">
        <f>CONCATENATE("          ", "5025", " - ", "PURCHASES @ COST-TEST FORMS")</f>
        <v xml:space="preserve">          5025 - PURCHASES @ COST-TEST FORMS</v>
      </c>
      <c r="C144" s="11"/>
      <c r="D144" s="2">
        <v>18846</v>
      </c>
      <c r="E144" s="2"/>
      <c r="F144" s="19">
        <f t="shared" si="10"/>
        <v>7.1467380574958151E-3</v>
      </c>
      <c r="G144" s="2"/>
      <c r="H144" s="2"/>
      <c r="I144" s="2"/>
      <c r="J144" s="19">
        <f t="shared" si="11"/>
        <v>0</v>
      </c>
      <c r="K144" s="2"/>
      <c r="L144" s="2">
        <f t="shared" si="12"/>
        <v>18846</v>
      </c>
      <c r="M144" s="2"/>
      <c r="N144" s="19">
        <f t="shared" si="13"/>
        <v>0</v>
      </c>
      <c r="O144" s="11"/>
      <c r="P144" s="2">
        <v>22098.390000000003</v>
      </c>
      <c r="Q144" s="2"/>
      <c r="R144" s="19">
        <f t="shared" si="14"/>
        <v>1.3730475397931276E-3</v>
      </c>
      <c r="S144" s="2"/>
      <c r="T144" s="2"/>
      <c r="U144" s="2"/>
      <c r="V144" s="19">
        <f t="shared" si="15"/>
        <v>0</v>
      </c>
      <c r="W144" s="2"/>
      <c r="X144" s="2">
        <f t="shared" si="16"/>
        <v>22098.390000000003</v>
      </c>
      <c r="Y144" s="2"/>
      <c r="Z144" s="19">
        <f t="shared" si="17"/>
        <v>0</v>
      </c>
    </row>
    <row r="145" spans="1:26" s="24" customFormat="1" hidden="1" outlineLevel="1" x14ac:dyDescent="0.25">
      <c r="A145" s="44"/>
      <c r="B145" s="11" t="str">
        <f>CONCATENATE("          ", "5026", " - ", "PURCHASES @ COST-WRITING INSTR")</f>
        <v xml:space="preserve">          5026 - PURCHASES @ COST-WRITING INSTR</v>
      </c>
      <c r="C145" s="11"/>
      <c r="D145" s="2">
        <v>4633</v>
      </c>
      <c r="E145" s="2"/>
      <c r="F145" s="19">
        <f t="shared" si="10"/>
        <v>1.7569159195785903E-3</v>
      </c>
      <c r="G145" s="2"/>
      <c r="H145" s="2"/>
      <c r="I145" s="2"/>
      <c r="J145" s="19">
        <f t="shared" si="11"/>
        <v>0</v>
      </c>
      <c r="K145" s="2"/>
      <c r="L145" s="2">
        <f t="shared" si="12"/>
        <v>4633</v>
      </c>
      <c r="M145" s="2"/>
      <c r="N145" s="19">
        <f t="shared" si="13"/>
        <v>0</v>
      </c>
      <c r="O145" s="11"/>
      <c r="P145" s="2">
        <v>29950.57</v>
      </c>
      <c r="Q145" s="2"/>
      <c r="R145" s="19">
        <f t="shared" si="14"/>
        <v>1.8609299796909118E-3</v>
      </c>
      <c r="S145" s="2"/>
      <c r="T145" s="2"/>
      <c r="U145" s="2"/>
      <c r="V145" s="19">
        <f t="shared" si="15"/>
        <v>0</v>
      </c>
      <c r="W145" s="2"/>
      <c r="X145" s="2">
        <f t="shared" si="16"/>
        <v>29950.57</v>
      </c>
      <c r="Y145" s="2"/>
      <c r="Z145" s="19">
        <f t="shared" si="17"/>
        <v>0</v>
      </c>
    </row>
    <row r="146" spans="1:26" s="24" customFormat="1" hidden="1" outlineLevel="1" x14ac:dyDescent="0.25">
      <c r="A146" s="44"/>
      <c r="B146" s="11" t="str">
        <f>CONCATENATE("          ", "5027", " - ", "PURCHASES @ COST-SCHOOL SUPPLI")</f>
        <v xml:space="preserve">          5027 - PURCHASES @ COST-SCHOOL SUPPLI</v>
      </c>
      <c r="C146" s="11"/>
      <c r="D146" s="2">
        <v>3483.98</v>
      </c>
      <c r="E146" s="2"/>
      <c r="F146" s="19">
        <f t="shared" si="10"/>
        <v>1.3211871196834486E-3</v>
      </c>
      <c r="G146" s="2"/>
      <c r="H146" s="2"/>
      <c r="I146" s="2"/>
      <c r="J146" s="19">
        <f t="shared" si="11"/>
        <v>0</v>
      </c>
      <c r="K146" s="2"/>
      <c r="L146" s="2">
        <f t="shared" si="12"/>
        <v>3483.98</v>
      </c>
      <c r="M146" s="2"/>
      <c r="N146" s="19">
        <f t="shared" si="13"/>
        <v>0</v>
      </c>
      <c r="O146" s="11"/>
      <c r="P146" s="2">
        <v>75506.36</v>
      </c>
      <c r="Q146" s="2"/>
      <c r="R146" s="19">
        <f t="shared" si="14"/>
        <v>4.691464936438094E-3</v>
      </c>
      <c r="S146" s="2"/>
      <c r="T146" s="2"/>
      <c r="U146" s="2"/>
      <c r="V146" s="19">
        <f t="shared" si="15"/>
        <v>0</v>
      </c>
      <c r="W146" s="2"/>
      <c r="X146" s="2">
        <f t="shared" si="16"/>
        <v>75506.36</v>
      </c>
      <c r="Y146" s="2"/>
      <c r="Z146" s="19">
        <f t="shared" si="17"/>
        <v>0</v>
      </c>
    </row>
    <row r="147" spans="1:26" s="24" customFormat="1" hidden="1" outlineLevel="1" x14ac:dyDescent="0.25">
      <c r="A147" s="44"/>
      <c r="B147" s="11" t="str">
        <f>CONCATENATE("          ", "5028", " - ", "PURCHASES @ COST-ART/TECH")</f>
        <v xml:space="preserve">          5028 - PURCHASES @ COST-ART/TECH</v>
      </c>
      <c r="C147" s="11"/>
      <c r="D147" s="2">
        <v>4931.4399999999996</v>
      </c>
      <c r="E147" s="2"/>
      <c r="F147" s="19">
        <f t="shared" si="10"/>
        <v>1.8700896702885047E-3</v>
      </c>
      <c r="G147" s="2"/>
      <c r="H147" s="2"/>
      <c r="I147" s="2"/>
      <c r="J147" s="19">
        <f t="shared" si="11"/>
        <v>0</v>
      </c>
      <c r="K147" s="2"/>
      <c r="L147" s="2">
        <f t="shared" si="12"/>
        <v>4931.4399999999996</v>
      </c>
      <c r="M147" s="2"/>
      <c r="N147" s="19">
        <f t="shared" si="13"/>
        <v>0</v>
      </c>
      <c r="O147" s="11"/>
      <c r="P147" s="2">
        <v>95270.51</v>
      </c>
      <c r="Q147" s="2"/>
      <c r="R147" s="19">
        <f t="shared" si="14"/>
        <v>5.919478268341564E-3</v>
      </c>
      <c r="S147" s="2"/>
      <c r="T147" s="2"/>
      <c r="U147" s="2"/>
      <c r="V147" s="19">
        <f t="shared" si="15"/>
        <v>0</v>
      </c>
      <c r="W147" s="2"/>
      <c r="X147" s="2">
        <f t="shared" si="16"/>
        <v>95270.51</v>
      </c>
      <c r="Y147" s="2"/>
      <c r="Z147" s="19">
        <f t="shared" si="17"/>
        <v>0</v>
      </c>
    </row>
    <row r="148" spans="1:26" s="24" customFormat="1" hidden="1" outlineLevel="1" x14ac:dyDescent="0.25">
      <c r="A148" s="44"/>
      <c r="B148" s="11" t="str">
        <f>CONCATENATE("          ", "5031", " - ", "PURCHASES @ COST-FOOD")</f>
        <v xml:space="preserve">          5031 - PURCHASES @ COST-FOOD</v>
      </c>
      <c r="C148" s="11"/>
      <c r="D148" s="2">
        <v>4825.3999999999996</v>
      </c>
      <c r="E148" s="2"/>
      <c r="F148" s="19">
        <f t="shared" si="10"/>
        <v>1.8298774181598379E-3</v>
      </c>
      <c r="G148" s="2"/>
      <c r="H148" s="2"/>
      <c r="I148" s="2"/>
      <c r="J148" s="19">
        <f t="shared" si="11"/>
        <v>0</v>
      </c>
      <c r="K148" s="2"/>
      <c r="L148" s="2">
        <f t="shared" si="12"/>
        <v>4825.3999999999996</v>
      </c>
      <c r="M148" s="2"/>
      <c r="N148" s="19">
        <f t="shared" si="13"/>
        <v>0</v>
      </c>
      <c r="O148" s="11"/>
      <c r="P148" s="2">
        <v>20814.489999999998</v>
      </c>
      <c r="Q148" s="2"/>
      <c r="R148" s="19">
        <f t="shared" si="14"/>
        <v>1.293274500384356E-3</v>
      </c>
      <c r="S148" s="2"/>
      <c r="T148" s="2"/>
      <c r="U148" s="2"/>
      <c r="V148" s="19">
        <f t="shared" si="15"/>
        <v>0</v>
      </c>
      <c r="W148" s="2"/>
      <c r="X148" s="2">
        <f t="shared" si="16"/>
        <v>20814.489999999998</v>
      </c>
      <c r="Y148" s="2"/>
      <c r="Z148" s="19">
        <f t="shared" si="17"/>
        <v>0</v>
      </c>
    </row>
    <row r="149" spans="1:26" s="24" customFormat="1" hidden="1" outlineLevel="1" x14ac:dyDescent="0.25">
      <c r="A149" s="44"/>
      <c r="B149" s="11" t="str">
        <f>CONCATENATE("          ", "5032", " - ", "PURCHASES @ COST-JUICE")</f>
        <v xml:space="preserve">          5032 - PURCHASES @ COST-JUICE</v>
      </c>
      <c r="C149" s="11"/>
      <c r="D149" s="2">
        <v>1278.21</v>
      </c>
      <c r="E149" s="2"/>
      <c r="F149" s="19">
        <f t="shared" si="10"/>
        <v>4.8471994335518021E-4</v>
      </c>
      <c r="G149" s="2"/>
      <c r="H149" s="2"/>
      <c r="I149" s="2"/>
      <c r="J149" s="19">
        <f t="shared" si="11"/>
        <v>0</v>
      </c>
      <c r="K149" s="2"/>
      <c r="L149" s="2">
        <f t="shared" si="12"/>
        <v>1278.21</v>
      </c>
      <c r="M149" s="2"/>
      <c r="N149" s="19">
        <f t="shared" si="13"/>
        <v>0</v>
      </c>
      <c r="O149" s="11"/>
      <c r="P149" s="2">
        <v>4662.49</v>
      </c>
      <c r="Q149" s="2"/>
      <c r="R149" s="19">
        <f t="shared" si="14"/>
        <v>2.8969623686657978E-4</v>
      </c>
      <c r="S149" s="2"/>
      <c r="T149" s="2"/>
      <c r="U149" s="2"/>
      <c r="V149" s="19">
        <f t="shared" si="15"/>
        <v>0</v>
      </c>
      <c r="W149" s="2"/>
      <c r="X149" s="2">
        <f t="shared" si="16"/>
        <v>4662.49</v>
      </c>
      <c r="Y149" s="2"/>
      <c r="Z149" s="19">
        <f t="shared" si="17"/>
        <v>0</v>
      </c>
    </row>
    <row r="150" spans="1:26" s="24" customFormat="1" hidden="1" outlineLevel="1" x14ac:dyDescent="0.25">
      <c r="A150" s="44"/>
      <c r="B150" s="11" t="str">
        <f>CONCATENATE("          ", "5033", " - ", "PURCHASES @ COST-CANDY")</f>
        <v xml:space="preserve">          5033 - PURCHASES @ COST-CANDY</v>
      </c>
      <c r="C150" s="11"/>
      <c r="D150" s="2">
        <v>1482.54</v>
      </c>
      <c r="E150" s="2"/>
      <c r="F150" s="19">
        <f t="shared" si="10"/>
        <v>5.62205509909787E-4</v>
      </c>
      <c r="G150" s="2"/>
      <c r="H150" s="2"/>
      <c r="I150" s="2"/>
      <c r="J150" s="19">
        <f t="shared" si="11"/>
        <v>0</v>
      </c>
      <c r="K150" s="2"/>
      <c r="L150" s="2">
        <f t="shared" si="12"/>
        <v>1482.54</v>
      </c>
      <c r="M150" s="2"/>
      <c r="N150" s="19">
        <f t="shared" si="13"/>
        <v>0</v>
      </c>
      <c r="O150" s="11"/>
      <c r="P150" s="2">
        <v>5937.74</v>
      </c>
      <c r="Q150" s="2"/>
      <c r="R150" s="19">
        <f t="shared" si="14"/>
        <v>3.6893182258667913E-4</v>
      </c>
      <c r="S150" s="2"/>
      <c r="T150" s="2"/>
      <c r="U150" s="2"/>
      <c r="V150" s="19">
        <f t="shared" si="15"/>
        <v>0</v>
      </c>
      <c r="W150" s="2"/>
      <c r="X150" s="2">
        <f t="shared" si="16"/>
        <v>5937.74</v>
      </c>
      <c r="Y150" s="2"/>
      <c r="Z150" s="19">
        <f t="shared" si="17"/>
        <v>0</v>
      </c>
    </row>
    <row r="151" spans="1:26" s="24" customFormat="1" hidden="1" outlineLevel="1" x14ac:dyDescent="0.25">
      <c r="A151" s="44"/>
      <c r="B151" s="11" t="str">
        <f>CONCATENATE("          ", "5034", " - ", "PURCHASES @ COST-SODA")</f>
        <v xml:space="preserve">          5034 - PURCHASES @ COST-SODA</v>
      </c>
      <c r="C151" s="11"/>
      <c r="D151" s="2">
        <v>587.38</v>
      </c>
      <c r="E151" s="2"/>
      <c r="F151" s="19">
        <f t="shared" si="10"/>
        <v>2.2274493262293814E-4</v>
      </c>
      <c r="G151" s="2"/>
      <c r="H151" s="2"/>
      <c r="I151" s="2"/>
      <c r="J151" s="19">
        <f t="shared" si="11"/>
        <v>0</v>
      </c>
      <c r="K151" s="2"/>
      <c r="L151" s="2">
        <f t="shared" si="12"/>
        <v>587.38</v>
      </c>
      <c r="M151" s="2"/>
      <c r="N151" s="19">
        <f t="shared" si="13"/>
        <v>0</v>
      </c>
      <c r="O151" s="11"/>
      <c r="P151" s="2">
        <v>2081.92</v>
      </c>
      <c r="Q151" s="2"/>
      <c r="R151" s="19">
        <f t="shared" si="14"/>
        <v>1.2935671485778412E-4</v>
      </c>
      <c r="S151" s="2"/>
      <c r="T151" s="2"/>
      <c r="U151" s="2"/>
      <c r="V151" s="19">
        <f t="shared" si="15"/>
        <v>0</v>
      </c>
      <c r="W151" s="2"/>
      <c r="X151" s="2">
        <f t="shared" si="16"/>
        <v>2081.92</v>
      </c>
      <c r="Y151" s="2"/>
      <c r="Z151" s="19">
        <f t="shared" si="17"/>
        <v>0</v>
      </c>
    </row>
    <row r="152" spans="1:26" s="24" customFormat="1" hidden="1" outlineLevel="1" x14ac:dyDescent="0.25">
      <c r="A152" s="44"/>
      <c r="B152" s="11" t="str">
        <f>CONCATENATE("          ", "5035", " - ", "PURCHASES @ COST-HEALTH &amp; BEAU")</f>
        <v xml:space="preserve">          5035 - PURCHASES @ COST-HEALTH &amp; BEAU</v>
      </c>
      <c r="C152" s="11"/>
      <c r="D152" s="2">
        <v>222.52</v>
      </c>
      <c r="E152" s="2"/>
      <c r="F152" s="19">
        <f t="shared" si="10"/>
        <v>8.4383537756233093E-5</v>
      </c>
      <c r="G152" s="2"/>
      <c r="H152" s="2"/>
      <c r="I152" s="2"/>
      <c r="J152" s="19">
        <f t="shared" si="11"/>
        <v>0</v>
      </c>
      <c r="K152" s="2"/>
      <c r="L152" s="2">
        <f t="shared" si="12"/>
        <v>222.52</v>
      </c>
      <c r="M152" s="2"/>
      <c r="N152" s="19">
        <f t="shared" si="13"/>
        <v>0</v>
      </c>
      <c r="O152" s="11"/>
      <c r="P152" s="2">
        <v>801.21</v>
      </c>
      <c r="Q152" s="2"/>
      <c r="R152" s="19">
        <f t="shared" si="14"/>
        <v>4.9781880913390149E-5</v>
      </c>
      <c r="S152" s="2"/>
      <c r="T152" s="2"/>
      <c r="U152" s="2"/>
      <c r="V152" s="19">
        <f t="shared" si="15"/>
        <v>0</v>
      </c>
      <c r="W152" s="2"/>
      <c r="X152" s="2">
        <f t="shared" si="16"/>
        <v>801.21</v>
      </c>
      <c r="Y152" s="2"/>
      <c r="Z152" s="19">
        <f t="shared" si="17"/>
        <v>0</v>
      </c>
    </row>
    <row r="153" spans="1:26" s="24" customFormat="1" hidden="1" outlineLevel="1" x14ac:dyDescent="0.25">
      <c r="A153" s="44"/>
      <c r="B153" s="11" t="str">
        <f>CONCATENATE("          ", "5037", " - ", "PURCHASES @ COST-WATER")</f>
        <v xml:space="preserve">          5037 - PURCHASES @ COST-WATER</v>
      </c>
      <c r="C153" s="11"/>
      <c r="D153" s="2">
        <v>667.52</v>
      </c>
      <c r="E153" s="2"/>
      <c r="F153" s="19">
        <f t="shared" si="10"/>
        <v>2.5313544455797554E-4</v>
      </c>
      <c r="G153" s="2"/>
      <c r="H153" s="2"/>
      <c r="I153" s="2"/>
      <c r="J153" s="19">
        <f t="shared" si="11"/>
        <v>0</v>
      </c>
      <c r="K153" s="2"/>
      <c r="L153" s="2">
        <f t="shared" si="12"/>
        <v>667.52</v>
      </c>
      <c r="M153" s="2"/>
      <c r="N153" s="19">
        <f t="shared" si="13"/>
        <v>0</v>
      </c>
      <c r="O153" s="11"/>
      <c r="P153" s="2">
        <v>3523.37</v>
      </c>
      <c r="Q153" s="2"/>
      <c r="R153" s="19">
        <f t="shared" si="14"/>
        <v>2.1891886740531375E-4</v>
      </c>
      <c r="S153" s="2"/>
      <c r="T153" s="2"/>
      <c r="U153" s="2"/>
      <c r="V153" s="19">
        <f t="shared" si="15"/>
        <v>0</v>
      </c>
      <c r="W153" s="2"/>
      <c r="X153" s="2">
        <f t="shared" si="16"/>
        <v>3523.37</v>
      </c>
      <c r="Y153" s="2"/>
      <c r="Z153" s="19">
        <f t="shared" si="17"/>
        <v>0</v>
      </c>
    </row>
    <row r="154" spans="1:26" s="24" customFormat="1" hidden="1" outlineLevel="1" x14ac:dyDescent="0.25">
      <c r="A154" s="44"/>
      <c r="B154" s="11" t="str">
        <f>CONCATENATE("          ", "5040", " - ", "PURCHASES @ COST-LOGO CLOTHING")</f>
        <v xml:space="preserve">          5040 - PURCHASES @ COST-LOGO CLOTHING</v>
      </c>
      <c r="C154" s="11"/>
      <c r="D154" s="2">
        <v>105691.4</v>
      </c>
      <c r="E154" s="2"/>
      <c r="F154" s="19">
        <f t="shared" si="10"/>
        <v>4.0080056814709393E-2</v>
      </c>
      <c r="G154" s="2"/>
      <c r="H154" s="2"/>
      <c r="I154" s="2"/>
      <c r="J154" s="19">
        <f t="shared" si="11"/>
        <v>0</v>
      </c>
      <c r="K154" s="2"/>
      <c r="L154" s="2">
        <f t="shared" si="12"/>
        <v>105691.4</v>
      </c>
      <c r="M154" s="2"/>
      <c r="N154" s="19">
        <f t="shared" si="13"/>
        <v>0</v>
      </c>
      <c r="O154" s="11"/>
      <c r="P154" s="2">
        <v>618292.30999999994</v>
      </c>
      <c r="Q154" s="2"/>
      <c r="R154" s="19">
        <f t="shared" si="14"/>
        <v>3.8416587593870392E-2</v>
      </c>
      <c r="S154" s="2"/>
      <c r="T154" s="2"/>
      <c r="U154" s="2"/>
      <c r="V154" s="19">
        <f t="shared" si="15"/>
        <v>0</v>
      </c>
      <c r="W154" s="2"/>
      <c r="X154" s="2">
        <f t="shared" si="16"/>
        <v>618292.30999999994</v>
      </c>
      <c r="Y154" s="2"/>
      <c r="Z154" s="19">
        <f t="shared" si="17"/>
        <v>0</v>
      </c>
    </row>
    <row r="155" spans="1:26" s="24" customFormat="1" hidden="1" outlineLevel="1" x14ac:dyDescent="0.25">
      <c r="A155" s="44"/>
      <c r="B155" s="11" t="str">
        <f>CONCATENATE("          ", "5041", " - ", "PURCHASES @ COST-LOGO GIFTS")</f>
        <v xml:space="preserve">          5041 - PURCHASES @ COST-LOGO GIFTS</v>
      </c>
      <c r="C155" s="11"/>
      <c r="D155" s="2">
        <v>18340.09</v>
      </c>
      <c r="E155" s="2"/>
      <c r="F155" s="19">
        <f t="shared" si="10"/>
        <v>6.9548879964394794E-3</v>
      </c>
      <c r="G155" s="2"/>
      <c r="H155" s="2"/>
      <c r="I155" s="2"/>
      <c r="J155" s="19">
        <f t="shared" si="11"/>
        <v>0</v>
      </c>
      <c r="K155" s="2"/>
      <c r="L155" s="2">
        <f t="shared" si="12"/>
        <v>18340.09</v>
      </c>
      <c r="M155" s="2"/>
      <c r="N155" s="19">
        <f t="shared" si="13"/>
        <v>0</v>
      </c>
      <c r="O155" s="11"/>
      <c r="P155" s="2">
        <v>88796.55</v>
      </c>
      <c r="Q155" s="2"/>
      <c r="R155" s="19">
        <f t="shared" si="14"/>
        <v>5.51722928772718E-3</v>
      </c>
      <c r="S155" s="2"/>
      <c r="T155" s="2"/>
      <c r="U155" s="2"/>
      <c r="V155" s="19">
        <f t="shared" si="15"/>
        <v>0</v>
      </c>
      <c r="W155" s="2"/>
      <c r="X155" s="2">
        <f t="shared" si="16"/>
        <v>88796.55</v>
      </c>
      <c r="Y155" s="2"/>
      <c r="Z155" s="19">
        <f t="shared" si="17"/>
        <v>0</v>
      </c>
    </row>
    <row r="156" spans="1:26" s="24" customFormat="1" hidden="1" outlineLevel="1" x14ac:dyDescent="0.25">
      <c r="A156" s="44"/>
      <c r="B156" s="11" t="str">
        <f>CONCATENATE("          ", "5042", " - ", "PURCHASES @ COST-EVERYDAY GIFT")</f>
        <v xml:space="preserve">          5042 - PURCHASES @ COST-EVERYDAY GIFT</v>
      </c>
      <c r="C156" s="11"/>
      <c r="D156" s="2">
        <v>31316.85</v>
      </c>
      <c r="E156" s="2"/>
      <c r="F156" s="19">
        <f t="shared" si="10"/>
        <v>1.1875905960728421E-2</v>
      </c>
      <c r="G156" s="2"/>
      <c r="H156" s="2"/>
      <c r="I156" s="2"/>
      <c r="J156" s="19">
        <f t="shared" si="11"/>
        <v>0</v>
      </c>
      <c r="K156" s="2"/>
      <c r="L156" s="2">
        <f t="shared" si="12"/>
        <v>31316.85</v>
      </c>
      <c r="M156" s="2"/>
      <c r="N156" s="19">
        <f t="shared" si="13"/>
        <v>0</v>
      </c>
      <c r="O156" s="11"/>
      <c r="P156" s="2">
        <v>80565.319999999992</v>
      </c>
      <c r="Q156" s="2"/>
      <c r="R156" s="19">
        <f t="shared" si="14"/>
        <v>5.0057951922581707E-3</v>
      </c>
      <c r="S156" s="2"/>
      <c r="T156" s="2"/>
      <c r="U156" s="2"/>
      <c r="V156" s="19">
        <f t="shared" si="15"/>
        <v>0</v>
      </c>
      <c r="W156" s="2"/>
      <c r="X156" s="2">
        <f t="shared" si="16"/>
        <v>80565.319999999992</v>
      </c>
      <c r="Y156" s="2"/>
      <c r="Z156" s="19">
        <f t="shared" si="17"/>
        <v>0</v>
      </c>
    </row>
    <row r="157" spans="1:26" s="24" customFormat="1" hidden="1" outlineLevel="1" x14ac:dyDescent="0.25">
      <c r="A157" s="44"/>
      <c r="B157" s="11" t="str">
        <f>CONCATENATE("          ", "5043", " - ", "PURCHASES @ COST-CARDS")</f>
        <v xml:space="preserve">          5043 - PURCHASES @ COST-CARDS</v>
      </c>
      <c r="C157" s="11"/>
      <c r="D157" s="2">
        <v>2188.66</v>
      </c>
      <c r="E157" s="2"/>
      <c r="F157" s="19">
        <f t="shared" si="10"/>
        <v>8.2997876031618326E-4</v>
      </c>
      <c r="G157" s="2"/>
      <c r="H157" s="2"/>
      <c r="I157" s="2"/>
      <c r="J157" s="19">
        <f t="shared" si="11"/>
        <v>0</v>
      </c>
      <c r="K157" s="2"/>
      <c r="L157" s="2">
        <f t="shared" si="12"/>
        <v>2188.66</v>
      </c>
      <c r="M157" s="2"/>
      <c r="N157" s="19">
        <f t="shared" si="13"/>
        <v>0</v>
      </c>
      <c r="O157" s="11"/>
      <c r="P157" s="2">
        <v>3528.74</v>
      </c>
      <c r="Q157" s="2"/>
      <c r="R157" s="19">
        <f t="shared" si="14"/>
        <v>2.1925252362591121E-4</v>
      </c>
      <c r="S157" s="2"/>
      <c r="T157" s="2"/>
      <c r="U157" s="2"/>
      <c r="V157" s="19">
        <f t="shared" si="15"/>
        <v>0</v>
      </c>
      <c r="W157" s="2"/>
      <c r="X157" s="2">
        <f t="shared" si="16"/>
        <v>3528.74</v>
      </c>
      <c r="Y157" s="2"/>
      <c r="Z157" s="19">
        <f t="shared" si="17"/>
        <v>0</v>
      </c>
    </row>
    <row r="158" spans="1:26" s="24" customFormat="1" hidden="1" outlineLevel="1" x14ac:dyDescent="0.25">
      <c r="A158" s="44"/>
      <c r="B158" s="11" t="str">
        <f>CONCATENATE("          ", "5044", " - ", "PURCHASES @ COST-ACCESSORIES")</f>
        <v xml:space="preserve">          5044 - PURCHASES @ COST-ACCESSORIES</v>
      </c>
      <c r="C158" s="11"/>
      <c r="D158" s="2">
        <v>-6895.55</v>
      </c>
      <c r="E158" s="2"/>
      <c r="F158" s="19">
        <f t="shared" si="10"/>
        <v>-2.6149150807792247E-3</v>
      </c>
      <c r="G158" s="2"/>
      <c r="H158" s="2"/>
      <c r="I158" s="2"/>
      <c r="J158" s="19">
        <f t="shared" si="11"/>
        <v>0</v>
      </c>
      <c r="K158" s="2"/>
      <c r="L158" s="2">
        <f t="shared" si="12"/>
        <v>-6895.55</v>
      </c>
      <c r="M158" s="2"/>
      <c r="N158" s="19">
        <f t="shared" si="13"/>
        <v>0</v>
      </c>
      <c r="O158" s="11"/>
      <c r="P158" s="2">
        <v>17255.580000000002</v>
      </c>
      <c r="Q158" s="2"/>
      <c r="R158" s="19">
        <f t="shared" si="14"/>
        <v>1.0721474128524066E-3</v>
      </c>
      <c r="S158" s="2"/>
      <c r="T158" s="2"/>
      <c r="U158" s="2"/>
      <c r="V158" s="19">
        <f t="shared" si="15"/>
        <v>0</v>
      </c>
      <c r="W158" s="2"/>
      <c r="X158" s="2">
        <f t="shared" si="16"/>
        <v>17255.580000000002</v>
      </c>
      <c r="Y158" s="2"/>
      <c r="Z158" s="19">
        <f t="shared" si="17"/>
        <v>0</v>
      </c>
    </row>
    <row r="159" spans="1:26" s="24" customFormat="1" hidden="1" outlineLevel="1" x14ac:dyDescent="0.25">
      <c r="A159" s="44"/>
      <c r="B159" s="11" t="str">
        <f>CONCATENATE("          ", "5045", " - ", "PURCHASES @ COST-SPECIAL ORDER")</f>
        <v xml:space="preserve">          5045 - PURCHASES @ COST-SPECIAL ORDER</v>
      </c>
      <c r="C159" s="11"/>
      <c r="D159" s="2">
        <v>14163.29</v>
      </c>
      <c r="E159" s="2"/>
      <c r="F159" s="19">
        <f t="shared" si="10"/>
        <v>5.3709712226652825E-3</v>
      </c>
      <c r="G159" s="2"/>
      <c r="H159" s="2"/>
      <c r="I159" s="2"/>
      <c r="J159" s="19">
        <f t="shared" si="11"/>
        <v>0</v>
      </c>
      <c r="K159" s="2"/>
      <c r="L159" s="2">
        <f t="shared" si="12"/>
        <v>14163.29</v>
      </c>
      <c r="M159" s="2"/>
      <c r="N159" s="19">
        <f t="shared" si="13"/>
        <v>0</v>
      </c>
      <c r="O159" s="11"/>
      <c r="P159" s="2">
        <v>42226.49</v>
      </c>
      <c r="Q159" s="2"/>
      <c r="R159" s="19">
        <f t="shared" si="14"/>
        <v>2.623674313314187E-3</v>
      </c>
      <c r="S159" s="2"/>
      <c r="T159" s="2"/>
      <c r="U159" s="2"/>
      <c r="V159" s="19">
        <f t="shared" si="15"/>
        <v>0</v>
      </c>
      <c r="W159" s="2"/>
      <c r="X159" s="2">
        <f t="shared" si="16"/>
        <v>42226.49</v>
      </c>
      <c r="Y159" s="2"/>
      <c r="Z159" s="19">
        <f t="shared" si="17"/>
        <v>0</v>
      </c>
    </row>
    <row r="160" spans="1:26" s="24" customFormat="1" hidden="1" outlineLevel="1" x14ac:dyDescent="0.25">
      <c r="A160" s="44"/>
      <c r="B160" s="11" t="str">
        <f>CONCATENATE("          ", "5053", " - ", "PURCHASES @ COST-FOOD")</f>
        <v xml:space="preserve">          5053 - PURCHASES @ COST-FOOD</v>
      </c>
      <c r="C160" s="11"/>
      <c r="D160" s="2">
        <v>556128.4</v>
      </c>
      <c r="E160" s="2"/>
      <c r="F160" s="19">
        <f t="shared" si="10"/>
        <v>0.21089377062157785</v>
      </c>
      <c r="G160" s="2"/>
      <c r="H160" s="2"/>
      <c r="I160" s="2"/>
      <c r="J160" s="19">
        <f t="shared" si="11"/>
        <v>0</v>
      </c>
      <c r="K160" s="2"/>
      <c r="L160" s="2">
        <f t="shared" si="12"/>
        <v>556128.4</v>
      </c>
      <c r="M160" s="2"/>
      <c r="N160" s="19">
        <f t="shared" si="13"/>
        <v>0</v>
      </c>
      <c r="O160" s="11"/>
      <c r="P160" s="2">
        <v>2894729.38</v>
      </c>
      <c r="Q160" s="2"/>
      <c r="R160" s="19">
        <f t="shared" si="14"/>
        <v>0.17985930439167219</v>
      </c>
      <c r="S160" s="2"/>
      <c r="T160" s="2"/>
      <c r="U160" s="2"/>
      <c r="V160" s="19">
        <f t="shared" si="15"/>
        <v>0</v>
      </c>
      <c r="W160" s="2"/>
      <c r="X160" s="2">
        <f t="shared" si="16"/>
        <v>2894729.38</v>
      </c>
      <c r="Y160" s="2"/>
      <c r="Z160" s="19">
        <f t="shared" si="17"/>
        <v>0</v>
      </c>
    </row>
    <row r="161" spans="1:26" s="24" customFormat="1" hidden="1" outlineLevel="1" x14ac:dyDescent="0.25">
      <c r="A161" s="44"/>
      <c r="B161" s="11" t="str">
        <f>CONCATENATE("          ", "5059", " - ", "PURCHASES @ COST-FOOD")</f>
        <v xml:space="preserve">          5059 - PURCHASES @ COST-FOOD</v>
      </c>
      <c r="C161" s="11"/>
      <c r="D161" s="2">
        <v>39806.47</v>
      </c>
      <c r="E161" s="2"/>
      <c r="F161" s="19">
        <f t="shared" si="10"/>
        <v>1.5095320709092936E-2</v>
      </c>
      <c r="G161" s="2"/>
      <c r="H161" s="2"/>
      <c r="I161" s="2"/>
      <c r="J161" s="19">
        <f t="shared" si="11"/>
        <v>0</v>
      </c>
      <c r="K161" s="2"/>
      <c r="L161" s="2">
        <f t="shared" si="12"/>
        <v>39806.47</v>
      </c>
      <c r="M161" s="2"/>
      <c r="N161" s="19">
        <f t="shared" si="13"/>
        <v>0</v>
      </c>
      <c r="O161" s="11"/>
      <c r="P161" s="2">
        <v>-69780.160000000003</v>
      </c>
      <c r="Q161" s="2"/>
      <c r="R161" s="19">
        <f t="shared" si="14"/>
        <v>-4.3356768078747273E-3</v>
      </c>
      <c r="S161" s="2"/>
      <c r="T161" s="2"/>
      <c r="U161" s="2"/>
      <c r="V161" s="19">
        <f t="shared" si="15"/>
        <v>0</v>
      </c>
      <c r="W161" s="2"/>
      <c r="X161" s="2">
        <f t="shared" si="16"/>
        <v>-69780.160000000003</v>
      </c>
      <c r="Y161" s="2"/>
      <c r="Z161" s="19">
        <f t="shared" si="17"/>
        <v>0</v>
      </c>
    </row>
    <row r="162" spans="1:26" s="24" customFormat="1" hidden="1" outlineLevel="1" x14ac:dyDescent="0.25">
      <c r="A162" s="44"/>
      <c r="B162" s="11" t="str">
        <f>CONCATENATE("          ", "5081", " - ", "PURCHASES @ COST-ELECTRONICS")</f>
        <v xml:space="preserve">          5081 - PURCHASES @ COST-ELECTRONICS</v>
      </c>
      <c r="C162" s="11"/>
      <c r="D162" s="2">
        <v>16915.849999999999</v>
      </c>
      <c r="E162" s="2"/>
      <c r="F162" s="19">
        <f t="shared" si="10"/>
        <v>6.4147908824095604E-3</v>
      </c>
      <c r="G162" s="2"/>
      <c r="H162" s="2"/>
      <c r="I162" s="2"/>
      <c r="J162" s="19">
        <f t="shared" si="11"/>
        <v>0</v>
      </c>
      <c r="K162" s="2"/>
      <c r="L162" s="2">
        <f t="shared" si="12"/>
        <v>16915.849999999999</v>
      </c>
      <c r="M162" s="2"/>
      <c r="N162" s="19">
        <f t="shared" si="13"/>
        <v>0</v>
      </c>
      <c r="O162" s="11"/>
      <c r="P162" s="2">
        <v>186052.53999999998</v>
      </c>
      <c r="Q162" s="2"/>
      <c r="R162" s="19">
        <f t="shared" si="14"/>
        <v>1.1560072128298142E-2</v>
      </c>
      <c r="S162" s="2"/>
      <c r="T162" s="2"/>
      <c r="U162" s="2"/>
      <c r="V162" s="19">
        <f t="shared" si="15"/>
        <v>0</v>
      </c>
      <c r="W162" s="2"/>
      <c r="X162" s="2">
        <f t="shared" si="16"/>
        <v>186052.53999999998</v>
      </c>
      <c r="Y162" s="2"/>
      <c r="Z162" s="19">
        <f t="shared" si="17"/>
        <v>0</v>
      </c>
    </row>
    <row r="163" spans="1:26" s="24" customFormat="1" hidden="1" outlineLevel="1" x14ac:dyDescent="0.25">
      <c r="A163" s="44"/>
      <c r="B163" s="11" t="str">
        <f>CONCATENATE("          ", "5082", " - ", "PURCHASES @ COST-COMPUTER HARD")</f>
        <v xml:space="preserve">          5082 - PURCHASES @ COST-COMPUTER HARD</v>
      </c>
      <c r="C163" s="11"/>
      <c r="D163" s="2">
        <v>62807.55999999999</v>
      </c>
      <c r="E163" s="2"/>
      <c r="F163" s="19">
        <f t="shared" si="10"/>
        <v>2.3817742722617628E-2</v>
      </c>
      <c r="G163" s="2"/>
      <c r="H163" s="2"/>
      <c r="I163" s="2"/>
      <c r="J163" s="19">
        <f t="shared" si="11"/>
        <v>0</v>
      </c>
      <c r="K163" s="2"/>
      <c r="L163" s="2">
        <f t="shared" si="12"/>
        <v>62807.55999999999</v>
      </c>
      <c r="M163" s="2"/>
      <c r="N163" s="19">
        <f t="shared" si="13"/>
        <v>0</v>
      </c>
      <c r="O163" s="11"/>
      <c r="P163" s="2">
        <v>958594.8600000001</v>
      </c>
      <c r="Q163" s="2"/>
      <c r="R163" s="19">
        <f t="shared" si="14"/>
        <v>5.9560733346697994E-2</v>
      </c>
      <c r="S163" s="2"/>
      <c r="T163" s="2"/>
      <c r="U163" s="2"/>
      <c r="V163" s="19">
        <f t="shared" si="15"/>
        <v>0</v>
      </c>
      <c r="W163" s="2"/>
      <c r="X163" s="2">
        <f t="shared" si="16"/>
        <v>958594.8600000001</v>
      </c>
      <c r="Y163" s="2"/>
      <c r="Z163" s="19">
        <f t="shared" si="17"/>
        <v>0</v>
      </c>
    </row>
    <row r="164" spans="1:26" s="24" customFormat="1" hidden="1" outlineLevel="1" x14ac:dyDescent="0.25">
      <c r="A164" s="44"/>
      <c r="B164" s="11" t="str">
        <f>CONCATENATE("          ", "5083", " - ", "PURCHASES @ COST-COMPUTER EQUI")</f>
        <v xml:space="preserve">          5083 - PURCHASES @ COST-COMPUTER EQUI</v>
      </c>
      <c r="C164" s="11"/>
      <c r="D164" s="2">
        <v>7127.48</v>
      </c>
      <c r="E164" s="2"/>
      <c r="F164" s="19">
        <f t="shared" si="10"/>
        <v>2.7028670577332204E-3</v>
      </c>
      <c r="G164" s="2"/>
      <c r="H164" s="2"/>
      <c r="I164" s="2"/>
      <c r="J164" s="19">
        <f t="shared" si="11"/>
        <v>0</v>
      </c>
      <c r="K164" s="2"/>
      <c r="L164" s="2">
        <f t="shared" si="12"/>
        <v>7127.48</v>
      </c>
      <c r="M164" s="2"/>
      <c r="N164" s="19">
        <f t="shared" si="13"/>
        <v>0</v>
      </c>
      <c r="O164" s="11"/>
      <c r="P164" s="2">
        <v>49168.32</v>
      </c>
      <c r="Q164" s="2"/>
      <c r="R164" s="19">
        <f t="shared" si="14"/>
        <v>3.0549936358151533E-3</v>
      </c>
      <c r="S164" s="2"/>
      <c r="T164" s="2"/>
      <c r="U164" s="2"/>
      <c r="V164" s="19">
        <f t="shared" si="15"/>
        <v>0</v>
      </c>
      <c r="W164" s="2"/>
      <c r="X164" s="2">
        <f t="shared" si="16"/>
        <v>49168.32</v>
      </c>
      <c r="Y164" s="2"/>
      <c r="Z164" s="19">
        <f t="shared" si="17"/>
        <v>0</v>
      </c>
    </row>
    <row r="165" spans="1:26" s="24" customFormat="1" hidden="1" outlineLevel="1" x14ac:dyDescent="0.25">
      <c r="A165" s="44"/>
      <c r="B165" s="11" t="str">
        <f>CONCATENATE("          ", "5084", " - ", "PURCHASES @ COST-SOFTWARE LICE")</f>
        <v xml:space="preserve">          5084 - PURCHASES @ COST-SOFTWARE LICE</v>
      </c>
      <c r="C165" s="11"/>
      <c r="D165" s="2"/>
      <c r="E165" s="2"/>
      <c r="F165" s="19">
        <f t="shared" si="10"/>
        <v>0</v>
      </c>
      <c r="G165" s="2"/>
      <c r="H165" s="2"/>
      <c r="I165" s="2"/>
      <c r="J165" s="19">
        <f t="shared" si="11"/>
        <v>0</v>
      </c>
      <c r="K165" s="2"/>
      <c r="L165" s="2">
        <f t="shared" si="12"/>
        <v>0</v>
      </c>
      <c r="M165" s="2"/>
      <c r="N165" s="19">
        <f t="shared" si="13"/>
        <v>0</v>
      </c>
      <c r="O165" s="11"/>
      <c r="P165" s="2">
        <v>2728</v>
      </c>
      <c r="Q165" s="2"/>
      <c r="R165" s="19">
        <f t="shared" si="14"/>
        <v>1.6949984539849517E-4</v>
      </c>
      <c r="S165" s="2"/>
      <c r="T165" s="2"/>
      <c r="U165" s="2"/>
      <c r="V165" s="19">
        <f t="shared" si="15"/>
        <v>0</v>
      </c>
      <c r="W165" s="2"/>
      <c r="X165" s="2">
        <f t="shared" si="16"/>
        <v>2728</v>
      </c>
      <c r="Y165" s="2"/>
      <c r="Z165" s="19">
        <f t="shared" si="17"/>
        <v>0</v>
      </c>
    </row>
    <row r="166" spans="1:26" s="24" customFormat="1" hidden="1" outlineLevel="1" x14ac:dyDescent="0.25">
      <c r="A166" s="44"/>
      <c r="B166" s="11" t="str">
        <f>CONCATENATE("          ", "5085", " - ", "PURCHASES @ COST-SOFTWARE")</f>
        <v xml:space="preserve">          5085 - PURCHASES @ COST-SOFTWARE</v>
      </c>
      <c r="C166" s="11"/>
      <c r="D166" s="2">
        <v>148.36000000000001</v>
      </c>
      <c r="E166" s="2"/>
      <c r="F166" s="19">
        <f t="shared" si="10"/>
        <v>5.6260748074396652E-5</v>
      </c>
      <c r="G166" s="2"/>
      <c r="H166" s="2"/>
      <c r="I166" s="2"/>
      <c r="J166" s="19">
        <f t="shared" si="11"/>
        <v>0</v>
      </c>
      <c r="K166" s="2"/>
      <c r="L166" s="2">
        <f t="shared" si="12"/>
        <v>148.36000000000001</v>
      </c>
      <c r="M166" s="2"/>
      <c r="N166" s="19">
        <f t="shared" si="13"/>
        <v>0</v>
      </c>
      <c r="O166" s="11"/>
      <c r="P166" s="2">
        <v>7080.4</v>
      </c>
      <c r="Q166" s="2"/>
      <c r="R166" s="19">
        <f t="shared" si="14"/>
        <v>4.3992914419336697E-4</v>
      </c>
      <c r="S166" s="2"/>
      <c r="T166" s="2"/>
      <c r="U166" s="2"/>
      <c r="V166" s="19">
        <f t="shared" si="15"/>
        <v>0</v>
      </c>
      <c r="W166" s="2"/>
      <c r="X166" s="2">
        <f t="shared" si="16"/>
        <v>7080.4</v>
      </c>
      <c r="Y166" s="2"/>
      <c r="Z166" s="19">
        <f t="shared" si="17"/>
        <v>0</v>
      </c>
    </row>
    <row r="167" spans="1:26" s="24" customFormat="1" hidden="1" outlineLevel="1" x14ac:dyDescent="0.25">
      <c r="A167" s="44"/>
      <c r="B167" s="11" t="str">
        <f>CONCATENATE("          ", "5086", " - ", "PURCHASES @ COST-COMPUTER SUPP")</f>
        <v xml:space="preserve">          5086 - PURCHASES @ COST-COMPUTER SUPP</v>
      </c>
      <c r="C167" s="11"/>
      <c r="D167" s="2">
        <v>913.55</v>
      </c>
      <c r="E167" s="2"/>
      <c r="F167" s="19">
        <f t="shared" si="10"/>
        <v>3.4643439204209389E-4</v>
      </c>
      <c r="G167" s="2"/>
      <c r="H167" s="2"/>
      <c r="I167" s="2"/>
      <c r="J167" s="19">
        <f t="shared" si="11"/>
        <v>0</v>
      </c>
      <c r="K167" s="2"/>
      <c r="L167" s="2">
        <f t="shared" si="12"/>
        <v>913.55</v>
      </c>
      <c r="M167" s="2"/>
      <c r="N167" s="19">
        <f t="shared" si="13"/>
        <v>0</v>
      </c>
      <c r="O167" s="11"/>
      <c r="P167" s="2">
        <v>19422.649999999998</v>
      </c>
      <c r="Q167" s="2"/>
      <c r="R167" s="19">
        <f t="shared" si="14"/>
        <v>1.2067947845414522E-3</v>
      </c>
      <c r="S167" s="2"/>
      <c r="T167" s="2"/>
      <c r="U167" s="2"/>
      <c r="V167" s="19">
        <f t="shared" si="15"/>
        <v>0</v>
      </c>
      <c r="W167" s="2"/>
      <c r="X167" s="2">
        <f t="shared" si="16"/>
        <v>19422.649999999998</v>
      </c>
      <c r="Y167" s="2"/>
      <c r="Z167" s="19">
        <f t="shared" si="17"/>
        <v>0</v>
      </c>
    </row>
    <row r="168" spans="1:26" s="24" customFormat="1" hidden="1" outlineLevel="1" x14ac:dyDescent="0.25">
      <c r="A168" s="44"/>
      <c r="B168" s="11" t="str">
        <f>CONCATENATE("          ", "5088", " - ", "PURCHASES @ COST-MUSIC")</f>
        <v xml:space="preserve">          5088 - PURCHASES @ COST-MUSIC</v>
      </c>
      <c r="C168" s="11"/>
      <c r="D168" s="2"/>
      <c r="E168" s="2"/>
      <c r="F168" s="19">
        <f t="shared" si="10"/>
        <v>0</v>
      </c>
      <c r="G168" s="2"/>
      <c r="H168" s="2"/>
      <c r="I168" s="2"/>
      <c r="J168" s="19">
        <f t="shared" si="11"/>
        <v>0</v>
      </c>
      <c r="K168" s="2"/>
      <c r="L168" s="2">
        <f t="shared" si="12"/>
        <v>0</v>
      </c>
      <c r="M168" s="2"/>
      <c r="N168" s="19">
        <f t="shared" si="13"/>
        <v>0</v>
      </c>
      <c r="O168" s="11"/>
      <c r="P168" s="2">
        <v>88.75</v>
      </c>
      <c r="Q168" s="2"/>
      <c r="R168" s="19">
        <f t="shared" si="14"/>
        <v>5.5143369791482573E-6</v>
      </c>
      <c r="S168" s="2"/>
      <c r="T168" s="2"/>
      <c r="U168" s="2"/>
      <c r="V168" s="19">
        <f t="shared" si="15"/>
        <v>0</v>
      </c>
      <c r="W168" s="2"/>
      <c r="X168" s="2">
        <f t="shared" si="16"/>
        <v>88.75</v>
      </c>
      <c r="Y168" s="2"/>
      <c r="Z168" s="19">
        <f t="shared" si="17"/>
        <v>0</v>
      </c>
    </row>
    <row r="169" spans="1:26" s="24" customFormat="1" hidden="1" outlineLevel="1" x14ac:dyDescent="0.25">
      <c r="A169" s="44"/>
      <c r="B169" s="11" t="str">
        <f>CONCATENATE("          ", "5092", " - ", "PURCHASES @ COST-GRAD MERCH")</f>
        <v xml:space="preserve">          5092 - PURCHASES @ COST-GRAD MERCH</v>
      </c>
      <c r="C169" s="11"/>
      <c r="D169" s="2">
        <v>628</v>
      </c>
      <c r="E169" s="2"/>
      <c r="F169" s="19">
        <f t="shared" si="10"/>
        <v>2.3814875836290842E-4</v>
      </c>
      <c r="G169" s="2"/>
      <c r="H169" s="2"/>
      <c r="I169" s="2"/>
      <c r="J169" s="19">
        <f t="shared" si="11"/>
        <v>0</v>
      </c>
      <c r="K169" s="2"/>
      <c r="L169" s="2">
        <f t="shared" si="12"/>
        <v>628</v>
      </c>
      <c r="M169" s="2"/>
      <c r="N169" s="19">
        <f t="shared" si="13"/>
        <v>0</v>
      </c>
      <c r="O169" s="11"/>
      <c r="P169" s="2">
        <v>1924.14</v>
      </c>
      <c r="Q169" s="2"/>
      <c r="R169" s="19">
        <f t="shared" si="14"/>
        <v>1.1955331104291075E-4</v>
      </c>
      <c r="S169" s="2"/>
      <c r="T169" s="2"/>
      <c r="U169" s="2"/>
      <c r="V169" s="19">
        <f t="shared" si="15"/>
        <v>0</v>
      </c>
      <c r="W169" s="2"/>
      <c r="X169" s="2">
        <f t="shared" si="16"/>
        <v>1924.14</v>
      </c>
      <c r="Y169" s="2"/>
      <c r="Z169" s="19">
        <f t="shared" si="17"/>
        <v>0</v>
      </c>
    </row>
    <row r="170" spans="1:26" s="24" customFormat="1" hidden="1" outlineLevel="1" x14ac:dyDescent="0.25">
      <c r="A170" s="44"/>
      <c r="B170" s="11" t="str">
        <f>CONCATENATE("          ", "5095", " - ", "PURCHASES @ COST-CUSTOMER SERV")</f>
        <v xml:space="preserve">          5095 - PURCHASES @ COST-CUSTOMER SERV</v>
      </c>
      <c r="C170" s="11"/>
      <c r="D170" s="2"/>
      <c r="E170" s="2"/>
      <c r="F170" s="19">
        <f t="shared" si="10"/>
        <v>0</v>
      </c>
      <c r="G170" s="2"/>
      <c r="H170" s="2"/>
      <c r="I170" s="2"/>
      <c r="J170" s="19">
        <f t="shared" si="11"/>
        <v>0</v>
      </c>
      <c r="K170" s="2"/>
      <c r="L170" s="2">
        <f t="shared" si="12"/>
        <v>0</v>
      </c>
      <c r="M170" s="2"/>
      <c r="N170" s="19">
        <f t="shared" si="13"/>
        <v>0</v>
      </c>
      <c r="O170" s="11"/>
      <c r="P170" s="2">
        <v>0</v>
      </c>
      <c r="Q170" s="2"/>
      <c r="R170" s="19">
        <f t="shared" si="14"/>
        <v>0</v>
      </c>
      <c r="S170" s="2"/>
      <c r="T170" s="2"/>
      <c r="U170" s="2"/>
      <c r="V170" s="19">
        <f t="shared" si="15"/>
        <v>0</v>
      </c>
      <c r="W170" s="2"/>
      <c r="X170" s="2">
        <f t="shared" si="16"/>
        <v>0</v>
      </c>
      <c r="Y170" s="2"/>
      <c r="Z170" s="19">
        <f t="shared" si="17"/>
        <v>0</v>
      </c>
    </row>
    <row r="171" spans="1:26" s="24" customFormat="1" hidden="1" outlineLevel="1" x14ac:dyDescent="0.25">
      <c r="A171" s="44"/>
      <c r="B171" s="11" t="str">
        <f>CONCATENATE("          ", "5200", " - ", "PURCHASES OFFSET")</f>
        <v xml:space="preserve">          5200 - PURCHASES OFFSET</v>
      </c>
      <c r="C171" s="11"/>
      <c r="D171" s="2">
        <v>27177</v>
      </c>
      <c r="E171" s="2"/>
      <c r="F171" s="19">
        <f t="shared" si="10"/>
        <v>1.0306001283485289E-2</v>
      </c>
      <c r="G171" s="2"/>
      <c r="H171" s="2"/>
      <c r="I171" s="2"/>
      <c r="J171" s="19">
        <f t="shared" si="11"/>
        <v>0</v>
      </c>
      <c r="K171" s="2"/>
      <c r="L171" s="2">
        <f t="shared" si="12"/>
        <v>27177</v>
      </c>
      <c r="M171" s="2"/>
      <c r="N171" s="19">
        <f t="shared" si="13"/>
        <v>0</v>
      </c>
      <c r="O171" s="11"/>
      <c r="P171" s="2">
        <v>-3845644</v>
      </c>
      <c r="Q171" s="2"/>
      <c r="R171" s="19">
        <f t="shared" si="14"/>
        <v>-0.23894283851086898</v>
      </c>
      <c r="S171" s="2"/>
      <c r="T171" s="2"/>
      <c r="U171" s="2"/>
      <c r="V171" s="19">
        <f t="shared" si="15"/>
        <v>0</v>
      </c>
      <c r="W171" s="2"/>
      <c r="X171" s="2">
        <f t="shared" si="16"/>
        <v>-3845644</v>
      </c>
      <c r="Y171" s="2"/>
      <c r="Z171" s="19">
        <f t="shared" si="17"/>
        <v>0</v>
      </c>
    </row>
    <row r="172" spans="1:26" s="24" customFormat="1" hidden="1" outlineLevel="1" x14ac:dyDescent="0.25">
      <c r="A172" s="44"/>
      <c r="B172" s="11" t="str">
        <f>CONCATENATE("          ", "5300", " - ", "COG$ OFFSET")</f>
        <v xml:space="preserve">          5300 - COG$ OFFSET</v>
      </c>
      <c r="C172" s="11"/>
      <c r="D172" s="2">
        <v>346925</v>
      </c>
      <c r="E172" s="2"/>
      <c r="F172" s="19">
        <f t="shared" si="10"/>
        <v>0.13156012419594268</v>
      </c>
      <c r="G172" s="2"/>
      <c r="H172" s="2"/>
      <c r="I172" s="2"/>
      <c r="J172" s="19">
        <f t="shared" si="11"/>
        <v>0</v>
      </c>
      <c r="K172" s="2"/>
      <c r="L172" s="2">
        <f t="shared" si="12"/>
        <v>346925</v>
      </c>
      <c r="M172" s="2"/>
      <c r="N172" s="19">
        <f t="shared" si="13"/>
        <v>0</v>
      </c>
      <c r="O172" s="11"/>
      <c r="P172" s="2">
        <v>3679397</v>
      </c>
      <c r="Q172" s="2"/>
      <c r="R172" s="19">
        <f t="shared" si="14"/>
        <v>0.22861335141484124</v>
      </c>
      <c r="S172" s="2"/>
      <c r="T172" s="2"/>
      <c r="U172" s="2"/>
      <c r="V172" s="19">
        <f t="shared" si="15"/>
        <v>0</v>
      </c>
      <c r="W172" s="2"/>
      <c r="X172" s="2">
        <f t="shared" si="16"/>
        <v>3679397</v>
      </c>
      <c r="Y172" s="2"/>
      <c r="Z172" s="19">
        <f t="shared" si="17"/>
        <v>0</v>
      </c>
    </row>
    <row r="173" spans="1:26" s="24" customFormat="1" hidden="1" outlineLevel="1" x14ac:dyDescent="0.25">
      <c r="A173" s="44"/>
      <c r="B173" s="11" t="str">
        <f>CONCATENATE("          ", "5500", " - ", "FREIGHT-IN")</f>
        <v xml:space="preserve">          5500 - FREIGHT-IN</v>
      </c>
      <c r="C173" s="11"/>
      <c r="D173" s="2"/>
      <c r="E173" s="2"/>
      <c r="F173" s="19">
        <f t="shared" si="10"/>
        <v>0</v>
      </c>
      <c r="G173" s="2"/>
      <c r="H173" s="2"/>
      <c r="I173" s="2"/>
      <c r="J173" s="19">
        <f t="shared" si="11"/>
        <v>0</v>
      </c>
      <c r="K173" s="2"/>
      <c r="L173" s="2">
        <f t="shared" si="12"/>
        <v>0</v>
      </c>
      <c r="M173" s="2"/>
      <c r="N173" s="19">
        <f t="shared" si="13"/>
        <v>0</v>
      </c>
      <c r="O173" s="11"/>
      <c r="P173" s="2">
        <v>35.229999999999997</v>
      </c>
      <c r="Q173" s="2"/>
      <c r="R173" s="19">
        <f t="shared" si="14"/>
        <v>2.1889587805678095E-6</v>
      </c>
      <c r="S173" s="2"/>
      <c r="T173" s="2"/>
      <c r="U173" s="2"/>
      <c r="V173" s="19">
        <f t="shared" si="15"/>
        <v>0</v>
      </c>
      <c r="W173" s="2"/>
      <c r="X173" s="2">
        <f t="shared" si="16"/>
        <v>35.229999999999997</v>
      </c>
      <c r="Y173" s="2"/>
      <c r="Z173" s="19">
        <f t="shared" si="17"/>
        <v>0</v>
      </c>
    </row>
    <row r="174" spans="1:26" s="24" customFormat="1" hidden="1" outlineLevel="1" x14ac:dyDescent="0.25">
      <c r="A174" s="44"/>
      <c r="B174" s="11" t="str">
        <f>CONCATENATE("          ", "5501", " - ", "FREIGHT-IN-NEW TEXT")</f>
        <v xml:space="preserve">          5501 - FREIGHT-IN-NEW TEXT</v>
      </c>
      <c r="C174" s="11"/>
      <c r="D174" s="2">
        <v>490.07</v>
      </c>
      <c r="E174" s="2"/>
      <c r="F174" s="19">
        <f t="shared" si="10"/>
        <v>1.8584325160973014E-4</v>
      </c>
      <c r="G174" s="2"/>
      <c r="H174" s="2"/>
      <c r="I174" s="2"/>
      <c r="J174" s="19">
        <f t="shared" si="11"/>
        <v>0</v>
      </c>
      <c r="K174" s="2"/>
      <c r="L174" s="2">
        <f t="shared" si="12"/>
        <v>490.07</v>
      </c>
      <c r="M174" s="2"/>
      <c r="N174" s="19">
        <f t="shared" si="13"/>
        <v>0</v>
      </c>
      <c r="O174" s="11"/>
      <c r="P174" s="2">
        <v>34507.550000000003</v>
      </c>
      <c r="Q174" s="2"/>
      <c r="R174" s="19">
        <f t="shared" si="14"/>
        <v>2.1440705242231827E-3</v>
      </c>
      <c r="S174" s="2"/>
      <c r="T174" s="2"/>
      <c r="U174" s="2"/>
      <c r="V174" s="19">
        <f t="shared" si="15"/>
        <v>0</v>
      </c>
      <c r="W174" s="2"/>
      <c r="X174" s="2">
        <f t="shared" si="16"/>
        <v>34507.550000000003</v>
      </c>
      <c r="Y174" s="2"/>
      <c r="Z174" s="19">
        <f t="shared" si="17"/>
        <v>0</v>
      </c>
    </row>
    <row r="175" spans="1:26" s="24" customFormat="1" hidden="1" outlineLevel="1" x14ac:dyDescent="0.25">
      <c r="A175" s="44"/>
      <c r="B175" s="11" t="str">
        <f>CONCATENATE("          ", "5502", " - ", "FREIGHT-IN-USED TEXT")</f>
        <v xml:space="preserve">          5502 - FREIGHT-IN-USED TEXT</v>
      </c>
      <c r="C175" s="11"/>
      <c r="D175" s="2">
        <v>237.65</v>
      </c>
      <c r="E175" s="2"/>
      <c r="F175" s="19">
        <f t="shared" si="10"/>
        <v>9.0121102587492334E-5</v>
      </c>
      <c r="G175" s="2"/>
      <c r="H175" s="2"/>
      <c r="I175" s="2"/>
      <c r="J175" s="19">
        <f t="shared" si="11"/>
        <v>0</v>
      </c>
      <c r="K175" s="2"/>
      <c r="L175" s="2">
        <f t="shared" si="12"/>
        <v>237.65</v>
      </c>
      <c r="M175" s="2"/>
      <c r="N175" s="19">
        <f t="shared" si="13"/>
        <v>0</v>
      </c>
      <c r="O175" s="11"/>
      <c r="P175" s="2">
        <v>7090.12</v>
      </c>
      <c r="Q175" s="2"/>
      <c r="R175" s="19">
        <f t="shared" si="14"/>
        <v>4.4053308059266075E-4</v>
      </c>
      <c r="S175" s="2"/>
      <c r="T175" s="2"/>
      <c r="U175" s="2"/>
      <c r="V175" s="19">
        <f t="shared" si="15"/>
        <v>0</v>
      </c>
      <c r="W175" s="2"/>
      <c r="X175" s="2">
        <f t="shared" si="16"/>
        <v>7090.12</v>
      </c>
      <c r="Y175" s="2"/>
      <c r="Z175" s="19">
        <f t="shared" si="17"/>
        <v>0</v>
      </c>
    </row>
    <row r="176" spans="1:26" s="24" customFormat="1" hidden="1" outlineLevel="1" x14ac:dyDescent="0.25">
      <c r="A176" s="44"/>
      <c r="B176" s="11" t="str">
        <f>CONCATENATE("          ", "5504", " - ", "FREIGHT-IN-DIGITAL TEXT")</f>
        <v xml:space="preserve">          5504 - FREIGHT-IN-DIGITAL TEXT</v>
      </c>
      <c r="C176" s="11"/>
      <c r="D176" s="2">
        <v>5</v>
      </c>
      <c r="E176" s="2"/>
      <c r="F176" s="19">
        <f t="shared" si="10"/>
        <v>1.896088840469016E-6</v>
      </c>
      <c r="G176" s="2"/>
      <c r="H176" s="2"/>
      <c r="I176" s="2"/>
      <c r="J176" s="19">
        <f t="shared" si="11"/>
        <v>0</v>
      </c>
      <c r="K176" s="2"/>
      <c r="L176" s="2">
        <f t="shared" si="12"/>
        <v>5</v>
      </c>
      <c r="M176" s="2"/>
      <c r="N176" s="19">
        <f t="shared" si="13"/>
        <v>0</v>
      </c>
      <c r="O176" s="11"/>
      <c r="P176" s="2">
        <v>105.97</v>
      </c>
      <c r="Q176" s="2"/>
      <c r="R176" s="19">
        <f t="shared" si="14"/>
        <v>6.5842736865390512E-6</v>
      </c>
      <c r="S176" s="2"/>
      <c r="T176" s="2"/>
      <c r="U176" s="2"/>
      <c r="V176" s="19">
        <f t="shared" si="15"/>
        <v>0</v>
      </c>
      <c r="W176" s="2"/>
      <c r="X176" s="2">
        <f t="shared" si="16"/>
        <v>105.97</v>
      </c>
      <c r="Y176" s="2"/>
      <c r="Z176" s="19">
        <f t="shared" si="17"/>
        <v>0</v>
      </c>
    </row>
    <row r="177" spans="1:26" s="24" customFormat="1" hidden="1" outlineLevel="1" x14ac:dyDescent="0.25">
      <c r="A177" s="44"/>
      <c r="B177" s="11" t="str">
        <f>CONCATENATE("          ", "5513", " - ", "FREIGHT-IN-TRADE BOOKS")</f>
        <v xml:space="preserve">          5513 - FREIGHT-IN-TRADE BOOKS</v>
      </c>
      <c r="C177" s="11"/>
      <c r="D177" s="2">
        <v>12.33</v>
      </c>
      <c r="E177" s="2"/>
      <c r="F177" s="19">
        <f t="shared" si="10"/>
        <v>4.675755080596594E-6</v>
      </c>
      <c r="G177" s="2"/>
      <c r="H177" s="2"/>
      <c r="I177" s="2"/>
      <c r="J177" s="19">
        <f t="shared" si="11"/>
        <v>0</v>
      </c>
      <c r="K177" s="2"/>
      <c r="L177" s="2">
        <f t="shared" si="12"/>
        <v>12.33</v>
      </c>
      <c r="M177" s="2"/>
      <c r="N177" s="19">
        <f t="shared" si="13"/>
        <v>0</v>
      </c>
      <c r="O177" s="11"/>
      <c r="P177" s="2">
        <v>12.33</v>
      </c>
      <c r="Q177" s="2"/>
      <c r="R177" s="19">
        <f t="shared" si="14"/>
        <v>7.661045065115269E-7</v>
      </c>
      <c r="S177" s="2"/>
      <c r="T177" s="2"/>
      <c r="U177" s="2"/>
      <c r="V177" s="19">
        <f t="shared" si="15"/>
        <v>0</v>
      </c>
      <c r="W177" s="2"/>
      <c r="X177" s="2">
        <f t="shared" si="16"/>
        <v>12.33</v>
      </c>
      <c r="Y177" s="2"/>
      <c r="Z177" s="19">
        <f t="shared" si="17"/>
        <v>0</v>
      </c>
    </row>
    <row r="178" spans="1:26" s="24" customFormat="1" hidden="1" outlineLevel="1" x14ac:dyDescent="0.25">
      <c r="A178" s="44"/>
      <c r="B178" s="11" t="str">
        <f>CONCATENATE("          ", "5518", " - ", "FREIGHT-IN-STUDY GUIDES")</f>
        <v xml:space="preserve">          5518 - FREIGHT-IN-STUDY GUIDES</v>
      </c>
      <c r="C178" s="11"/>
      <c r="D178" s="2">
        <v>12.26</v>
      </c>
      <c r="E178" s="2"/>
      <c r="F178" s="19">
        <f t="shared" si="10"/>
        <v>4.6492098368300271E-6</v>
      </c>
      <c r="G178" s="2"/>
      <c r="H178" s="2"/>
      <c r="I178" s="2"/>
      <c r="J178" s="19">
        <f t="shared" si="11"/>
        <v>0</v>
      </c>
      <c r="K178" s="2"/>
      <c r="L178" s="2">
        <f t="shared" si="12"/>
        <v>12.26</v>
      </c>
      <c r="M178" s="2"/>
      <c r="N178" s="19">
        <f t="shared" si="13"/>
        <v>0</v>
      </c>
      <c r="O178" s="11"/>
      <c r="P178" s="2">
        <v>12.26</v>
      </c>
      <c r="Q178" s="2"/>
      <c r="R178" s="19">
        <f t="shared" si="14"/>
        <v>7.6175517030262122E-7</v>
      </c>
      <c r="S178" s="2"/>
      <c r="T178" s="2"/>
      <c r="U178" s="2"/>
      <c r="V178" s="19">
        <f t="shared" si="15"/>
        <v>0</v>
      </c>
      <c r="W178" s="2"/>
      <c r="X178" s="2">
        <f t="shared" si="16"/>
        <v>12.26</v>
      </c>
      <c r="Y178" s="2"/>
      <c r="Z178" s="19">
        <f t="shared" si="17"/>
        <v>0</v>
      </c>
    </row>
    <row r="179" spans="1:26" s="24" customFormat="1" hidden="1" outlineLevel="1" x14ac:dyDescent="0.25">
      <c r="A179" s="44"/>
      <c r="B179" s="11" t="str">
        <f>CONCATENATE("          ", "5525", " - ", "FREIGHT-IN-TEST FORMS")</f>
        <v xml:space="preserve">          5525 - FREIGHT-IN-TEST FORMS</v>
      </c>
      <c r="C179" s="11"/>
      <c r="D179" s="2">
        <v>335.7</v>
      </c>
      <c r="E179" s="2"/>
      <c r="F179" s="19">
        <f t="shared" si="10"/>
        <v>1.2730340474908974E-4</v>
      </c>
      <c r="G179" s="2"/>
      <c r="H179" s="2"/>
      <c r="I179" s="2"/>
      <c r="J179" s="19">
        <f t="shared" si="11"/>
        <v>0</v>
      </c>
      <c r="K179" s="2"/>
      <c r="L179" s="2">
        <f t="shared" si="12"/>
        <v>335.7</v>
      </c>
      <c r="M179" s="2"/>
      <c r="N179" s="19">
        <f t="shared" si="13"/>
        <v>0</v>
      </c>
      <c r="O179" s="11"/>
      <c r="P179" s="2">
        <v>374.92</v>
      </c>
      <c r="Q179" s="2"/>
      <c r="R179" s="19">
        <f t="shared" si="14"/>
        <v>2.3295044734898758E-5</v>
      </c>
      <c r="S179" s="2"/>
      <c r="T179" s="2"/>
      <c r="U179" s="2"/>
      <c r="V179" s="19">
        <f t="shared" si="15"/>
        <v>0</v>
      </c>
      <c r="W179" s="2"/>
      <c r="X179" s="2">
        <f t="shared" si="16"/>
        <v>374.92</v>
      </c>
      <c r="Y179" s="2"/>
      <c r="Z179" s="19">
        <f t="shared" si="17"/>
        <v>0</v>
      </c>
    </row>
    <row r="180" spans="1:26" s="24" customFormat="1" hidden="1" outlineLevel="1" x14ac:dyDescent="0.25">
      <c r="A180" s="44"/>
      <c r="B180" s="11" t="str">
        <f>CONCATENATE("          ", "5526", " - ", "FREIGHT-IN-WRITING INSTRUMENTS")</f>
        <v xml:space="preserve">          5526 - FREIGHT-IN-WRITING INSTRUMENTS</v>
      </c>
      <c r="C180" s="11"/>
      <c r="D180" s="2">
        <v>160.91999999999999</v>
      </c>
      <c r="E180" s="2"/>
      <c r="F180" s="19">
        <f t="shared" si="10"/>
        <v>6.1023723241654806E-5</v>
      </c>
      <c r="G180" s="2"/>
      <c r="H180" s="2"/>
      <c r="I180" s="2"/>
      <c r="J180" s="19">
        <f t="shared" si="11"/>
        <v>0</v>
      </c>
      <c r="K180" s="2"/>
      <c r="L180" s="2">
        <f t="shared" si="12"/>
        <v>160.91999999999999</v>
      </c>
      <c r="M180" s="2"/>
      <c r="N180" s="19">
        <f t="shared" si="13"/>
        <v>0</v>
      </c>
      <c r="O180" s="11"/>
      <c r="P180" s="2">
        <v>217.49</v>
      </c>
      <c r="Q180" s="2"/>
      <c r="R180" s="19">
        <f t="shared" si="14"/>
        <v>1.351338760106991E-5</v>
      </c>
      <c r="S180" s="2"/>
      <c r="T180" s="2"/>
      <c r="U180" s="2"/>
      <c r="V180" s="19">
        <f t="shared" si="15"/>
        <v>0</v>
      </c>
      <c r="W180" s="2"/>
      <c r="X180" s="2">
        <f t="shared" si="16"/>
        <v>217.49</v>
      </c>
      <c r="Y180" s="2"/>
      <c r="Z180" s="19">
        <f t="shared" si="17"/>
        <v>0</v>
      </c>
    </row>
    <row r="181" spans="1:26" s="24" customFormat="1" hidden="1" outlineLevel="1" x14ac:dyDescent="0.25">
      <c r="A181" s="44"/>
      <c r="B181" s="11" t="str">
        <f>CONCATENATE("          ", "5527", " - ", "FREIGHT-IN-SCHOOL SUPPLIES")</f>
        <v xml:space="preserve">          5527 - FREIGHT-IN-SCHOOL SUPPLIES</v>
      </c>
      <c r="C181" s="11"/>
      <c r="D181" s="2">
        <v>134.09</v>
      </c>
      <c r="E181" s="2"/>
      <c r="F181" s="19">
        <f t="shared" si="10"/>
        <v>5.0849310523698078E-5</v>
      </c>
      <c r="G181" s="2"/>
      <c r="H181" s="2"/>
      <c r="I181" s="2"/>
      <c r="J181" s="19">
        <f t="shared" si="11"/>
        <v>0</v>
      </c>
      <c r="K181" s="2"/>
      <c r="L181" s="2">
        <f t="shared" si="12"/>
        <v>134.09</v>
      </c>
      <c r="M181" s="2"/>
      <c r="N181" s="19">
        <f t="shared" si="13"/>
        <v>0</v>
      </c>
      <c r="O181" s="11"/>
      <c r="P181" s="2">
        <v>872.58</v>
      </c>
      <c r="Q181" s="2"/>
      <c r="R181" s="19">
        <f t="shared" si="14"/>
        <v>5.4216339845241538E-5</v>
      </c>
      <c r="S181" s="2"/>
      <c r="T181" s="2"/>
      <c r="U181" s="2"/>
      <c r="V181" s="19">
        <f t="shared" si="15"/>
        <v>0</v>
      </c>
      <c r="W181" s="2"/>
      <c r="X181" s="2">
        <f t="shared" si="16"/>
        <v>872.58</v>
      </c>
      <c r="Y181" s="2"/>
      <c r="Z181" s="19">
        <f t="shared" si="17"/>
        <v>0</v>
      </c>
    </row>
    <row r="182" spans="1:26" s="24" customFormat="1" hidden="1" outlineLevel="1" x14ac:dyDescent="0.25">
      <c r="A182" s="44"/>
      <c r="B182" s="11" t="str">
        <f>CONCATENATE("          ", "5528", " - ", "FREIGHT-IN-ART/TECH")</f>
        <v xml:space="preserve">          5528 - FREIGHT-IN-ART/TECH</v>
      </c>
      <c r="C182" s="11"/>
      <c r="D182" s="2">
        <v>105.06</v>
      </c>
      <c r="E182" s="2"/>
      <c r="F182" s="19">
        <f t="shared" si="10"/>
        <v>3.984061871593497E-5</v>
      </c>
      <c r="G182" s="2"/>
      <c r="H182" s="2"/>
      <c r="I182" s="2"/>
      <c r="J182" s="19">
        <f t="shared" si="11"/>
        <v>0</v>
      </c>
      <c r="K182" s="2"/>
      <c r="L182" s="2">
        <f t="shared" si="12"/>
        <v>105.06</v>
      </c>
      <c r="M182" s="2"/>
      <c r="N182" s="19">
        <f t="shared" si="13"/>
        <v>0</v>
      </c>
      <c r="O182" s="11"/>
      <c r="P182" s="2">
        <v>923.5</v>
      </c>
      <c r="Q182" s="2"/>
      <c r="R182" s="19">
        <f t="shared" si="14"/>
        <v>5.7380171270348343E-5</v>
      </c>
      <c r="S182" s="2"/>
      <c r="T182" s="2"/>
      <c r="U182" s="2"/>
      <c r="V182" s="19">
        <f t="shared" si="15"/>
        <v>0</v>
      </c>
      <c r="W182" s="2"/>
      <c r="X182" s="2">
        <f t="shared" si="16"/>
        <v>923.5</v>
      </c>
      <c r="Y182" s="2"/>
      <c r="Z182" s="19">
        <f t="shared" si="17"/>
        <v>0</v>
      </c>
    </row>
    <row r="183" spans="1:26" s="24" customFormat="1" hidden="1" outlineLevel="1" x14ac:dyDescent="0.25">
      <c r="A183" s="44"/>
      <c r="B183" s="11" t="str">
        <f>CONCATENATE("          ", "5540", " - ", "FREIGHT-IN-LOGO CLOTHING")</f>
        <v xml:space="preserve">          5540 - FREIGHT-IN-LOGO CLOTHING</v>
      </c>
      <c r="C183" s="11"/>
      <c r="D183" s="2">
        <v>6133.89</v>
      </c>
      <c r="E183" s="2"/>
      <c r="F183" s="19">
        <f t="shared" si="10"/>
        <v>2.3260800755328988E-3</v>
      </c>
      <c r="G183" s="2"/>
      <c r="H183" s="2"/>
      <c r="I183" s="2"/>
      <c r="J183" s="19">
        <f t="shared" si="11"/>
        <v>0</v>
      </c>
      <c r="K183" s="2"/>
      <c r="L183" s="2">
        <f t="shared" si="12"/>
        <v>6133.89</v>
      </c>
      <c r="M183" s="2"/>
      <c r="N183" s="19">
        <f t="shared" si="13"/>
        <v>0</v>
      </c>
      <c r="O183" s="11"/>
      <c r="P183" s="2">
        <v>20241.329999999998</v>
      </c>
      <c r="Q183" s="2"/>
      <c r="R183" s="19">
        <f t="shared" si="14"/>
        <v>1.2576621355058365E-3</v>
      </c>
      <c r="S183" s="2"/>
      <c r="T183" s="2"/>
      <c r="U183" s="2"/>
      <c r="V183" s="19">
        <f t="shared" si="15"/>
        <v>0</v>
      </c>
      <c r="W183" s="2"/>
      <c r="X183" s="2">
        <f t="shared" si="16"/>
        <v>20241.329999999998</v>
      </c>
      <c r="Y183" s="2"/>
      <c r="Z183" s="19">
        <f t="shared" si="17"/>
        <v>0</v>
      </c>
    </row>
    <row r="184" spans="1:26" s="24" customFormat="1" hidden="1" outlineLevel="1" x14ac:dyDescent="0.25">
      <c r="A184" s="44"/>
      <c r="B184" s="11" t="str">
        <f>CONCATENATE("          ", "5541", " - ", "FREIGHT-IN-LOGO GIFTS")</f>
        <v xml:space="preserve">          5541 - FREIGHT-IN-LOGO GIFTS</v>
      </c>
      <c r="C184" s="11"/>
      <c r="D184" s="2">
        <v>1315.98</v>
      </c>
      <c r="E184" s="2"/>
      <c r="F184" s="19">
        <f t="shared" si="10"/>
        <v>4.9904299845608322E-4</v>
      </c>
      <c r="G184" s="2"/>
      <c r="H184" s="2"/>
      <c r="I184" s="2"/>
      <c r="J184" s="19">
        <f t="shared" si="11"/>
        <v>0</v>
      </c>
      <c r="K184" s="2"/>
      <c r="L184" s="2">
        <f t="shared" si="12"/>
        <v>1315.98</v>
      </c>
      <c r="M184" s="2"/>
      <c r="N184" s="19">
        <f t="shared" si="13"/>
        <v>0</v>
      </c>
      <c r="O184" s="11"/>
      <c r="P184" s="2">
        <v>2852.83</v>
      </c>
      <c r="Q184" s="2"/>
      <c r="R184" s="19">
        <f t="shared" si="14"/>
        <v>1.7725595452646223E-4</v>
      </c>
      <c r="S184" s="2"/>
      <c r="T184" s="2"/>
      <c r="U184" s="2"/>
      <c r="V184" s="19">
        <f t="shared" si="15"/>
        <v>0</v>
      </c>
      <c r="W184" s="2"/>
      <c r="X184" s="2">
        <f t="shared" si="16"/>
        <v>2852.83</v>
      </c>
      <c r="Y184" s="2"/>
      <c r="Z184" s="19">
        <f t="shared" si="17"/>
        <v>0</v>
      </c>
    </row>
    <row r="185" spans="1:26" s="24" customFormat="1" hidden="1" outlineLevel="1" x14ac:dyDescent="0.25">
      <c r="A185" s="44"/>
      <c r="B185" s="11" t="str">
        <f>CONCATENATE("          ", "5542", " - ", "FREIGHT-IN-EVERYDAY GIFTS")</f>
        <v xml:space="preserve">          5542 - FREIGHT-IN-EVERYDAY GIFTS</v>
      </c>
      <c r="C185" s="11"/>
      <c r="D185" s="2">
        <v>745.78</v>
      </c>
      <c r="E185" s="2"/>
      <c r="F185" s="19">
        <f t="shared" si="10"/>
        <v>2.8281302708899655E-4</v>
      </c>
      <c r="G185" s="2"/>
      <c r="H185" s="2"/>
      <c r="I185" s="2"/>
      <c r="J185" s="19">
        <f t="shared" si="11"/>
        <v>0</v>
      </c>
      <c r="K185" s="2"/>
      <c r="L185" s="2">
        <f t="shared" si="12"/>
        <v>745.78</v>
      </c>
      <c r="M185" s="2"/>
      <c r="N185" s="19">
        <f t="shared" si="13"/>
        <v>0</v>
      </c>
      <c r="O185" s="11"/>
      <c r="P185" s="2">
        <v>1513.51</v>
      </c>
      <c r="Q185" s="2"/>
      <c r="R185" s="19">
        <f t="shared" si="14"/>
        <v>9.4039483507725962E-5</v>
      </c>
      <c r="S185" s="2"/>
      <c r="T185" s="2"/>
      <c r="U185" s="2"/>
      <c r="V185" s="19">
        <f t="shared" si="15"/>
        <v>0</v>
      </c>
      <c r="W185" s="2"/>
      <c r="X185" s="2">
        <f t="shared" si="16"/>
        <v>1513.51</v>
      </c>
      <c r="Y185" s="2"/>
      <c r="Z185" s="19">
        <f t="shared" si="17"/>
        <v>0</v>
      </c>
    </row>
    <row r="186" spans="1:26" s="24" customFormat="1" hidden="1" outlineLevel="1" x14ac:dyDescent="0.25">
      <c r="A186" s="44"/>
      <c r="B186" s="11" t="str">
        <f>CONCATENATE("          ", "5543", " - ", "FREIGHT-IN-CARDS")</f>
        <v xml:space="preserve">          5543 - FREIGHT-IN-CARDS</v>
      </c>
      <c r="C186" s="11"/>
      <c r="D186" s="2">
        <v>39.01</v>
      </c>
      <c r="E186" s="2"/>
      <c r="F186" s="19">
        <f t="shared" si="10"/>
        <v>1.4793285133339263E-5</v>
      </c>
      <c r="G186" s="2"/>
      <c r="H186" s="2"/>
      <c r="I186" s="2"/>
      <c r="J186" s="19">
        <f t="shared" si="11"/>
        <v>0</v>
      </c>
      <c r="K186" s="2"/>
      <c r="L186" s="2">
        <f t="shared" si="12"/>
        <v>39.01</v>
      </c>
      <c r="M186" s="2"/>
      <c r="N186" s="19">
        <f t="shared" si="13"/>
        <v>0</v>
      </c>
      <c r="O186" s="11"/>
      <c r="P186" s="2">
        <v>43.59</v>
      </c>
      <c r="Q186" s="2"/>
      <c r="R186" s="19">
        <f t="shared" si="14"/>
        <v>2.7083937906599724E-6</v>
      </c>
      <c r="S186" s="2"/>
      <c r="T186" s="2"/>
      <c r="U186" s="2"/>
      <c r="V186" s="19">
        <f t="shared" si="15"/>
        <v>0</v>
      </c>
      <c r="W186" s="2"/>
      <c r="X186" s="2">
        <f t="shared" si="16"/>
        <v>43.59</v>
      </c>
      <c r="Y186" s="2"/>
      <c r="Z186" s="19">
        <f t="shared" si="17"/>
        <v>0</v>
      </c>
    </row>
    <row r="187" spans="1:26" s="24" customFormat="1" hidden="1" outlineLevel="1" x14ac:dyDescent="0.25">
      <c r="A187" s="44"/>
      <c r="B187" s="11" t="str">
        <f>CONCATENATE("          ", "5544", " - ", "FREIGHT-IN-ACCESSORIES")</f>
        <v xml:space="preserve">          5544 - FREIGHT-IN-ACCESSORIES</v>
      </c>
      <c r="C187" s="11"/>
      <c r="D187" s="2">
        <v>54.82</v>
      </c>
      <c r="E187" s="2"/>
      <c r="F187" s="19">
        <f t="shared" si="10"/>
        <v>2.0788718046902294E-5</v>
      </c>
      <c r="G187" s="2"/>
      <c r="H187" s="2"/>
      <c r="I187" s="2"/>
      <c r="J187" s="19">
        <f t="shared" si="11"/>
        <v>0</v>
      </c>
      <c r="K187" s="2"/>
      <c r="L187" s="2">
        <f t="shared" si="12"/>
        <v>54.82</v>
      </c>
      <c r="M187" s="2"/>
      <c r="N187" s="19">
        <f t="shared" si="13"/>
        <v>0</v>
      </c>
      <c r="O187" s="11"/>
      <c r="P187" s="2">
        <v>413.91</v>
      </c>
      <c r="Q187" s="2"/>
      <c r="R187" s="19">
        <f t="shared" si="14"/>
        <v>2.5717625003259214E-5</v>
      </c>
      <c r="S187" s="2"/>
      <c r="T187" s="2"/>
      <c r="U187" s="2"/>
      <c r="V187" s="19">
        <f t="shared" si="15"/>
        <v>0</v>
      </c>
      <c r="W187" s="2"/>
      <c r="X187" s="2">
        <f t="shared" si="16"/>
        <v>413.91</v>
      </c>
      <c r="Y187" s="2"/>
      <c r="Z187" s="19">
        <f t="shared" si="17"/>
        <v>0</v>
      </c>
    </row>
    <row r="188" spans="1:26" s="24" customFormat="1" hidden="1" outlineLevel="1" x14ac:dyDescent="0.25">
      <c r="A188" s="44"/>
      <c r="B188" s="11" t="str">
        <f>CONCATENATE("          ", "5545", " - ", "FREIGHT-IN-SPECIAL ORDERS")</f>
        <v xml:space="preserve">          5545 - FREIGHT-IN-SPECIAL ORDERS</v>
      </c>
      <c r="C188" s="11"/>
      <c r="D188" s="2">
        <v>158.08000000000001</v>
      </c>
      <c r="E188" s="2"/>
      <c r="F188" s="19">
        <f t="shared" si="10"/>
        <v>5.9946744780268415E-5</v>
      </c>
      <c r="G188" s="2"/>
      <c r="H188" s="2"/>
      <c r="I188" s="2"/>
      <c r="J188" s="19">
        <f t="shared" si="11"/>
        <v>0</v>
      </c>
      <c r="K188" s="2"/>
      <c r="L188" s="2">
        <f t="shared" si="12"/>
        <v>158.08000000000001</v>
      </c>
      <c r="M188" s="2"/>
      <c r="N188" s="19">
        <f t="shared" si="13"/>
        <v>0</v>
      </c>
      <c r="O188" s="11"/>
      <c r="P188" s="2">
        <v>505.06</v>
      </c>
      <c r="Q188" s="2"/>
      <c r="R188" s="19">
        <f t="shared" si="14"/>
        <v>3.1381082080998523E-5</v>
      </c>
      <c r="S188" s="2"/>
      <c r="T188" s="2"/>
      <c r="U188" s="2"/>
      <c r="V188" s="19">
        <f t="shared" si="15"/>
        <v>0</v>
      </c>
      <c r="W188" s="2"/>
      <c r="X188" s="2">
        <f t="shared" si="16"/>
        <v>505.06</v>
      </c>
      <c r="Y188" s="2"/>
      <c r="Z188" s="19">
        <f t="shared" si="17"/>
        <v>0</v>
      </c>
    </row>
    <row r="189" spans="1:26" s="24" customFormat="1" hidden="1" outlineLevel="1" x14ac:dyDescent="0.25">
      <c r="A189" s="44"/>
      <c r="B189" s="11" t="str">
        <f>CONCATENATE("          ", "5581", " - ", "FREIGHT-IN-ELECTRONICS")</f>
        <v xml:space="preserve">          5581 - FREIGHT-IN-ELECTRONICS</v>
      </c>
      <c r="C189" s="11"/>
      <c r="D189" s="2"/>
      <c r="E189" s="2"/>
      <c r="F189" s="19">
        <f t="shared" si="10"/>
        <v>0</v>
      </c>
      <c r="G189" s="2"/>
      <c r="H189" s="2"/>
      <c r="I189" s="2"/>
      <c r="J189" s="19">
        <f t="shared" si="11"/>
        <v>0</v>
      </c>
      <c r="K189" s="2"/>
      <c r="L189" s="2">
        <f t="shared" si="12"/>
        <v>0</v>
      </c>
      <c r="M189" s="2"/>
      <c r="N189" s="19">
        <f t="shared" si="13"/>
        <v>0</v>
      </c>
      <c r="O189" s="11"/>
      <c r="P189" s="2">
        <v>105.75</v>
      </c>
      <c r="Q189" s="2"/>
      <c r="R189" s="19">
        <f t="shared" si="14"/>
        <v>6.5706043441682054E-6</v>
      </c>
      <c r="S189" s="2"/>
      <c r="T189" s="2"/>
      <c r="U189" s="2"/>
      <c r="V189" s="19">
        <f t="shared" si="15"/>
        <v>0</v>
      </c>
      <c r="W189" s="2"/>
      <c r="X189" s="2">
        <f t="shared" si="16"/>
        <v>105.75</v>
      </c>
      <c r="Y189" s="2"/>
      <c r="Z189" s="19">
        <f t="shared" si="17"/>
        <v>0</v>
      </c>
    </row>
    <row r="190" spans="1:26" s="24" customFormat="1" hidden="1" outlineLevel="1" x14ac:dyDescent="0.25">
      <c r="A190" s="44"/>
      <c r="B190" s="11" t="str">
        <f>CONCATENATE("          ", "5582", " - ", "FREIGHT-IN-COMPUTER HARDWARE")</f>
        <v xml:space="preserve">          5582 - FREIGHT-IN-COMPUTER HARDWARE</v>
      </c>
      <c r="C190" s="11"/>
      <c r="D190" s="2"/>
      <c r="E190" s="2"/>
      <c r="F190" s="19">
        <f t="shared" si="10"/>
        <v>0</v>
      </c>
      <c r="G190" s="2"/>
      <c r="H190" s="2"/>
      <c r="I190" s="2"/>
      <c r="J190" s="19">
        <f t="shared" si="11"/>
        <v>0</v>
      </c>
      <c r="K190" s="2"/>
      <c r="L190" s="2">
        <f t="shared" si="12"/>
        <v>0</v>
      </c>
      <c r="M190" s="2"/>
      <c r="N190" s="19">
        <f t="shared" si="13"/>
        <v>0</v>
      </c>
      <c r="O190" s="11"/>
      <c r="P190" s="2">
        <v>4.84</v>
      </c>
      <c r="Q190" s="2"/>
      <c r="R190" s="19">
        <f t="shared" si="14"/>
        <v>3.0072553215862043E-7</v>
      </c>
      <c r="S190" s="2"/>
      <c r="T190" s="2"/>
      <c r="U190" s="2"/>
      <c r="V190" s="19">
        <f t="shared" si="15"/>
        <v>0</v>
      </c>
      <c r="W190" s="2"/>
      <c r="X190" s="2">
        <f t="shared" si="16"/>
        <v>4.84</v>
      </c>
      <c r="Y190" s="2"/>
      <c r="Z190" s="19">
        <f t="shared" si="17"/>
        <v>0</v>
      </c>
    </row>
    <row r="191" spans="1:26" s="24" customFormat="1" hidden="1" outlineLevel="1" x14ac:dyDescent="0.25">
      <c r="A191" s="44"/>
      <c r="B191" s="11" t="str">
        <f>CONCATENATE("          ", "5583", " - ", "FREIGHT-IN-COMPUTER EQUIPMENT")</f>
        <v xml:space="preserve">          5583 - FREIGHT-IN-COMPUTER EQUIPMENT</v>
      </c>
      <c r="C191" s="11"/>
      <c r="D191" s="2"/>
      <c r="E191" s="2"/>
      <c r="F191" s="19">
        <f t="shared" si="10"/>
        <v>0</v>
      </c>
      <c r="G191" s="2"/>
      <c r="H191" s="2"/>
      <c r="I191" s="2"/>
      <c r="J191" s="19">
        <f t="shared" si="11"/>
        <v>0</v>
      </c>
      <c r="K191" s="2"/>
      <c r="L191" s="2">
        <f t="shared" si="12"/>
        <v>0</v>
      </c>
      <c r="M191" s="2"/>
      <c r="N191" s="19">
        <f t="shared" si="13"/>
        <v>0</v>
      </c>
      <c r="O191" s="11"/>
      <c r="P191" s="2">
        <v>41</v>
      </c>
      <c r="Q191" s="2"/>
      <c r="R191" s="19">
        <f t="shared" si="14"/>
        <v>2.5474683509304627E-6</v>
      </c>
      <c r="S191" s="2"/>
      <c r="T191" s="2"/>
      <c r="U191" s="2"/>
      <c r="V191" s="19">
        <f t="shared" si="15"/>
        <v>0</v>
      </c>
      <c r="W191" s="2"/>
      <c r="X191" s="2">
        <f t="shared" si="16"/>
        <v>41</v>
      </c>
      <c r="Y191" s="2"/>
      <c r="Z191" s="19">
        <f t="shared" si="17"/>
        <v>0</v>
      </c>
    </row>
    <row r="192" spans="1:26" s="24" customFormat="1" hidden="1" outlineLevel="1" x14ac:dyDescent="0.25">
      <c r="A192" s="44"/>
      <c r="B192" s="11" t="str">
        <f>CONCATENATE("          ", "5586", " - ", "FREIGHT-IN-COMPUTER SUPPLIES")</f>
        <v xml:space="preserve">          5586 - FREIGHT-IN-COMPUTER SUPPLIES</v>
      </c>
      <c r="C192" s="11"/>
      <c r="D192" s="2"/>
      <c r="E192" s="2"/>
      <c r="F192" s="19">
        <f t="shared" si="10"/>
        <v>0</v>
      </c>
      <c r="G192" s="2"/>
      <c r="H192" s="2"/>
      <c r="I192" s="2"/>
      <c r="J192" s="19">
        <f t="shared" si="11"/>
        <v>0</v>
      </c>
      <c r="K192" s="2"/>
      <c r="L192" s="2">
        <f t="shared" si="12"/>
        <v>0</v>
      </c>
      <c r="M192" s="2"/>
      <c r="N192" s="19">
        <f t="shared" si="13"/>
        <v>0</v>
      </c>
      <c r="O192" s="11"/>
      <c r="P192" s="2">
        <v>162.51</v>
      </c>
      <c r="Q192" s="2"/>
      <c r="R192" s="19">
        <f t="shared" si="14"/>
        <v>1.0097294675846571E-5</v>
      </c>
      <c r="S192" s="2"/>
      <c r="T192" s="2"/>
      <c r="U192" s="2"/>
      <c r="V192" s="19">
        <f t="shared" si="15"/>
        <v>0</v>
      </c>
      <c r="W192" s="2"/>
      <c r="X192" s="2">
        <f t="shared" si="16"/>
        <v>162.51</v>
      </c>
      <c r="Y192" s="2"/>
      <c r="Z192" s="19">
        <f t="shared" si="17"/>
        <v>0</v>
      </c>
    </row>
    <row r="193" spans="1:26" s="24" customFormat="1" hidden="1" outlineLevel="1" x14ac:dyDescent="0.25">
      <c r="A193" s="44"/>
      <c r="B193" s="11" t="str">
        <f>CONCATENATE("          ", "5592", " - ", "FREIGHT-IN-GRAD MERCH")</f>
        <v xml:space="preserve">          5592 - FREIGHT-IN-GRAD MERCH</v>
      </c>
      <c r="C193" s="11"/>
      <c r="D193" s="2">
        <v>35</v>
      </c>
      <c r="E193" s="2"/>
      <c r="F193" s="19">
        <f t="shared" si="10"/>
        <v>1.3272621883283113E-5</v>
      </c>
      <c r="G193" s="2"/>
      <c r="H193" s="2"/>
      <c r="I193" s="2"/>
      <c r="J193" s="19">
        <f t="shared" si="11"/>
        <v>0</v>
      </c>
      <c r="K193" s="2"/>
      <c r="L193" s="2">
        <f t="shared" si="12"/>
        <v>35</v>
      </c>
      <c r="M193" s="2"/>
      <c r="N193" s="19">
        <f t="shared" si="13"/>
        <v>0</v>
      </c>
      <c r="O193" s="11"/>
      <c r="P193" s="2">
        <v>105.78</v>
      </c>
      <c r="Q193" s="2"/>
      <c r="R193" s="19">
        <f t="shared" si="14"/>
        <v>6.5724683454005932E-6</v>
      </c>
      <c r="S193" s="2"/>
      <c r="T193" s="2"/>
      <c r="U193" s="2"/>
      <c r="V193" s="19">
        <f t="shared" si="15"/>
        <v>0</v>
      </c>
      <c r="W193" s="2"/>
      <c r="X193" s="2">
        <f t="shared" si="16"/>
        <v>105.78</v>
      </c>
      <c r="Y193" s="2"/>
      <c r="Z193" s="19">
        <f t="shared" si="17"/>
        <v>0</v>
      </c>
    </row>
    <row r="194" spans="1:26" x14ac:dyDescent="0.25">
      <c r="A194" s="9"/>
      <c r="B194" s="10"/>
      <c r="C194" s="10"/>
      <c r="D194" s="3"/>
      <c r="E194" s="3"/>
      <c r="F194" s="8"/>
      <c r="G194" s="3"/>
      <c r="H194" s="3"/>
      <c r="I194" s="3"/>
      <c r="J194" s="8"/>
      <c r="K194" s="3"/>
      <c r="L194" s="3"/>
      <c r="M194" s="3"/>
      <c r="N194" s="8"/>
      <c r="O194" s="10"/>
      <c r="P194" s="3"/>
      <c r="Q194" s="3"/>
      <c r="R194" s="8"/>
      <c r="S194" s="3"/>
      <c r="T194" s="3"/>
      <c r="U194" s="3"/>
      <c r="V194" s="8"/>
      <c r="W194" s="3"/>
      <c r="X194" s="3"/>
      <c r="Y194" s="3"/>
      <c r="Z194" s="8"/>
    </row>
    <row r="195" spans="1:26" s="23" customFormat="1" x14ac:dyDescent="0.25">
      <c r="A195" s="10"/>
      <c r="B195" s="28" t="s">
        <v>6</v>
      </c>
      <c r="C195" s="28"/>
      <c r="D195" s="20">
        <f>D12-D133</f>
        <v>1693581.63</v>
      </c>
      <c r="E195" s="14"/>
      <c r="F195" s="22">
        <f>IF(D$12=0,0,D195/D$12)</f>
        <v>0.64223624581326522</v>
      </c>
      <c r="G195" s="14"/>
      <c r="H195" s="20">
        <f>H12-H133</f>
        <v>1597253.6097199998</v>
      </c>
      <c r="I195" s="14"/>
      <c r="J195" s="22">
        <f>IF(H$12=0,0,H195/H$12)</f>
        <v>0.65057945930986305</v>
      </c>
      <c r="K195" s="16"/>
      <c r="L195" s="20">
        <f>+D195-H195</f>
        <v>96328.020280000055</v>
      </c>
      <c r="M195" s="16"/>
      <c r="N195" s="22">
        <f>IF(H195=0,0,L195/H195)</f>
        <v>6.0308531903638302E-2</v>
      </c>
      <c r="O195" s="29"/>
      <c r="P195" s="20">
        <f>P12-P133</f>
        <v>8906695.7799999937</v>
      </c>
      <c r="Q195" s="14"/>
      <c r="R195" s="22">
        <f>IF(P$12=0,0,P195/P$12)</f>
        <v>0.55340306368087544</v>
      </c>
      <c r="S195" s="14"/>
      <c r="T195" s="20">
        <f>T12-T133</f>
        <v>9365652.885110002</v>
      </c>
      <c r="U195" s="14"/>
      <c r="V195" s="22">
        <f>IF(T$12=0,0,T195/T$12)</f>
        <v>0.56834818051015423</v>
      </c>
      <c r="W195" s="16"/>
      <c r="X195" s="20">
        <f>+P195-T195</f>
        <v>-458957.10511000827</v>
      </c>
      <c r="Y195" s="16"/>
      <c r="Z195" s="22">
        <f>IF(T195=0,0,X195/T195)</f>
        <v>-4.9004283069222214E-2</v>
      </c>
    </row>
    <row r="196" spans="1:26" x14ac:dyDescent="0.25">
      <c r="A196" s="9"/>
      <c r="B196" s="10"/>
      <c r="C196" s="9"/>
      <c r="D196" s="1"/>
      <c r="E196" s="1"/>
      <c r="F196" s="5"/>
      <c r="G196" s="1"/>
      <c r="H196" s="1"/>
      <c r="I196" s="1"/>
      <c r="J196" s="5"/>
      <c r="K196" s="1"/>
      <c r="L196" s="1"/>
      <c r="M196" s="1"/>
      <c r="N196" s="5"/>
      <c r="O196" s="36"/>
      <c r="P196" s="1"/>
      <c r="Q196" s="1"/>
      <c r="R196" s="5"/>
      <c r="S196" s="1"/>
      <c r="T196" s="1"/>
      <c r="U196" s="1"/>
      <c r="V196" s="5"/>
      <c r="W196" s="1"/>
      <c r="X196" s="1"/>
      <c r="Y196" s="1"/>
      <c r="Z196" s="5"/>
    </row>
    <row r="197" spans="1:26" s="23" customFormat="1" x14ac:dyDescent="0.25">
      <c r="A197" s="10"/>
      <c r="B197" s="29" t="s">
        <v>9</v>
      </c>
      <c r="C197" s="10"/>
      <c r="D197" s="21">
        <f>SUM(OSRRefD22x_0)</f>
        <v>1464929.3199999996</v>
      </c>
      <c r="E197" s="21"/>
      <c r="F197" s="33">
        <f t="shared" ref="F197:F208" si="18">IF(D$12=0,0,D197/D$12)</f>
        <v>0.55552722714557268</v>
      </c>
      <c r="G197" s="21"/>
      <c r="H197" s="21">
        <f>SUM(OSRRefH22x_0)</f>
        <v>1438729.6452234716</v>
      </c>
      <c r="I197" s="21"/>
      <c r="J197" s="33">
        <f t="shared" ref="J197:J208" si="19">IF(H$12=0,0,H197/H$12)</f>
        <v>0.58601085575047807</v>
      </c>
      <c r="K197" s="4"/>
      <c r="L197" s="21">
        <f t="shared" ref="L197:L208" si="20">+D197-H197</f>
        <v>26199.674776528031</v>
      </c>
      <c r="M197" s="4"/>
      <c r="N197" s="33">
        <f t="shared" ref="N197:N208" si="21">IF(H197=0,0,L197/H197)</f>
        <v>1.8210283539725456E-2</v>
      </c>
      <c r="O197" s="10"/>
      <c r="P197" s="21">
        <f>SUM(OSRRefP22x_0)</f>
        <v>7613129.8099999987</v>
      </c>
      <c r="Q197" s="21"/>
      <c r="R197" s="33">
        <f t="shared" ref="R197:R208" si="22">IF(P$12=0,0,P197/P$12)</f>
        <v>0.47302944493903032</v>
      </c>
      <c r="S197" s="21"/>
      <c r="T197" s="21">
        <f>SUM(OSRRefT22x_0)</f>
        <v>7676301.6940298565</v>
      </c>
      <c r="U197" s="21"/>
      <c r="V197" s="33">
        <f t="shared" ref="V197:V208" si="23">IF(T$12=0,0,T197/T$12)</f>
        <v>0.46583106958673509</v>
      </c>
      <c r="W197" s="4"/>
      <c r="X197" s="21">
        <f t="shared" ref="X197:X208" si="24">+P197-T197</f>
        <v>-63171.884029857814</v>
      </c>
      <c r="Y197" s="4"/>
      <c r="Z197" s="33">
        <f t="shared" ref="Z197:Z208" si="25">IF(T197=0,0,X197/T197)</f>
        <v>-8.2294686357870638E-3</v>
      </c>
    </row>
    <row r="198" spans="1:26" s="26" customFormat="1" outlineLevel="1" collapsed="1" x14ac:dyDescent="0.25">
      <c r="A198" s="27"/>
      <c r="B198" s="13" t="str">
        <f>CONCATENATE("     ","*Benefits                                         ")</f>
        <v xml:space="preserve">     *Benefits                                         </v>
      </c>
      <c r="C198" s="13"/>
      <c r="D198" s="1">
        <f>SUM(OSRRefD22_0x_0)</f>
        <v>223270.94999999998</v>
      </c>
      <c r="E198" s="1"/>
      <c r="F198" s="5">
        <f t="shared" si="18"/>
        <v>8.4668311339183122E-2</v>
      </c>
      <c r="G198" s="1"/>
      <c r="H198" s="1">
        <f>SUM(OSRRefH22_0x_0)</f>
        <v>204442.60669276689</v>
      </c>
      <c r="I198" s="1"/>
      <c r="J198" s="5">
        <f t="shared" si="19"/>
        <v>8.3271785840819221E-2</v>
      </c>
      <c r="K198" s="1"/>
      <c r="L198" s="1">
        <f t="shared" si="20"/>
        <v>18828.343307233095</v>
      </c>
      <c r="M198" s="1"/>
      <c r="N198" s="5">
        <f t="shared" si="21"/>
        <v>9.2095985332098756E-2</v>
      </c>
      <c r="O198" s="13"/>
      <c r="P198" s="1">
        <f>SUM(OSRRefP22_0x_0)</f>
        <v>1182016.74</v>
      </c>
      <c r="Q198" s="1"/>
      <c r="R198" s="5">
        <f t="shared" si="22"/>
        <v>7.3442688668780523E-2</v>
      </c>
      <c r="S198" s="1"/>
      <c r="T198" s="1">
        <f>SUM(OSRRefT22_0x_0)</f>
        <v>1111850.2705551409</v>
      </c>
      <c r="U198" s="1"/>
      <c r="V198" s="5">
        <f t="shared" si="23"/>
        <v>6.7471866192520658E-2</v>
      </c>
      <c r="W198" s="1"/>
      <c r="X198" s="1">
        <f t="shared" si="24"/>
        <v>70166.469444859074</v>
      </c>
      <c r="Y198" s="1"/>
      <c r="Z198" s="5">
        <f t="shared" si="25"/>
        <v>6.3107840419758435E-2</v>
      </c>
    </row>
    <row r="199" spans="1:26" s="24" customFormat="1" hidden="1" outlineLevel="2" x14ac:dyDescent="0.25">
      <c r="A199" s="25"/>
      <c r="B199" s="11" t="str">
        <f>CONCATENATE("          ", "6111", " - ", "F.I.C.A.")</f>
        <v xml:space="preserve">          6111 - F.I.C.A.</v>
      </c>
      <c r="C199" s="11"/>
      <c r="D199" s="6">
        <v>33272.93</v>
      </c>
      <c r="E199" s="2"/>
      <c r="F199" s="7">
        <f t="shared" si="18"/>
        <v>1.2617686252541348E-2</v>
      </c>
      <c r="G199" s="2"/>
      <c r="H199" s="6">
        <v>30990.35494742978</v>
      </c>
      <c r="I199" s="2"/>
      <c r="J199" s="7">
        <f t="shared" si="19"/>
        <v>1.2622722054172706E-2</v>
      </c>
      <c r="K199" s="2"/>
      <c r="L199" s="6">
        <f t="shared" si="20"/>
        <v>2282.5750525702206</v>
      </c>
      <c r="M199" s="2"/>
      <c r="N199" s="7">
        <f t="shared" si="21"/>
        <v>7.3654369446308279E-2</v>
      </c>
      <c r="O199" s="11"/>
      <c r="P199" s="6">
        <v>219872.78</v>
      </c>
      <c r="Q199" s="2"/>
      <c r="R199" s="7">
        <f t="shared" si="22"/>
        <v>1.366143776295357E-2</v>
      </c>
      <c r="S199" s="2"/>
      <c r="T199" s="6">
        <v>191585.44925943247</v>
      </c>
      <c r="U199" s="2"/>
      <c r="V199" s="7">
        <f t="shared" si="23"/>
        <v>1.1626230742752966E-2</v>
      </c>
      <c r="W199" s="2"/>
      <c r="X199" s="6">
        <f t="shared" si="24"/>
        <v>28287.33074056753</v>
      </c>
      <c r="Y199" s="2"/>
      <c r="Z199" s="7">
        <f t="shared" si="25"/>
        <v>0.14764863850522739</v>
      </c>
    </row>
    <row r="200" spans="1:26" s="24" customFormat="1" hidden="1" outlineLevel="2" x14ac:dyDescent="0.25">
      <c r="A200" s="25"/>
      <c r="B200" s="11" t="str">
        <f>CONCATENATE("          ", "6112", " - ", "COMPENSATION INSURANCE")</f>
        <v xml:space="preserve">          6112 - COMPENSATION INSURANCE</v>
      </c>
      <c r="C200" s="11"/>
      <c r="D200" s="6">
        <v>24000.98</v>
      </c>
      <c r="E200" s="2"/>
      <c r="F200" s="7">
        <f t="shared" si="18"/>
        <v>9.1015980676640088E-3</v>
      </c>
      <c r="G200" s="2"/>
      <c r="H200" s="6">
        <v>22621.133988976919</v>
      </c>
      <c r="I200" s="2"/>
      <c r="J200" s="7">
        <f t="shared" si="19"/>
        <v>9.2138437064508798E-3</v>
      </c>
      <c r="K200" s="2"/>
      <c r="L200" s="6">
        <f t="shared" si="20"/>
        <v>1379.8460110230808</v>
      </c>
      <c r="M200" s="2"/>
      <c r="N200" s="7">
        <f t="shared" si="21"/>
        <v>6.0998091947798358E-2</v>
      </c>
      <c r="O200" s="11"/>
      <c r="P200" s="6">
        <v>77297.37999999999</v>
      </c>
      <c r="Q200" s="2"/>
      <c r="R200" s="7">
        <f t="shared" si="22"/>
        <v>4.8027470526791531E-3</v>
      </c>
      <c r="S200" s="2"/>
      <c r="T200" s="6">
        <v>119039.12778073306</v>
      </c>
      <c r="U200" s="2"/>
      <c r="V200" s="7">
        <f t="shared" si="23"/>
        <v>7.2238073003172976E-3</v>
      </c>
      <c r="W200" s="2"/>
      <c r="X200" s="6">
        <f t="shared" si="24"/>
        <v>-41741.747780733072</v>
      </c>
      <c r="Y200" s="2"/>
      <c r="Z200" s="7">
        <f t="shared" si="25"/>
        <v>-0.35065569245114325</v>
      </c>
    </row>
    <row r="201" spans="1:26" s="24" customFormat="1" hidden="1" outlineLevel="2" x14ac:dyDescent="0.25">
      <c r="A201" s="25"/>
      <c r="B201" s="11" t="str">
        <f>CONCATENATE("          ", "6113", " - ", "GROUP INSURANCE")</f>
        <v xml:space="preserve">          6113 - GROUP INSURANCE</v>
      </c>
      <c r="C201" s="11"/>
      <c r="D201" s="6">
        <v>98444.569999999992</v>
      </c>
      <c r="E201" s="2"/>
      <c r="F201" s="7">
        <f t="shared" si="18"/>
        <v>3.7331930116354176E-2</v>
      </c>
      <c r="G201" s="2"/>
      <c r="H201" s="6">
        <v>91803.226923076916</v>
      </c>
      <c r="I201" s="2"/>
      <c r="J201" s="7">
        <f t="shared" si="19"/>
        <v>3.7392492570410246E-2</v>
      </c>
      <c r="K201" s="2"/>
      <c r="L201" s="6">
        <f t="shared" si="20"/>
        <v>6641.3430769230763</v>
      </c>
      <c r="M201" s="2"/>
      <c r="N201" s="7">
        <f t="shared" si="21"/>
        <v>7.2343242166072672E-2</v>
      </c>
      <c r="O201" s="11"/>
      <c r="P201" s="6">
        <v>472170.2</v>
      </c>
      <c r="Q201" s="2"/>
      <c r="R201" s="7">
        <f t="shared" si="22"/>
        <v>2.933752782323187E-2</v>
      </c>
      <c r="S201" s="2"/>
      <c r="T201" s="6">
        <v>475972.16923076916</v>
      </c>
      <c r="U201" s="2"/>
      <c r="V201" s="7">
        <f t="shared" si="23"/>
        <v>2.8884042540788822E-2</v>
      </c>
      <c r="W201" s="2"/>
      <c r="X201" s="6">
        <f t="shared" si="24"/>
        <v>-3801.9692307691439</v>
      </c>
      <c r="Y201" s="2"/>
      <c r="Z201" s="7">
        <f t="shared" si="25"/>
        <v>-7.987797347297855E-3</v>
      </c>
    </row>
    <row r="202" spans="1:26" s="24" customFormat="1" hidden="1" outlineLevel="2" x14ac:dyDescent="0.25">
      <c r="A202" s="25"/>
      <c r="B202" s="11" t="str">
        <f>CONCATENATE("          ", "6114", " - ", "STATE UNEMPLOYMENT INSURANCE")</f>
        <v xml:space="preserve">          6114 - STATE UNEMPLOYMENT INSURANCE</v>
      </c>
      <c r="C202" s="11"/>
      <c r="D202" s="6">
        <v>2035.38</v>
      </c>
      <c r="E202" s="2"/>
      <c r="F202" s="7">
        <f t="shared" si="18"/>
        <v>7.7185226082276525E-4</v>
      </c>
      <c r="G202" s="2"/>
      <c r="H202" s="6">
        <v>1873.2723371473519</v>
      </c>
      <c r="I202" s="2"/>
      <c r="J202" s="7">
        <f t="shared" si="19"/>
        <v>7.6300500861293359E-4</v>
      </c>
      <c r="K202" s="2"/>
      <c r="L202" s="6">
        <f t="shared" si="20"/>
        <v>162.10766285264822</v>
      </c>
      <c r="M202" s="2"/>
      <c r="N202" s="7">
        <f t="shared" si="21"/>
        <v>8.653715727180826E-2</v>
      </c>
      <c r="O202" s="11"/>
      <c r="P202" s="6">
        <v>9663.49</v>
      </c>
      <c r="Q202" s="2"/>
      <c r="R202" s="7">
        <f t="shared" si="22"/>
        <v>6.0042524230568325E-4</v>
      </c>
      <c r="S202" s="2"/>
      <c r="T202" s="6">
        <v>10025.812207094919</v>
      </c>
      <c r="U202" s="2"/>
      <c r="V202" s="7">
        <f t="shared" si="23"/>
        <v>6.0840949327708982E-4</v>
      </c>
      <c r="W202" s="2"/>
      <c r="X202" s="6">
        <f t="shared" si="24"/>
        <v>-362.32220709491958</v>
      </c>
      <c r="Y202" s="2"/>
      <c r="Z202" s="7">
        <f t="shared" si="25"/>
        <v>-3.6138938133961532E-2</v>
      </c>
    </row>
    <row r="203" spans="1:26" s="24" customFormat="1" hidden="1" outlineLevel="2" x14ac:dyDescent="0.25">
      <c r="A203" s="25"/>
      <c r="B203" s="11" t="str">
        <f>CONCATENATE("          ", "6115", " - ", "P.E.R.S.")</f>
        <v xml:space="preserve">          6115 - P.E.R.S.</v>
      </c>
      <c r="C203" s="11"/>
      <c r="D203" s="6">
        <v>19307.53</v>
      </c>
      <c r="E203" s="2"/>
      <c r="F203" s="7">
        <f t="shared" si="18"/>
        <v>7.321758434004148E-3</v>
      </c>
      <c r="G203" s="2"/>
      <c r="H203" s="6">
        <v>18291.264090446155</v>
      </c>
      <c r="I203" s="2"/>
      <c r="J203" s="7">
        <f t="shared" si="19"/>
        <v>7.4502387283021648E-3</v>
      </c>
      <c r="K203" s="2"/>
      <c r="L203" s="6">
        <f t="shared" si="20"/>
        <v>1016.2659095538438</v>
      </c>
      <c r="M203" s="2"/>
      <c r="N203" s="7">
        <f t="shared" si="21"/>
        <v>5.5560179139541109E-2</v>
      </c>
      <c r="O203" s="11"/>
      <c r="P203" s="6">
        <v>106559.84999999999</v>
      </c>
      <c r="Q203" s="2"/>
      <c r="R203" s="7">
        <f t="shared" si="22"/>
        <v>6.6209230574365225E-3</v>
      </c>
      <c r="S203" s="2"/>
      <c r="T203" s="6">
        <v>100601.95249745385</v>
      </c>
      <c r="U203" s="2"/>
      <c r="V203" s="7">
        <f t="shared" si="23"/>
        <v>6.1049600448677428E-3</v>
      </c>
      <c r="W203" s="2"/>
      <c r="X203" s="6">
        <f t="shared" si="24"/>
        <v>5957.8975025461405</v>
      </c>
      <c r="Y203" s="2"/>
      <c r="Z203" s="7">
        <f t="shared" si="25"/>
        <v>5.9222483805142147E-2</v>
      </c>
    </row>
    <row r="204" spans="1:26" s="24" customFormat="1" hidden="1" outlineLevel="2" x14ac:dyDescent="0.25">
      <c r="A204" s="25"/>
      <c r="B204" s="11" t="str">
        <f>CONCATENATE("          ", "6116", " - ", "EDUCATIONAL BENEFITS")</f>
        <v xml:space="preserve">          6116 - EDUCATIONAL BENEFITS</v>
      </c>
      <c r="C204" s="11"/>
      <c r="D204" s="6"/>
      <c r="E204" s="2"/>
      <c r="F204" s="7">
        <f t="shared" si="18"/>
        <v>0</v>
      </c>
      <c r="G204" s="2"/>
      <c r="H204" s="6">
        <v>0</v>
      </c>
      <c r="I204" s="2"/>
      <c r="J204" s="7">
        <f t="shared" si="19"/>
        <v>0</v>
      </c>
      <c r="K204" s="2"/>
      <c r="L204" s="6">
        <f t="shared" si="20"/>
        <v>0</v>
      </c>
      <c r="M204" s="2"/>
      <c r="N204" s="7">
        <f t="shared" si="21"/>
        <v>0</v>
      </c>
      <c r="O204" s="11"/>
      <c r="P204" s="6"/>
      <c r="Q204" s="2"/>
      <c r="R204" s="7">
        <f t="shared" si="22"/>
        <v>0</v>
      </c>
      <c r="S204" s="2"/>
      <c r="T204" s="6">
        <v>8000</v>
      </c>
      <c r="U204" s="2"/>
      <c r="V204" s="7">
        <f t="shared" si="23"/>
        <v>4.8547447784552726E-4</v>
      </c>
      <c r="W204" s="2"/>
      <c r="X204" s="6">
        <f t="shared" si="24"/>
        <v>-8000</v>
      </c>
      <c r="Y204" s="2"/>
      <c r="Z204" s="7">
        <f t="shared" si="25"/>
        <v>-1</v>
      </c>
    </row>
    <row r="205" spans="1:26" s="24" customFormat="1" hidden="1" outlineLevel="2" x14ac:dyDescent="0.25">
      <c r="A205" s="25"/>
      <c r="B205" s="11" t="str">
        <f>CONCATENATE("          ", "6117", " - ", "RETIREMENT STAFF HOURLY")</f>
        <v xml:space="preserve">          6117 - RETIREMENT STAFF HOURLY</v>
      </c>
      <c r="C205" s="11"/>
      <c r="D205" s="6">
        <v>2094.89</v>
      </c>
      <c r="E205" s="2"/>
      <c r="F205" s="7">
        <f t="shared" si="18"/>
        <v>7.9441951020202742E-4</v>
      </c>
      <c r="G205" s="2"/>
      <c r="H205" s="6"/>
      <c r="I205" s="2"/>
      <c r="J205" s="7">
        <f t="shared" si="19"/>
        <v>0</v>
      </c>
      <c r="K205" s="2"/>
      <c r="L205" s="6">
        <f t="shared" si="20"/>
        <v>2094.89</v>
      </c>
      <c r="M205" s="2"/>
      <c r="N205" s="7">
        <f t="shared" si="21"/>
        <v>0</v>
      </c>
      <c r="O205" s="11"/>
      <c r="P205" s="6">
        <v>10091.290000000001</v>
      </c>
      <c r="Q205" s="2"/>
      <c r="R205" s="7">
        <f t="shared" si="22"/>
        <v>6.2700589987953832E-4</v>
      </c>
      <c r="S205" s="2"/>
      <c r="T205" s="6"/>
      <c r="U205" s="2"/>
      <c r="V205" s="7">
        <f t="shared" si="23"/>
        <v>0</v>
      </c>
      <c r="W205" s="2"/>
      <c r="X205" s="6">
        <f t="shared" si="24"/>
        <v>10091.290000000001</v>
      </c>
      <c r="Y205" s="2"/>
      <c r="Z205" s="7">
        <f t="shared" si="25"/>
        <v>0</v>
      </c>
    </row>
    <row r="206" spans="1:26" s="24" customFormat="1" hidden="1" outlineLevel="2" x14ac:dyDescent="0.25">
      <c r="A206" s="25"/>
      <c r="B206" s="11" t="str">
        <f>CONCATENATE("          ", "6118", " - ", "VACATION")</f>
        <v xml:space="preserve">          6118 - VACATION</v>
      </c>
      <c r="C206" s="11"/>
      <c r="D206" s="6">
        <v>21289.58</v>
      </c>
      <c r="E206" s="2"/>
      <c r="F206" s="7">
        <f t="shared" si="18"/>
        <v>8.0733870112544726E-3</v>
      </c>
      <c r="G206" s="2"/>
      <c r="H206" s="6">
        <v>14036.173303861533</v>
      </c>
      <c r="I206" s="2"/>
      <c r="J206" s="7">
        <f t="shared" si="19"/>
        <v>5.7170921281602593E-3</v>
      </c>
      <c r="K206" s="2"/>
      <c r="L206" s="6">
        <f t="shared" si="20"/>
        <v>7253.4066961384688</v>
      </c>
      <c r="M206" s="2"/>
      <c r="N206" s="7">
        <f t="shared" si="21"/>
        <v>0.51676525639242166</v>
      </c>
      <c r="O206" s="11"/>
      <c r="P206" s="6">
        <v>126127.54</v>
      </c>
      <c r="Q206" s="2"/>
      <c r="R206" s="7">
        <f t="shared" si="22"/>
        <v>7.8367296666028274E-3</v>
      </c>
      <c r="S206" s="2"/>
      <c r="T206" s="6">
        <v>77120.350931238427</v>
      </c>
      <c r="U206" s="2"/>
      <c r="V206" s="7">
        <f t="shared" si="23"/>
        <v>4.6799952624508494E-3</v>
      </c>
      <c r="W206" s="2"/>
      <c r="X206" s="6">
        <f t="shared" si="24"/>
        <v>49007.189068761567</v>
      </c>
      <c r="Y206" s="2"/>
      <c r="Z206" s="7">
        <f t="shared" si="25"/>
        <v>0.63546377158549316</v>
      </c>
    </row>
    <row r="207" spans="1:26" s="24" customFormat="1" hidden="1" outlineLevel="2" x14ac:dyDescent="0.25">
      <c r="A207" s="25"/>
      <c r="B207" s="11" t="str">
        <f>CONCATENATE("          ", "6119", " - ", "SICK LEAVE")</f>
        <v xml:space="preserve">          6119 - SICK LEAVE</v>
      </c>
      <c r="C207" s="11"/>
      <c r="D207" s="6">
        <v>13694.34</v>
      </c>
      <c r="E207" s="2"/>
      <c r="F207" s="7">
        <f t="shared" si="18"/>
        <v>5.1931370503176932E-3</v>
      </c>
      <c r="G207" s="2"/>
      <c r="H207" s="6">
        <v>19902.181101828271</v>
      </c>
      <c r="I207" s="2"/>
      <c r="J207" s="7">
        <f t="shared" si="19"/>
        <v>8.1063834456346611E-3</v>
      </c>
      <c r="K207" s="2"/>
      <c r="L207" s="6">
        <f t="shared" si="20"/>
        <v>-6207.8411018282713</v>
      </c>
      <c r="M207" s="2"/>
      <c r="N207" s="7">
        <f t="shared" si="21"/>
        <v>-0.31191762702119125</v>
      </c>
      <c r="O207" s="11"/>
      <c r="P207" s="6">
        <v>115108.72</v>
      </c>
      <c r="Q207" s="2"/>
      <c r="R207" s="7">
        <f t="shared" si="22"/>
        <v>7.1520931979540577E-3</v>
      </c>
      <c r="S207" s="2"/>
      <c r="T207" s="6">
        <v>104755.4086484189</v>
      </c>
      <c r="U207" s="2"/>
      <c r="V207" s="7">
        <f t="shared" si="23"/>
        <v>6.3570096643857489E-3</v>
      </c>
      <c r="W207" s="2"/>
      <c r="X207" s="6">
        <f t="shared" si="24"/>
        <v>10353.311351581098</v>
      </c>
      <c r="Y207" s="2"/>
      <c r="Z207" s="7">
        <f t="shared" si="25"/>
        <v>9.8833191385172103E-2</v>
      </c>
    </row>
    <row r="208" spans="1:26" s="24" customFormat="1" hidden="1" outlineLevel="2" x14ac:dyDescent="0.25">
      <c r="A208" s="25"/>
      <c r="B208" s="11" t="str">
        <f>CONCATENATE("          ", "6156", " - ", "EMPLOYEE MEALS")</f>
        <v xml:space="preserve">          6156 - EMPLOYEE MEALS</v>
      </c>
      <c r="C208" s="11"/>
      <c r="D208" s="6">
        <v>9130.75</v>
      </c>
      <c r="E208" s="2"/>
      <c r="F208" s="7">
        <f t="shared" si="18"/>
        <v>3.4625426360224937E-3</v>
      </c>
      <c r="G208" s="2"/>
      <c r="H208" s="6">
        <v>4925</v>
      </c>
      <c r="I208" s="2"/>
      <c r="J208" s="7">
        <f t="shared" si="19"/>
        <v>2.0060081990753856E-3</v>
      </c>
      <c r="K208" s="2"/>
      <c r="L208" s="6">
        <f t="shared" si="20"/>
        <v>4205.75</v>
      </c>
      <c r="M208" s="2"/>
      <c r="N208" s="7">
        <f t="shared" si="21"/>
        <v>0.85395939086294415</v>
      </c>
      <c r="O208" s="11"/>
      <c r="P208" s="6">
        <v>45125.49</v>
      </c>
      <c r="Q208" s="2"/>
      <c r="R208" s="7">
        <f t="shared" si="22"/>
        <v>2.8037989657372945E-3</v>
      </c>
      <c r="S208" s="2"/>
      <c r="T208" s="6">
        <v>24750</v>
      </c>
      <c r="U208" s="2"/>
      <c r="V208" s="7">
        <f t="shared" si="23"/>
        <v>1.5019366658345999E-3</v>
      </c>
      <c r="W208" s="2"/>
      <c r="X208" s="6">
        <f t="shared" si="24"/>
        <v>20375.489999999998</v>
      </c>
      <c r="Y208" s="2"/>
      <c r="Z208" s="7">
        <f t="shared" si="25"/>
        <v>0.8232521212121211</v>
      </c>
    </row>
    <row r="209" spans="1:26" s="26" customFormat="1" outlineLevel="1" collapsed="1" x14ac:dyDescent="0.25">
      <c r="A209" s="27"/>
      <c r="B209" s="13" t="str">
        <f>CONCATENATE("     ","*Payroll                                          ")</f>
        <v xml:space="preserve">     *Payroll                                          </v>
      </c>
      <c r="C209" s="13"/>
      <c r="D209" s="1">
        <f>SUM(OSRRefD22_1x_0)</f>
        <v>689781.73999999987</v>
      </c>
      <c r="E209" s="1"/>
      <c r="F209" s="5">
        <f t="shared" ref="F209:F219" si="26">IF(D$12=0,0,D209/D$12)</f>
        <v>0.26157749191466001</v>
      </c>
      <c r="G209" s="1"/>
      <c r="H209" s="1">
        <f>SUM(OSRRefH22_1x_0)</f>
        <v>686895.29853070469</v>
      </c>
      <c r="I209" s="1"/>
      <c r="J209" s="5">
        <f t="shared" ref="J209:J219" si="27">IF(H$12=0,0,H209/H$12)</f>
        <v>0.27978022350435094</v>
      </c>
      <c r="K209" s="1"/>
      <c r="L209" s="1">
        <f t="shared" ref="L209:L219" si="28">+D209-H209</f>
        <v>2886.4414692951832</v>
      </c>
      <c r="M209" s="1"/>
      <c r="N209" s="5">
        <f t="shared" ref="N209:N219" si="29">IF(H209=0,0,L209/H209)</f>
        <v>4.2021563919121176E-3</v>
      </c>
      <c r="O209" s="13"/>
      <c r="P209" s="1">
        <f>SUM(OSRRefP22_1x_0)</f>
        <v>3711365.4499999997</v>
      </c>
      <c r="Q209" s="1"/>
      <c r="R209" s="5">
        <f t="shared" ref="R209:R219" si="30">IF(P$12=0,0,P209/P$12)</f>
        <v>0.23059965908809252</v>
      </c>
      <c r="S209" s="1"/>
      <c r="T209" s="1">
        <f>SUM(OSRRefT22_1x_0)</f>
        <v>3676375.5834747152</v>
      </c>
      <c r="U209" s="1"/>
      <c r="V209" s="5">
        <f t="shared" ref="V209:V219" si="31">IF(T$12=0,0,T209/T$12)</f>
        <v>0.22309831459392912</v>
      </c>
      <c r="W209" s="1"/>
      <c r="X209" s="1">
        <f t="shared" ref="X209:X219" si="32">+P209-T209</f>
        <v>34989.86652528448</v>
      </c>
      <c r="Y209" s="1"/>
      <c r="Z209" s="5">
        <f t="shared" ref="Z209:Z219" si="33">IF(T209=0,0,X209/T209)</f>
        <v>9.5174896391336371E-3</v>
      </c>
    </row>
    <row r="210" spans="1:26" s="24" customFormat="1" hidden="1" outlineLevel="2" x14ac:dyDescent="0.25">
      <c r="A210" s="25"/>
      <c r="B210" s="11" t="str">
        <f>CONCATENATE("          ", "6001", " - ", "ADMINISTRATIVE SALARIES")</f>
        <v xml:space="preserve">          6001 - ADMINISTRATIVE SALARIES</v>
      </c>
      <c r="C210" s="11"/>
      <c r="D210" s="6">
        <v>35348.21</v>
      </c>
      <c r="E210" s="2"/>
      <c r="F210" s="7">
        <f t="shared" si="26"/>
        <v>1.3404669302311056E-2</v>
      </c>
      <c r="G210" s="2"/>
      <c r="H210" s="6">
        <v>60667.695831076926</v>
      </c>
      <c r="I210" s="2"/>
      <c r="J210" s="7">
        <f t="shared" si="27"/>
        <v>2.4710638630690743E-2</v>
      </c>
      <c r="K210" s="2"/>
      <c r="L210" s="6">
        <f t="shared" si="28"/>
        <v>-25319.485831076927</v>
      </c>
      <c r="M210" s="2"/>
      <c r="N210" s="7">
        <f t="shared" si="29"/>
        <v>-0.41734708207109888</v>
      </c>
      <c r="O210" s="11"/>
      <c r="P210" s="6">
        <v>181824.62</v>
      </c>
      <c r="Q210" s="2"/>
      <c r="R210" s="7">
        <f t="shared" si="30"/>
        <v>1.1297377191950194E-2</v>
      </c>
      <c r="S210" s="2"/>
      <c r="T210" s="6">
        <v>333672.32707092311</v>
      </c>
      <c r="U210" s="2"/>
      <c r="V210" s="7">
        <f t="shared" si="31"/>
        <v>2.0248674844532296E-2</v>
      </c>
      <c r="W210" s="2"/>
      <c r="X210" s="6">
        <f t="shared" si="32"/>
        <v>-151847.70707092312</v>
      </c>
      <c r="Y210" s="2"/>
      <c r="Z210" s="7">
        <f t="shared" si="33"/>
        <v>-0.45508031308406166</v>
      </c>
    </row>
    <row r="211" spans="1:26" s="24" customFormat="1" hidden="1" outlineLevel="2" x14ac:dyDescent="0.25">
      <c r="A211" s="25"/>
      <c r="B211" s="11" t="str">
        <f>CONCATENATE("          ", "6002", " - ", "STAFF SALARIES")</f>
        <v xml:space="preserve">          6002 - STAFF SALARIES</v>
      </c>
      <c r="C211" s="11"/>
      <c r="D211" s="6">
        <v>173971.50999999998</v>
      </c>
      <c r="E211" s="2"/>
      <c r="F211" s="7">
        <f t="shared" si="26"/>
        <v>6.597308773410876E-2</v>
      </c>
      <c r="G211" s="2"/>
      <c r="H211" s="6">
        <v>134334.30362810774</v>
      </c>
      <c r="I211" s="2"/>
      <c r="J211" s="7">
        <f t="shared" si="27"/>
        <v>5.4715881115749529E-2</v>
      </c>
      <c r="K211" s="2"/>
      <c r="L211" s="6">
        <f t="shared" si="28"/>
        <v>39637.206371892244</v>
      </c>
      <c r="M211" s="2"/>
      <c r="N211" s="7">
        <f t="shared" si="29"/>
        <v>0.2950639211382986</v>
      </c>
      <c r="O211" s="11"/>
      <c r="P211" s="6">
        <v>929812.57000000007</v>
      </c>
      <c r="Q211" s="2"/>
      <c r="R211" s="7">
        <f t="shared" si="30"/>
        <v>5.7772392545666233E-2</v>
      </c>
      <c r="S211" s="2"/>
      <c r="T211" s="6">
        <v>738838.66995459225</v>
      </c>
      <c r="U211" s="2"/>
      <c r="V211" s="7">
        <f t="shared" si="31"/>
        <v>4.4835914688536191E-2</v>
      </c>
      <c r="W211" s="2"/>
      <c r="X211" s="6">
        <f t="shared" si="32"/>
        <v>190973.90004540782</v>
      </c>
      <c r="Y211" s="2"/>
      <c r="Z211" s="7">
        <f t="shared" si="33"/>
        <v>0.25847848496769227</v>
      </c>
    </row>
    <row r="212" spans="1:26" s="24" customFormat="1" hidden="1" outlineLevel="2" x14ac:dyDescent="0.25">
      <c r="A212" s="25"/>
      <c r="B212" s="11" t="str">
        <f>CONCATENATE("          ", "6003", " - ", "STAFF HOURLY-9 MONTH")</f>
        <v xml:space="preserve">          6003 - STAFF HOURLY-9 MONTH</v>
      </c>
      <c r="C212" s="11"/>
      <c r="D212" s="6"/>
      <c r="E212" s="2"/>
      <c r="F212" s="7">
        <f t="shared" si="26"/>
        <v>0</v>
      </c>
      <c r="G212" s="2"/>
      <c r="H212" s="6">
        <v>0</v>
      </c>
      <c r="I212" s="2"/>
      <c r="J212" s="7">
        <f t="shared" si="27"/>
        <v>0</v>
      </c>
      <c r="K212" s="2"/>
      <c r="L212" s="6">
        <f t="shared" si="28"/>
        <v>0</v>
      </c>
      <c r="M212" s="2"/>
      <c r="N212" s="7">
        <f t="shared" si="29"/>
        <v>0</v>
      </c>
      <c r="O212" s="11"/>
      <c r="P212" s="6"/>
      <c r="Q212" s="2"/>
      <c r="R212" s="7">
        <f t="shared" si="30"/>
        <v>0</v>
      </c>
      <c r="S212" s="2"/>
      <c r="T212" s="6">
        <v>0</v>
      </c>
      <c r="U212" s="2"/>
      <c r="V212" s="7">
        <f t="shared" si="31"/>
        <v>0</v>
      </c>
      <c r="W212" s="2"/>
      <c r="X212" s="6">
        <f t="shared" si="32"/>
        <v>0</v>
      </c>
      <c r="Y212" s="2"/>
      <c r="Z212" s="7">
        <f t="shared" si="33"/>
        <v>0</v>
      </c>
    </row>
    <row r="213" spans="1:26" s="24" customFormat="1" hidden="1" outlineLevel="2" x14ac:dyDescent="0.25">
      <c r="A213" s="25"/>
      <c r="B213" s="11" t="str">
        <f>CONCATENATE("          ", "6004", " - ", "STAFF HOURLY")</f>
        <v xml:space="preserve">          6004 - STAFF HOURLY</v>
      </c>
      <c r="C213" s="11"/>
      <c r="D213" s="6">
        <v>84341.430000000008</v>
      </c>
      <c r="E213" s="2"/>
      <c r="F213" s="7">
        <f t="shared" si="26"/>
        <v>3.1983768842439739E-2</v>
      </c>
      <c r="G213" s="2"/>
      <c r="H213" s="6">
        <v>149290.79762200001</v>
      </c>
      <c r="I213" s="2"/>
      <c r="J213" s="7">
        <f t="shared" si="27"/>
        <v>6.0807830269286517E-2</v>
      </c>
      <c r="K213" s="2"/>
      <c r="L213" s="6">
        <f t="shared" si="28"/>
        <v>-64949.367622000005</v>
      </c>
      <c r="M213" s="2"/>
      <c r="N213" s="7">
        <f t="shared" si="29"/>
        <v>-0.43505272030530595</v>
      </c>
      <c r="O213" s="11"/>
      <c r="P213" s="6">
        <v>420768.59</v>
      </c>
      <c r="Q213" s="2"/>
      <c r="R213" s="7">
        <f t="shared" si="30"/>
        <v>2.614377234367405E-2</v>
      </c>
      <c r="S213" s="2"/>
      <c r="T213" s="6">
        <v>820939.36667599995</v>
      </c>
      <c r="U213" s="2"/>
      <c r="V213" s="7">
        <f t="shared" si="31"/>
        <v>4.9818138797483612E-2</v>
      </c>
      <c r="W213" s="2"/>
      <c r="X213" s="6">
        <f t="shared" si="32"/>
        <v>-400170.77667599992</v>
      </c>
      <c r="Y213" s="2"/>
      <c r="Z213" s="7">
        <f t="shared" si="33"/>
        <v>-0.48745472920405736</v>
      </c>
    </row>
    <row r="214" spans="1:26" s="24" customFormat="1" hidden="1" outlineLevel="2" x14ac:dyDescent="0.25">
      <c r="A214" s="25"/>
      <c r="B214" s="11" t="str">
        <f>CONCATENATE("          ", "6005", " - ", "TEMPORARY WAGES-HOURLY")</f>
        <v xml:space="preserve">          6005 - TEMPORARY WAGES-HOURLY</v>
      </c>
      <c r="C214" s="11"/>
      <c r="D214" s="6">
        <v>121885.31000000001</v>
      </c>
      <c r="E214" s="2"/>
      <c r="F214" s="7">
        <f t="shared" si="26"/>
        <v>4.6221075221621319E-2</v>
      </c>
      <c r="G214" s="2"/>
      <c r="H214" s="6">
        <v>58919.937238999999</v>
      </c>
      <c r="I214" s="2"/>
      <c r="J214" s="7">
        <f t="shared" si="27"/>
        <v>2.3998756789937285E-2</v>
      </c>
      <c r="K214" s="2"/>
      <c r="L214" s="6">
        <f t="shared" si="28"/>
        <v>62965.372761000013</v>
      </c>
      <c r="M214" s="2"/>
      <c r="N214" s="7">
        <f t="shared" si="29"/>
        <v>1.0686598749348681</v>
      </c>
      <c r="O214" s="11"/>
      <c r="P214" s="6">
        <v>657144.85</v>
      </c>
      <c r="Q214" s="2"/>
      <c r="R214" s="7">
        <f t="shared" si="30"/>
        <v>4.0830627008584051E-2</v>
      </c>
      <c r="S214" s="2"/>
      <c r="T214" s="6">
        <v>289732.918129</v>
      </c>
      <c r="U214" s="2"/>
      <c r="V214" s="7">
        <f t="shared" si="31"/>
        <v>1.7582242142917145E-2</v>
      </c>
      <c r="W214" s="2"/>
      <c r="X214" s="6">
        <f t="shared" si="32"/>
        <v>367411.93187099998</v>
      </c>
      <c r="Y214" s="2"/>
      <c r="Z214" s="7">
        <f t="shared" si="33"/>
        <v>1.2681055858051116</v>
      </c>
    </row>
    <row r="215" spans="1:26" s="24" customFormat="1" hidden="1" outlineLevel="2" x14ac:dyDescent="0.25">
      <c r="A215" s="25"/>
      <c r="B215" s="11" t="str">
        <f>CONCATENATE("          ", "6006", " - ", "TEMPORARY PART TIME")</f>
        <v xml:space="preserve">          6006 - TEMPORARY PART TIME</v>
      </c>
      <c r="C215" s="11"/>
      <c r="D215" s="6">
        <v>8565.98</v>
      </c>
      <c r="E215" s="2"/>
      <c r="F215" s="7">
        <f t="shared" si="26"/>
        <v>3.2483718171361564E-3</v>
      </c>
      <c r="G215" s="2"/>
      <c r="H215" s="6">
        <v>0</v>
      </c>
      <c r="I215" s="2"/>
      <c r="J215" s="7">
        <f t="shared" si="27"/>
        <v>0</v>
      </c>
      <c r="K215" s="2"/>
      <c r="L215" s="6">
        <f t="shared" si="28"/>
        <v>8565.98</v>
      </c>
      <c r="M215" s="2"/>
      <c r="N215" s="7">
        <f t="shared" si="29"/>
        <v>0</v>
      </c>
      <c r="O215" s="11"/>
      <c r="P215" s="6">
        <v>73330.399999999994</v>
      </c>
      <c r="Q215" s="2"/>
      <c r="R215" s="7">
        <f t="shared" si="30"/>
        <v>4.5562651990505168E-3</v>
      </c>
      <c r="S215" s="2"/>
      <c r="T215" s="6">
        <v>0</v>
      </c>
      <c r="U215" s="2"/>
      <c r="V215" s="7">
        <f t="shared" si="31"/>
        <v>0</v>
      </c>
      <c r="W215" s="2"/>
      <c r="X215" s="6">
        <f t="shared" si="32"/>
        <v>73330.399999999994</v>
      </c>
      <c r="Y215" s="2"/>
      <c r="Z215" s="7">
        <f t="shared" si="33"/>
        <v>0</v>
      </c>
    </row>
    <row r="216" spans="1:26" s="24" customFormat="1" hidden="1" outlineLevel="2" x14ac:dyDescent="0.25">
      <c r="A216" s="25"/>
      <c r="B216" s="11" t="str">
        <f>CONCATENATE("          ", "6007", " - ", "STUDENT HOURLY")</f>
        <v xml:space="preserve">          6007 - STUDENT HOURLY</v>
      </c>
      <c r="C216" s="11"/>
      <c r="D216" s="6">
        <v>239041.18999999997</v>
      </c>
      <c r="E216" s="2"/>
      <c r="F216" s="7">
        <f t="shared" si="26"/>
        <v>9.0648666554286744E-2</v>
      </c>
      <c r="G216" s="2"/>
      <c r="H216" s="6">
        <v>36710.235000000001</v>
      </c>
      <c r="I216" s="2"/>
      <c r="J216" s="7">
        <f t="shared" si="27"/>
        <v>1.4952493888321663E-2</v>
      </c>
      <c r="K216" s="2"/>
      <c r="L216" s="6">
        <f t="shared" si="28"/>
        <v>202330.95499999996</v>
      </c>
      <c r="M216" s="2"/>
      <c r="N216" s="7">
        <f t="shared" si="29"/>
        <v>5.5115679591808648</v>
      </c>
      <c r="O216" s="11"/>
      <c r="P216" s="6">
        <v>1312816.8499999999</v>
      </c>
      <c r="Q216" s="2"/>
      <c r="R216" s="7">
        <f t="shared" si="30"/>
        <v>8.1569740876664007E-2</v>
      </c>
      <c r="S216" s="2"/>
      <c r="T216" s="6">
        <v>468453.20511320001</v>
      </c>
      <c r="U216" s="2"/>
      <c r="V216" s="7">
        <f t="shared" si="31"/>
        <v>2.8427759393424304E-2</v>
      </c>
      <c r="W216" s="2"/>
      <c r="X216" s="6">
        <f t="shared" si="32"/>
        <v>844363.64488679986</v>
      </c>
      <c r="Y216" s="2"/>
      <c r="Z216" s="7">
        <f t="shared" si="33"/>
        <v>1.8024503529285545</v>
      </c>
    </row>
    <row r="217" spans="1:26" s="24" customFormat="1" hidden="1" outlineLevel="2" x14ac:dyDescent="0.25">
      <c r="A217" s="25"/>
      <c r="B217" s="11" t="str">
        <f>CONCATENATE("          ", "6008", " - ", "STUDENT HOURLY-FICA EXEMPT")</f>
        <v xml:space="preserve">          6008 - STUDENT HOURLY-FICA EXEMPT</v>
      </c>
      <c r="C217" s="11"/>
      <c r="D217" s="6">
        <v>26628.11</v>
      </c>
      <c r="E217" s="2"/>
      <c r="F217" s="7">
        <f t="shared" si="26"/>
        <v>1.0097852442756282E-2</v>
      </c>
      <c r="G217" s="2"/>
      <c r="H217" s="6">
        <v>246972.32921052002</v>
      </c>
      <c r="I217" s="2"/>
      <c r="J217" s="7">
        <f t="shared" si="27"/>
        <v>0.10059462281036519</v>
      </c>
      <c r="K217" s="2"/>
      <c r="L217" s="6">
        <f t="shared" si="28"/>
        <v>-220344.21921052004</v>
      </c>
      <c r="M217" s="2"/>
      <c r="N217" s="7">
        <f t="shared" si="29"/>
        <v>-0.89218180803849445</v>
      </c>
      <c r="O217" s="11"/>
      <c r="P217" s="6">
        <v>135667.57</v>
      </c>
      <c r="Q217" s="2"/>
      <c r="R217" s="7">
        <f t="shared" si="30"/>
        <v>8.42948392250349E-3</v>
      </c>
      <c r="S217" s="2"/>
      <c r="T217" s="6">
        <v>1024739.096531</v>
      </c>
      <c r="U217" s="2"/>
      <c r="V217" s="7">
        <f t="shared" si="31"/>
        <v>6.2185584727035566E-2</v>
      </c>
      <c r="W217" s="2"/>
      <c r="X217" s="6">
        <f t="shared" si="32"/>
        <v>-889071.52653099992</v>
      </c>
      <c r="Y217" s="2"/>
      <c r="Z217" s="7">
        <f t="shared" si="33"/>
        <v>-0.8676076959888922</v>
      </c>
    </row>
    <row r="218" spans="1:26" s="24" customFormat="1" hidden="1" outlineLevel="2" x14ac:dyDescent="0.25">
      <c r="A218" s="25"/>
      <c r="B218" s="11" t="str">
        <f>CONCATENATE("          ", "6009", " - ", "TEMPORARY-SEASONAL")</f>
        <v xml:space="preserve">          6009 - TEMPORARY-SEASONAL</v>
      </c>
      <c r="C218" s="11"/>
      <c r="D218" s="6"/>
      <c r="E218" s="2"/>
      <c r="F218" s="7">
        <f t="shared" si="26"/>
        <v>0</v>
      </c>
      <c r="G218" s="2"/>
      <c r="H218" s="6">
        <v>0</v>
      </c>
      <c r="I218" s="2"/>
      <c r="J218" s="7">
        <f t="shared" si="27"/>
        <v>0</v>
      </c>
      <c r="K218" s="2"/>
      <c r="L218" s="6">
        <f t="shared" si="28"/>
        <v>0</v>
      </c>
      <c r="M218" s="2"/>
      <c r="N218" s="7">
        <f t="shared" si="29"/>
        <v>0</v>
      </c>
      <c r="O218" s="11"/>
      <c r="P218" s="6"/>
      <c r="Q218" s="2"/>
      <c r="R218" s="7">
        <f t="shared" si="30"/>
        <v>0</v>
      </c>
      <c r="S218" s="2"/>
      <c r="T218" s="6">
        <v>0</v>
      </c>
      <c r="U218" s="2"/>
      <c r="V218" s="7">
        <f t="shared" si="31"/>
        <v>0</v>
      </c>
      <c r="W218" s="2"/>
      <c r="X218" s="6">
        <f t="shared" si="32"/>
        <v>0</v>
      </c>
      <c r="Y218" s="2"/>
      <c r="Z218" s="7">
        <f t="shared" si="33"/>
        <v>0</v>
      </c>
    </row>
    <row r="219" spans="1:26" s="24" customFormat="1" hidden="1" outlineLevel="2" x14ac:dyDescent="0.25">
      <c r="A219" s="25"/>
      <c r="B219" s="11" t="str">
        <f>CONCATENATE("          ", "6010", " - ", "GRATUITY")</f>
        <v xml:space="preserve">          6010 - GRATUITY</v>
      </c>
      <c r="C219" s="11"/>
      <c r="D219" s="6"/>
      <c r="E219" s="2"/>
      <c r="F219" s="7">
        <f t="shared" si="26"/>
        <v>0</v>
      </c>
      <c r="G219" s="2"/>
      <c r="H219" s="6">
        <v>0</v>
      </c>
      <c r="I219" s="2"/>
      <c r="J219" s="7">
        <f t="shared" si="27"/>
        <v>0</v>
      </c>
      <c r="K219" s="2"/>
      <c r="L219" s="6">
        <f t="shared" si="28"/>
        <v>0</v>
      </c>
      <c r="M219" s="2"/>
      <c r="N219" s="7">
        <f t="shared" si="29"/>
        <v>0</v>
      </c>
      <c r="O219" s="11"/>
      <c r="P219" s="6"/>
      <c r="Q219" s="2"/>
      <c r="R219" s="7">
        <f t="shared" si="30"/>
        <v>0</v>
      </c>
      <c r="S219" s="2"/>
      <c r="T219" s="6">
        <v>0</v>
      </c>
      <c r="U219" s="2"/>
      <c r="V219" s="7">
        <f t="shared" si="31"/>
        <v>0</v>
      </c>
      <c r="W219" s="2"/>
      <c r="X219" s="6">
        <f t="shared" si="32"/>
        <v>0</v>
      </c>
      <c r="Y219" s="2"/>
      <c r="Z219" s="7">
        <f t="shared" si="33"/>
        <v>0</v>
      </c>
    </row>
    <row r="220" spans="1:26" s="26" customFormat="1" outlineLevel="1" collapsed="1" x14ac:dyDescent="0.25">
      <c r="A220" s="27"/>
      <c r="B220" s="13" t="str">
        <f>CONCATENATE("     ","Advertising/Promo                                 ")</f>
        <v xml:space="preserve">     Advertising/Promo                                 </v>
      </c>
      <c r="C220" s="13"/>
      <c r="D220" s="1">
        <f>SUM(OSRRefD22_2x_0)</f>
        <v>20359.849999999999</v>
      </c>
      <c r="E220" s="1"/>
      <c r="F220" s="5">
        <f t="shared" ref="F220:F224" si="34">IF(D$12=0,0,D220/D$12)</f>
        <v>7.7208168757246188E-3</v>
      </c>
      <c r="G220" s="1"/>
      <c r="H220" s="1">
        <f>SUM(OSRRefH22_2x_0)</f>
        <v>15205</v>
      </c>
      <c r="I220" s="1"/>
      <c r="J220" s="5">
        <f t="shared" ref="J220:J224" si="35">IF(H$12=0,0,H220/H$12)</f>
        <v>6.1931684602926371E-3</v>
      </c>
      <c r="K220" s="1"/>
      <c r="L220" s="1">
        <f t="shared" ref="L220:L224" si="36">+D220-H220</f>
        <v>5154.8499999999985</v>
      </c>
      <c r="M220" s="1"/>
      <c r="N220" s="5">
        <f t="shared" ref="N220:N224" si="37">IF(H220=0,0,L220/H220)</f>
        <v>0.33902334758303182</v>
      </c>
      <c r="O220" s="13"/>
      <c r="P220" s="1">
        <f>SUM(OSRRefP22_2x_0)</f>
        <v>60836.729999999996</v>
      </c>
      <c r="Q220" s="1"/>
      <c r="R220" s="5">
        <f t="shared" ref="R220:R224" si="38">IF(P$12=0,0,P220/P$12)</f>
        <v>3.779991323148824E-3</v>
      </c>
      <c r="S220" s="1"/>
      <c r="T220" s="1">
        <f>SUM(OSRRefT22_2x_0)</f>
        <v>59315.000000000007</v>
      </c>
      <c r="U220" s="1"/>
      <c r="V220" s="5">
        <f t="shared" ref="V220:V224" si="39">IF(T$12=0,0,T220/T$12)</f>
        <v>3.5994898316759312E-3</v>
      </c>
      <c r="W220" s="1"/>
      <c r="X220" s="1">
        <f t="shared" ref="X220:X224" si="40">+P220-T220</f>
        <v>1521.7299999999886</v>
      </c>
      <c r="Y220" s="1"/>
      <c r="Z220" s="5">
        <f t="shared" ref="Z220:Z224" si="41">IF(T220=0,0,X220/T220)</f>
        <v>2.5655061957346178E-2</v>
      </c>
    </row>
    <row r="221" spans="1:26" s="24" customFormat="1" hidden="1" outlineLevel="2" x14ac:dyDescent="0.25">
      <c r="A221" s="25"/>
      <c r="B221" s="11" t="str">
        <f>CONCATENATE("          ", "6362", " - ", "ADVERTISING EXPENSE")</f>
        <v xml:space="preserve">          6362 - ADVERTISING EXPENSE</v>
      </c>
      <c r="C221" s="11"/>
      <c r="D221" s="6">
        <v>20359.849999999999</v>
      </c>
      <c r="E221" s="2"/>
      <c r="F221" s="7">
        <f t="shared" si="34"/>
        <v>7.7208168757246188E-3</v>
      </c>
      <c r="G221" s="2"/>
      <c r="H221" s="6">
        <v>15205</v>
      </c>
      <c r="I221" s="2"/>
      <c r="J221" s="7">
        <f t="shared" si="35"/>
        <v>6.1931684602926371E-3</v>
      </c>
      <c r="K221" s="2"/>
      <c r="L221" s="6">
        <f t="shared" si="36"/>
        <v>5154.8499999999985</v>
      </c>
      <c r="M221" s="2"/>
      <c r="N221" s="7">
        <f t="shared" si="37"/>
        <v>0.33902334758303182</v>
      </c>
      <c r="O221" s="11"/>
      <c r="P221" s="6">
        <v>60836.729999999996</v>
      </c>
      <c r="Q221" s="2"/>
      <c r="R221" s="7">
        <f t="shared" si="38"/>
        <v>3.779991323148824E-3</v>
      </c>
      <c r="S221" s="2"/>
      <c r="T221" s="6">
        <v>59315.000000000007</v>
      </c>
      <c r="U221" s="2"/>
      <c r="V221" s="7">
        <f t="shared" si="39"/>
        <v>3.5994898316759312E-3</v>
      </c>
      <c r="W221" s="2"/>
      <c r="X221" s="6">
        <f t="shared" si="40"/>
        <v>1521.7299999999886</v>
      </c>
      <c r="Y221" s="2"/>
      <c r="Z221" s="7">
        <f t="shared" si="41"/>
        <v>2.5655061957346178E-2</v>
      </c>
    </row>
    <row r="222" spans="1:26" s="26" customFormat="1" outlineLevel="1" collapsed="1" x14ac:dyDescent="0.25">
      <c r="A222" s="27"/>
      <c r="B222" s="13" t="str">
        <f>CONCATENATE("     ","Bad Debts/Over/Short                              ")</f>
        <v xml:space="preserve">     Bad Debts/Over/Short                              </v>
      </c>
      <c r="C222" s="13"/>
      <c r="D222" s="1">
        <f>SUM(OSRRefD22_3x_0)</f>
        <v>94.49</v>
      </c>
      <c r="E222" s="1"/>
      <c r="F222" s="5">
        <f t="shared" si="34"/>
        <v>3.5832286907183461E-5</v>
      </c>
      <c r="G222" s="1"/>
      <c r="H222" s="1">
        <f>SUM(OSRRefH22_3x_0)</f>
        <v>402</v>
      </c>
      <c r="I222" s="1"/>
      <c r="J222" s="5">
        <f t="shared" si="35"/>
        <v>1.6373914640168631E-4</v>
      </c>
      <c r="K222" s="1"/>
      <c r="L222" s="1">
        <f t="shared" si="36"/>
        <v>-307.51</v>
      </c>
      <c r="M222" s="1"/>
      <c r="N222" s="5">
        <f t="shared" si="37"/>
        <v>-0.76495024875621886</v>
      </c>
      <c r="O222" s="13"/>
      <c r="P222" s="1">
        <f>SUM(OSRRefP22_3x_0)</f>
        <v>-174.35000000000002</v>
      </c>
      <c r="Q222" s="1"/>
      <c r="R222" s="5">
        <f t="shared" si="38"/>
        <v>-1.083295382889576E-5</v>
      </c>
      <c r="S222" s="1"/>
      <c r="T222" s="1">
        <f>SUM(OSRRefT22_3x_0)</f>
        <v>1922</v>
      </c>
      <c r="U222" s="1"/>
      <c r="V222" s="5">
        <f t="shared" si="39"/>
        <v>1.1663524330238792E-4</v>
      </c>
      <c r="W222" s="1"/>
      <c r="X222" s="1">
        <f t="shared" si="40"/>
        <v>-2096.35</v>
      </c>
      <c r="Y222" s="1"/>
      <c r="Z222" s="5">
        <f t="shared" si="41"/>
        <v>-1.0907127991675338</v>
      </c>
    </row>
    <row r="223" spans="1:26" s="24" customFormat="1" hidden="1" outlineLevel="2" x14ac:dyDescent="0.25">
      <c r="A223" s="25"/>
      <c r="B223" s="11" t="str">
        <f>CONCATENATE("          ", "6272", " - ", "CASH (OVER/SHORT)")</f>
        <v xml:space="preserve">          6272 - CASH (OVER/SHORT)</v>
      </c>
      <c r="C223" s="11"/>
      <c r="D223" s="6">
        <v>94.49</v>
      </c>
      <c r="E223" s="2"/>
      <c r="F223" s="7">
        <f t="shared" si="34"/>
        <v>3.5832286907183461E-5</v>
      </c>
      <c r="G223" s="2"/>
      <c r="H223" s="6">
        <v>342</v>
      </c>
      <c r="I223" s="2"/>
      <c r="J223" s="7">
        <f t="shared" si="35"/>
        <v>1.3930046783427043E-4</v>
      </c>
      <c r="K223" s="2"/>
      <c r="L223" s="6">
        <f t="shared" si="36"/>
        <v>-247.51</v>
      </c>
      <c r="M223" s="2"/>
      <c r="N223" s="7">
        <f t="shared" si="37"/>
        <v>-0.72371345029239764</v>
      </c>
      <c r="O223" s="11"/>
      <c r="P223" s="6">
        <v>-219.15</v>
      </c>
      <c r="Q223" s="2"/>
      <c r="R223" s="7">
        <f t="shared" si="38"/>
        <v>-1.3616529002595387E-5</v>
      </c>
      <c r="S223" s="2"/>
      <c r="T223" s="6">
        <v>1672</v>
      </c>
      <c r="U223" s="2"/>
      <c r="V223" s="7">
        <f t="shared" si="39"/>
        <v>1.014641658697152E-4</v>
      </c>
      <c r="W223" s="2"/>
      <c r="X223" s="6">
        <f t="shared" si="40"/>
        <v>-1891.15</v>
      </c>
      <c r="Y223" s="2"/>
      <c r="Z223" s="7">
        <f t="shared" si="41"/>
        <v>-1.1310705741626794</v>
      </c>
    </row>
    <row r="224" spans="1:26" s="24" customFormat="1" hidden="1" outlineLevel="2" x14ac:dyDescent="0.25">
      <c r="A224" s="25"/>
      <c r="B224" s="11" t="str">
        <f>CONCATENATE("          ", "6342", " - ", "BAD DEBT")</f>
        <v xml:space="preserve">          6342 - BAD DEBT</v>
      </c>
      <c r="C224" s="11"/>
      <c r="D224" s="6"/>
      <c r="E224" s="2"/>
      <c r="F224" s="7">
        <f t="shared" si="34"/>
        <v>0</v>
      </c>
      <c r="G224" s="2"/>
      <c r="H224" s="6">
        <v>60</v>
      </c>
      <c r="I224" s="2"/>
      <c r="J224" s="7">
        <f t="shared" si="35"/>
        <v>2.4438678567415865E-5</v>
      </c>
      <c r="K224" s="2"/>
      <c r="L224" s="6">
        <f t="shared" si="36"/>
        <v>-60</v>
      </c>
      <c r="M224" s="2"/>
      <c r="N224" s="7">
        <f t="shared" si="37"/>
        <v>-1</v>
      </c>
      <c r="O224" s="11"/>
      <c r="P224" s="6">
        <v>44.8</v>
      </c>
      <c r="Q224" s="2"/>
      <c r="R224" s="7">
        <f t="shared" si="38"/>
        <v>2.7835751736996271E-6</v>
      </c>
      <c r="S224" s="2"/>
      <c r="T224" s="6">
        <v>250</v>
      </c>
      <c r="U224" s="2"/>
      <c r="V224" s="7">
        <f t="shared" si="39"/>
        <v>1.5171077432672727E-5</v>
      </c>
      <c r="W224" s="2"/>
      <c r="X224" s="6">
        <f t="shared" si="40"/>
        <v>-205.2</v>
      </c>
      <c r="Y224" s="2"/>
      <c r="Z224" s="7">
        <f t="shared" si="41"/>
        <v>-0.82079999999999997</v>
      </c>
    </row>
    <row r="225" spans="1:26" s="26" customFormat="1" outlineLevel="1" collapsed="1" x14ac:dyDescent="0.25">
      <c r="A225" s="27"/>
      <c r="B225" s="13" t="str">
        <f>CONCATENATE("     ","Bank/card Fees                                    ")</f>
        <v xml:space="preserve">     Bank/card Fees                                    </v>
      </c>
      <c r="C225" s="13"/>
      <c r="D225" s="1">
        <f>SUM(OSRRefD22_4x_0)</f>
        <v>41057.879999999997</v>
      </c>
      <c r="E225" s="1"/>
      <c r="F225" s="5">
        <f t="shared" ref="F225:F231" si="42">IF(D$12=0,0,D225/D$12)</f>
        <v>1.55698776162632E-2</v>
      </c>
      <c r="G225" s="1"/>
      <c r="H225" s="1">
        <f>SUM(OSRRefH22_4x_0)</f>
        <v>28953</v>
      </c>
      <c r="I225" s="1"/>
      <c r="J225" s="5">
        <f t="shared" ref="J225:J231" si="43">IF(H$12=0,0,H225/H$12)</f>
        <v>1.1792884342706526E-2</v>
      </c>
      <c r="K225" s="1"/>
      <c r="L225" s="1">
        <f t="shared" ref="L225:L231" si="44">+D225-H225</f>
        <v>12104.879999999997</v>
      </c>
      <c r="M225" s="1"/>
      <c r="N225" s="5">
        <f t="shared" ref="N225:N231" si="45">IF(H225=0,0,L225/H225)</f>
        <v>0.41808724484509369</v>
      </c>
      <c r="O225" s="13"/>
      <c r="P225" s="1">
        <f>SUM(OSRRefP22_4x_0)</f>
        <v>223333.54</v>
      </c>
      <c r="Q225" s="1"/>
      <c r="R225" s="5">
        <f t="shared" ref="R225:R231" si="46">IF(P$12=0,0,P225/P$12)</f>
        <v>1.3876466459786891E-2</v>
      </c>
      <c r="S225" s="1"/>
      <c r="T225" s="1">
        <f>SUM(OSRRefT22_4x_0)</f>
        <v>189581</v>
      </c>
      <c r="U225" s="1"/>
      <c r="V225" s="5">
        <f t="shared" ref="V225:V231" si="47">IF(T$12=0,0,T225/T$12)</f>
        <v>1.1504592123054113E-2</v>
      </c>
      <c r="W225" s="1"/>
      <c r="X225" s="1">
        <f t="shared" ref="X225:X231" si="48">+P225-T225</f>
        <v>33752.540000000008</v>
      </c>
      <c r="Y225" s="1"/>
      <c r="Z225" s="5">
        <f t="shared" ref="Z225:Z231" si="49">IF(T225=0,0,X225/T225)</f>
        <v>0.1780375670557704</v>
      </c>
    </row>
    <row r="226" spans="1:26" s="24" customFormat="1" hidden="1" outlineLevel="2" x14ac:dyDescent="0.25">
      <c r="A226" s="25"/>
      <c r="B226" s="11" t="str">
        <f>CONCATENATE("          ", "6381", " - ", "BANK/CREDIT CARD FEES")</f>
        <v xml:space="preserve">          6381 - BANK/CREDIT CARD FEES</v>
      </c>
      <c r="C226" s="11"/>
      <c r="D226" s="6">
        <v>41057.879999999997</v>
      </c>
      <c r="E226" s="2"/>
      <c r="F226" s="7">
        <f t="shared" si="42"/>
        <v>1.55698776162632E-2</v>
      </c>
      <c r="G226" s="2"/>
      <c r="H226" s="6">
        <v>28953</v>
      </c>
      <c r="I226" s="2"/>
      <c r="J226" s="7">
        <f t="shared" si="43"/>
        <v>1.1792884342706526E-2</v>
      </c>
      <c r="K226" s="2"/>
      <c r="L226" s="6">
        <f t="shared" si="44"/>
        <v>12104.879999999997</v>
      </c>
      <c r="M226" s="2"/>
      <c r="N226" s="7">
        <f t="shared" si="45"/>
        <v>0.41808724484509369</v>
      </c>
      <c r="O226" s="11"/>
      <c r="P226" s="6">
        <v>223333.54</v>
      </c>
      <c r="Q226" s="2"/>
      <c r="R226" s="7">
        <f t="shared" si="46"/>
        <v>1.3876466459786891E-2</v>
      </c>
      <c r="S226" s="2"/>
      <c r="T226" s="6">
        <v>189581</v>
      </c>
      <c r="U226" s="2"/>
      <c r="V226" s="7">
        <f t="shared" si="47"/>
        <v>1.1504592123054113E-2</v>
      </c>
      <c r="W226" s="2"/>
      <c r="X226" s="6">
        <f t="shared" si="48"/>
        <v>33752.540000000008</v>
      </c>
      <c r="Y226" s="2"/>
      <c r="Z226" s="7">
        <f t="shared" si="49"/>
        <v>0.1780375670557704</v>
      </c>
    </row>
    <row r="227" spans="1:26" s="26" customFormat="1" outlineLevel="1" collapsed="1" x14ac:dyDescent="0.25">
      <c r="A227" s="27"/>
      <c r="B227" s="13" t="str">
        <f>CONCATENATE("     ","Depreciation                                      ")</f>
        <v xml:space="preserve">     Depreciation                                      </v>
      </c>
      <c r="C227" s="13"/>
      <c r="D227" s="1">
        <f>SUM(OSRRefD22_5x_0)</f>
        <v>77862.400000000009</v>
      </c>
      <c r="E227" s="1"/>
      <c r="F227" s="5">
        <f t="shared" si="42"/>
        <v>2.9526805546426949E-2</v>
      </c>
      <c r="G227" s="1"/>
      <c r="H227" s="1">
        <f>SUM(OSRRefH22_5x_0)</f>
        <v>83801</v>
      </c>
      <c r="I227" s="1"/>
      <c r="J227" s="5">
        <f t="shared" si="43"/>
        <v>3.4133095043800285E-2</v>
      </c>
      <c r="K227" s="1"/>
      <c r="L227" s="1">
        <f t="shared" si="44"/>
        <v>-5938.5999999999913</v>
      </c>
      <c r="M227" s="1"/>
      <c r="N227" s="5">
        <f t="shared" si="45"/>
        <v>-7.0865502798295857E-2</v>
      </c>
      <c r="O227" s="13"/>
      <c r="P227" s="1">
        <f>SUM(OSRRefP22_5x_0)</f>
        <v>389312</v>
      </c>
      <c r="Q227" s="1"/>
      <c r="R227" s="5">
        <f t="shared" si="46"/>
        <v>2.4189268259449764E-2</v>
      </c>
      <c r="S227" s="1"/>
      <c r="T227" s="1">
        <f>SUM(OSRRefT22_5x_0)</f>
        <v>402618</v>
      </c>
      <c r="U227" s="1"/>
      <c r="V227" s="5">
        <f t="shared" si="47"/>
        <v>2.4432595415151311E-2</v>
      </c>
      <c r="W227" s="1"/>
      <c r="X227" s="1">
        <f t="shared" si="48"/>
        <v>-13306</v>
      </c>
      <c r="Y227" s="1"/>
      <c r="Z227" s="5">
        <f t="shared" si="49"/>
        <v>-3.3048696282828888E-2</v>
      </c>
    </row>
    <row r="228" spans="1:26" s="24" customFormat="1" hidden="1" outlineLevel="2" x14ac:dyDescent="0.25">
      <c r="A228" s="25"/>
      <c r="B228" s="11" t="str">
        <f>CONCATENATE("          ", "6321", " - ", "BUILDING DEPRECIATION")</f>
        <v xml:space="preserve">          6321 - BUILDING DEPRECIATION</v>
      </c>
      <c r="C228" s="11"/>
      <c r="D228" s="6">
        <v>45519.990000000005</v>
      </c>
      <c r="E228" s="2"/>
      <c r="F228" s="7">
        <f t="shared" si="42"/>
        <v>1.7261989011452244E-2</v>
      </c>
      <c r="G228" s="2"/>
      <c r="H228" s="6">
        <v>44515</v>
      </c>
      <c r="I228" s="2"/>
      <c r="J228" s="7">
        <f t="shared" si="43"/>
        <v>1.8131462940475289E-2</v>
      </c>
      <c r="K228" s="2"/>
      <c r="L228" s="6">
        <f t="shared" si="44"/>
        <v>1004.9900000000052</v>
      </c>
      <c r="M228" s="2"/>
      <c r="N228" s="7">
        <f t="shared" si="45"/>
        <v>2.2576434909581156E-2</v>
      </c>
      <c r="O228" s="11"/>
      <c r="P228" s="6">
        <v>227599.94999999998</v>
      </c>
      <c r="Q228" s="2"/>
      <c r="R228" s="7">
        <f t="shared" si="46"/>
        <v>1.4141552909715992E-2</v>
      </c>
      <c r="S228" s="2"/>
      <c r="T228" s="6">
        <v>222989</v>
      </c>
      <c r="U228" s="2"/>
      <c r="V228" s="7">
        <f t="shared" si="47"/>
        <v>1.3531933542537034E-2</v>
      </c>
      <c r="W228" s="2"/>
      <c r="X228" s="6">
        <f t="shared" si="48"/>
        <v>4610.9499999999825</v>
      </c>
      <c r="Y228" s="2"/>
      <c r="Z228" s="7">
        <f t="shared" si="49"/>
        <v>2.0677925816968472E-2</v>
      </c>
    </row>
    <row r="229" spans="1:26" s="24" customFormat="1" hidden="1" outlineLevel="2" x14ac:dyDescent="0.25">
      <c r="A229" s="25"/>
      <c r="B229" s="11" t="str">
        <f>CONCATENATE("          ", "6322", " - ", "EQUIPMENT DEPRECIATION EXPENSE")</f>
        <v xml:space="preserve">          6322 - EQUIPMENT DEPRECIATION EXPENSE</v>
      </c>
      <c r="C229" s="11"/>
      <c r="D229" s="6">
        <v>31918.16</v>
      </c>
      <c r="E229" s="2"/>
      <c r="F229" s="7">
        <f t="shared" si="42"/>
        <v>1.2103933396860906E-2</v>
      </c>
      <c r="G229" s="2"/>
      <c r="H229" s="6">
        <v>31525</v>
      </c>
      <c r="I229" s="2"/>
      <c r="J229" s="7">
        <f t="shared" si="43"/>
        <v>1.2840489030629752E-2</v>
      </c>
      <c r="K229" s="2"/>
      <c r="L229" s="6">
        <f t="shared" si="44"/>
        <v>393.15999999999985</v>
      </c>
      <c r="M229" s="2"/>
      <c r="N229" s="7">
        <f t="shared" si="45"/>
        <v>1.2471371927042025E-2</v>
      </c>
      <c r="O229" s="11"/>
      <c r="P229" s="6">
        <v>159590.79999999999</v>
      </c>
      <c r="Q229" s="2"/>
      <c r="R229" s="7">
        <f t="shared" si="46"/>
        <v>9.9159149292603228E-3</v>
      </c>
      <c r="S229" s="2"/>
      <c r="T229" s="6">
        <v>157625</v>
      </c>
      <c r="U229" s="2"/>
      <c r="V229" s="7">
        <f t="shared" si="47"/>
        <v>9.565364321300153E-3</v>
      </c>
      <c r="W229" s="2"/>
      <c r="X229" s="6">
        <f t="shared" si="48"/>
        <v>1965.7999999999884</v>
      </c>
      <c r="Y229" s="2"/>
      <c r="Z229" s="7">
        <f t="shared" si="49"/>
        <v>1.2471371927041956E-2</v>
      </c>
    </row>
    <row r="230" spans="1:26" s="24" customFormat="1" hidden="1" outlineLevel="2" x14ac:dyDescent="0.25">
      <c r="A230" s="25"/>
      <c r="B230" s="11" t="str">
        <f>CONCATENATE("          ", "6324", " - ", "FURNITURE + FIXT DEPRECIATION")</f>
        <v xml:space="preserve">          6324 - FURNITURE + FIXT DEPRECIATION</v>
      </c>
      <c r="C230" s="11"/>
      <c r="D230" s="6"/>
      <c r="E230" s="2"/>
      <c r="F230" s="7">
        <f t="shared" si="42"/>
        <v>0</v>
      </c>
      <c r="G230" s="2"/>
      <c r="H230" s="6">
        <v>5254</v>
      </c>
      <c r="I230" s="2"/>
      <c r="J230" s="7">
        <f t="shared" si="43"/>
        <v>2.1400136198867158E-3</v>
      </c>
      <c r="K230" s="2"/>
      <c r="L230" s="6">
        <f t="shared" si="44"/>
        <v>-5254</v>
      </c>
      <c r="M230" s="2"/>
      <c r="N230" s="7">
        <f t="shared" si="45"/>
        <v>-1</v>
      </c>
      <c r="O230" s="11"/>
      <c r="P230" s="6"/>
      <c r="Q230" s="2"/>
      <c r="R230" s="7">
        <f t="shared" si="46"/>
        <v>0</v>
      </c>
      <c r="S230" s="2"/>
      <c r="T230" s="6">
        <v>15718</v>
      </c>
      <c r="U230" s="2"/>
      <c r="V230" s="7">
        <f t="shared" si="47"/>
        <v>9.5383598034699964E-4</v>
      </c>
      <c r="W230" s="2"/>
      <c r="X230" s="6">
        <f t="shared" si="48"/>
        <v>-15718</v>
      </c>
      <c r="Y230" s="2"/>
      <c r="Z230" s="7">
        <f t="shared" si="49"/>
        <v>-1</v>
      </c>
    </row>
    <row r="231" spans="1:26" s="24" customFormat="1" hidden="1" outlineLevel="2" x14ac:dyDescent="0.25">
      <c r="A231" s="25"/>
      <c r="B231" s="11" t="str">
        <f>CONCATENATE("          ", "6326", " - ", "VEHICLES DEPRECIATION EXPENSE")</f>
        <v xml:space="preserve">          6326 - VEHICLES DEPRECIATION EXPENSE</v>
      </c>
      <c r="C231" s="11"/>
      <c r="D231" s="6">
        <v>424.25</v>
      </c>
      <c r="E231" s="2"/>
      <c r="F231" s="7">
        <f t="shared" si="42"/>
        <v>1.6088313811379602E-4</v>
      </c>
      <c r="G231" s="2"/>
      <c r="H231" s="6">
        <v>2507</v>
      </c>
      <c r="I231" s="2"/>
      <c r="J231" s="7">
        <f t="shared" si="43"/>
        <v>1.0211294528085263E-3</v>
      </c>
      <c r="K231" s="2"/>
      <c r="L231" s="6">
        <f t="shared" si="44"/>
        <v>-2082.75</v>
      </c>
      <c r="M231" s="2"/>
      <c r="N231" s="7">
        <f t="shared" si="45"/>
        <v>-0.83077383326685283</v>
      </c>
      <c r="O231" s="11"/>
      <c r="P231" s="6">
        <v>2121.25</v>
      </c>
      <c r="Q231" s="2"/>
      <c r="R231" s="7">
        <f t="shared" si="46"/>
        <v>1.3180042047344497E-4</v>
      </c>
      <c r="S231" s="2"/>
      <c r="T231" s="6">
        <v>6286</v>
      </c>
      <c r="U231" s="2"/>
      <c r="V231" s="7">
        <f t="shared" si="47"/>
        <v>3.8146157096712301E-4</v>
      </c>
      <c r="W231" s="2"/>
      <c r="X231" s="6">
        <f t="shared" si="48"/>
        <v>-4164.75</v>
      </c>
      <c r="Y231" s="2"/>
      <c r="Z231" s="7">
        <f t="shared" si="49"/>
        <v>-0.66254374801145399</v>
      </c>
    </row>
    <row r="232" spans="1:26" s="26" customFormat="1" outlineLevel="1" collapsed="1" x14ac:dyDescent="0.25">
      <c r="A232" s="27"/>
      <c r="B232" s="13" t="str">
        <f>CONCATENATE("     ","Discounts and Markdowns                           ")</f>
        <v xml:space="preserve">     Discounts and Markdowns                           </v>
      </c>
      <c r="C232" s="13"/>
      <c r="D232" s="1">
        <f>SUM(OSRRefD22_6x_0)</f>
        <v>29053.77</v>
      </c>
      <c r="E232" s="1"/>
      <c r="F232" s="5">
        <f t="shared" ref="F232:F234" si="50">IF(D$12=0,0,D232/D$12)</f>
        <v>1.1017705814110698E-2</v>
      </c>
      <c r="G232" s="1"/>
      <c r="H232" s="1">
        <f>SUM(OSRRefH22_6x_0)</f>
        <v>33225</v>
      </c>
      <c r="I232" s="1"/>
      <c r="J232" s="5">
        <f t="shared" ref="J232:J234" si="51">IF(H$12=0,0,H232/H$12)</f>
        <v>1.3532918256706536E-2</v>
      </c>
      <c r="K232" s="1"/>
      <c r="L232" s="1">
        <f t="shared" ref="L232:L234" si="52">+D232-H232</f>
        <v>-4171.2299999999996</v>
      </c>
      <c r="M232" s="1"/>
      <c r="N232" s="5">
        <f t="shared" ref="N232:N234" si="53">IF(H232=0,0,L232/H232)</f>
        <v>-0.12554492099322798</v>
      </c>
      <c r="O232" s="13"/>
      <c r="P232" s="1">
        <f>SUM(OSRRefP22_6x_0)</f>
        <v>195281.84999999998</v>
      </c>
      <c r="Q232" s="1"/>
      <c r="R232" s="5">
        <f t="shared" ref="R232:R234" si="54">IF(P$12=0,0,P232/P$12)</f>
        <v>1.2133520302101217E-2</v>
      </c>
      <c r="S232" s="1"/>
      <c r="T232" s="1">
        <f>SUM(OSRRefT22_6x_0)</f>
        <v>148125</v>
      </c>
      <c r="U232" s="1"/>
      <c r="V232" s="5">
        <f t="shared" ref="V232:V234" si="55">IF(T$12=0,0,T232/T$12)</f>
        <v>8.98886337885859E-3</v>
      </c>
      <c r="W232" s="1"/>
      <c r="X232" s="1">
        <f t="shared" ref="X232:X234" si="56">+P232-T232</f>
        <v>47156.849999999977</v>
      </c>
      <c r="Y232" s="1"/>
      <c r="Z232" s="5">
        <f t="shared" ref="Z232:Z234" si="57">IF(T232=0,0,X232/T232)</f>
        <v>0.31835848101265807</v>
      </c>
    </row>
    <row r="233" spans="1:26" s="24" customFormat="1" hidden="1" outlineLevel="2" x14ac:dyDescent="0.25">
      <c r="A233" s="25"/>
      <c r="B233" s="11" t="str">
        <f>CONCATENATE("          ", "6382", " - ", "DISCOUNTS/MARK DOWNS")</f>
        <v xml:space="preserve">          6382 - DISCOUNTS/MARK DOWNS</v>
      </c>
      <c r="C233" s="11"/>
      <c r="D233" s="6">
        <v>29301.27</v>
      </c>
      <c r="E233" s="2"/>
      <c r="F233" s="7">
        <f t="shared" si="50"/>
        <v>1.1111562211713914E-2</v>
      </c>
      <c r="G233" s="2"/>
      <c r="H233" s="6">
        <v>33225</v>
      </c>
      <c r="I233" s="2"/>
      <c r="J233" s="7">
        <f t="shared" si="51"/>
        <v>1.3532918256706536E-2</v>
      </c>
      <c r="K233" s="2"/>
      <c r="L233" s="6">
        <f t="shared" si="52"/>
        <v>-3923.7299999999996</v>
      </c>
      <c r="M233" s="2"/>
      <c r="N233" s="7">
        <f t="shared" si="53"/>
        <v>-0.11809571106094807</v>
      </c>
      <c r="O233" s="11"/>
      <c r="P233" s="6">
        <v>197647.09999999998</v>
      </c>
      <c r="Q233" s="2"/>
      <c r="R233" s="7">
        <f t="shared" si="54"/>
        <v>1.2280481265931419E-2</v>
      </c>
      <c r="S233" s="2"/>
      <c r="T233" s="6">
        <v>148125</v>
      </c>
      <c r="U233" s="2"/>
      <c r="V233" s="7">
        <f t="shared" si="55"/>
        <v>8.98886337885859E-3</v>
      </c>
      <c r="W233" s="2"/>
      <c r="X233" s="6">
        <f t="shared" si="56"/>
        <v>49522.099999999977</v>
      </c>
      <c r="Y233" s="2"/>
      <c r="Z233" s="7">
        <f t="shared" si="57"/>
        <v>0.33432641350210957</v>
      </c>
    </row>
    <row r="234" spans="1:26" s="24" customFormat="1" hidden="1" outlineLevel="2" x14ac:dyDescent="0.25">
      <c r="A234" s="25"/>
      <c r="B234" s="11" t="str">
        <f>CONCATENATE("          ", "9175", " - ", "EARNED DISCOUNTS")</f>
        <v xml:space="preserve">          9175 - EARNED DISCOUNTS</v>
      </c>
      <c r="C234" s="11"/>
      <c r="D234" s="6">
        <v>-247.5</v>
      </c>
      <c r="E234" s="2"/>
      <c r="F234" s="7">
        <f t="shared" si="50"/>
        <v>-9.3856397603216292E-5</v>
      </c>
      <c r="G234" s="2"/>
      <c r="H234" s="6"/>
      <c r="I234" s="2"/>
      <c r="J234" s="7">
        <f t="shared" si="51"/>
        <v>0</v>
      </c>
      <c r="K234" s="2"/>
      <c r="L234" s="6">
        <f t="shared" si="52"/>
        <v>-247.5</v>
      </c>
      <c r="M234" s="2"/>
      <c r="N234" s="7">
        <f t="shared" si="53"/>
        <v>0</v>
      </c>
      <c r="O234" s="11"/>
      <c r="P234" s="6">
        <v>-2365.25</v>
      </c>
      <c r="Q234" s="2"/>
      <c r="R234" s="7">
        <f t="shared" si="54"/>
        <v>-1.4696096383020186E-4</v>
      </c>
      <c r="S234" s="2"/>
      <c r="T234" s="6"/>
      <c r="U234" s="2"/>
      <c r="V234" s="7">
        <f t="shared" si="55"/>
        <v>0</v>
      </c>
      <c r="W234" s="2"/>
      <c r="X234" s="6">
        <f t="shared" si="56"/>
        <v>-2365.25</v>
      </c>
      <c r="Y234" s="2"/>
      <c r="Z234" s="7">
        <f t="shared" si="57"/>
        <v>0</v>
      </c>
    </row>
    <row r="235" spans="1:26" s="26" customFormat="1" outlineLevel="1" collapsed="1" x14ac:dyDescent="0.25">
      <c r="A235" s="27"/>
      <c r="B235" s="13" t="str">
        <f>CONCATENATE("     ","Donations                                         ")</f>
        <v xml:space="preserve">     Donations                                         </v>
      </c>
      <c r="C235" s="13"/>
      <c r="D235" s="1">
        <f>SUM(OSRRefD22_7x_0)</f>
        <v>19543.89</v>
      </c>
      <c r="E235" s="1"/>
      <c r="F235" s="5">
        <f t="shared" ref="F235:F238" si="58">IF(D$12=0,0,D235/D$12)</f>
        <v>7.4113903456707996E-3</v>
      </c>
      <c r="G235" s="1"/>
      <c r="H235" s="1">
        <f>SUM(OSRRefH22_7x_0)</f>
        <v>15841</v>
      </c>
      <c r="I235" s="1"/>
      <c r="J235" s="5">
        <f t="shared" ref="J235:J238" si="59">IF(H$12=0,0,H235/H$12)</f>
        <v>6.4522184531072453E-3</v>
      </c>
      <c r="K235" s="1"/>
      <c r="L235" s="1">
        <f t="shared" ref="L235:L238" si="60">+D235-H235</f>
        <v>3702.8899999999994</v>
      </c>
      <c r="M235" s="1"/>
      <c r="N235" s="5">
        <f t="shared" ref="N235:N238" si="61">IF(H235=0,0,L235/H235)</f>
        <v>0.23375355091218986</v>
      </c>
      <c r="O235" s="13"/>
      <c r="P235" s="1">
        <f>SUM(OSRRefP22_7x_0)</f>
        <v>76054.8</v>
      </c>
      <c r="Q235" s="1"/>
      <c r="R235" s="5">
        <f t="shared" ref="R235:R238" si="62">IF(P$12=0,0,P235/P$12)</f>
        <v>4.7255413643011255E-3</v>
      </c>
      <c r="S235" s="1"/>
      <c r="T235" s="1">
        <f>SUM(OSRRefT22_7x_0)</f>
        <v>65590</v>
      </c>
      <c r="U235" s="1"/>
      <c r="V235" s="5">
        <f t="shared" ref="V235:V238" si="63">IF(T$12=0,0,T235/T$12)</f>
        <v>3.9802838752360167E-3</v>
      </c>
      <c r="W235" s="1"/>
      <c r="X235" s="1">
        <f t="shared" ref="X235:X238" si="64">+P235-T235</f>
        <v>10464.800000000003</v>
      </c>
      <c r="Y235" s="1"/>
      <c r="Z235" s="5">
        <f t="shared" ref="Z235:Z238" si="65">IF(T235=0,0,X235/T235)</f>
        <v>0.15954871169385582</v>
      </c>
    </row>
    <row r="236" spans="1:26" s="24" customFormat="1" hidden="1" outlineLevel="2" x14ac:dyDescent="0.25">
      <c r="A236" s="25"/>
      <c r="B236" s="11" t="str">
        <f>CONCATENATE("          ", "6395", " - ", "DONATION-OFF CAMPUS")</f>
        <v xml:space="preserve">          6395 - DONATION-OFF CAMPUS</v>
      </c>
      <c r="C236" s="11"/>
      <c r="D236" s="6"/>
      <c r="E236" s="2"/>
      <c r="F236" s="7">
        <f t="shared" si="58"/>
        <v>0</v>
      </c>
      <c r="G236" s="2"/>
      <c r="H236" s="6">
        <v>1025</v>
      </c>
      <c r="I236" s="2"/>
      <c r="J236" s="7">
        <f t="shared" si="59"/>
        <v>4.1749409219335438E-4</v>
      </c>
      <c r="K236" s="2"/>
      <c r="L236" s="6">
        <f t="shared" si="60"/>
        <v>-1025</v>
      </c>
      <c r="M236" s="2"/>
      <c r="N236" s="7">
        <f t="shared" si="61"/>
        <v>-1</v>
      </c>
      <c r="O236" s="11"/>
      <c r="P236" s="6"/>
      <c r="Q236" s="2"/>
      <c r="R236" s="7">
        <f t="shared" si="62"/>
        <v>0</v>
      </c>
      <c r="S236" s="2"/>
      <c r="T236" s="6">
        <v>5200</v>
      </c>
      <c r="U236" s="2"/>
      <c r="V236" s="7">
        <f t="shared" si="63"/>
        <v>3.155584105995927E-4</v>
      </c>
      <c r="W236" s="2"/>
      <c r="X236" s="6">
        <f t="shared" si="64"/>
        <v>-5200</v>
      </c>
      <c r="Y236" s="2"/>
      <c r="Z236" s="7">
        <f t="shared" si="65"/>
        <v>-1</v>
      </c>
    </row>
    <row r="237" spans="1:26" s="24" customFormat="1" hidden="1" outlineLevel="2" x14ac:dyDescent="0.25">
      <c r="A237" s="25"/>
      <c r="B237" s="11" t="str">
        <f>CONCATENATE("          ", "6396", " - ", "COUPONS-CHARTROOM")</f>
        <v xml:space="preserve">          6396 - COUPONS-CHARTROOM</v>
      </c>
      <c r="C237" s="11"/>
      <c r="D237" s="6"/>
      <c r="E237" s="2"/>
      <c r="F237" s="7">
        <f t="shared" si="58"/>
        <v>0</v>
      </c>
      <c r="G237" s="2"/>
      <c r="H237" s="6">
        <v>100</v>
      </c>
      <c r="I237" s="2"/>
      <c r="J237" s="7">
        <f t="shared" si="59"/>
        <v>4.0731130945693111E-5</v>
      </c>
      <c r="K237" s="2"/>
      <c r="L237" s="6">
        <f t="shared" si="60"/>
        <v>-100</v>
      </c>
      <c r="M237" s="2"/>
      <c r="N237" s="7">
        <f t="shared" si="61"/>
        <v>-1</v>
      </c>
      <c r="O237" s="11"/>
      <c r="P237" s="6"/>
      <c r="Q237" s="2"/>
      <c r="R237" s="7">
        <f t="shared" si="62"/>
        <v>0</v>
      </c>
      <c r="S237" s="2"/>
      <c r="T237" s="6">
        <v>500</v>
      </c>
      <c r="U237" s="2"/>
      <c r="V237" s="7">
        <f t="shared" si="63"/>
        <v>3.0342154865345454E-5</v>
      </c>
      <c r="W237" s="2"/>
      <c r="X237" s="6">
        <f t="shared" si="64"/>
        <v>-500</v>
      </c>
      <c r="Y237" s="2"/>
      <c r="Z237" s="7">
        <f t="shared" si="65"/>
        <v>-1</v>
      </c>
    </row>
    <row r="238" spans="1:26" s="24" customFormat="1" hidden="1" outlineLevel="2" x14ac:dyDescent="0.25">
      <c r="A238" s="25"/>
      <c r="B238" s="11" t="str">
        <f>CONCATENATE("          ", "6399", " - ", "DONATION-ON CAMPUS")</f>
        <v xml:space="preserve">          6399 - DONATION-ON CAMPUS</v>
      </c>
      <c r="C238" s="11"/>
      <c r="D238" s="6">
        <v>19543.89</v>
      </c>
      <c r="E238" s="2"/>
      <c r="F238" s="7">
        <f t="shared" si="58"/>
        <v>7.4113903456707996E-3</v>
      </c>
      <c r="G238" s="2"/>
      <c r="H238" s="6">
        <v>14716</v>
      </c>
      <c r="I238" s="2"/>
      <c r="J238" s="7">
        <f t="shared" si="59"/>
        <v>5.9939932299681977E-3</v>
      </c>
      <c r="K238" s="2"/>
      <c r="L238" s="6">
        <f t="shared" si="60"/>
        <v>4827.8899999999994</v>
      </c>
      <c r="M238" s="2"/>
      <c r="N238" s="7">
        <f t="shared" si="61"/>
        <v>0.32807080728458815</v>
      </c>
      <c r="O238" s="11"/>
      <c r="P238" s="6">
        <v>76054.8</v>
      </c>
      <c r="Q238" s="2"/>
      <c r="R238" s="7">
        <f t="shared" si="62"/>
        <v>4.7255413643011255E-3</v>
      </c>
      <c r="S238" s="2"/>
      <c r="T238" s="6">
        <v>59890</v>
      </c>
      <c r="U238" s="2"/>
      <c r="V238" s="7">
        <f t="shared" si="63"/>
        <v>3.6343833097710783E-3</v>
      </c>
      <c r="W238" s="2"/>
      <c r="X238" s="6">
        <f t="shared" si="64"/>
        <v>16164.800000000003</v>
      </c>
      <c r="Y238" s="2"/>
      <c r="Z238" s="7">
        <f t="shared" si="65"/>
        <v>0.26990816496911008</v>
      </c>
    </row>
    <row r="239" spans="1:26" s="26" customFormat="1" outlineLevel="1" collapsed="1" x14ac:dyDescent="0.25">
      <c r="A239" s="27"/>
      <c r="B239" s="13" t="str">
        <f>CONCATENATE("     ","Employees' Appreciation                           ")</f>
        <v xml:space="preserve">     Employees' Appreciation                           </v>
      </c>
      <c r="C239" s="13"/>
      <c r="D239" s="1">
        <f>SUM(OSRRefD22_8x_0)</f>
        <v>1097.23</v>
      </c>
      <c r="E239" s="1"/>
      <c r="F239" s="5">
        <f t="shared" ref="F239:F245" si="66">IF(D$12=0,0,D239/D$12)</f>
        <v>4.160891116855637E-4</v>
      </c>
      <c r="G239" s="1"/>
      <c r="H239" s="1">
        <f>SUM(OSRRefH22_8x_0)</f>
        <v>1970</v>
      </c>
      <c r="I239" s="1"/>
      <c r="J239" s="5">
        <f t="shared" ref="J239:J245" si="67">IF(H$12=0,0,H239/H$12)</f>
        <v>8.0240327963015425E-4</v>
      </c>
      <c r="K239" s="1"/>
      <c r="L239" s="1">
        <f t="shared" ref="L239:L245" si="68">+D239-H239</f>
        <v>-872.77</v>
      </c>
      <c r="M239" s="1"/>
      <c r="N239" s="5">
        <f t="shared" ref="N239:N245" si="69">IF(H239=0,0,L239/H239)</f>
        <v>-0.44303045685279185</v>
      </c>
      <c r="O239" s="13"/>
      <c r="P239" s="1">
        <f>SUM(OSRRefP22_8x_0)</f>
        <v>3175.38</v>
      </c>
      <c r="Q239" s="1"/>
      <c r="R239" s="5">
        <f t="shared" ref="R239:R245" si="70">IF(P$12=0,0,P239/P$12)</f>
        <v>1.9729707444335543E-4</v>
      </c>
      <c r="S239" s="1"/>
      <c r="T239" s="1">
        <f>SUM(OSRRefT22_8x_0)</f>
        <v>8895</v>
      </c>
      <c r="U239" s="1"/>
      <c r="V239" s="5">
        <f t="shared" ref="V239:V245" si="71">IF(T$12=0,0,T239/T$12)</f>
        <v>5.3978693505449564E-4</v>
      </c>
      <c r="W239" s="1"/>
      <c r="X239" s="1">
        <f t="shared" ref="X239:X245" si="72">+P239-T239</f>
        <v>-5719.62</v>
      </c>
      <c r="Y239" s="1"/>
      <c r="Z239" s="5">
        <f t="shared" ref="Z239:Z245" si="73">IF(T239=0,0,X239/T239)</f>
        <v>-0.64301517706576727</v>
      </c>
    </row>
    <row r="240" spans="1:26" s="24" customFormat="1" hidden="1" outlineLevel="2" x14ac:dyDescent="0.25">
      <c r="A240" s="25"/>
      <c r="B240" s="11" t="str">
        <f>CONCATENATE("          ", "6277", " - ", "EMPLOYEE APPRECIATION")</f>
        <v xml:space="preserve">          6277 - EMPLOYEE APPRECIATION</v>
      </c>
      <c r="C240" s="11"/>
      <c r="D240" s="6">
        <v>1097.23</v>
      </c>
      <c r="E240" s="2"/>
      <c r="F240" s="7">
        <f t="shared" si="66"/>
        <v>4.160891116855637E-4</v>
      </c>
      <c r="G240" s="2"/>
      <c r="H240" s="6">
        <v>1970</v>
      </c>
      <c r="I240" s="2"/>
      <c r="J240" s="7">
        <f t="shared" si="67"/>
        <v>8.0240327963015425E-4</v>
      </c>
      <c r="K240" s="2"/>
      <c r="L240" s="6">
        <f t="shared" si="68"/>
        <v>-872.77</v>
      </c>
      <c r="M240" s="2"/>
      <c r="N240" s="7">
        <f t="shared" si="69"/>
        <v>-0.44303045685279185</v>
      </c>
      <c r="O240" s="11"/>
      <c r="P240" s="6">
        <v>3175.38</v>
      </c>
      <c r="Q240" s="2"/>
      <c r="R240" s="7">
        <f t="shared" si="70"/>
        <v>1.9729707444335543E-4</v>
      </c>
      <c r="S240" s="2"/>
      <c r="T240" s="6">
        <v>8895</v>
      </c>
      <c r="U240" s="2"/>
      <c r="V240" s="7">
        <f t="shared" si="71"/>
        <v>5.3978693505449564E-4</v>
      </c>
      <c r="W240" s="2"/>
      <c r="X240" s="6">
        <f t="shared" si="72"/>
        <v>-5719.62</v>
      </c>
      <c r="Y240" s="2"/>
      <c r="Z240" s="7">
        <f t="shared" si="73"/>
        <v>-0.64301517706576727</v>
      </c>
    </row>
    <row r="241" spans="1:26" s="26" customFormat="1" outlineLevel="1" collapsed="1" x14ac:dyDescent="0.25">
      <c r="A241" s="27"/>
      <c r="B241" s="13" t="str">
        <f>CONCATENATE("     ","Equipment Rental                                  ")</f>
        <v xml:space="preserve">     Equipment Rental                                  </v>
      </c>
      <c r="C241" s="13"/>
      <c r="D241" s="1">
        <f>SUM(OSRRefD22_9x_0)</f>
        <v>4233.76</v>
      </c>
      <c r="E241" s="1"/>
      <c r="F241" s="5">
        <f t="shared" si="66"/>
        <v>1.6055170178448203E-3</v>
      </c>
      <c r="G241" s="1"/>
      <c r="H241" s="1">
        <f>SUM(OSRRefH22_9x_0)</f>
        <v>5766</v>
      </c>
      <c r="I241" s="1"/>
      <c r="J241" s="5">
        <f t="shared" si="67"/>
        <v>2.3485570103286648E-3</v>
      </c>
      <c r="K241" s="1"/>
      <c r="L241" s="1">
        <f t="shared" si="68"/>
        <v>-1532.2399999999998</v>
      </c>
      <c r="M241" s="1"/>
      <c r="N241" s="5">
        <f t="shared" si="69"/>
        <v>-0.26573707943114805</v>
      </c>
      <c r="O241" s="13"/>
      <c r="P241" s="1">
        <f>SUM(OSRRefP22_9x_0)</f>
        <v>26426.75</v>
      </c>
      <c r="Q241" s="1"/>
      <c r="R241" s="5">
        <f t="shared" si="70"/>
        <v>1.6419831522671122E-3</v>
      </c>
      <c r="S241" s="1"/>
      <c r="T241" s="1">
        <f>SUM(OSRRefT22_9x_0)</f>
        <v>27956</v>
      </c>
      <c r="U241" s="1"/>
      <c r="V241" s="5">
        <f t="shared" si="71"/>
        <v>1.696490562831195E-3</v>
      </c>
      <c r="W241" s="1"/>
      <c r="X241" s="1">
        <f t="shared" si="72"/>
        <v>-1529.25</v>
      </c>
      <c r="Y241" s="1"/>
      <c r="Z241" s="5">
        <f t="shared" si="73"/>
        <v>-5.4702031764200888E-2</v>
      </c>
    </row>
    <row r="242" spans="1:26" s="24" customFormat="1" hidden="1" outlineLevel="2" x14ac:dyDescent="0.25">
      <c r="A242" s="25"/>
      <c r="B242" s="11" t="str">
        <f>CONCATENATE("          ", "6351", " - ", "EQUIPMENT RENTAL")</f>
        <v xml:space="preserve">          6351 - EQUIPMENT RENTAL</v>
      </c>
      <c r="C242" s="11"/>
      <c r="D242" s="6">
        <v>4233.76</v>
      </c>
      <c r="E242" s="2"/>
      <c r="F242" s="7">
        <f t="shared" si="66"/>
        <v>1.6055170178448203E-3</v>
      </c>
      <c r="G242" s="2"/>
      <c r="H242" s="6">
        <v>5766</v>
      </c>
      <c r="I242" s="2"/>
      <c r="J242" s="7">
        <f t="shared" si="67"/>
        <v>2.3485570103286648E-3</v>
      </c>
      <c r="K242" s="2"/>
      <c r="L242" s="6">
        <f t="shared" si="68"/>
        <v>-1532.2399999999998</v>
      </c>
      <c r="M242" s="2"/>
      <c r="N242" s="7">
        <f t="shared" si="69"/>
        <v>-0.26573707943114805</v>
      </c>
      <c r="O242" s="11"/>
      <c r="P242" s="6">
        <v>26426.75</v>
      </c>
      <c r="Q242" s="2"/>
      <c r="R242" s="7">
        <f t="shared" si="70"/>
        <v>1.6419831522671122E-3</v>
      </c>
      <c r="S242" s="2"/>
      <c r="T242" s="6">
        <v>27956</v>
      </c>
      <c r="U242" s="2"/>
      <c r="V242" s="7">
        <f t="shared" si="71"/>
        <v>1.696490562831195E-3</v>
      </c>
      <c r="W242" s="2"/>
      <c r="X242" s="6">
        <f t="shared" si="72"/>
        <v>-1529.25</v>
      </c>
      <c r="Y242" s="2"/>
      <c r="Z242" s="7">
        <f t="shared" si="73"/>
        <v>-5.4702031764200888E-2</v>
      </c>
    </row>
    <row r="243" spans="1:26" s="26" customFormat="1" outlineLevel="1" collapsed="1" x14ac:dyDescent="0.25">
      <c r="A243" s="27"/>
      <c r="B243" s="13" t="str">
        <f>CONCATENATE("     ","Freight out/Postage                               ")</f>
        <v xml:space="preserve">     Freight out/Postage                               </v>
      </c>
      <c r="C243" s="13"/>
      <c r="D243" s="1">
        <f>SUM(OSRRefD22_10x_0)</f>
        <v>8800.91</v>
      </c>
      <c r="E243" s="1"/>
      <c r="F243" s="5">
        <f t="shared" si="66"/>
        <v>3.3374614473944335E-3</v>
      </c>
      <c r="G243" s="1"/>
      <c r="H243" s="1">
        <f>SUM(OSRRefH22_10x_0)</f>
        <v>1826</v>
      </c>
      <c r="I243" s="1"/>
      <c r="J243" s="5">
        <f t="shared" si="67"/>
        <v>7.4375045106835611E-4</v>
      </c>
      <c r="K243" s="1"/>
      <c r="L243" s="1">
        <f t="shared" si="68"/>
        <v>6974.91</v>
      </c>
      <c r="M243" s="1"/>
      <c r="N243" s="5">
        <f t="shared" si="69"/>
        <v>3.8197754654983571</v>
      </c>
      <c r="O243" s="13"/>
      <c r="P243" s="1">
        <f>SUM(OSRRefP22_10x_0)</f>
        <v>4904.5400000000009</v>
      </c>
      <c r="Q243" s="1"/>
      <c r="R243" s="5">
        <f t="shared" si="70"/>
        <v>3.0473562014323151E-4</v>
      </c>
      <c r="S243" s="1"/>
      <c r="T243" s="1">
        <f>SUM(OSRRefT22_10x_0)</f>
        <v>-28570</v>
      </c>
      <c r="U243" s="1"/>
      <c r="V243" s="5">
        <f t="shared" si="71"/>
        <v>-1.733750729005839E-3</v>
      </c>
      <c r="W243" s="1"/>
      <c r="X243" s="1">
        <f t="shared" si="72"/>
        <v>33474.54</v>
      </c>
      <c r="Y243" s="1"/>
      <c r="Z243" s="5">
        <f t="shared" si="73"/>
        <v>-1.1716674833741687</v>
      </c>
    </row>
    <row r="244" spans="1:26" s="24" customFormat="1" hidden="1" outlineLevel="2" x14ac:dyDescent="0.25">
      <c r="A244" s="25"/>
      <c r="B244" s="11" t="str">
        <f>CONCATENATE("          ", "6305", " - ", "FREIGHT OUT")</f>
        <v xml:space="preserve">          6305 - FREIGHT OUT</v>
      </c>
      <c r="C244" s="11"/>
      <c r="D244" s="6">
        <v>9260.2800000000007</v>
      </c>
      <c r="E244" s="2"/>
      <c r="F244" s="7">
        <f t="shared" si="66"/>
        <v>3.5116627135236842E-3</v>
      </c>
      <c r="G244" s="2"/>
      <c r="H244" s="6">
        <v>1775</v>
      </c>
      <c r="I244" s="2"/>
      <c r="J244" s="7">
        <f t="shared" si="67"/>
        <v>7.2297757428605271E-4</v>
      </c>
      <c r="K244" s="2"/>
      <c r="L244" s="6">
        <f t="shared" si="68"/>
        <v>7485.2800000000007</v>
      </c>
      <c r="M244" s="2"/>
      <c r="N244" s="7">
        <f t="shared" si="69"/>
        <v>4.2170591549295775</v>
      </c>
      <c r="O244" s="11"/>
      <c r="P244" s="6">
        <v>28952.14</v>
      </c>
      <c r="Q244" s="2"/>
      <c r="R244" s="7">
        <f t="shared" si="70"/>
        <v>1.798894154675802E-3</v>
      </c>
      <c r="S244" s="2"/>
      <c r="T244" s="6">
        <v>-28825</v>
      </c>
      <c r="U244" s="2"/>
      <c r="V244" s="7">
        <f t="shared" si="71"/>
        <v>-1.7492252279871653E-3</v>
      </c>
      <c r="W244" s="2"/>
      <c r="X244" s="6">
        <f t="shared" si="72"/>
        <v>57777.14</v>
      </c>
      <c r="Y244" s="2"/>
      <c r="Z244" s="7">
        <f t="shared" si="73"/>
        <v>-2.0044107545533389</v>
      </c>
    </row>
    <row r="245" spans="1:26" s="24" customFormat="1" hidden="1" outlineLevel="2" x14ac:dyDescent="0.25">
      <c r="A245" s="25"/>
      <c r="B245" s="11" t="str">
        <f>CONCATENATE("          ", "6307", " - ", "POSTAGE")</f>
        <v xml:space="preserve">          6307 - POSTAGE</v>
      </c>
      <c r="C245" s="11"/>
      <c r="D245" s="6">
        <v>-459.37</v>
      </c>
      <c r="E245" s="2"/>
      <c r="F245" s="7">
        <f t="shared" si="66"/>
        <v>-1.7420126612925039E-4</v>
      </c>
      <c r="G245" s="2"/>
      <c r="H245" s="6">
        <v>51</v>
      </c>
      <c r="I245" s="2"/>
      <c r="J245" s="7">
        <f t="shared" si="67"/>
        <v>2.0772876782303486E-5</v>
      </c>
      <c r="K245" s="2"/>
      <c r="L245" s="6">
        <f t="shared" si="68"/>
        <v>-510.37</v>
      </c>
      <c r="M245" s="2"/>
      <c r="N245" s="7">
        <f t="shared" si="69"/>
        <v>-10.007254901960785</v>
      </c>
      <c r="O245" s="11"/>
      <c r="P245" s="6">
        <v>-24047.599999999999</v>
      </c>
      <c r="Q245" s="2"/>
      <c r="R245" s="7">
        <f t="shared" si="70"/>
        <v>-1.4941585345325705E-3</v>
      </c>
      <c r="S245" s="2"/>
      <c r="T245" s="6">
        <v>255</v>
      </c>
      <c r="U245" s="2"/>
      <c r="V245" s="7">
        <f t="shared" si="71"/>
        <v>1.5474498981326179E-5</v>
      </c>
      <c r="W245" s="2"/>
      <c r="X245" s="6">
        <f t="shared" si="72"/>
        <v>-24302.6</v>
      </c>
      <c r="Y245" s="2"/>
      <c r="Z245" s="7">
        <f t="shared" si="73"/>
        <v>-95.304313725490189</v>
      </c>
    </row>
    <row r="246" spans="1:26" s="26" customFormat="1" outlineLevel="1" collapsed="1" x14ac:dyDescent="0.25">
      <c r="A246" s="27"/>
      <c r="B246" s="13" t="str">
        <f>CONCATENATE("     ","General                                           ")</f>
        <v xml:space="preserve">     General                                           </v>
      </c>
      <c r="C246" s="13"/>
      <c r="D246" s="1">
        <f>SUM(OSRRefD22_11x_0)</f>
        <v>34662.35</v>
      </c>
      <c r="E246" s="1"/>
      <c r="F246" s="5">
        <f t="shared" ref="F246:F248" si="74">IF(D$12=0,0,D246/D$12)</f>
        <v>1.314457900388624E-2</v>
      </c>
      <c r="G246" s="1"/>
      <c r="H246" s="1">
        <f>SUM(OSRRefH22_11x_0)</f>
        <v>19532</v>
      </c>
      <c r="I246" s="1"/>
      <c r="J246" s="5">
        <f t="shared" ref="J246:J248" si="75">IF(H$12=0,0,H246/H$12)</f>
        <v>7.9556044963127789E-3</v>
      </c>
      <c r="K246" s="1"/>
      <c r="L246" s="1">
        <f t="shared" ref="L246:L248" si="76">+D246-H246</f>
        <v>15130.349999999999</v>
      </c>
      <c r="M246" s="1"/>
      <c r="N246" s="5">
        <f t="shared" ref="N246:N248" si="77">IF(H246=0,0,L246/H246)</f>
        <v>0.77464417366373128</v>
      </c>
      <c r="O246" s="13"/>
      <c r="P246" s="1">
        <f>SUM(OSRRefP22_11x_0)</f>
        <v>70512.290000000008</v>
      </c>
      <c r="Q246" s="1"/>
      <c r="R246" s="5">
        <f t="shared" ref="R246:R248" si="78">IF(P$12=0,0,P246/P$12)</f>
        <v>4.3811665152836722E-3</v>
      </c>
      <c r="S246" s="1"/>
      <c r="T246" s="1">
        <f>SUM(OSRRefT22_11x_0)</f>
        <v>57100</v>
      </c>
      <c r="U246" s="1"/>
      <c r="V246" s="5">
        <f t="shared" ref="V246:V248" si="79">IF(T$12=0,0,T246/T$12)</f>
        <v>3.4650740856224508E-3</v>
      </c>
      <c r="W246" s="1"/>
      <c r="X246" s="1">
        <f t="shared" ref="X246:X248" si="80">+P246-T246</f>
        <v>13412.290000000008</v>
      </c>
      <c r="Y246" s="1"/>
      <c r="Z246" s="5">
        <f t="shared" ref="Z246:Z248" si="81">IF(T246=0,0,X246/T246)</f>
        <v>0.23489124343257459</v>
      </c>
    </row>
    <row r="247" spans="1:26" s="24" customFormat="1" hidden="1" outlineLevel="2" x14ac:dyDescent="0.25">
      <c r="A247" s="25"/>
      <c r="B247" s="11" t="str">
        <f>CONCATENATE("          ", "6269", " - ", "ENTERTAINMENT")</f>
        <v xml:space="preserve">          6269 - ENTERTAINMENT</v>
      </c>
      <c r="C247" s="11"/>
      <c r="D247" s="6">
        <v>600</v>
      </c>
      <c r="E247" s="2"/>
      <c r="F247" s="7">
        <f t="shared" si="74"/>
        <v>2.2753066085628193E-4</v>
      </c>
      <c r="G247" s="2"/>
      <c r="H247" s="6">
        <v>600</v>
      </c>
      <c r="I247" s="2"/>
      <c r="J247" s="7">
        <f t="shared" si="75"/>
        <v>2.4438678567415863E-4</v>
      </c>
      <c r="K247" s="2"/>
      <c r="L247" s="6">
        <f t="shared" si="76"/>
        <v>0</v>
      </c>
      <c r="M247" s="2"/>
      <c r="N247" s="7">
        <f t="shared" si="77"/>
        <v>0</v>
      </c>
      <c r="O247" s="11"/>
      <c r="P247" s="6">
        <v>6100</v>
      </c>
      <c r="Q247" s="2"/>
      <c r="R247" s="7">
        <f t="shared" si="78"/>
        <v>3.7901358391892248E-4</v>
      </c>
      <c r="S247" s="2"/>
      <c r="T247" s="6">
        <v>3750</v>
      </c>
      <c r="U247" s="2"/>
      <c r="V247" s="7">
        <f t="shared" si="79"/>
        <v>2.2756616149009089E-4</v>
      </c>
      <c r="W247" s="2"/>
      <c r="X247" s="6">
        <f t="shared" si="80"/>
        <v>2350</v>
      </c>
      <c r="Y247" s="2"/>
      <c r="Z247" s="7">
        <f t="shared" si="81"/>
        <v>0.62666666666666671</v>
      </c>
    </row>
    <row r="248" spans="1:26" s="24" customFormat="1" hidden="1" outlineLevel="2" x14ac:dyDescent="0.25">
      <c r="A248" s="25"/>
      <c r="B248" s="11" t="str">
        <f>CONCATENATE("          ", "6279", " - ", "GENERAL EXPENSE")</f>
        <v xml:space="preserve">          6279 - GENERAL EXPENSE</v>
      </c>
      <c r="C248" s="11"/>
      <c r="D248" s="6">
        <v>34062.35</v>
      </c>
      <c r="E248" s="2"/>
      <c r="F248" s="7">
        <f t="shared" si="74"/>
        <v>1.2917048343029957E-2</v>
      </c>
      <c r="G248" s="2"/>
      <c r="H248" s="6">
        <v>18932</v>
      </c>
      <c r="I248" s="2"/>
      <c r="J248" s="7">
        <f t="shared" si="75"/>
        <v>7.7112177106386194E-3</v>
      </c>
      <c r="K248" s="2"/>
      <c r="L248" s="6">
        <f t="shared" si="76"/>
        <v>15130.349999999999</v>
      </c>
      <c r="M248" s="2"/>
      <c r="N248" s="7">
        <f t="shared" si="77"/>
        <v>0.79919448552714967</v>
      </c>
      <c r="O248" s="11"/>
      <c r="P248" s="6">
        <v>64412.290000000008</v>
      </c>
      <c r="Q248" s="2"/>
      <c r="R248" s="7">
        <f t="shared" si="78"/>
        <v>4.0021529313647502E-3</v>
      </c>
      <c r="S248" s="2"/>
      <c r="T248" s="6">
        <v>53350</v>
      </c>
      <c r="U248" s="2"/>
      <c r="V248" s="7">
        <f t="shared" si="79"/>
        <v>3.2375079241323598E-3</v>
      </c>
      <c r="W248" s="2"/>
      <c r="X248" s="6">
        <f t="shared" si="80"/>
        <v>11062.290000000008</v>
      </c>
      <c r="Y248" s="2"/>
      <c r="Z248" s="7">
        <f t="shared" si="81"/>
        <v>0.20735313964386146</v>
      </c>
    </row>
    <row r="249" spans="1:26" s="26" customFormat="1" outlineLevel="1" collapsed="1" x14ac:dyDescent="0.25">
      <c r="A249" s="27"/>
      <c r="B249" s="13" t="str">
        <f>CONCATENATE("     ","Insurance                                         ")</f>
        <v xml:space="preserve">     Insurance                                         </v>
      </c>
      <c r="C249" s="13"/>
      <c r="D249" s="1">
        <f>SUM(OSRRefD22_12x_0)</f>
        <v>8563.32</v>
      </c>
      <c r="E249" s="1"/>
      <c r="F249" s="5">
        <f t="shared" ref="F249:F265" si="82">IF(D$12=0,0,D249/D$12)</f>
        <v>3.247363097873027E-3</v>
      </c>
      <c r="G249" s="1"/>
      <c r="H249" s="1">
        <f>SUM(OSRRefH22_12x_0)</f>
        <v>8081</v>
      </c>
      <c r="I249" s="1"/>
      <c r="J249" s="5">
        <f t="shared" ref="J249:J265" si="83">IF(H$12=0,0,H249/H$12)</f>
        <v>3.2914826917214601E-3</v>
      </c>
      <c r="K249" s="1"/>
      <c r="L249" s="1">
        <f t="shared" ref="L249:L265" si="84">+D249-H249</f>
        <v>482.31999999999971</v>
      </c>
      <c r="M249" s="1"/>
      <c r="N249" s="5">
        <f t="shared" ref="N249:N265" si="85">IF(H249=0,0,L249/H249)</f>
        <v>5.9685682465041419E-2</v>
      </c>
      <c r="O249" s="13"/>
      <c r="P249" s="1">
        <f>SUM(OSRRefP22_12x_0)</f>
        <v>42816.6</v>
      </c>
      <c r="Q249" s="1"/>
      <c r="R249" s="5">
        <f t="shared" ref="R249:R265" si="86">IF(P$12=0,0,P249/P$12)</f>
        <v>2.6603398388890058E-3</v>
      </c>
      <c r="S249" s="1"/>
      <c r="T249" s="1">
        <f>SUM(OSRRefT22_12x_0)</f>
        <v>40405</v>
      </c>
      <c r="U249" s="1"/>
      <c r="V249" s="5">
        <f t="shared" ref="V249:V265" si="87">IF(T$12=0,0,T249/T$12)</f>
        <v>2.4519495346685661E-3</v>
      </c>
      <c r="W249" s="1"/>
      <c r="X249" s="1">
        <f t="shared" ref="X249:X265" si="88">+P249-T249</f>
        <v>2411.5999999999985</v>
      </c>
      <c r="Y249" s="1"/>
      <c r="Z249" s="5">
        <f t="shared" ref="Z249:Z265" si="89">IF(T249=0,0,X249/T249)</f>
        <v>5.9685682465041419E-2</v>
      </c>
    </row>
    <row r="250" spans="1:26" s="24" customFormat="1" hidden="1" outlineLevel="2" x14ac:dyDescent="0.25">
      <c r="A250" s="25"/>
      <c r="B250" s="11" t="str">
        <f>CONCATENATE("          ", "6314", " - ", "LIABILITY INSURANCE")</f>
        <v xml:space="preserve">          6314 - LIABILITY INSURANCE</v>
      </c>
      <c r="C250" s="11"/>
      <c r="D250" s="6">
        <v>8563.32</v>
      </c>
      <c r="E250" s="2"/>
      <c r="F250" s="7">
        <f t="shared" si="82"/>
        <v>3.247363097873027E-3</v>
      </c>
      <c r="G250" s="2"/>
      <c r="H250" s="6">
        <v>8081</v>
      </c>
      <c r="I250" s="2"/>
      <c r="J250" s="7">
        <f t="shared" si="83"/>
        <v>3.2914826917214601E-3</v>
      </c>
      <c r="K250" s="2"/>
      <c r="L250" s="6">
        <f t="shared" si="84"/>
        <v>482.31999999999971</v>
      </c>
      <c r="M250" s="2"/>
      <c r="N250" s="7">
        <f t="shared" si="85"/>
        <v>5.9685682465041419E-2</v>
      </c>
      <c r="O250" s="11"/>
      <c r="P250" s="6">
        <v>42816.6</v>
      </c>
      <c r="Q250" s="2"/>
      <c r="R250" s="7">
        <f t="shared" si="86"/>
        <v>2.6603398388890058E-3</v>
      </c>
      <c r="S250" s="2"/>
      <c r="T250" s="6">
        <v>40405</v>
      </c>
      <c r="U250" s="2"/>
      <c r="V250" s="7">
        <f t="shared" si="87"/>
        <v>2.4519495346685661E-3</v>
      </c>
      <c r="W250" s="2"/>
      <c r="X250" s="6">
        <f t="shared" si="88"/>
        <v>2411.5999999999985</v>
      </c>
      <c r="Y250" s="2"/>
      <c r="Z250" s="7">
        <f t="shared" si="89"/>
        <v>5.9685682465041419E-2</v>
      </c>
    </row>
    <row r="251" spans="1:26" s="26" customFormat="1" outlineLevel="1" collapsed="1" x14ac:dyDescent="0.25">
      <c r="A251" s="27"/>
      <c r="B251" s="13" t="str">
        <f>CONCATENATE("     ","Interest                                          ")</f>
        <v xml:space="preserve">     Interest                                          </v>
      </c>
      <c r="C251" s="13"/>
      <c r="D251" s="1">
        <f>SUM(OSRRefD22_13x_0)</f>
        <v>11929</v>
      </c>
      <c r="E251" s="1"/>
      <c r="F251" s="5">
        <f t="shared" si="82"/>
        <v>4.5236887555909783E-3</v>
      </c>
      <c r="G251" s="1"/>
      <c r="H251" s="1">
        <f>SUM(OSRRefH22_13x_0)</f>
        <v>11929</v>
      </c>
      <c r="I251" s="1"/>
      <c r="J251" s="5">
        <f t="shared" si="83"/>
        <v>4.8588166105117308E-3</v>
      </c>
      <c r="K251" s="1"/>
      <c r="L251" s="1">
        <f t="shared" si="84"/>
        <v>0</v>
      </c>
      <c r="M251" s="1"/>
      <c r="N251" s="5">
        <f t="shared" si="85"/>
        <v>0</v>
      </c>
      <c r="O251" s="13"/>
      <c r="P251" s="1">
        <f>SUM(OSRRefP22_13x_0)</f>
        <v>59046</v>
      </c>
      <c r="Q251" s="1"/>
      <c r="R251" s="5">
        <f t="shared" si="86"/>
        <v>3.6687272255863435E-3</v>
      </c>
      <c r="S251" s="1"/>
      <c r="T251" s="1">
        <f>SUM(OSRRefT22_13x_0)</f>
        <v>59644.999999999993</v>
      </c>
      <c r="U251" s="1"/>
      <c r="V251" s="5">
        <f t="shared" si="87"/>
        <v>3.6195156538870584E-3</v>
      </c>
      <c r="W251" s="1"/>
      <c r="X251" s="1">
        <f t="shared" si="88"/>
        <v>-598.99999999999272</v>
      </c>
      <c r="Y251" s="1"/>
      <c r="Z251" s="5">
        <f t="shared" si="89"/>
        <v>-1.0042752954983532E-2</v>
      </c>
    </row>
    <row r="252" spans="1:26" s="24" customFormat="1" hidden="1" outlineLevel="2" x14ac:dyDescent="0.25">
      <c r="A252" s="25"/>
      <c r="B252" s="11" t="str">
        <f>CONCATENATE("          ", "6401", " - ", "INTEREST EXPENSE")</f>
        <v xml:space="preserve">          6401 - INTEREST EXPENSE</v>
      </c>
      <c r="C252" s="11"/>
      <c r="D252" s="6">
        <v>11929</v>
      </c>
      <c r="E252" s="2"/>
      <c r="F252" s="7">
        <f t="shared" si="82"/>
        <v>4.5236887555909783E-3</v>
      </c>
      <c r="G252" s="2"/>
      <c r="H252" s="6">
        <v>11929</v>
      </c>
      <c r="I252" s="2"/>
      <c r="J252" s="7">
        <f t="shared" si="83"/>
        <v>4.8588166105117308E-3</v>
      </c>
      <c r="K252" s="2"/>
      <c r="L252" s="6">
        <f t="shared" si="84"/>
        <v>0</v>
      </c>
      <c r="M252" s="2"/>
      <c r="N252" s="7">
        <f t="shared" si="85"/>
        <v>0</v>
      </c>
      <c r="O252" s="11"/>
      <c r="P252" s="6">
        <v>59046</v>
      </c>
      <c r="Q252" s="2"/>
      <c r="R252" s="7">
        <f t="shared" si="86"/>
        <v>3.6687272255863435E-3</v>
      </c>
      <c r="S252" s="2"/>
      <c r="T252" s="6">
        <v>59644.999999999993</v>
      </c>
      <c r="U252" s="2"/>
      <c r="V252" s="7">
        <f t="shared" si="87"/>
        <v>3.6195156538870584E-3</v>
      </c>
      <c r="W252" s="2"/>
      <c r="X252" s="6">
        <f t="shared" si="88"/>
        <v>-598.99999999999272</v>
      </c>
      <c r="Y252" s="2"/>
      <c r="Z252" s="7">
        <f t="shared" si="89"/>
        <v>-1.0042752954983532E-2</v>
      </c>
    </row>
    <row r="253" spans="1:26" s="26" customFormat="1" outlineLevel="1" collapsed="1" x14ac:dyDescent="0.25">
      <c r="A253" s="27"/>
      <c r="B253" s="13" t="str">
        <f>CONCATENATE("     ","Inventory Adjustment                              ")</f>
        <v xml:space="preserve">     Inventory Adjustment                              </v>
      </c>
      <c r="C253" s="13"/>
      <c r="D253" s="1">
        <f>SUM(OSRRefD22_14x_0)</f>
        <v>4250</v>
      </c>
      <c r="E253" s="1"/>
      <c r="F253" s="5">
        <f t="shared" si="82"/>
        <v>1.6116755143986638E-3</v>
      </c>
      <c r="G253" s="1"/>
      <c r="H253" s="1">
        <f>SUM(OSRRefH22_14x_0)</f>
        <v>4250</v>
      </c>
      <c r="I253" s="1"/>
      <c r="J253" s="5">
        <f t="shared" si="83"/>
        <v>1.7310730651919572E-3</v>
      </c>
      <c r="K253" s="1"/>
      <c r="L253" s="1">
        <f t="shared" si="84"/>
        <v>0</v>
      </c>
      <c r="M253" s="1"/>
      <c r="N253" s="5">
        <f t="shared" si="85"/>
        <v>0</v>
      </c>
      <c r="O253" s="13"/>
      <c r="P253" s="1">
        <f>SUM(OSRRefP22_14x_0)</f>
        <v>21150</v>
      </c>
      <c r="Q253" s="1"/>
      <c r="R253" s="5">
        <f t="shared" si="86"/>
        <v>1.3141208688336411E-3</v>
      </c>
      <c r="S253" s="1"/>
      <c r="T253" s="1">
        <f>SUM(OSRRefT22_14x_0)</f>
        <v>21150</v>
      </c>
      <c r="U253" s="1"/>
      <c r="V253" s="5">
        <f t="shared" si="87"/>
        <v>1.2834731508041127E-3</v>
      </c>
      <c r="W253" s="1"/>
      <c r="X253" s="1">
        <f t="shared" si="88"/>
        <v>0</v>
      </c>
      <c r="Y253" s="1"/>
      <c r="Z253" s="5">
        <f t="shared" si="89"/>
        <v>0</v>
      </c>
    </row>
    <row r="254" spans="1:26" s="24" customFormat="1" hidden="1" outlineLevel="2" x14ac:dyDescent="0.25">
      <c r="A254" s="25"/>
      <c r="B254" s="11" t="str">
        <f>CONCATENATE("          ", "6408", " - ", "INVENTORY ADJUSTMENT")</f>
        <v xml:space="preserve">          6408 - INVENTORY ADJUSTMENT</v>
      </c>
      <c r="C254" s="11"/>
      <c r="D254" s="6">
        <v>4250</v>
      </c>
      <c r="E254" s="2"/>
      <c r="F254" s="7">
        <f t="shared" si="82"/>
        <v>1.6116755143986638E-3</v>
      </c>
      <c r="G254" s="2"/>
      <c r="H254" s="6">
        <v>4250</v>
      </c>
      <c r="I254" s="2"/>
      <c r="J254" s="7">
        <f t="shared" si="83"/>
        <v>1.7310730651919572E-3</v>
      </c>
      <c r="K254" s="2"/>
      <c r="L254" s="6">
        <f t="shared" si="84"/>
        <v>0</v>
      </c>
      <c r="M254" s="2"/>
      <c r="N254" s="7">
        <f t="shared" si="85"/>
        <v>0</v>
      </c>
      <c r="O254" s="11"/>
      <c r="P254" s="6">
        <v>21150</v>
      </c>
      <c r="Q254" s="2"/>
      <c r="R254" s="7">
        <f t="shared" si="86"/>
        <v>1.3141208688336411E-3</v>
      </c>
      <c r="S254" s="2"/>
      <c r="T254" s="6">
        <v>21150</v>
      </c>
      <c r="U254" s="2"/>
      <c r="V254" s="7">
        <f t="shared" si="87"/>
        <v>1.2834731508041127E-3</v>
      </c>
      <c r="W254" s="2"/>
      <c r="X254" s="6">
        <f t="shared" si="88"/>
        <v>0</v>
      </c>
      <c r="Y254" s="2"/>
      <c r="Z254" s="7">
        <f t="shared" si="89"/>
        <v>0</v>
      </c>
    </row>
    <row r="255" spans="1:26" s="26" customFormat="1" outlineLevel="1" collapsed="1" x14ac:dyDescent="0.25">
      <c r="A255" s="27"/>
      <c r="B255" s="13" t="str">
        <f>CONCATENATE("     ","Professional Services                             ")</f>
        <v xml:space="preserve">     Professional Services                             </v>
      </c>
      <c r="C255" s="13"/>
      <c r="D255" s="1">
        <f>SUM(OSRRefD22_15x_0)</f>
        <v>0</v>
      </c>
      <c r="E255" s="1"/>
      <c r="F255" s="5">
        <f t="shared" si="82"/>
        <v>0</v>
      </c>
      <c r="G255" s="1"/>
      <c r="H255" s="1">
        <f>SUM(OSRRefH22_15x_0)</f>
        <v>1415</v>
      </c>
      <c r="I255" s="1"/>
      <c r="J255" s="5">
        <f t="shared" si="83"/>
        <v>5.7634550288155749E-4</v>
      </c>
      <c r="K255" s="1"/>
      <c r="L255" s="1">
        <f t="shared" si="84"/>
        <v>-1415</v>
      </c>
      <c r="M255" s="1"/>
      <c r="N255" s="5">
        <f t="shared" si="85"/>
        <v>-1</v>
      </c>
      <c r="O255" s="13"/>
      <c r="P255" s="1">
        <f>SUM(OSRRefP22_15x_0)</f>
        <v>6283.41</v>
      </c>
      <c r="Q255" s="1"/>
      <c r="R255" s="5">
        <f t="shared" si="86"/>
        <v>3.9040946611999946E-4</v>
      </c>
      <c r="S255" s="1"/>
      <c r="T255" s="1">
        <f>SUM(OSRRefT22_15x_0)</f>
        <v>9725</v>
      </c>
      <c r="U255" s="1"/>
      <c r="V255" s="5">
        <f t="shared" si="87"/>
        <v>5.9015491213096902E-4</v>
      </c>
      <c r="W255" s="1"/>
      <c r="X255" s="1">
        <f t="shared" si="88"/>
        <v>-3441.59</v>
      </c>
      <c r="Y255" s="1"/>
      <c r="Z255" s="5">
        <f t="shared" si="89"/>
        <v>-0.35389100257069411</v>
      </c>
    </row>
    <row r="256" spans="1:26" s="24" customFormat="1" hidden="1" outlineLevel="2" x14ac:dyDescent="0.25">
      <c r="A256" s="25"/>
      <c r="B256" s="11" t="str">
        <f>CONCATENATE("          ", "6336", " - ", "PROFESSIONAL SERVICES")</f>
        <v xml:space="preserve">          6336 - PROFESSIONAL SERVICES</v>
      </c>
      <c r="C256" s="11"/>
      <c r="D256" s="6"/>
      <c r="E256" s="2"/>
      <c r="F256" s="7">
        <f t="shared" si="82"/>
        <v>0</v>
      </c>
      <c r="G256" s="2"/>
      <c r="H256" s="6">
        <v>1415</v>
      </c>
      <c r="I256" s="2"/>
      <c r="J256" s="7">
        <f t="shared" si="83"/>
        <v>5.7634550288155749E-4</v>
      </c>
      <c r="K256" s="2"/>
      <c r="L256" s="6">
        <f t="shared" si="84"/>
        <v>-1415</v>
      </c>
      <c r="M256" s="2"/>
      <c r="N256" s="7">
        <f t="shared" si="85"/>
        <v>-1</v>
      </c>
      <c r="O256" s="11"/>
      <c r="P256" s="6">
        <v>6283.41</v>
      </c>
      <c r="Q256" s="2"/>
      <c r="R256" s="7">
        <f t="shared" si="86"/>
        <v>3.9040946611999946E-4</v>
      </c>
      <c r="S256" s="2"/>
      <c r="T256" s="6">
        <v>9725</v>
      </c>
      <c r="U256" s="2"/>
      <c r="V256" s="7">
        <f t="shared" si="87"/>
        <v>5.9015491213096902E-4</v>
      </c>
      <c r="W256" s="2"/>
      <c r="X256" s="6">
        <f t="shared" si="88"/>
        <v>-3441.59</v>
      </c>
      <c r="Y256" s="2"/>
      <c r="Z256" s="7">
        <f t="shared" si="89"/>
        <v>-0.35389100257069411</v>
      </c>
    </row>
    <row r="257" spans="1:26" s="26" customFormat="1" outlineLevel="1" collapsed="1" x14ac:dyDescent="0.25">
      <c r="A257" s="27"/>
      <c r="B257" s="13" t="str">
        <f>CONCATENATE("     ","R/H Commissions                                   ")</f>
        <v xml:space="preserve">     R/H Commissions                                   </v>
      </c>
      <c r="C257" s="13"/>
      <c r="D257" s="1">
        <f>SUM(OSRRefD22_16x_0)</f>
        <v>88207.73000000001</v>
      </c>
      <c r="E257" s="1"/>
      <c r="F257" s="5">
        <f t="shared" si="82"/>
        <v>3.3449938499220816E-2</v>
      </c>
      <c r="G257" s="1"/>
      <c r="H257" s="1">
        <f>SUM(OSRRefH22_16x_0)</f>
        <v>82175</v>
      </c>
      <c r="I257" s="1"/>
      <c r="J257" s="5">
        <f t="shared" si="83"/>
        <v>3.3470806854623315E-2</v>
      </c>
      <c r="K257" s="1"/>
      <c r="L257" s="1">
        <f t="shared" si="84"/>
        <v>6032.7300000000105</v>
      </c>
      <c r="M257" s="1"/>
      <c r="N257" s="5">
        <f t="shared" si="85"/>
        <v>7.3413203529053978E-2</v>
      </c>
      <c r="O257" s="13"/>
      <c r="P257" s="1">
        <f>SUM(OSRRefP22_16x_0)</f>
        <v>406895.16</v>
      </c>
      <c r="Q257" s="1"/>
      <c r="R257" s="5">
        <f t="shared" si="86"/>
        <v>2.5281769323092357E-2</v>
      </c>
      <c r="S257" s="1"/>
      <c r="T257" s="1">
        <f>SUM(OSRRefT22_16x_0)</f>
        <v>415204</v>
      </c>
      <c r="U257" s="1"/>
      <c r="V257" s="5">
        <f t="shared" si="87"/>
        <v>2.5196368137421786E-2</v>
      </c>
      <c r="W257" s="1"/>
      <c r="X257" s="1">
        <f t="shared" si="88"/>
        <v>-8308.8400000000256</v>
      </c>
      <c r="Y257" s="1"/>
      <c r="Z257" s="5">
        <f t="shared" si="89"/>
        <v>-2.001146424408249E-2</v>
      </c>
    </row>
    <row r="258" spans="1:26" s="24" customFormat="1" hidden="1" outlineLevel="2" x14ac:dyDescent="0.25">
      <c r="A258" s="25"/>
      <c r="B258" s="11" t="str">
        <f>CONCATENATE("          ", "6387", " - ", "COMMISSION DUE HOUSING")</f>
        <v xml:space="preserve">          6387 - COMMISSION DUE HOUSING</v>
      </c>
      <c r="C258" s="11"/>
      <c r="D258" s="6">
        <v>88207.73000000001</v>
      </c>
      <c r="E258" s="2"/>
      <c r="F258" s="7">
        <f t="shared" si="82"/>
        <v>3.3449938499220816E-2</v>
      </c>
      <c r="G258" s="2"/>
      <c r="H258" s="6">
        <v>82175</v>
      </c>
      <c r="I258" s="2"/>
      <c r="J258" s="7">
        <f t="shared" si="83"/>
        <v>3.3470806854623315E-2</v>
      </c>
      <c r="K258" s="2"/>
      <c r="L258" s="6">
        <f t="shared" si="84"/>
        <v>6032.7300000000105</v>
      </c>
      <c r="M258" s="2"/>
      <c r="N258" s="7">
        <f t="shared" si="85"/>
        <v>7.3413203529053978E-2</v>
      </c>
      <c r="O258" s="11"/>
      <c r="P258" s="6">
        <v>406895.16</v>
      </c>
      <c r="Q258" s="2"/>
      <c r="R258" s="7">
        <f t="shared" si="86"/>
        <v>2.5281769323092357E-2</v>
      </c>
      <c r="S258" s="2"/>
      <c r="T258" s="6">
        <v>415204</v>
      </c>
      <c r="U258" s="2"/>
      <c r="V258" s="7">
        <f t="shared" si="87"/>
        <v>2.5196368137421786E-2</v>
      </c>
      <c r="W258" s="2"/>
      <c r="X258" s="6">
        <f t="shared" si="88"/>
        <v>-8308.8400000000256</v>
      </c>
      <c r="Y258" s="2"/>
      <c r="Z258" s="7">
        <f t="shared" si="89"/>
        <v>-2.001146424408249E-2</v>
      </c>
    </row>
    <row r="259" spans="1:26" s="26" customFormat="1" outlineLevel="1" collapsed="1" x14ac:dyDescent="0.25">
      <c r="A259" s="27"/>
      <c r="B259" s="13" t="str">
        <f>CONCATENATE("     ","Rent                                              ")</f>
        <v xml:space="preserve">     Rent                                              </v>
      </c>
      <c r="C259" s="13"/>
      <c r="D259" s="1">
        <f>SUM(OSRRefD22_17x_0)</f>
        <v>9900</v>
      </c>
      <c r="E259" s="1"/>
      <c r="F259" s="5">
        <f t="shared" si="82"/>
        <v>3.7542559041286519E-3</v>
      </c>
      <c r="G259" s="1"/>
      <c r="H259" s="1">
        <f>SUM(OSRRefH22_17x_0)</f>
        <v>10200</v>
      </c>
      <c r="I259" s="1"/>
      <c r="J259" s="5">
        <f t="shared" si="83"/>
        <v>4.1545753564606975E-3</v>
      </c>
      <c r="K259" s="1"/>
      <c r="L259" s="1">
        <f t="shared" si="84"/>
        <v>-300</v>
      </c>
      <c r="M259" s="1"/>
      <c r="N259" s="5">
        <f t="shared" si="85"/>
        <v>-2.9411764705882353E-2</v>
      </c>
      <c r="O259" s="13"/>
      <c r="P259" s="1">
        <f>SUM(OSRRefP22_17x_0)</f>
        <v>49500</v>
      </c>
      <c r="Q259" s="1"/>
      <c r="R259" s="5">
        <f t="shared" si="86"/>
        <v>3.0756020334404364E-3</v>
      </c>
      <c r="S259" s="1"/>
      <c r="T259" s="1">
        <f>SUM(OSRRefT22_17x_0)</f>
        <v>51000</v>
      </c>
      <c r="U259" s="1"/>
      <c r="V259" s="5">
        <f t="shared" si="87"/>
        <v>3.094899796265236E-3</v>
      </c>
      <c r="W259" s="1"/>
      <c r="X259" s="1">
        <f t="shared" si="88"/>
        <v>-1500</v>
      </c>
      <c r="Y259" s="1"/>
      <c r="Z259" s="5">
        <f t="shared" si="89"/>
        <v>-2.9411764705882353E-2</v>
      </c>
    </row>
    <row r="260" spans="1:26" s="24" customFormat="1" hidden="1" outlineLevel="2" x14ac:dyDescent="0.25">
      <c r="A260" s="25"/>
      <c r="B260" s="11" t="str">
        <f>CONCATENATE("          ", "6273", " - ", "RENT")</f>
        <v xml:space="preserve">          6273 - RENT</v>
      </c>
      <c r="C260" s="11"/>
      <c r="D260" s="6">
        <v>9900</v>
      </c>
      <c r="E260" s="2"/>
      <c r="F260" s="7">
        <f t="shared" si="82"/>
        <v>3.7542559041286519E-3</v>
      </c>
      <c r="G260" s="2"/>
      <c r="H260" s="6">
        <v>10200</v>
      </c>
      <c r="I260" s="2"/>
      <c r="J260" s="7">
        <f t="shared" si="83"/>
        <v>4.1545753564606975E-3</v>
      </c>
      <c r="K260" s="2"/>
      <c r="L260" s="6">
        <f t="shared" si="84"/>
        <v>-300</v>
      </c>
      <c r="M260" s="2"/>
      <c r="N260" s="7">
        <f t="shared" si="85"/>
        <v>-2.9411764705882353E-2</v>
      </c>
      <c r="O260" s="11"/>
      <c r="P260" s="6">
        <v>49500</v>
      </c>
      <c r="Q260" s="2"/>
      <c r="R260" s="7">
        <f t="shared" si="86"/>
        <v>3.0756020334404364E-3</v>
      </c>
      <c r="S260" s="2"/>
      <c r="T260" s="6">
        <v>51000</v>
      </c>
      <c r="U260" s="2"/>
      <c r="V260" s="7">
        <f t="shared" si="87"/>
        <v>3.094899796265236E-3</v>
      </c>
      <c r="W260" s="2"/>
      <c r="X260" s="6">
        <f t="shared" si="88"/>
        <v>-1500</v>
      </c>
      <c r="Y260" s="2"/>
      <c r="Z260" s="7">
        <f t="shared" si="89"/>
        <v>-2.9411764705882353E-2</v>
      </c>
    </row>
    <row r="261" spans="1:26" s="26" customFormat="1" outlineLevel="1" collapsed="1" x14ac:dyDescent="0.25">
      <c r="A261" s="27"/>
      <c r="B261" s="13" t="str">
        <f>CONCATENATE("     ","Repair and Maintenance                            ")</f>
        <v xml:space="preserve">     Repair and Maintenance                            </v>
      </c>
      <c r="C261" s="13"/>
      <c r="D261" s="1">
        <f>SUM(OSRRefD22_18x_0)</f>
        <v>35790.089999999997</v>
      </c>
      <c r="E261" s="1"/>
      <c r="F261" s="5">
        <f t="shared" si="82"/>
        <v>1.3572238049676345E-2</v>
      </c>
      <c r="G261" s="1"/>
      <c r="H261" s="1">
        <f>SUM(OSRRefH22_18x_0)</f>
        <v>38156</v>
      </c>
      <c r="I261" s="1"/>
      <c r="J261" s="5">
        <f t="shared" si="83"/>
        <v>1.5541370323638663E-2</v>
      </c>
      <c r="K261" s="1"/>
      <c r="L261" s="1">
        <f t="shared" si="84"/>
        <v>-2365.9100000000035</v>
      </c>
      <c r="M261" s="1"/>
      <c r="N261" s="5">
        <f t="shared" si="85"/>
        <v>-6.2006237551106076E-2</v>
      </c>
      <c r="O261" s="13"/>
      <c r="P261" s="1">
        <f>SUM(OSRRefP22_18x_0)</f>
        <v>223923.03</v>
      </c>
      <c r="Q261" s="1"/>
      <c r="R261" s="5">
        <f t="shared" si="86"/>
        <v>1.3913093462669572E-2</v>
      </c>
      <c r="S261" s="1"/>
      <c r="T261" s="1">
        <f>SUM(OSRRefT22_18x_0)</f>
        <v>381966</v>
      </c>
      <c r="U261" s="1"/>
      <c r="V261" s="5">
        <f t="shared" si="87"/>
        <v>2.3179343050593083E-2</v>
      </c>
      <c r="W261" s="1"/>
      <c r="X261" s="1">
        <f t="shared" si="88"/>
        <v>-158042.97</v>
      </c>
      <c r="Y261" s="1"/>
      <c r="Z261" s="5">
        <f t="shared" si="89"/>
        <v>-0.41376187932957381</v>
      </c>
    </row>
    <row r="262" spans="1:26" s="24" customFormat="1" hidden="1" outlineLevel="2" x14ac:dyDescent="0.25">
      <c r="A262" s="25"/>
      <c r="B262" s="11" t="str">
        <f>CONCATENATE("          ", "6371", " - ", "COMPUTER SOFTWARE MAINTENANCE")</f>
        <v xml:space="preserve">          6371 - COMPUTER SOFTWARE MAINTENANCE</v>
      </c>
      <c r="C262" s="11"/>
      <c r="D262" s="6">
        <v>17078.5</v>
      </c>
      <c r="E262" s="2"/>
      <c r="F262" s="7">
        <f t="shared" si="82"/>
        <v>6.4764706523900185E-3</v>
      </c>
      <c r="G262" s="2"/>
      <c r="H262" s="6">
        <v>1547</v>
      </c>
      <c r="I262" s="2"/>
      <c r="J262" s="7">
        <f t="shared" si="83"/>
        <v>6.3011059572987236E-4</v>
      </c>
      <c r="K262" s="2"/>
      <c r="L262" s="6">
        <f t="shared" si="84"/>
        <v>15531.5</v>
      </c>
      <c r="M262" s="2"/>
      <c r="N262" s="7">
        <f t="shared" si="85"/>
        <v>10.039754363283775</v>
      </c>
      <c r="O262" s="11"/>
      <c r="P262" s="6">
        <v>48852.259999999995</v>
      </c>
      <c r="Q262" s="2"/>
      <c r="R262" s="7">
        <f t="shared" si="86"/>
        <v>3.0353557614981996E-3</v>
      </c>
      <c r="S262" s="2"/>
      <c r="T262" s="6">
        <v>182270</v>
      </c>
      <c r="U262" s="2"/>
      <c r="V262" s="7">
        <f t="shared" si="87"/>
        <v>1.1060929134613031E-2</v>
      </c>
      <c r="W262" s="2"/>
      <c r="X262" s="6">
        <f t="shared" si="88"/>
        <v>-133417.74</v>
      </c>
      <c r="Y262" s="2"/>
      <c r="Z262" s="7">
        <f t="shared" si="89"/>
        <v>-0.73197860317111973</v>
      </c>
    </row>
    <row r="263" spans="1:26" s="24" customFormat="1" hidden="1" outlineLevel="2" x14ac:dyDescent="0.25">
      <c r="A263" s="25"/>
      <c r="B263" s="11" t="str">
        <f>CONCATENATE("          ", "6372", " - ", "COMPUTER HARDWARE MAINTENANCE")</f>
        <v xml:space="preserve">          6372 - COMPUTER HARDWARE MAINTENANCE</v>
      </c>
      <c r="C263" s="11"/>
      <c r="D263" s="6"/>
      <c r="E263" s="2"/>
      <c r="F263" s="7">
        <f t="shared" si="82"/>
        <v>0</v>
      </c>
      <c r="G263" s="2"/>
      <c r="H263" s="6">
        <v>2000</v>
      </c>
      <c r="I263" s="2"/>
      <c r="J263" s="7">
        <f t="shared" si="83"/>
        <v>8.146226189138622E-4</v>
      </c>
      <c r="K263" s="2"/>
      <c r="L263" s="6">
        <f t="shared" si="84"/>
        <v>-2000</v>
      </c>
      <c r="M263" s="2"/>
      <c r="N263" s="7">
        <f t="shared" si="85"/>
        <v>-1</v>
      </c>
      <c r="O263" s="11"/>
      <c r="P263" s="6"/>
      <c r="Q263" s="2"/>
      <c r="R263" s="7">
        <f t="shared" si="86"/>
        <v>0</v>
      </c>
      <c r="S263" s="2"/>
      <c r="T263" s="6">
        <v>10270</v>
      </c>
      <c r="U263" s="2"/>
      <c r="V263" s="7">
        <f t="shared" si="87"/>
        <v>6.2322786093419564E-4</v>
      </c>
      <c r="W263" s="2"/>
      <c r="X263" s="6">
        <f t="shared" si="88"/>
        <v>-10270</v>
      </c>
      <c r="Y263" s="2"/>
      <c r="Z263" s="7">
        <f t="shared" si="89"/>
        <v>-1</v>
      </c>
    </row>
    <row r="264" spans="1:26" s="24" customFormat="1" hidden="1" outlineLevel="2" x14ac:dyDescent="0.25">
      <c r="A264" s="25"/>
      <c r="B264" s="11" t="str">
        <f>CONCATENATE("          ", "6373", " - ", "MAINTENANCE CONTRACTS")</f>
        <v xml:space="preserve">          6373 - MAINTENANCE CONTRACTS</v>
      </c>
      <c r="C264" s="11"/>
      <c r="D264" s="6">
        <v>10092.61</v>
      </c>
      <c r="E264" s="2"/>
      <c r="F264" s="7">
        <f t="shared" si="82"/>
        <v>3.8272970384411993E-3</v>
      </c>
      <c r="G264" s="2"/>
      <c r="H264" s="6">
        <v>11095</v>
      </c>
      <c r="I264" s="2"/>
      <c r="J264" s="7">
        <f t="shared" si="83"/>
        <v>4.5191189784246502E-3</v>
      </c>
      <c r="K264" s="2"/>
      <c r="L264" s="6">
        <f t="shared" si="84"/>
        <v>-1002.3899999999994</v>
      </c>
      <c r="M264" s="2"/>
      <c r="N264" s="7">
        <f t="shared" si="85"/>
        <v>-9.0346101847679078E-2</v>
      </c>
      <c r="O264" s="11"/>
      <c r="P264" s="6">
        <v>73450.16</v>
      </c>
      <c r="Q264" s="2"/>
      <c r="R264" s="7">
        <f t="shared" si="86"/>
        <v>4.5637062919702109E-3</v>
      </c>
      <c r="S264" s="2"/>
      <c r="T264" s="6">
        <v>50423</v>
      </c>
      <c r="U264" s="2"/>
      <c r="V264" s="7">
        <f t="shared" si="87"/>
        <v>3.0598849495506275E-3</v>
      </c>
      <c r="W264" s="2"/>
      <c r="X264" s="6">
        <f t="shared" si="88"/>
        <v>23027.160000000003</v>
      </c>
      <c r="Y264" s="2"/>
      <c r="Z264" s="7">
        <f t="shared" si="89"/>
        <v>0.4566796898240883</v>
      </c>
    </row>
    <row r="265" spans="1:26" s="24" customFormat="1" hidden="1" outlineLevel="2" x14ac:dyDescent="0.25">
      <c r="A265" s="25"/>
      <c r="B265" s="11" t="str">
        <f>CONCATENATE("          ", "6375", " - ", "OUTSIDE REPAIRS &amp; MAINTENANCE")</f>
        <v xml:space="preserve">          6375 - OUTSIDE REPAIRS &amp; MAINTENANCE</v>
      </c>
      <c r="C265" s="11"/>
      <c r="D265" s="6">
        <v>8618.98</v>
      </c>
      <c r="E265" s="2"/>
      <c r="F265" s="7">
        <f t="shared" si="82"/>
        <v>3.268470358845128E-3</v>
      </c>
      <c r="G265" s="2"/>
      <c r="H265" s="6">
        <v>23514</v>
      </c>
      <c r="I265" s="2"/>
      <c r="J265" s="7">
        <f t="shared" si="83"/>
        <v>9.577518130570277E-3</v>
      </c>
      <c r="K265" s="2"/>
      <c r="L265" s="6">
        <f t="shared" si="84"/>
        <v>-14895.02</v>
      </c>
      <c r="M265" s="2"/>
      <c r="N265" s="7">
        <f t="shared" si="85"/>
        <v>-0.63345326188653572</v>
      </c>
      <c r="O265" s="11"/>
      <c r="P265" s="6">
        <v>101620.61</v>
      </c>
      <c r="Q265" s="2"/>
      <c r="R265" s="7">
        <f t="shared" si="86"/>
        <v>6.3140314092011629E-3</v>
      </c>
      <c r="S265" s="2"/>
      <c r="T265" s="6">
        <v>139003</v>
      </c>
      <c r="U265" s="2"/>
      <c r="V265" s="7">
        <f t="shared" si="87"/>
        <v>8.4353011054952281E-3</v>
      </c>
      <c r="W265" s="2"/>
      <c r="X265" s="6">
        <f t="shared" si="88"/>
        <v>-37382.39</v>
      </c>
      <c r="Y265" s="2"/>
      <c r="Z265" s="7">
        <f t="shared" si="89"/>
        <v>-0.26893225326072101</v>
      </c>
    </row>
    <row r="266" spans="1:26" s="26" customFormat="1" outlineLevel="1" collapsed="1" x14ac:dyDescent="0.25">
      <c r="A266" s="27"/>
      <c r="B266" s="13" t="str">
        <f>CONCATENATE("     ","Royalty &amp; Commissions                             ")</f>
        <v xml:space="preserve">     Royalty &amp; Commissions                             </v>
      </c>
      <c r="C266" s="13"/>
      <c r="D266" s="1">
        <f>SUM(OSRRefD22_19x_0)</f>
        <v>40827.380000000005</v>
      </c>
      <c r="E266" s="1"/>
      <c r="F266" s="5">
        <f t="shared" ref="F266:F270" si="90">IF(D$12=0,0,D266/D$12)</f>
        <v>1.5482467920717582E-2</v>
      </c>
      <c r="G266" s="1"/>
      <c r="H266" s="1">
        <f>SUM(OSRRefH22_19x_0)</f>
        <v>43578</v>
      </c>
      <c r="I266" s="1"/>
      <c r="J266" s="5">
        <f t="shared" ref="J266:J270" si="91">IF(H$12=0,0,H266/H$12)</f>
        <v>1.7749812243514143E-2</v>
      </c>
      <c r="K266" s="1"/>
      <c r="L266" s="1">
        <f t="shared" ref="L266:L270" si="92">+D266-H266</f>
        <v>-2750.6199999999953</v>
      </c>
      <c r="M266" s="1"/>
      <c r="N266" s="5">
        <f t="shared" ref="N266:N270" si="93">IF(H266=0,0,L266/H266)</f>
        <v>-6.3119463949699278E-2</v>
      </c>
      <c r="O266" s="13"/>
      <c r="P266" s="1">
        <f>SUM(OSRRefP22_19x_0)</f>
        <v>170928.8</v>
      </c>
      <c r="Q266" s="1"/>
      <c r="R266" s="5">
        <f t="shared" ref="R266:R270" si="94">IF(P$12=0,0,P266/P$12)</f>
        <v>1.0620383128354215E-2</v>
      </c>
      <c r="S266" s="1"/>
      <c r="T266" s="1">
        <f>SUM(OSRRefT22_19x_0)</f>
        <v>201704</v>
      </c>
      <c r="U266" s="1"/>
      <c r="V266" s="5">
        <f t="shared" ref="V266:V270" si="95">IF(T$12=0,0,T266/T$12)</f>
        <v>1.2240268009919278E-2</v>
      </c>
      <c r="W266" s="1"/>
      <c r="X266" s="1">
        <f t="shared" ref="X266:X270" si="96">+P266-T266</f>
        <v>-30775.200000000012</v>
      </c>
      <c r="Y266" s="1"/>
      <c r="Z266" s="5">
        <f t="shared" ref="Z266:Z270" si="97">IF(T266=0,0,X266/T266)</f>
        <v>-0.15257605203664781</v>
      </c>
    </row>
    <row r="267" spans="1:26" s="24" customFormat="1" hidden="1" outlineLevel="2" x14ac:dyDescent="0.25">
      <c r="A267" s="25"/>
      <c r="B267" s="11" t="str">
        <f>CONCATENATE("          ", "6252", " - ", "ROYALTY DUE CSTV")</f>
        <v xml:space="preserve">          6252 - ROYALTY DUE CSTV</v>
      </c>
      <c r="C267" s="11"/>
      <c r="D267" s="6"/>
      <c r="E267" s="2"/>
      <c r="F267" s="7">
        <f t="shared" si="90"/>
        <v>0</v>
      </c>
      <c r="G267" s="2"/>
      <c r="H267" s="6">
        <v>1085</v>
      </c>
      <c r="I267" s="2"/>
      <c r="J267" s="7">
        <f t="shared" si="91"/>
        <v>4.4193277076077023E-4</v>
      </c>
      <c r="K267" s="2"/>
      <c r="L267" s="6">
        <f t="shared" si="92"/>
        <v>-1085</v>
      </c>
      <c r="M267" s="2"/>
      <c r="N267" s="7">
        <f t="shared" si="93"/>
        <v>-1</v>
      </c>
      <c r="O267" s="11"/>
      <c r="P267" s="6"/>
      <c r="Q267" s="2"/>
      <c r="R267" s="7">
        <f t="shared" si="94"/>
        <v>0</v>
      </c>
      <c r="S267" s="2"/>
      <c r="T267" s="6">
        <v>5425</v>
      </c>
      <c r="U267" s="2"/>
      <c r="V267" s="7">
        <f t="shared" si="95"/>
        <v>3.2921238028899816E-4</v>
      </c>
      <c r="W267" s="2"/>
      <c r="X267" s="6">
        <f t="shared" si="96"/>
        <v>-5425</v>
      </c>
      <c r="Y267" s="2"/>
      <c r="Z267" s="7">
        <f t="shared" si="97"/>
        <v>-1</v>
      </c>
    </row>
    <row r="268" spans="1:26" s="24" customFormat="1" hidden="1" outlineLevel="2" x14ac:dyDescent="0.25">
      <c r="A268" s="25"/>
      <c r="B268" s="11" t="str">
        <f>CONCATENATE("          ", "6253", " - ", "ROYALTY DUE ATHLETICS-LRG")</f>
        <v xml:space="preserve">          6253 - ROYALTY DUE ATHLETICS-LRG</v>
      </c>
      <c r="C268" s="11"/>
      <c r="D268" s="6"/>
      <c r="E268" s="2"/>
      <c r="F268" s="7">
        <f t="shared" si="90"/>
        <v>0</v>
      </c>
      <c r="G268" s="2"/>
      <c r="H268" s="6">
        <v>13700</v>
      </c>
      <c r="I268" s="2"/>
      <c r="J268" s="7">
        <f t="shared" si="91"/>
        <v>5.5801649395599562E-3</v>
      </c>
      <c r="K268" s="2"/>
      <c r="L268" s="6">
        <f t="shared" si="92"/>
        <v>-13700</v>
      </c>
      <c r="M268" s="2"/>
      <c r="N268" s="7">
        <f t="shared" si="93"/>
        <v>-1</v>
      </c>
      <c r="O268" s="11"/>
      <c r="P268" s="6">
        <v>4366.95</v>
      </c>
      <c r="Q268" s="2"/>
      <c r="R268" s="7">
        <f t="shared" si="94"/>
        <v>2.7133333939258008E-4</v>
      </c>
      <c r="S268" s="2"/>
      <c r="T268" s="6">
        <v>45500</v>
      </c>
      <c r="U268" s="2"/>
      <c r="V268" s="7">
        <f t="shared" si="95"/>
        <v>2.7611360927464359E-3</v>
      </c>
      <c r="W268" s="2"/>
      <c r="X268" s="6">
        <f t="shared" si="96"/>
        <v>-41133.050000000003</v>
      </c>
      <c r="Y268" s="2"/>
      <c r="Z268" s="7">
        <f t="shared" si="97"/>
        <v>-0.90402307692307704</v>
      </c>
    </row>
    <row r="269" spans="1:26" s="24" customFormat="1" hidden="1" outlineLevel="2" x14ac:dyDescent="0.25">
      <c r="A269" s="25"/>
      <c r="B269" s="11" t="str">
        <f>CONCATENATE("          ", "6254", " - ", "ROYALTY &amp; COMMISSIONS")</f>
        <v xml:space="preserve">          6254 - ROYALTY &amp; COMMISSIONS</v>
      </c>
      <c r="C269" s="11"/>
      <c r="D269" s="6">
        <v>8810.44</v>
      </c>
      <c r="E269" s="2"/>
      <c r="F269" s="7">
        <f t="shared" si="90"/>
        <v>3.341075392724368E-3</v>
      </c>
      <c r="G269" s="2"/>
      <c r="H269" s="6">
        <v>12700</v>
      </c>
      <c r="I269" s="2"/>
      <c r="J269" s="7">
        <f t="shared" si="91"/>
        <v>5.1728536301030251E-3</v>
      </c>
      <c r="K269" s="2"/>
      <c r="L269" s="6">
        <f t="shared" si="92"/>
        <v>-3889.5599999999995</v>
      </c>
      <c r="M269" s="2"/>
      <c r="N269" s="7">
        <f t="shared" si="93"/>
        <v>-0.30626456692913384</v>
      </c>
      <c r="O269" s="11"/>
      <c r="P269" s="6">
        <v>60961.29</v>
      </c>
      <c r="Q269" s="2"/>
      <c r="R269" s="7">
        <f t="shared" si="94"/>
        <v>3.7877306562657002E-3</v>
      </c>
      <c r="S269" s="2"/>
      <c r="T269" s="6">
        <v>63616.999999999993</v>
      </c>
      <c r="U269" s="2"/>
      <c r="V269" s="7">
        <f t="shared" si="95"/>
        <v>3.860553732137363E-3</v>
      </c>
      <c r="W269" s="2"/>
      <c r="X269" s="6">
        <f t="shared" si="96"/>
        <v>-2655.7099999999919</v>
      </c>
      <c r="Y269" s="2"/>
      <c r="Z269" s="7">
        <f t="shared" si="97"/>
        <v>-4.1745288209126367E-2</v>
      </c>
    </row>
    <row r="270" spans="1:26" s="24" customFormat="1" hidden="1" outlineLevel="2" x14ac:dyDescent="0.25">
      <c r="A270" s="25"/>
      <c r="B270" s="11" t="str">
        <f>CONCATENATE("          ", "6259", " - ", "ROYALTY &amp; COMMISSIONS")</f>
        <v xml:space="preserve">          6259 - ROYALTY &amp; COMMISSIONS</v>
      </c>
      <c r="C270" s="11"/>
      <c r="D270" s="6">
        <v>32016.940000000002</v>
      </c>
      <c r="E270" s="2"/>
      <c r="F270" s="7">
        <f t="shared" si="90"/>
        <v>1.2141392527993213E-2</v>
      </c>
      <c r="G270" s="2"/>
      <c r="H270" s="6">
        <v>16093</v>
      </c>
      <c r="I270" s="2"/>
      <c r="J270" s="7">
        <f t="shared" si="91"/>
        <v>6.5548609030903924E-3</v>
      </c>
      <c r="K270" s="2"/>
      <c r="L270" s="6">
        <f t="shared" si="92"/>
        <v>15923.940000000002</v>
      </c>
      <c r="M270" s="2"/>
      <c r="N270" s="7">
        <f t="shared" si="93"/>
        <v>0.98949481140868711</v>
      </c>
      <c r="O270" s="11"/>
      <c r="P270" s="6">
        <v>105600.56</v>
      </c>
      <c r="Q270" s="2"/>
      <c r="R270" s="7">
        <f t="shared" si="94"/>
        <v>6.5613191326959353E-3</v>
      </c>
      <c r="S270" s="2"/>
      <c r="T270" s="6">
        <v>87162</v>
      </c>
      <c r="U270" s="2"/>
      <c r="V270" s="7">
        <f t="shared" si="95"/>
        <v>5.2893658047464803E-3</v>
      </c>
      <c r="W270" s="2"/>
      <c r="X270" s="6">
        <f t="shared" si="96"/>
        <v>18438.559999999998</v>
      </c>
      <c r="Y270" s="2"/>
      <c r="Z270" s="7">
        <f t="shared" si="97"/>
        <v>0.21154356256166676</v>
      </c>
    </row>
    <row r="271" spans="1:26" s="26" customFormat="1" outlineLevel="1" collapsed="1" x14ac:dyDescent="0.25">
      <c r="A271" s="27"/>
      <c r="B271" s="13" t="str">
        <f>CONCATENATE("     ","Services                                          ")</f>
        <v xml:space="preserve">     Services                                          </v>
      </c>
      <c r="C271" s="13"/>
      <c r="D271" s="1">
        <f>SUM(OSRRefD22_20x_0)</f>
        <v>44379.14</v>
      </c>
      <c r="E271" s="1"/>
      <c r="F271" s="5">
        <f t="shared" ref="F271:F277" si="98">IF(D$12=0,0,D271/D$12)</f>
        <v>1.6829358420722425E-2</v>
      </c>
      <c r="G271" s="1"/>
      <c r="H271" s="1">
        <f>SUM(OSRRefH22_20x_0)</f>
        <v>46872.5</v>
      </c>
      <c r="I271" s="1"/>
      <c r="J271" s="5">
        <f t="shared" ref="J271:J277" si="99">IF(H$12=0,0,H271/H$12)</f>
        <v>1.9091699352520003E-2</v>
      </c>
      <c r="K271" s="1"/>
      <c r="L271" s="1">
        <f t="shared" ref="L271:L277" si="100">+D271-H271</f>
        <v>-2493.3600000000006</v>
      </c>
      <c r="M271" s="1"/>
      <c r="N271" s="5">
        <f t="shared" ref="N271:N277" si="101">IF(H271=0,0,L271/H271)</f>
        <v>-5.3194517040908863E-2</v>
      </c>
      <c r="O271" s="13"/>
      <c r="P271" s="1">
        <f>SUM(OSRRefP22_20x_0)</f>
        <v>229559.25</v>
      </c>
      <c r="Q271" s="1"/>
      <c r="R271" s="5">
        <f t="shared" ref="R271:R277" si="102">IF(P$12=0,0,P271/P$12)</f>
        <v>1.4263290830203263E-2</v>
      </c>
      <c r="S271" s="1"/>
      <c r="T271" s="1">
        <f>SUM(OSRRefT22_20x_0)</f>
        <v>231105.5</v>
      </c>
      <c r="U271" s="1"/>
      <c r="V271" s="5">
        <f t="shared" ref="V271:V277" si="103">IF(T$12=0,0,T271/T$12)</f>
        <v>1.4024477742466186E-2</v>
      </c>
      <c r="W271" s="1"/>
      <c r="X271" s="1">
        <f t="shared" ref="X271:X277" si="104">+P271-T271</f>
        <v>-1546.25</v>
      </c>
      <c r="Y271" s="1"/>
      <c r="Z271" s="5">
        <f t="shared" ref="Z271:Z277" si="105">IF(T271=0,0,X271/T271)</f>
        <v>-6.6906672493731219E-3</v>
      </c>
    </row>
    <row r="272" spans="1:26" s="24" customFormat="1" hidden="1" outlineLevel="2" x14ac:dyDescent="0.25">
      <c r="A272" s="25"/>
      <c r="B272" s="11" t="str">
        <f>CONCATENATE("          ", "6281", " - ", "STORAGE FEE")</f>
        <v xml:space="preserve">          6281 - STORAGE FEE</v>
      </c>
      <c r="C272" s="11"/>
      <c r="D272" s="6"/>
      <c r="E272" s="2"/>
      <c r="F272" s="7">
        <f t="shared" si="98"/>
        <v>0</v>
      </c>
      <c r="G272" s="2"/>
      <c r="H272" s="6"/>
      <c r="I272" s="2"/>
      <c r="J272" s="7">
        <f t="shared" si="99"/>
        <v>0</v>
      </c>
      <c r="K272" s="2"/>
      <c r="L272" s="6">
        <f t="shared" si="100"/>
        <v>0</v>
      </c>
      <c r="M272" s="2"/>
      <c r="N272" s="7">
        <f t="shared" si="101"/>
        <v>0</v>
      </c>
      <c r="O272" s="11"/>
      <c r="P272" s="6"/>
      <c r="Q272" s="2"/>
      <c r="R272" s="7">
        <f t="shared" si="102"/>
        <v>0</v>
      </c>
      <c r="S272" s="2"/>
      <c r="T272" s="6">
        <v>0</v>
      </c>
      <c r="U272" s="2"/>
      <c r="V272" s="7">
        <f t="shared" si="103"/>
        <v>0</v>
      </c>
      <c r="W272" s="2"/>
      <c r="X272" s="6">
        <f t="shared" si="104"/>
        <v>0</v>
      </c>
      <c r="Y272" s="2"/>
      <c r="Z272" s="7">
        <f t="shared" si="105"/>
        <v>0</v>
      </c>
    </row>
    <row r="273" spans="1:26" s="24" customFormat="1" hidden="1" outlineLevel="2" x14ac:dyDescent="0.25">
      <c r="A273" s="25"/>
      <c r="B273" s="11" t="str">
        <f>CONCATENATE("          ", "6282", " - ", "JANITORIAL/EXTERMINATOR EXPENS")</f>
        <v xml:space="preserve">          6282 - JANITORIAL/EXTERMINATOR EXPENS</v>
      </c>
      <c r="C273" s="11"/>
      <c r="D273" s="6">
        <v>3352.11</v>
      </c>
      <c r="E273" s="2"/>
      <c r="F273" s="7">
        <f t="shared" si="98"/>
        <v>1.2711796726049187E-3</v>
      </c>
      <c r="G273" s="2"/>
      <c r="H273" s="6">
        <v>3509</v>
      </c>
      <c r="I273" s="2"/>
      <c r="J273" s="7">
        <f t="shared" si="99"/>
        <v>1.4292553848843713E-3</v>
      </c>
      <c r="K273" s="2"/>
      <c r="L273" s="6">
        <f t="shared" si="100"/>
        <v>-156.88999999999987</v>
      </c>
      <c r="M273" s="2"/>
      <c r="N273" s="7">
        <f t="shared" si="101"/>
        <v>-4.4710743801652859E-2</v>
      </c>
      <c r="O273" s="11"/>
      <c r="P273" s="6">
        <v>18410.990000000002</v>
      </c>
      <c r="Q273" s="2"/>
      <c r="R273" s="7">
        <f t="shared" si="102"/>
        <v>1.1439369349828595E-3</v>
      </c>
      <c r="S273" s="2"/>
      <c r="T273" s="6">
        <v>17386</v>
      </c>
      <c r="U273" s="2"/>
      <c r="V273" s="7">
        <f t="shared" si="103"/>
        <v>1.055057408977792E-3</v>
      </c>
      <c r="W273" s="2"/>
      <c r="X273" s="6">
        <f t="shared" si="104"/>
        <v>1024.9900000000016</v>
      </c>
      <c r="Y273" s="2"/>
      <c r="Z273" s="7">
        <f t="shared" si="105"/>
        <v>5.8954906246405245E-2</v>
      </c>
    </row>
    <row r="274" spans="1:26" s="24" customFormat="1" hidden="1" outlineLevel="2" x14ac:dyDescent="0.25">
      <c r="A274" s="25"/>
      <c r="B274" s="11" t="str">
        <f>CONCATENATE("          ", "6283", " - ", "PLANT SERVICE")</f>
        <v xml:space="preserve">          6283 - PLANT SERVICE</v>
      </c>
      <c r="C274" s="11"/>
      <c r="D274" s="6">
        <v>199.78</v>
      </c>
      <c r="E274" s="2"/>
      <c r="F274" s="7">
        <f t="shared" si="98"/>
        <v>7.5760125709780008E-5</v>
      </c>
      <c r="G274" s="2"/>
      <c r="H274" s="6">
        <v>245</v>
      </c>
      <c r="I274" s="2"/>
      <c r="J274" s="7">
        <f t="shared" si="99"/>
        <v>9.9791270816948111E-5</v>
      </c>
      <c r="K274" s="2"/>
      <c r="L274" s="6">
        <f t="shared" si="100"/>
        <v>-45.22</v>
      </c>
      <c r="M274" s="2"/>
      <c r="N274" s="7">
        <f t="shared" si="101"/>
        <v>-0.18457142857142855</v>
      </c>
      <c r="O274" s="11"/>
      <c r="P274" s="6">
        <v>1341.1</v>
      </c>
      <c r="Q274" s="2"/>
      <c r="R274" s="7">
        <f t="shared" si="102"/>
        <v>8.3327068425191291E-5</v>
      </c>
      <c r="S274" s="2"/>
      <c r="T274" s="6">
        <v>1190</v>
      </c>
      <c r="U274" s="2"/>
      <c r="V274" s="7">
        <f t="shared" si="103"/>
        <v>7.2214328579522176E-5</v>
      </c>
      <c r="W274" s="2"/>
      <c r="X274" s="6">
        <f t="shared" si="104"/>
        <v>151.09999999999991</v>
      </c>
      <c r="Y274" s="2"/>
      <c r="Z274" s="7">
        <f t="shared" si="105"/>
        <v>0.12697478991596631</v>
      </c>
    </row>
    <row r="275" spans="1:26" s="24" customFormat="1" hidden="1" outlineLevel="2" x14ac:dyDescent="0.25">
      <c r="A275" s="25"/>
      <c r="B275" s="11" t="str">
        <f>CONCATENATE("          ", "6284", " - ", "TRASH REMOVAL EXPENSE")</f>
        <v xml:space="preserve">          6284 - TRASH REMOVAL EXPENSE</v>
      </c>
      <c r="C275" s="11"/>
      <c r="D275" s="6">
        <v>4570.82</v>
      </c>
      <c r="E275" s="2"/>
      <c r="F275" s="7">
        <f t="shared" si="98"/>
        <v>1.7333361587585174E-3</v>
      </c>
      <c r="G275" s="2"/>
      <c r="H275" s="6">
        <v>4277.5</v>
      </c>
      <c r="I275" s="2"/>
      <c r="J275" s="7">
        <f t="shared" si="99"/>
        <v>1.7422741262020228E-3</v>
      </c>
      <c r="K275" s="2"/>
      <c r="L275" s="6">
        <f t="shared" si="100"/>
        <v>293.31999999999971</v>
      </c>
      <c r="M275" s="2"/>
      <c r="N275" s="7">
        <f t="shared" si="101"/>
        <v>6.857276446522495E-2</v>
      </c>
      <c r="O275" s="11"/>
      <c r="P275" s="6">
        <v>14842.1</v>
      </c>
      <c r="Q275" s="2"/>
      <c r="R275" s="7">
        <f t="shared" si="102"/>
        <v>9.2218975637426879E-4</v>
      </c>
      <c r="S275" s="2"/>
      <c r="T275" s="6">
        <v>21337.5</v>
      </c>
      <c r="U275" s="2"/>
      <c r="V275" s="7">
        <f t="shared" si="103"/>
        <v>1.2948514588786173E-3</v>
      </c>
      <c r="W275" s="2"/>
      <c r="X275" s="6">
        <f t="shared" si="104"/>
        <v>-6495.4</v>
      </c>
      <c r="Y275" s="2"/>
      <c r="Z275" s="7">
        <f t="shared" si="105"/>
        <v>-0.30441241944932629</v>
      </c>
    </row>
    <row r="276" spans="1:26" s="24" customFormat="1" hidden="1" outlineLevel="2" x14ac:dyDescent="0.25">
      <c r="A276" s="25"/>
      <c r="B276" s="11" t="str">
        <f>CONCATENATE("          ", "6285", " - ", "JANITORIAL SERVICES")</f>
        <v xml:space="preserve">          6285 - JANITORIAL SERVICES</v>
      </c>
      <c r="C276" s="11"/>
      <c r="D276" s="6">
        <v>28975.550000000003</v>
      </c>
      <c r="E276" s="2"/>
      <c r="F276" s="7">
        <f t="shared" si="98"/>
        <v>1.0988043400290401E-2</v>
      </c>
      <c r="G276" s="2"/>
      <c r="H276" s="6">
        <v>29363</v>
      </c>
      <c r="I276" s="2"/>
      <c r="J276" s="7">
        <f t="shared" si="99"/>
        <v>1.1959881979583867E-2</v>
      </c>
      <c r="K276" s="2"/>
      <c r="L276" s="6">
        <f t="shared" si="100"/>
        <v>-387.44999999999709</v>
      </c>
      <c r="M276" s="2"/>
      <c r="N276" s="7">
        <f t="shared" si="101"/>
        <v>-1.319517760446811E-2</v>
      </c>
      <c r="O276" s="11"/>
      <c r="P276" s="6">
        <v>149818.35</v>
      </c>
      <c r="Q276" s="2"/>
      <c r="R276" s="7">
        <f t="shared" si="102"/>
        <v>9.3087196344786068E-3</v>
      </c>
      <c r="S276" s="2"/>
      <c r="T276" s="6">
        <v>147843</v>
      </c>
      <c r="U276" s="2"/>
      <c r="V276" s="7">
        <f t="shared" si="103"/>
        <v>8.9717504035145348E-3</v>
      </c>
      <c r="W276" s="2"/>
      <c r="X276" s="6">
        <f t="shared" si="104"/>
        <v>1975.3500000000058</v>
      </c>
      <c r="Y276" s="2"/>
      <c r="Z276" s="7">
        <f t="shared" si="105"/>
        <v>1.3361133093890179E-2</v>
      </c>
    </row>
    <row r="277" spans="1:26" s="24" customFormat="1" hidden="1" outlineLevel="2" x14ac:dyDescent="0.25">
      <c r="A277" s="25"/>
      <c r="B277" s="11" t="str">
        <f>CONCATENATE("          ", "6286", " - ", "LAUNDRY EXPENSE")</f>
        <v xml:space="preserve">          6286 - LAUNDRY EXPENSE</v>
      </c>
      <c r="C277" s="11"/>
      <c r="D277" s="6">
        <v>7280.88</v>
      </c>
      <c r="E277" s="2"/>
      <c r="F277" s="7">
        <f t="shared" si="98"/>
        <v>2.7610390633588102E-3</v>
      </c>
      <c r="G277" s="2"/>
      <c r="H277" s="6">
        <v>9478</v>
      </c>
      <c r="I277" s="2"/>
      <c r="J277" s="7">
        <f t="shared" si="99"/>
        <v>3.8604965910327927E-3</v>
      </c>
      <c r="K277" s="2"/>
      <c r="L277" s="6">
        <f t="shared" si="100"/>
        <v>-2197.12</v>
      </c>
      <c r="M277" s="2"/>
      <c r="N277" s="7">
        <f t="shared" si="101"/>
        <v>-0.2318126186959274</v>
      </c>
      <c r="O277" s="11"/>
      <c r="P277" s="6">
        <v>45146.71</v>
      </c>
      <c r="Q277" s="2"/>
      <c r="R277" s="7">
        <f t="shared" si="102"/>
        <v>2.8051174359423371E-3</v>
      </c>
      <c r="S277" s="2"/>
      <c r="T277" s="6">
        <v>43349</v>
      </c>
      <c r="U277" s="2"/>
      <c r="V277" s="7">
        <f t="shared" si="103"/>
        <v>2.6306041425157201E-3</v>
      </c>
      <c r="W277" s="2"/>
      <c r="X277" s="6">
        <f t="shared" si="104"/>
        <v>1797.7099999999991</v>
      </c>
      <c r="Y277" s="2"/>
      <c r="Z277" s="7">
        <f t="shared" si="105"/>
        <v>4.1470622159680712E-2</v>
      </c>
    </row>
    <row r="278" spans="1:26" s="26" customFormat="1" outlineLevel="1" collapsed="1" x14ac:dyDescent="0.25">
      <c r="A278" s="27"/>
      <c r="B278" s="13" t="str">
        <f>CONCATENATE("     ","Subscriptions &amp; Dues                              ")</f>
        <v xml:space="preserve">     Subscriptions &amp; Dues                              </v>
      </c>
      <c r="C278" s="13"/>
      <c r="D278" s="1">
        <f>SUM(OSRRefD22_21x_0)</f>
        <v>630.14</v>
      </c>
      <c r="E278" s="1"/>
      <c r="F278" s="5">
        <f t="shared" ref="F278:F280" si="106">IF(D$12=0,0,D278/D$12)</f>
        <v>2.3896028438662916E-4</v>
      </c>
      <c r="G278" s="1"/>
      <c r="H278" s="1">
        <f>SUM(OSRRefH22_21x_0)</f>
        <v>3314</v>
      </c>
      <c r="I278" s="1"/>
      <c r="J278" s="5">
        <f t="shared" ref="J278:J280" si="107">IF(H$12=0,0,H278/H$12)</f>
        <v>1.3498296795402696E-3</v>
      </c>
      <c r="K278" s="1"/>
      <c r="L278" s="1">
        <f t="shared" ref="L278:L280" si="108">+D278-H278</f>
        <v>-2683.86</v>
      </c>
      <c r="M278" s="1"/>
      <c r="N278" s="5">
        <f t="shared" ref="N278:N280" si="109">IF(H278=0,0,L278/H278)</f>
        <v>-0.80985515992757995</v>
      </c>
      <c r="O278" s="13"/>
      <c r="P278" s="1">
        <f>SUM(OSRRefP22_21x_0)</f>
        <v>74.539999999999964</v>
      </c>
      <c r="Q278" s="1"/>
      <c r="R278" s="5">
        <f t="shared" ref="R278:R280" si="110">IF(P$12=0,0,P278/P$12)</f>
        <v>4.6314217287404045E-6</v>
      </c>
      <c r="S278" s="1"/>
      <c r="T278" s="1">
        <f>SUM(OSRRefT22_21x_0)</f>
        <v>12215</v>
      </c>
      <c r="U278" s="1"/>
      <c r="V278" s="5">
        <f t="shared" ref="V278:V280" si="111">IF(T$12=0,0,T278/T$12)</f>
        <v>7.412588433603894E-4</v>
      </c>
      <c r="W278" s="1"/>
      <c r="X278" s="1">
        <f t="shared" ref="X278:X280" si="112">+P278-T278</f>
        <v>-12140.46</v>
      </c>
      <c r="Y278" s="1"/>
      <c r="Z278" s="5">
        <f t="shared" ref="Z278:Z280" si="113">IF(T278=0,0,X278/T278)</f>
        <v>-0.99389766680311087</v>
      </c>
    </row>
    <row r="279" spans="1:26" s="24" customFormat="1" hidden="1" outlineLevel="2" x14ac:dyDescent="0.25">
      <c r="A279" s="25"/>
      <c r="B279" s="11" t="str">
        <f>CONCATENATE("          ", "6258", " - ", "MEMBERSHIP DUES")</f>
        <v xml:space="preserve">          6258 - MEMBERSHIP DUES</v>
      </c>
      <c r="C279" s="11"/>
      <c r="D279" s="6">
        <v>250</v>
      </c>
      <c r="E279" s="2"/>
      <c r="F279" s="7">
        <f t="shared" si="106"/>
        <v>9.480444202345081E-5</v>
      </c>
      <c r="G279" s="2"/>
      <c r="H279" s="6">
        <v>2700</v>
      </c>
      <c r="I279" s="2"/>
      <c r="J279" s="7">
        <f t="shared" si="107"/>
        <v>1.099740535533714E-3</v>
      </c>
      <c r="K279" s="2"/>
      <c r="L279" s="6">
        <f t="shared" si="108"/>
        <v>-2450</v>
      </c>
      <c r="M279" s="2"/>
      <c r="N279" s="7">
        <f t="shared" si="109"/>
        <v>-0.90740740740740744</v>
      </c>
      <c r="O279" s="11"/>
      <c r="P279" s="6">
        <v>-3572.6</v>
      </c>
      <c r="Q279" s="2"/>
      <c r="R279" s="7">
        <f t="shared" si="110"/>
        <v>-2.2197769342766269E-4</v>
      </c>
      <c r="S279" s="2"/>
      <c r="T279" s="6">
        <v>7195</v>
      </c>
      <c r="U279" s="2"/>
      <c r="V279" s="7">
        <f t="shared" si="111"/>
        <v>4.3662360851232107E-4</v>
      </c>
      <c r="W279" s="2"/>
      <c r="X279" s="6">
        <f t="shared" si="112"/>
        <v>-10767.6</v>
      </c>
      <c r="Y279" s="2"/>
      <c r="Z279" s="7">
        <f t="shared" si="113"/>
        <v>-1.4965392633773453</v>
      </c>
    </row>
    <row r="280" spans="1:26" s="24" customFormat="1" hidden="1" outlineLevel="2" x14ac:dyDescent="0.25">
      <c r="A280" s="25"/>
      <c r="B280" s="11" t="str">
        <f>CONCATENATE("          ", "6275", " - ", "SUBSCRIPTIONS")</f>
        <v xml:space="preserve">          6275 - SUBSCRIPTIONS</v>
      </c>
      <c r="C280" s="11"/>
      <c r="D280" s="6">
        <v>380.14</v>
      </c>
      <c r="E280" s="2"/>
      <c r="F280" s="7">
        <f t="shared" si="106"/>
        <v>1.4415584236317835E-4</v>
      </c>
      <c r="G280" s="2"/>
      <c r="H280" s="6">
        <v>614</v>
      </c>
      <c r="I280" s="2"/>
      <c r="J280" s="7">
        <f t="shared" si="107"/>
        <v>2.500891440065557E-4</v>
      </c>
      <c r="K280" s="2"/>
      <c r="L280" s="6">
        <f t="shared" si="108"/>
        <v>-233.86</v>
      </c>
      <c r="M280" s="2"/>
      <c r="N280" s="7">
        <f t="shared" si="109"/>
        <v>-0.38087947882736156</v>
      </c>
      <c r="O280" s="11"/>
      <c r="P280" s="6">
        <v>3647.14</v>
      </c>
      <c r="Q280" s="2"/>
      <c r="R280" s="7">
        <f t="shared" si="110"/>
        <v>2.2660911515640309E-4</v>
      </c>
      <c r="S280" s="2"/>
      <c r="T280" s="6">
        <v>5020</v>
      </c>
      <c r="U280" s="2"/>
      <c r="V280" s="7">
        <f t="shared" si="111"/>
        <v>3.0463523484806833E-4</v>
      </c>
      <c r="W280" s="2"/>
      <c r="X280" s="6">
        <f t="shared" si="112"/>
        <v>-1372.8600000000001</v>
      </c>
      <c r="Y280" s="2"/>
      <c r="Z280" s="7">
        <f t="shared" si="113"/>
        <v>-0.2734780876494024</v>
      </c>
    </row>
    <row r="281" spans="1:26" s="26" customFormat="1" outlineLevel="1" collapsed="1" x14ac:dyDescent="0.25">
      <c r="A281" s="27"/>
      <c r="B281" s="13" t="str">
        <f>CONCATENATE("     ","Supplies                                          ")</f>
        <v xml:space="preserve">     Supplies                                          </v>
      </c>
      <c r="C281" s="13"/>
      <c r="D281" s="1">
        <f>SUM(OSRRefD22_22x_0)</f>
        <v>40617.73000000001</v>
      </c>
      <c r="E281" s="1"/>
      <c r="F281" s="5">
        <f t="shared" ref="F281:F291" si="114">IF(D$12=0,0,D281/D$12)</f>
        <v>1.5402964915636717E-2</v>
      </c>
      <c r="G281" s="1"/>
      <c r="H281" s="1">
        <f>SUM(OSRRefH22_22x_0)</f>
        <v>54901.240000000005</v>
      </c>
      <c r="I281" s="1"/>
      <c r="J281" s="5">
        <f t="shared" ref="J281:J291" si="115">IF(H$12=0,0,H281/H$12)</f>
        <v>2.2361895955209245E-2</v>
      </c>
      <c r="K281" s="1"/>
      <c r="L281" s="1">
        <f t="shared" ref="L281:L291" si="116">+D281-H281</f>
        <v>-14283.509999999995</v>
      </c>
      <c r="M281" s="1"/>
      <c r="N281" s="5">
        <f t="shared" ref="N281:N291" si="117">IF(H281=0,0,L281/H281)</f>
        <v>-0.26016734776846556</v>
      </c>
      <c r="O281" s="13"/>
      <c r="P281" s="1">
        <f>SUM(OSRRefP22_22x_0)</f>
        <v>327445.94000000006</v>
      </c>
      <c r="Q281" s="1"/>
      <c r="R281" s="5">
        <f t="shared" ref="R281:R291" si="118">IF(P$12=0,0,P281/P$12)</f>
        <v>2.0345321190016471E-2</v>
      </c>
      <c r="S281" s="1"/>
      <c r="T281" s="1">
        <f>SUM(OSRRefT22_22x_0)</f>
        <v>331679.33999999997</v>
      </c>
      <c r="U281" s="1"/>
      <c r="V281" s="5">
        <f t="shared" ref="V281:V291" si="119">IF(T$12=0,0,T281/T$12)</f>
        <v>2.0127731799831135E-2</v>
      </c>
      <c r="W281" s="1"/>
      <c r="X281" s="1">
        <f t="shared" ref="X281:X291" si="120">+P281-T281</f>
        <v>-4233.3999999999069</v>
      </c>
      <c r="Y281" s="1"/>
      <c r="Z281" s="5">
        <f t="shared" ref="Z281:Z291" si="121">IF(T281=0,0,X281/T281)</f>
        <v>-1.2763532392460463E-2</v>
      </c>
    </row>
    <row r="282" spans="1:26" s="24" customFormat="1" hidden="1" outlineLevel="2" x14ac:dyDescent="0.25">
      <c r="A282" s="25"/>
      <c r="B282" s="11" t="str">
        <f>CONCATENATE("          ", "6234", " - ", "EXPENDABLE SUPPLIES &amp; EQUIPMEN")</f>
        <v xml:space="preserve">          6234 - EXPENDABLE SUPPLIES &amp; EQUIPMEN</v>
      </c>
      <c r="C282" s="11"/>
      <c r="D282" s="6">
        <v>690.7</v>
      </c>
      <c r="E282" s="2"/>
      <c r="F282" s="7">
        <f t="shared" si="114"/>
        <v>2.6192571242238989E-4</v>
      </c>
      <c r="G282" s="2"/>
      <c r="H282" s="6">
        <v>8200</v>
      </c>
      <c r="I282" s="2"/>
      <c r="J282" s="7">
        <f t="shared" si="115"/>
        <v>3.339952737546835E-3</v>
      </c>
      <c r="K282" s="2"/>
      <c r="L282" s="6">
        <f t="shared" si="116"/>
        <v>-7509.3</v>
      </c>
      <c r="M282" s="2"/>
      <c r="N282" s="7">
        <f t="shared" si="117"/>
        <v>-0.91576829268292681</v>
      </c>
      <c r="O282" s="11"/>
      <c r="P282" s="6">
        <v>15631.2</v>
      </c>
      <c r="Q282" s="2"/>
      <c r="R282" s="7">
        <f t="shared" si="118"/>
        <v>9.7121920212351828E-4</v>
      </c>
      <c r="S282" s="2"/>
      <c r="T282" s="6">
        <v>45200</v>
      </c>
      <c r="U282" s="2"/>
      <c r="V282" s="7">
        <f t="shared" si="119"/>
        <v>2.7429307998272289E-3</v>
      </c>
      <c r="W282" s="2"/>
      <c r="X282" s="6">
        <f t="shared" si="120"/>
        <v>-29568.799999999999</v>
      </c>
      <c r="Y282" s="2"/>
      <c r="Z282" s="7">
        <f t="shared" si="121"/>
        <v>-0.65417699115044248</v>
      </c>
    </row>
    <row r="283" spans="1:26" s="24" customFormat="1" hidden="1" outlineLevel="2" x14ac:dyDescent="0.25">
      <c r="A283" s="25"/>
      <c r="B283" s="11" t="str">
        <f>CONCATENATE("          ", "6237", " - ", "JANITORIAL SUPPLIES")</f>
        <v xml:space="preserve">          6237 - JANITORIAL SUPPLIES</v>
      </c>
      <c r="C283" s="11"/>
      <c r="D283" s="6">
        <v>14764.729999999998</v>
      </c>
      <c r="E283" s="2"/>
      <c r="F283" s="7">
        <f t="shared" si="114"/>
        <v>5.5990479571076182E-3</v>
      </c>
      <c r="G283" s="2"/>
      <c r="H283" s="6">
        <v>13551</v>
      </c>
      <c r="I283" s="2"/>
      <c r="J283" s="7">
        <f t="shared" si="115"/>
        <v>5.5194755544508735E-3</v>
      </c>
      <c r="K283" s="2"/>
      <c r="L283" s="6">
        <f t="shared" si="116"/>
        <v>1213.7299999999977</v>
      </c>
      <c r="M283" s="2"/>
      <c r="N283" s="7">
        <f t="shared" si="117"/>
        <v>8.9567559589698018E-2</v>
      </c>
      <c r="O283" s="11"/>
      <c r="P283" s="6">
        <v>75283.090000000011</v>
      </c>
      <c r="Q283" s="2"/>
      <c r="R283" s="7">
        <f t="shared" si="118"/>
        <v>4.6775924179329178E-3</v>
      </c>
      <c r="S283" s="2"/>
      <c r="T283" s="6">
        <v>70330</v>
      </c>
      <c r="U283" s="2"/>
      <c r="V283" s="7">
        <f t="shared" si="119"/>
        <v>4.2679275033594916E-3</v>
      </c>
      <c r="W283" s="2"/>
      <c r="X283" s="6">
        <f t="shared" si="120"/>
        <v>4953.0900000000111</v>
      </c>
      <c r="Y283" s="2"/>
      <c r="Z283" s="7">
        <f t="shared" si="121"/>
        <v>7.0426418313664307E-2</v>
      </c>
    </row>
    <row r="284" spans="1:26" s="24" customFormat="1" hidden="1" outlineLevel="2" x14ac:dyDescent="0.25">
      <c r="A284" s="25"/>
      <c r="B284" s="11" t="str">
        <f>CONCATENATE("          ", "6239", " - ", "KITCHEN SUPPLIES")</f>
        <v xml:space="preserve">          6239 - KITCHEN SUPPLIES</v>
      </c>
      <c r="C284" s="11"/>
      <c r="D284" s="6">
        <v>4934.26</v>
      </c>
      <c r="E284" s="2"/>
      <c r="F284" s="7">
        <f t="shared" si="114"/>
        <v>1.8711590643945295E-3</v>
      </c>
      <c r="G284" s="2"/>
      <c r="H284" s="6">
        <v>4042.95</v>
      </c>
      <c r="I284" s="2"/>
      <c r="J284" s="7">
        <f t="shared" si="115"/>
        <v>1.6467392585688995E-3</v>
      </c>
      <c r="K284" s="2"/>
      <c r="L284" s="6">
        <f t="shared" si="116"/>
        <v>891.3100000000004</v>
      </c>
      <c r="M284" s="2"/>
      <c r="N284" s="7">
        <f t="shared" si="117"/>
        <v>0.22046030744876896</v>
      </c>
      <c r="O284" s="11"/>
      <c r="P284" s="6">
        <v>51806.23</v>
      </c>
      <c r="Q284" s="2"/>
      <c r="R284" s="7">
        <f t="shared" si="118"/>
        <v>3.2188958855127871E-3</v>
      </c>
      <c r="S284" s="2"/>
      <c r="T284" s="6">
        <v>40327.71</v>
      </c>
      <c r="U284" s="2"/>
      <c r="V284" s="7">
        <f t="shared" si="119"/>
        <v>2.4472592443694806E-3</v>
      </c>
      <c r="W284" s="2"/>
      <c r="X284" s="6">
        <f t="shared" si="120"/>
        <v>11478.520000000004</v>
      </c>
      <c r="Y284" s="2"/>
      <c r="Z284" s="7">
        <f t="shared" si="121"/>
        <v>0.28463108864847531</v>
      </c>
    </row>
    <row r="285" spans="1:26" s="24" customFormat="1" hidden="1" outlineLevel="2" x14ac:dyDescent="0.25">
      <c r="A285" s="25"/>
      <c r="B285" s="11" t="str">
        <f>CONCATENATE("          ", "6241", " - ", "OFFICE EXPENSE")</f>
        <v xml:space="preserve">          6241 - OFFICE EXPENSE</v>
      </c>
      <c r="C285" s="11"/>
      <c r="D285" s="6">
        <v>6264.1</v>
      </c>
      <c r="E285" s="2"/>
      <c r="F285" s="7">
        <f t="shared" si="114"/>
        <v>2.3754580211163929E-3</v>
      </c>
      <c r="G285" s="2"/>
      <c r="H285" s="6">
        <v>3344</v>
      </c>
      <c r="I285" s="2"/>
      <c r="J285" s="7">
        <f t="shared" si="115"/>
        <v>1.3620490188239775E-3</v>
      </c>
      <c r="K285" s="2"/>
      <c r="L285" s="6">
        <f t="shared" si="116"/>
        <v>2920.1000000000004</v>
      </c>
      <c r="M285" s="2"/>
      <c r="N285" s="7">
        <f t="shared" si="117"/>
        <v>0.8732356459330145</v>
      </c>
      <c r="O285" s="11"/>
      <c r="P285" s="6">
        <v>74030.12</v>
      </c>
      <c r="Q285" s="2"/>
      <c r="R285" s="7">
        <f t="shared" si="118"/>
        <v>4.5997411637947374E-3</v>
      </c>
      <c r="S285" s="2"/>
      <c r="T285" s="6">
        <v>18857.25</v>
      </c>
      <c r="U285" s="2"/>
      <c r="V285" s="7">
        <f t="shared" si="119"/>
        <v>1.1443391996690711E-3</v>
      </c>
      <c r="W285" s="2"/>
      <c r="X285" s="6">
        <f t="shared" si="120"/>
        <v>55172.869999999995</v>
      </c>
      <c r="Y285" s="2"/>
      <c r="Z285" s="7">
        <f t="shared" si="121"/>
        <v>2.925817391189065</v>
      </c>
    </row>
    <row r="286" spans="1:26" s="24" customFormat="1" hidden="1" outlineLevel="2" x14ac:dyDescent="0.25">
      <c r="A286" s="25"/>
      <c r="B286" s="11" t="str">
        <f>CONCATENATE("          ", "6243", " - ", "PAPER SUPPLIES")</f>
        <v xml:space="preserve">          6243 - PAPER SUPPLIES</v>
      </c>
      <c r="C286" s="11"/>
      <c r="D286" s="6">
        <v>9102.98</v>
      </c>
      <c r="E286" s="2"/>
      <c r="F286" s="7">
        <f t="shared" si="114"/>
        <v>3.4520117586025285E-3</v>
      </c>
      <c r="G286" s="2"/>
      <c r="H286" s="6">
        <v>10738.52</v>
      </c>
      <c r="I286" s="2"/>
      <c r="J286" s="7">
        <f t="shared" si="115"/>
        <v>4.3739206428294441E-3</v>
      </c>
      <c r="K286" s="2"/>
      <c r="L286" s="6">
        <f t="shared" si="116"/>
        <v>-1635.5400000000009</v>
      </c>
      <c r="M286" s="2"/>
      <c r="N286" s="7">
        <f t="shared" si="117"/>
        <v>-0.15230590435181018</v>
      </c>
      <c r="O286" s="11"/>
      <c r="P286" s="6">
        <v>59433.219999999994</v>
      </c>
      <c r="Q286" s="2"/>
      <c r="R286" s="7">
        <f t="shared" si="118"/>
        <v>3.6927865108265213E-3</v>
      </c>
      <c r="S286" s="2"/>
      <c r="T286" s="6">
        <v>54425.52</v>
      </c>
      <c r="U286" s="2"/>
      <c r="V286" s="7">
        <f t="shared" si="119"/>
        <v>3.3027751129339122E-3</v>
      </c>
      <c r="W286" s="2"/>
      <c r="X286" s="6">
        <f t="shared" si="120"/>
        <v>5007.6999999999971</v>
      </c>
      <c r="Y286" s="2"/>
      <c r="Z286" s="7">
        <f t="shared" si="121"/>
        <v>9.2010145240688512E-2</v>
      </c>
    </row>
    <row r="287" spans="1:26" s="24" customFormat="1" hidden="1" outlineLevel="2" x14ac:dyDescent="0.25">
      <c r="A287" s="25"/>
      <c r="B287" s="11" t="str">
        <f>CONCATENATE("          ", "6244", " - ", "SAFETY SUPPLY EXPENSE")</f>
        <v xml:space="preserve">          6244 - SAFETY SUPPLY EXPENSE</v>
      </c>
      <c r="C287" s="11"/>
      <c r="D287" s="6"/>
      <c r="E287" s="2"/>
      <c r="F287" s="7">
        <f t="shared" si="114"/>
        <v>0</v>
      </c>
      <c r="G287" s="2"/>
      <c r="H287" s="6">
        <v>235</v>
      </c>
      <c r="I287" s="2"/>
      <c r="J287" s="7">
        <f t="shared" si="115"/>
        <v>9.5718157722378812E-5</v>
      </c>
      <c r="K287" s="2"/>
      <c r="L287" s="6">
        <f t="shared" si="116"/>
        <v>-235</v>
      </c>
      <c r="M287" s="2"/>
      <c r="N287" s="7">
        <f t="shared" si="117"/>
        <v>-1</v>
      </c>
      <c r="O287" s="11"/>
      <c r="P287" s="6"/>
      <c r="Q287" s="2"/>
      <c r="R287" s="7">
        <f t="shared" si="118"/>
        <v>0</v>
      </c>
      <c r="S287" s="2"/>
      <c r="T287" s="6">
        <v>1205</v>
      </c>
      <c r="U287" s="2"/>
      <c r="V287" s="7">
        <f t="shared" si="119"/>
        <v>7.3124593225482544E-5</v>
      </c>
      <c r="W287" s="2"/>
      <c r="X287" s="6">
        <f t="shared" si="120"/>
        <v>-1205</v>
      </c>
      <c r="Y287" s="2"/>
      <c r="Z287" s="7">
        <f t="shared" si="121"/>
        <v>-1</v>
      </c>
    </row>
    <row r="288" spans="1:26" s="24" customFormat="1" hidden="1" outlineLevel="2" x14ac:dyDescent="0.25">
      <c r="A288" s="25"/>
      <c r="B288" s="11" t="str">
        <f>CONCATENATE("          ", "6245", " - ", "PRINTING")</f>
        <v xml:space="preserve">          6245 - PRINTING</v>
      </c>
      <c r="C288" s="11"/>
      <c r="D288" s="6">
        <v>-348.77</v>
      </c>
      <c r="E288" s="2"/>
      <c r="F288" s="7">
        <f t="shared" si="114"/>
        <v>-1.3225978097807574E-4</v>
      </c>
      <c r="G288" s="2"/>
      <c r="H288" s="6">
        <v>810</v>
      </c>
      <c r="I288" s="2"/>
      <c r="J288" s="7">
        <f t="shared" si="115"/>
        <v>3.2992216066011419E-4</v>
      </c>
      <c r="K288" s="2"/>
      <c r="L288" s="6">
        <f t="shared" si="116"/>
        <v>-1158.77</v>
      </c>
      <c r="M288" s="2"/>
      <c r="N288" s="7">
        <f t="shared" si="117"/>
        <v>-1.4305802469135802</v>
      </c>
      <c r="O288" s="11"/>
      <c r="P288" s="6">
        <v>6669.96</v>
      </c>
      <c r="Q288" s="2"/>
      <c r="R288" s="7">
        <f t="shared" si="118"/>
        <v>4.1442712199932067E-4</v>
      </c>
      <c r="S288" s="2"/>
      <c r="T288" s="6">
        <v>2990</v>
      </c>
      <c r="U288" s="2"/>
      <c r="V288" s="7">
        <f t="shared" si="119"/>
        <v>1.8144608609476579E-4</v>
      </c>
      <c r="W288" s="2"/>
      <c r="X288" s="6">
        <f t="shared" si="120"/>
        <v>3679.96</v>
      </c>
      <c r="Y288" s="2"/>
      <c r="Z288" s="7">
        <f t="shared" si="121"/>
        <v>1.2307558528428093</v>
      </c>
    </row>
    <row r="289" spans="1:26" s="24" customFormat="1" hidden="1" outlineLevel="2" x14ac:dyDescent="0.25">
      <c r="A289" s="25"/>
      <c r="B289" s="11" t="str">
        <f>CONCATENATE("          ", "6246", " - ", "REPLACEMENTS")</f>
        <v xml:space="preserve">          6246 - REPLACEMENTS</v>
      </c>
      <c r="C289" s="11"/>
      <c r="D289" s="6"/>
      <c r="E289" s="2"/>
      <c r="F289" s="7">
        <f t="shared" si="114"/>
        <v>0</v>
      </c>
      <c r="G289" s="2"/>
      <c r="H289" s="6"/>
      <c r="I289" s="2"/>
      <c r="J289" s="7">
        <f t="shared" si="115"/>
        <v>0</v>
      </c>
      <c r="K289" s="2"/>
      <c r="L289" s="6">
        <f t="shared" si="116"/>
        <v>0</v>
      </c>
      <c r="M289" s="2"/>
      <c r="N289" s="7">
        <f t="shared" si="117"/>
        <v>0</v>
      </c>
      <c r="O289" s="11"/>
      <c r="P289" s="6"/>
      <c r="Q289" s="2"/>
      <c r="R289" s="7">
        <f t="shared" si="118"/>
        <v>0</v>
      </c>
      <c r="S289" s="2"/>
      <c r="T289" s="6">
        <v>2400</v>
      </c>
      <c r="U289" s="2"/>
      <c r="V289" s="7">
        <f t="shared" si="119"/>
        <v>1.4564234335365817E-4</v>
      </c>
      <c r="W289" s="2"/>
      <c r="X289" s="6">
        <f t="shared" si="120"/>
        <v>-2400</v>
      </c>
      <c r="Y289" s="2"/>
      <c r="Z289" s="7">
        <f t="shared" si="121"/>
        <v>-1</v>
      </c>
    </row>
    <row r="290" spans="1:26" s="24" customFormat="1" hidden="1" outlineLevel="2" x14ac:dyDescent="0.25">
      <c r="A290" s="25"/>
      <c r="B290" s="11" t="str">
        <f>CONCATENATE("          ", "6247", " - ", "STORE SUPPLIES")</f>
        <v xml:space="preserve">          6247 - STORE SUPPLIES</v>
      </c>
      <c r="C290" s="11"/>
      <c r="D290" s="6">
        <v>4388.82</v>
      </c>
      <c r="E290" s="2"/>
      <c r="F290" s="7">
        <f t="shared" si="114"/>
        <v>1.6643185249654454E-3</v>
      </c>
      <c r="G290" s="2"/>
      <c r="H290" s="6">
        <v>11854.77</v>
      </c>
      <c r="I290" s="2"/>
      <c r="J290" s="7">
        <f t="shared" si="115"/>
        <v>4.8285818920107432E-3</v>
      </c>
      <c r="K290" s="2"/>
      <c r="L290" s="6">
        <f t="shared" si="116"/>
        <v>-7465.9500000000007</v>
      </c>
      <c r="M290" s="2"/>
      <c r="N290" s="7">
        <f t="shared" si="117"/>
        <v>-0.6297844665058876</v>
      </c>
      <c r="O290" s="11"/>
      <c r="P290" s="6">
        <v>44743.72</v>
      </c>
      <c r="Q290" s="2"/>
      <c r="R290" s="7">
        <f t="shared" si="118"/>
        <v>2.7800783073876675E-3</v>
      </c>
      <c r="S290" s="2"/>
      <c r="T290" s="6">
        <v>74918.86</v>
      </c>
      <c r="U290" s="2"/>
      <c r="V290" s="7">
        <f t="shared" si="119"/>
        <v>4.5463993049102694E-3</v>
      </c>
      <c r="W290" s="2"/>
      <c r="X290" s="6">
        <f t="shared" si="120"/>
        <v>-30175.14</v>
      </c>
      <c r="Y290" s="2"/>
      <c r="Z290" s="7">
        <f t="shared" si="121"/>
        <v>-0.40277094445911216</v>
      </c>
    </row>
    <row r="291" spans="1:26" s="24" customFormat="1" hidden="1" outlineLevel="2" x14ac:dyDescent="0.25">
      <c r="A291" s="25"/>
      <c r="B291" s="11" t="str">
        <f>CONCATENATE("          ", "6248", " - ", "UNIFORMS")</f>
        <v xml:space="preserve">          6248 - UNIFORMS</v>
      </c>
      <c r="C291" s="11"/>
      <c r="D291" s="6">
        <v>820.91</v>
      </c>
      <c r="E291" s="2"/>
      <c r="F291" s="7">
        <f t="shared" si="114"/>
        <v>3.1130365800588402E-4</v>
      </c>
      <c r="G291" s="2"/>
      <c r="H291" s="6">
        <v>2125</v>
      </c>
      <c r="I291" s="2"/>
      <c r="J291" s="7">
        <f t="shared" si="115"/>
        <v>8.6553653259597858E-4</v>
      </c>
      <c r="K291" s="2"/>
      <c r="L291" s="6">
        <f t="shared" si="116"/>
        <v>-1304.0900000000001</v>
      </c>
      <c r="M291" s="2"/>
      <c r="N291" s="7">
        <f t="shared" si="117"/>
        <v>-0.61368941176470593</v>
      </c>
      <c r="O291" s="11"/>
      <c r="P291" s="6">
        <v>-151.6</v>
      </c>
      <c r="Q291" s="2"/>
      <c r="R291" s="7">
        <f t="shared" si="118"/>
        <v>-9.4194195610014172E-6</v>
      </c>
      <c r="S291" s="2"/>
      <c r="T291" s="6">
        <v>21025</v>
      </c>
      <c r="U291" s="2"/>
      <c r="V291" s="7">
        <f t="shared" si="119"/>
        <v>1.2758876120877764E-3</v>
      </c>
      <c r="W291" s="2"/>
      <c r="X291" s="6">
        <f t="shared" si="120"/>
        <v>-21176.6</v>
      </c>
      <c r="Y291" s="2"/>
      <c r="Z291" s="7">
        <f t="shared" si="121"/>
        <v>-1.0072104637336503</v>
      </c>
    </row>
    <row r="292" spans="1:26" s="26" customFormat="1" outlineLevel="1" collapsed="1" x14ac:dyDescent="0.25">
      <c r="A292" s="27"/>
      <c r="B292" s="13" t="str">
        <f>CONCATENATE("     ","Telephone/Data Lines                              ")</f>
        <v xml:space="preserve">     Telephone/Data Lines                              </v>
      </c>
      <c r="C292" s="13"/>
      <c r="D292" s="1">
        <f>SUM(OSRRefD22_23x_0)</f>
        <v>5340.43</v>
      </c>
      <c r="E292" s="1"/>
      <c r="F292" s="5">
        <f t="shared" ref="F292:F294" si="122">IF(D$12=0,0,D292/D$12)</f>
        <v>2.0251859452611897E-3</v>
      </c>
      <c r="G292" s="1"/>
      <c r="H292" s="1">
        <f>SUM(OSRRefH22_23x_0)</f>
        <v>6414</v>
      </c>
      <c r="I292" s="1"/>
      <c r="J292" s="5">
        <f t="shared" ref="J292:J294" si="123">IF(H$12=0,0,H292/H$12)</f>
        <v>2.6124947388567561E-3</v>
      </c>
      <c r="K292" s="1"/>
      <c r="L292" s="1">
        <f t="shared" ref="L292:L294" si="124">+D292-H292</f>
        <v>-1073.5699999999997</v>
      </c>
      <c r="M292" s="1"/>
      <c r="N292" s="5">
        <f t="shared" ref="N292:N294" si="125">IF(H292=0,0,L292/H292)</f>
        <v>-0.16737917056439036</v>
      </c>
      <c r="O292" s="13"/>
      <c r="P292" s="1">
        <f>SUM(OSRRefP22_23x_0)</f>
        <v>28917.95</v>
      </c>
      <c r="Q292" s="1"/>
      <c r="R292" s="5">
        <f t="shared" ref="R292:R294" si="126">IF(P$12=0,0,P292/P$12)</f>
        <v>1.7967698146046237E-3</v>
      </c>
      <c r="S292" s="1"/>
      <c r="T292" s="1">
        <f>SUM(OSRRefT22_23x_0)</f>
        <v>33126</v>
      </c>
      <c r="U292" s="1"/>
      <c r="V292" s="5">
        <f t="shared" ref="V292:V294" si="127">IF(T$12=0,0,T292/T$12)</f>
        <v>2.0102284441388669E-3</v>
      </c>
      <c r="W292" s="1"/>
      <c r="X292" s="1">
        <f t="shared" ref="X292:X294" si="128">+P292-T292</f>
        <v>-4208.0499999999993</v>
      </c>
      <c r="Y292" s="1"/>
      <c r="Z292" s="5">
        <f t="shared" ref="Z292:Z294" si="129">IF(T292=0,0,X292/T292)</f>
        <v>-0.12703163678077642</v>
      </c>
    </row>
    <row r="293" spans="1:26" s="24" customFormat="1" hidden="1" outlineLevel="2" x14ac:dyDescent="0.25">
      <c r="A293" s="25"/>
      <c r="B293" s="11" t="str">
        <f>CONCATENATE("          ", "6303", " - ", "DATA PHONE LINES")</f>
        <v xml:space="preserve">          6303 - DATA PHONE LINES</v>
      </c>
      <c r="C293" s="11"/>
      <c r="D293" s="6">
        <v>295</v>
      </c>
      <c r="E293" s="2"/>
      <c r="F293" s="7">
        <f t="shared" si="122"/>
        <v>1.1186924158767196E-4</v>
      </c>
      <c r="G293" s="2"/>
      <c r="H293" s="6">
        <v>1876</v>
      </c>
      <c r="I293" s="2"/>
      <c r="J293" s="7">
        <f t="shared" si="123"/>
        <v>7.6411601654120277E-4</v>
      </c>
      <c r="K293" s="2"/>
      <c r="L293" s="6">
        <f t="shared" si="124"/>
        <v>-1581</v>
      </c>
      <c r="M293" s="2"/>
      <c r="N293" s="7">
        <f t="shared" si="125"/>
        <v>-0.84275053304904046</v>
      </c>
      <c r="O293" s="11"/>
      <c r="P293" s="6">
        <v>1475</v>
      </c>
      <c r="Q293" s="2"/>
      <c r="R293" s="7">
        <f t="shared" si="126"/>
        <v>9.1646727259083707E-5</v>
      </c>
      <c r="S293" s="2"/>
      <c r="T293" s="6">
        <v>9661</v>
      </c>
      <c r="U293" s="2"/>
      <c r="V293" s="7">
        <f t="shared" si="127"/>
        <v>5.8627111630820479E-4</v>
      </c>
      <c r="W293" s="2"/>
      <c r="X293" s="6">
        <f t="shared" si="128"/>
        <v>-8186</v>
      </c>
      <c r="Y293" s="2"/>
      <c r="Z293" s="7">
        <f t="shared" si="129"/>
        <v>-0.84732429355139216</v>
      </c>
    </row>
    <row r="294" spans="1:26" s="24" customFormat="1" hidden="1" outlineLevel="2" x14ac:dyDescent="0.25">
      <c r="A294" s="25"/>
      <c r="B294" s="11" t="str">
        <f>CONCATENATE("          ", "6309", " - ", "TELEPHONE")</f>
        <v xml:space="preserve">          6309 - TELEPHONE</v>
      </c>
      <c r="C294" s="11"/>
      <c r="D294" s="6">
        <v>5045.43</v>
      </c>
      <c r="E294" s="2"/>
      <c r="F294" s="7">
        <f t="shared" si="122"/>
        <v>1.9133167036735177E-3</v>
      </c>
      <c r="G294" s="2"/>
      <c r="H294" s="6">
        <v>4538</v>
      </c>
      <c r="I294" s="2"/>
      <c r="J294" s="7">
        <f t="shared" si="123"/>
        <v>1.8483787223155532E-3</v>
      </c>
      <c r="K294" s="2"/>
      <c r="L294" s="6">
        <f t="shared" si="124"/>
        <v>507.43000000000029</v>
      </c>
      <c r="M294" s="2"/>
      <c r="N294" s="7">
        <f t="shared" si="125"/>
        <v>0.11181798148964307</v>
      </c>
      <c r="O294" s="11"/>
      <c r="P294" s="6">
        <v>27442.95</v>
      </c>
      <c r="Q294" s="2"/>
      <c r="R294" s="7">
        <f t="shared" si="126"/>
        <v>1.7051230873455399E-3</v>
      </c>
      <c r="S294" s="2"/>
      <c r="T294" s="6">
        <v>23465</v>
      </c>
      <c r="U294" s="2"/>
      <c r="V294" s="7">
        <f t="shared" si="127"/>
        <v>1.4239573278306621E-3</v>
      </c>
      <c r="W294" s="2"/>
      <c r="X294" s="6">
        <f t="shared" si="128"/>
        <v>3977.9500000000007</v>
      </c>
      <c r="Y294" s="2"/>
      <c r="Z294" s="7">
        <f t="shared" si="129"/>
        <v>0.16952695503942045</v>
      </c>
    </row>
    <row r="295" spans="1:26" s="26" customFormat="1" outlineLevel="1" collapsed="1" x14ac:dyDescent="0.25">
      <c r="A295" s="27"/>
      <c r="B295" s="13" t="str">
        <f>CONCATENATE("     ","Training                                          ")</f>
        <v xml:space="preserve">     Training                                          </v>
      </c>
      <c r="C295" s="13"/>
      <c r="D295" s="1">
        <f>SUM(OSRRefD22_24x_0)</f>
        <v>3876.68</v>
      </c>
      <c r="E295" s="1"/>
      <c r="F295" s="5">
        <f t="shared" ref="F295:F300" si="130">IF(D$12=0,0,D295/D$12)</f>
        <v>1.470105937213885E-3</v>
      </c>
      <c r="G295" s="1"/>
      <c r="H295" s="1">
        <f>SUM(OSRRefH22_24x_0)</f>
        <v>5425</v>
      </c>
      <c r="I295" s="1"/>
      <c r="J295" s="5">
        <f t="shared" ref="J295:J300" si="131">IF(H$12=0,0,H295/H$12)</f>
        <v>2.2096638538038511E-3</v>
      </c>
      <c r="K295" s="1"/>
      <c r="L295" s="1">
        <f t="shared" ref="L295:L300" si="132">+D295-H295</f>
        <v>-1548.3200000000002</v>
      </c>
      <c r="M295" s="1"/>
      <c r="N295" s="5">
        <f t="shared" ref="N295:N300" si="133">IF(H295=0,0,L295/H295)</f>
        <v>-0.28540460829493092</v>
      </c>
      <c r="O295" s="13"/>
      <c r="P295" s="1">
        <f>SUM(OSRRefP22_24x_0)</f>
        <v>14733.21</v>
      </c>
      <c r="Q295" s="1"/>
      <c r="R295" s="5">
        <f t="shared" ref="R295:R300" si="134">IF(P$12=0,0,P295/P$12)</f>
        <v>9.1542405323444384E-4</v>
      </c>
      <c r="S295" s="1"/>
      <c r="T295" s="1">
        <f>SUM(OSRRefT22_24x_0)</f>
        <v>26563</v>
      </c>
      <c r="U295" s="1"/>
      <c r="V295" s="5">
        <f t="shared" ref="V295:V300" si="135">IF(T$12=0,0,T295/T$12)</f>
        <v>1.6119573193763424E-3</v>
      </c>
      <c r="W295" s="1"/>
      <c r="X295" s="1">
        <f t="shared" ref="X295:X300" si="136">+P295-T295</f>
        <v>-11829.79</v>
      </c>
      <c r="Y295" s="1"/>
      <c r="Z295" s="5">
        <f t="shared" ref="Z295:Z300" si="137">IF(T295=0,0,X295/T295)</f>
        <v>-0.44534841697097471</v>
      </c>
    </row>
    <row r="296" spans="1:26" s="24" customFormat="1" hidden="1" outlineLevel="2" x14ac:dyDescent="0.25">
      <c r="A296" s="25"/>
      <c r="B296" s="11" t="str">
        <f>CONCATENATE("          ", "6376", " - ", "TRAINING")</f>
        <v xml:space="preserve">          6376 - TRAINING</v>
      </c>
      <c r="C296" s="11"/>
      <c r="D296" s="6">
        <v>3876.68</v>
      </c>
      <c r="E296" s="2"/>
      <c r="F296" s="7">
        <f t="shared" si="130"/>
        <v>1.470105937213885E-3</v>
      </c>
      <c r="G296" s="2"/>
      <c r="H296" s="6">
        <v>5425</v>
      </c>
      <c r="I296" s="2"/>
      <c r="J296" s="7">
        <f t="shared" si="131"/>
        <v>2.2096638538038511E-3</v>
      </c>
      <c r="K296" s="2"/>
      <c r="L296" s="6">
        <f t="shared" si="132"/>
        <v>-1548.3200000000002</v>
      </c>
      <c r="M296" s="2"/>
      <c r="N296" s="7">
        <f t="shared" si="133"/>
        <v>-0.28540460829493092</v>
      </c>
      <c r="O296" s="11"/>
      <c r="P296" s="6">
        <v>14733.21</v>
      </c>
      <c r="Q296" s="2"/>
      <c r="R296" s="7">
        <f t="shared" si="134"/>
        <v>9.1542405323444384E-4</v>
      </c>
      <c r="S296" s="2"/>
      <c r="T296" s="6">
        <v>26563</v>
      </c>
      <c r="U296" s="2"/>
      <c r="V296" s="7">
        <f t="shared" si="135"/>
        <v>1.6119573193763424E-3</v>
      </c>
      <c r="W296" s="2"/>
      <c r="X296" s="6">
        <f t="shared" si="136"/>
        <v>-11829.79</v>
      </c>
      <c r="Y296" s="2"/>
      <c r="Z296" s="7">
        <f t="shared" si="137"/>
        <v>-0.44534841697097471</v>
      </c>
    </row>
    <row r="297" spans="1:26" s="26" customFormat="1" outlineLevel="1" collapsed="1" x14ac:dyDescent="0.25">
      <c r="A297" s="27"/>
      <c r="B297" s="13" t="str">
        <f>CONCATENATE("     ","Travel                                            ")</f>
        <v xml:space="preserve">     Travel                                            </v>
      </c>
      <c r="C297" s="13"/>
      <c r="D297" s="1">
        <f>SUM(OSRRefD22_25x_0)</f>
        <v>505.19999999999993</v>
      </c>
      <c r="E297" s="1"/>
      <c r="F297" s="5">
        <f t="shared" si="130"/>
        <v>1.9158081644098936E-4</v>
      </c>
      <c r="G297" s="1"/>
      <c r="H297" s="1">
        <f>SUM(OSRRefH22_25x_0)</f>
        <v>485</v>
      </c>
      <c r="I297" s="1"/>
      <c r="J297" s="5">
        <f t="shared" si="131"/>
        <v>1.9754598508661157E-4</v>
      </c>
      <c r="K297" s="1"/>
      <c r="L297" s="1">
        <f t="shared" si="132"/>
        <v>20.199999999999932</v>
      </c>
      <c r="M297" s="1"/>
      <c r="N297" s="5">
        <f t="shared" si="133"/>
        <v>4.1649484536082332E-2</v>
      </c>
      <c r="O297" s="13"/>
      <c r="P297" s="1">
        <f>SUM(OSRRefP22_25x_0)</f>
        <v>4833.16</v>
      </c>
      <c r="Q297" s="1"/>
      <c r="R297" s="5">
        <f t="shared" si="134"/>
        <v>3.0030053987763596E-4</v>
      </c>
      <c r="S297" s="1"/>
      <c r="T297" s="1">
        <f>SUM(OSRRefT22_25x_0)</f>
        <v>11710</v>
      </c>
      <c r="U297" s="1"/>
      <c r="V297" s="5">
        <f t="shared" si="135"/>
        <v>7.1061326694639047E-4</v>
      </c>
      <c r="W297" s="1"/>
      <c r="X297" s="1">
        <f t="shared" si="136"/>
        <v>-6876.84</v>
      </c>
      <c r="Y297" s="1"/>
      <c r="Z297" s="5">
        <f t="shared" si="137"/>
        <v>-0.58726216908625106</v>
      </c>
    </row>
    <row r="298" spans="1:26" s="24" customFormat="1" hidden="1" outlineLevel="2" x14ac:dyDescent="0.25">
      <c r="A298" s="25"/>
      <c r="B298" s="11" t="str">
        <f>CONCATENATE("          ", "6292", " - ", "TRAVEL/CONFERENCE")</f>
        <v xml:space="preserve">          6292 - TRAVEL/CONFERENCE</v>
      </c>
      <c r="C298" s="11"/>
      <c r="D298" s="6">
        <v>50.47</v>
      </c>
      <c r="E298" s="2"/>
      <c r="F298" s="7">
        <f t="shared" si="130"/>
        <v>1.913912075569425E-5</v>
      </c>
      <c r="G298" s="2"/>
      <c r="H298" s="6">
        <v>300</v>
      </c>
      <c r="I298" s="2"/>
      <c r="J298" s="7">
        <f t="shared" si="131"/>
        <v>1.2219339283707931E-4</v>
      </c>
      <c r="K298" s="2"/>
      <c r="L298" s="6">
        <f t="shared" si="132"/>
        <v>-249.53</v>
      </c>
      <c r="M298" s="2"/>
      <c r="N298" s="7">
        <f t="shared" si="133"/>
        <v>-0.83176666666666665</v>
      </c>
      <c r="O298" s="11"/>
      <c r="P298" s="6">
        <v>3216.48</v>
      </c>
      <c r="Q298" s="2"/>
      <c r="R298" s="7">
        <f t="shared" si="134"/>
        <v>1.9985075613172717E-4</v>
      </c>
      <c r="S298" s="2"/>
      <c r="T298" s="6">
        <v>10200</v>
      </c>
      <c r="U298" s="2"/>
      <c r="V298" s="7">
        <f t="shared" si="135"/>
        <v>6.1897995925304719E-4</v>
      </c>
      <c r="W298" s="2"/>
      <c r="X298" s="6">
        <f t="shared" si="136"/>
        <v>-6983.52</v>
      </c>
      <c r="Y298" s="2"/>
      <c r="Z298" s="7">
        <f t="shared" si="137"/>
        <v>-0.68465882352941176</v>
      </c>
    </row>
    <row r="299" spans="1:26" s="24" customFormat="1" hidden="1" outlineLevel="2" x14ac:dyDescent="0.25">
      <c r="A299" s="25"/>
      <c r="B299" s="11" t="str">
        <f>CONCATENATE("          ", "6294", " - ", "TRAVEL OPERATIONAL")</f>
        <v xml:space="preserve">          6294 - TRAVEL OPERATIONAL</v>
      </c>
      <c r="C299" s="11"/>
      <c r="D299" s="6">
        <v>257.33</v>
      </c>
      <c r="E299" s="2"/>
      <c r="F299" s="7">
        <f t="shared" si="130"/>
        <v>9.7584108263578379E-5</v>
      </c>
      <c r="G299" s="2"/>
      <c r="H299" s="6">
        <v>75</v>
      </c>
      <c r="I299" s="2"/>
      <c r="J299" s="7">
        <f t="shared" si="131"/>
        <v>3.0548348209269828E-5</v>
      </c>
      <c r="K299" s="2"/>
      <c r="L299" s="6">
        <f t="shared" si="132"/>
        <v>182.32999999999998</v>
      </c>
      <c r="M299" s="2"/>
      <c r="N299" s="7">
        <f t="shared" si="133"/>
        <v>2.4310666666666663</v>
      </c>
      <c r="O299" s="11"/>
      <c r="P299" s="6">
        <v>739.29</v>
      </c>
      <c r="Q299" s="2"/>
      <c r="R299" s="7">
        <f t="shared" si="134"/>
        <v>4.5934582369741011E-5</v>
      </c>
      <c r="S299" s="2"/>
      <c r="T299" s="6">
        <v>510</v>
      </c>
      <c r="U299" s="2"/>
      <c r="V299" s="7">
        <f t="shared" si="135"/>
        <v>3.0948997962652358E-5</v>
      </c>
      <c r="W299" s="2"/>
      <c r="X299" s="6">
        <f t="shared" si="136"/>
        <v>229.28999999999996</v>
      </c>
      <c r="Y299" s="2"/>
      <c r="Z299" s="7">
        <f t="shared" si="137"/>
        <v>0.44958823529411757</v>
      </c>
    </row>
    <row r="300" spans="1:26" s="24" customFormat="1" hidden="1" outlineLevel="2" x14ac:dyDescent="0.25">
      <c r="A300" s="25"/>
      <c r="B300" s="11" t="str">
        <f>CONCATENATE("          ", "6298", " - ", "VEHICLE MILEAGE")</f>
        <v xml:space="preserve">          6298 - VEHICLE MILEAGE</v>
      </c>
      <c r="C300" s="11"/>
      <c r="D300" s="6">
        <v>197.4</v>
      </c>
      <c r="E300" s="2"/>
      <c r="F300" s="7">
        <f t="shared" si="130"/>
        <v>7.4857587421716756E-5</v>
      </c>
      <c r="G300" s="2"/>
      <c r="H300" s="6">
        <v>110</v>
      </c>
      <c r="I300" s="2"/>
      <c r="J300" s="7">
        <f t="shared" si="131"/>
        <v>4.4804244040262418E-5</v>
      </c>
      <c r="K300" s="2"/>
      <c r="L300" s="6">
        <f t="shared" si="132"/>
        <v>87.4</v>
      </c>
      <c r="M300" s="2"/>
      <c r="N300" s="7">
        <f t="shared" si="133"/>
        <v>0.79454545454545455</v>
      </c>
      <c r="O300" s="11"/>
      <c r="P300" s="6">
        <v>877.39</v>
      </c>
      <c r="Q300" s="2"/>
      <c r="R300" s="7">
        <f t="shared" si="134"/>
        <v>5.4515201376167771E-5</v>
      </c>
      <c r="S300" s="2"/>
      <c r="T300" s="6">
        <v>1000</v>
      </c>
      <c r="U300" s="2"/>
      <c r="V300" s="7">
        <f t="shared" si="135"/>
        <v>6.0684309730690908E-5</v>
      </c>
      <c r="W300" s="2"/>
      <c r="X300" s="6">
        <f t="shared" si="136"/>
        <v>-122.61000000000001</v>
      </c>
      <c r="Y300" s="2"/>
      <c r="Z300" s="7">
        <f t="shared" si="137"/>
        <v>-0.12261000000000001</v>
      </c>
    </row>
    <row r="301" spans="1:26" s="26" customFormat="1" outlineLevel="1" collapsed="1" x14ac:dyDescent="0.25">
      <c r="A301" s="27"/>
      <c r="B301" s="13" t="str">
        <f>CONCATENATE("     ","Utilities                                         ")</f>
        <v xml:space="preserve">     Utilities                                         </v>
      </c>
      <c r="C301" s="13"/>
      <c r="D301" s="1">
        <f>SUM(OSRRefD22_26x_0)</f>
        <v>20293.259999999998</v>
      </c>
      <c r="E301" s="1"/>
      <c r="F301" s="5">
        <f t="shared" ref="F301:F302" si="138">IF(D$12=0,0,D301/D$12)</f>
        <v>7.6955647645472521E-3</v>
      </c>
      <c r="G301" s="1"/>
      <c r="H301" s="1">
        <f>SUM(OSRRefH22_26x_0)</f>
        <v>23675</v>
      </c>
      <c r="I301" s="1"/>
      <c r="J301" s="5">
        <f t="shared" ref="J301:J302" si="139">IF(H$12=0,0,H301/H$12)</f>
        <v>9.6430952513928431E-3</v>
      </c>
      <c r="K301" s="1"/>
      <c r="L301" s="1">
        <f t="shared" ref="L301:L302" si="140">+D301-H301</f>
        <v>-3381.7400000000016</v>
      </c>
      <c r="M301" s="1"/>
      <c r="N301" s="5">
        <f t="shared" ref="N301:N302" si="141">IF(H301=0,0,L301/H301)</f>
        <v>-0.14284012671594515</v>
      </c>
      <c r="O301" s="13"/>
      <c r="P301" s="1">
        <f>SUM(OSRRefP22_26x_0)</f>
        <v>83977.04</v>
      </c>
      <c r="Q301" s="1"/>
      <c r="R301" s="5">
        <f t="shared" ref="R301:R302" si="142">IF(P$12=0,0,P301/P$12)</f>
        <v>5.2177768684102798E-3</v>
      </c>
      <c r="S301" s="1"/>
      <c r="T301" s="1">
        <f>SUM(OSRRefT22_26x_0)</f>
        <v>128345.99999999999</v>
      </c>
      <c r="U301" s="1"/>
      <c r="V301" s="5">
        <f t="shared" ref="V301:V302" si="143">IF(T$12=0,0,T301/T$12)</f>
        <v>7.7885884166952538E-3</v>
      </c>
      <c r="W301" s="1"/>
      <c r="X301" s="1">
        <f t="shared" ref="X301:X302" si="144">+P301-T301</f>
        <v>-44368.959999999992</v>
      </c>
      <c r="Y301" s="1"/>
      <c r="Z301" s="5">
        <f t="shared" ref="Z301:Z302" si="145">IF(T301=0,0,X301/T301)</f>
        <v>-0.34569803499914292</v>
      </c>
    </row>
    <row r="302" spans="1:26" s="24" customFormat="1" hidden="1" outlineLevel="2" x14ac:dyDescent="0.25">
      <c r="A302" s="25"/>
      <c r="B302" s="11" t="str">
        <f>CONCATENATE("          ", "6274", " - ", "UTILITIES")</f>
        <v xml:space="preserve">          6274 - UTILITIES</v>
      </c>
      <c r="C302" s="11"/>
      <c r="D302" s="6">
        <v>20293.259999999998</v>
      </c>
      <c r="E302" s="2"/>
      <c r="F302" s="7">
        <f t="shared" si="138"/>
        <v>7.6955647645472521E-3</v>
      </c>
      <c r="G302" s="2"/>
      <c r="H302" s="6">
        <v>23675</v>
      </c>
      <c r="I302" s="2"/>
      <c r="J302" s="7">
        <f t="shared" si="139"/>
        <v>9.6430952513928431E-3</v>
      </c>
      <c r="K302" s="2"/>
      <c r="L302" s="6">
        <f t="shared" si="140"/>
        <v>-3381.7400000000016</v>
      </c>
      <c r="M302" s="2"/>
      <c r="N302" s="7">
        <f t="shared" si="141"/>
        <v>-0.14284012671594515</v>
      </c>
      <c r="O302" s="11"/>
      <c r="P302" s="6">
        <v>83977.04</v>
      </c>
      <c r="Q302" s="2"/>
      <c r="R302" s="7">
        <f t="shared" si="142"/>
        <v>5.2177768684102798E-3</v>
      </c>
      <c r="S302" s="2"/>
      <c r="T302" s="6">
        <v>128345.99999999999</v>
      </c>
      <c r="U302" s="2"/>
      <c r="V302" s="7">
        <f t="shared" si="143"/>
        <v>7.7885884166952538E-3</v>
      </c>
      <c r="W302" s="2"/>
      <c r="X302" s="6">
        <f t="shared" si="144"/>
        <v>-44368.959999999992</v>
      </c>
      <c r="Y302" s="2"/>
      <c r="Z302" s="7">
        <f t="shared" si="145"/>
        <v>-0.34569803499914292</v>
      </c>
    </row>
    <row r="303" spans="1:26" s="59" customFormat="1" x14ac:dyDescent="0.25">
      <c r="A303" s="36"/>
      <c r="B303" s="36"/>
      <c r="C303" s="36"/>
      <c r="D303" s="1"/>
      <c r="E303" s="1"/>
      <c r="F303" s="5"/>
      <c r="G303" s="1"/>
      <c r="H303" s="1"/>
      <c r="I303" s="1"/>
      <c r="J303" s="5"/>
      <c r="K303" s="1"/>
      <c r="L303" s="1"/>
      <c r="M303" s="1"/>
      <c r="N303" s="5"/>
      <c r="O303" s="36"/>
      <c r="P303" s="1"/>
      <c r="Q303" s="1"/>
      <c r="R303" s="5"/>
      <c r="S303" s="1"/>
      <c r="T303" s="1"/>
      <c r="U303" s="1"/>
      <c r="V303" s="5"/>
      <c r="W303" s="1"/>
      <c r="X303" s="1"/>
      <c r="Y303" s="1"/>
      <c r="Z303" s="5"/>
    </row>
    <row r="304" spans="1:26" s="23" customFormat="1" collapsed="1" x14ac:dyDescent="0.25">
      <c r="A304" s="10"/>
      <c r="B304" s="29" t="s">
        <v>0</v>
      </c>
      <c r="C304" s="10"/>
      <c r="D304" s="4">
        <f>SUM(OSRRefD25x_0)</f>
        <v>90828.310000000012</v>
      </c>
      <c r="E304" s="4"/>
      <c r="F304" s="12">
        <f t="shared" ref="F304:F316" si="146">IF(D$12=0,0,D304/D$12)</f>
        <v>3.4443708997932074E-2</v>
      </c>
      <c r="G304" s="4"/>
      <c r="H304" s="4">
        <f>SUM(OSRRefH25x_0)</f>
        <v>160988</v>
      </c>
      <c r="I304" s="4"/>
      <c r="J304" s="12">
        <f t="shared" ref="J304:J316" si="147">IF(H$12=0,0,H304/H$12)</f>
        <v>6.5572233086852422E-2</v>
      </c>
      <c r="K304" s="4"/>
      <c r="L304" s="4">
        <f t="shared" ref="L304:L316" si="148">+D304-H304</f>
        <v>-70159.689999999988</v>
      </c>
      <c r="M304" s="4"/>
      <c r="N304" s="12">
        <f t="shared" ref="N304:N316" si="149">IF(H304=0,0,L304/H304)</f>
        <v>-0.43580695455561896</v>
      </c>
      <c r="O304" s="10"/>
      <c r="P304" s="4">
        <f>SUM(OSRRefP25x_0)</f>
        <v>912886.37000000011</v>
      </c>
      <c r="Q304" s="4"/>
      <c r="R304" s="12">
        <f t="shared" ref="R304:R316" si="150">IF(P$12=0,0,P304/P$12)</f>
        <v>5.6720710623677957E-2</v>
      </c>
      <c r="S304" s="4"/>
      <c r="T304" s="4">
        <f>SUM(OSRRefT25x_0)</f>
        <v>816249</v>
      </c>
      <c r="U304" s="4"/>
      <c r="V304" s="12">
        <f t="shared" ref="V304:V316" si="151">IF(T$12=0,0,T304/T$12)</f>
        <v>4.9533507133366718E-2</v>
      </c>
      <c r="W304" s="4"/>
      <c r="X304" s="4">
        <f t="shared" ref="X304:X316" si="152">+P304-T304</f>
        <v>96637.370000000112</v>
      </c>
      <c r="Y304" s="4"/>
      <c r="Z304" s="12">
        <f t="shared" ref="Z304:Z316" si="153">IF(T304=0,0,X304/T304)</f>
        <v>0.11839202253234014</v>
      </c>
    </row>
    <row r="305" spans="1:26" s="24" customFormat="1" hidden="1" outlineLevel="1" x14ac:dyDescent="0.25">
      <c r="A305" s="44"/>
      <c r="B305" s="11" t="str">
        <f>CONCATENATE("          ", "4098", " - ", "TAXABLE SALES-GRAD RENTALS")</f>
        <v xml:space="preserve">          4098 - TAXABLE SALES-GRAD RENTALS</v>
      </c>
      <c r="C305" s="11"/>
      <c r="D305" s="2">
        <f>0</f>
        <v>0</v>
      </c>
      <c r="E305" s="2"/>
      <c r="F305" s="19">
        <f t="shared" si="146"/>
        <v>0</v>
      </c>
      <c r="G305" s="2"/>
      <c r="H305" s="2"/>
      <c r="I305" s="2"/>
      <c r="J305" s="19">
        <f t="shared" si="147"/>
        <v>0</v>
      </c>
      <c r="K305" s="2"/>
      <c r="L305" s="2">
        <f t="shared" si="148"/>
        <v>0</v>
      </c>
      <c r="M305" s="2"/>
      <c r="N305" s="19">
        <f t="shared" si="149"/>
        <v>0</v>
      </c>
      <c r="O305" s="11"/>
      <c r="P305" s="2">
        <f>--1626.85</f>
        <v>1626.85</v>
      </c>
      <c r="Q305" s="2"/>
      <c r="R305" s="19">
        <f t="shared" si="150"/>
        <v>1.0108168016368835E-4</v>
      </c>
      <c r="S305" s="2"/>
      <c r="T305" s="2"/>
      <c r="U305" s="2"/>
      <c r="V305" s="19">
        <f t="shared" si="151"/>
        <v>0</v>
      </c>
      <c r="W305" s="2"/>
      <c r="X305" s="2">
        <f t="shared" si="152"/>
        <v>1626.85</v>
      </c>
      <c r="Y305" s="2"/>
      <c r="Z305" s="19">
        <f t="shared" si="153"/>
        <v>0</v>
      </c>
    </row>
    <row r="306" spans="1:26" s="24" customFormat="1" hidden="1" outlineLevel="1" x14ac:dyDescent="0.25">
      <c r="A306" s="44"/>
      <c r="B306" s="11" t="str">
        <f>CONCATENATE("          ", "4187", " - ", "NON-TAXABLE SALES-COMPUTER REP")</f>
        <v xml:space="preserve">          4187 - NON-TAXABLE SALES-COMPUTER REP</v>
      </c>
      <c r="C306" s="11"/>
      <c r="D306" s="2">
        <f>--949.24</f>
        <v>949.24</v>
      </c>
      <c r="E306" s="2"/>
      <c r="F306" s="19">
        <f t="shared" si="146"/>
        <v>3.5996867418536179E-4</v>
      </c>
      <c r="G306" s="2"/>
      <c r="H306" s="2"/>
      <c r="I306" s="2"/>
      <c r="J306" s="19">
        <f t="shared" si="147"/>
        <v>0</v>
      </c>
      <c r="K306" s="2"/>
      <c r="L306" s="2">
        <f t="shared" si="148"/>
        <v>949.24</v>
      </c>
      <c r="M306" s="2"/>
      <c r="N306" s="19">
        <f t="shared" si="149"/>
        <v>0</v>
      </c>
      <c r="O306" s="11"/>
      <c r="P306" s="2">
        <f>--12731.93</f>
        <v>12731.93</v>
      </c>
      <c r="Q306" s="2"/>
      <c r="R306" s="19">
        <f t="shared" si="150"/>
        <v>7.9107777368931916E-4</v>
      </c>
      <c r="S306" s="2"/>
      <c r="T306" s="2"/>
      <c r="U306" s="2"/>
      <c r="V306" s="19">
        <f t="shared" si="151"/>
        <v>0</v>
      </c>
      <c r="W306" s="2"/>
      <c r="X306" s="2">
        <f t="shared" si="152"/>
        <v>12731.93</v>
      </c>
      <c r="Y306" s="2"/>
      <c r="Z306" s="19">
        <f t="shared" si="153"/>
        <v>0</v>
      </c>
    </row>
    <row r="307" spans="1:26" s="24" customFormat="1" hidden="1" outlineLevel="1" x14ac:dyDescent="0.25">
      <c r="A307" s="44"/>
      <c r="B307" s="11" t="str">
        <f>CONCATENATE("          ", "4197", " - ", "NON-TAXABLE SALES-RETURNED CHE")</f>
        <v xml:space="preserve">          4197 - NON-TAXABLE SALES-RETURNED CHE</v>
      </c>
      <c r="C307" s="11"/>
      <c r="D307" s="2">
        <f t="shared" ref="D307:D308" si="154">0</f>
        <v>0</v>
      </c>
      <c r="E307" s="2"/>
      <c r="F307" s="19">
        <f t="shared" si="146"/>
        <v>0</v>
      </c>
      <c r="G307" s="2"/>
      <c r="H307" s="2"/>
      <c r="I307" s="2"/>
      <c r="J307" s="19">
        <f t="shared" si="147"/>
        <v>0</v>
      </c>
      <c r="K307" s="2"/>
      <c r="L307" s="2">
        <f t="shared" si="148"/>
        <v>0</v>
      </c>
      <c r="M307" s="2"/>
      <c r="N307" s="19">
        <f t="shared" si="149"/>
        <v>0</v>
      </c>
      <c r="O307" s="11"/>
      <c r="P307" s="2">
        <f>--30</f>
        <v>30</v>
      </c>
      <c r="Q307" s="2"/>
      <c r="R307" s="19">
        <f t="shared" si="150"/>
        <v>1.8640012323881434E-6</v>
      </c>
      <c r="S307" s="2"/>
      <c r="T307" s="2"/>
      <c r="U307" s="2"/>
      <c r="V307" s="19">
        <f t="shared" si="151"/>
        <v>0</v>
      </c>
      <c r="W307" s="2"/>
      <c r="X307" s="2">
        <f t="shared" si="152"/>
        <v>30</v>
      </c>
      <c r="Y307" s="2"/>
      <c r="Z307" s="19">
        <f t="shared" si="153"/>
        <v>0</v>
      </c>
    </row>
    <row r="308" spans="1:26" s="24" customFormat="1" hidden="1" outlineLevel="1" x14ac:dyDescent="0.25">
      <c r="A308" s="44"/>
      <c r="B308" s="11" t="str">
        <f>CONCATENATE("          ", "4198", " - ", "NON-TAXABLE SALES-GRAD RENTALS")</f>
        <v xml:space="preserve">          4198 - NON-TAXABLE SALES-GRAD RENTALS</v>
      </c>
      <c r="C308" s="11"/>
      <c r="D308" s="2">
        <f t="shared" si="154"/>
        <v>0</v>
      </c>
      <c r="E308" s="2"/>
      <c r="F308" s="19">
        <f t="shared" si="146"/>
        <v>0</v>
      </c>
      <c r="G308" s="2"/>
      <c r="H308" s="2"/>
      <c r="I308" s="2"/>
      <c r="J308" s="19">
        <f t="shared" si="147"/>
        <v>0</v>
      </c>
      <c r="K308" s="2"/>
      <c r="L308" s="2">
        <f t="shared" si="148"/>
        <v>0</v>
      </c>
      <c r="M308" s="2"/>
      <c r="N308" s="19">
        <f t="shared" si="149"/>
        <v>0</v>
      </c>
      <c r="O308" s="11"/>
      <c r="P308" s="2">
        <f>--495</f>
        <v>495</v>
      </c>
      <c r="Q308" s="2"/>
      <c r="R308" s="19">
        <f t="shared" si="150"/>
        <v>3.0756020334404362E-5</v>
      </c>
      <c r="S308" s="2"/>
      <c r="T308" s="2"/>
      <c r="U308" s="2"/>
      <c r="V308" s="19">
        <f t="shared" si="151"/>
        <v>0</v>
      </c>
      <c r="W308" s="2"/>
      <c r="X308" s="2">
        <f t="shared" si="152"/>
        <v>495</v>
      </c>
      <c r="Y308" s="2"/>
      <c r="Z308" s="19">
        <f t="shared" si="153"/>
        <v>0</v>
      </c>
    </row>
    <row r="309" spans="1:26" s="24" customFormat="1" hidden="1" outlineLevel="1" x14ac:dyDescent="0.25">
      <c r="A309" s="44"/>
      <c r="B309" s="11" t="str">
        <f>CONCATENATE("          ", "4387", " - ", "SALES RETURN NON TAXABLE-COMPU")</f>
        <v xml:space="preserve">          4387 - SALES RETURN NON TAXABLE-COMPU</v>
      </c>
      <c r="C309" s="11"/>
      <c r="D309" s="2">
        <f>-1098.25</f>
        <v>-1098.25</v>
      </c>
      <c r="E309" s="2"/>
      <c r="F309" s="19">
        <f t="shared" si="146"/>
        <v>-4.1647591380901937E-4</v>
      </c>
      <c r="G309" s="2"/>
      <c r="H309" s="2"/>
      <c r="I309" s="2"/>
      <c r="J309" s="19">
        <f t="shared" si="147"/>
        <v>0</v>
      </c>
      <c r="K309" s="2"/>
      <c r="L309" s="2">
        <f t="shared" si="148"/>
        <v>-1098.25</v>
      </c>
      <c r="M309" s="2"/>
      <c r="N309" s="19">
        <f t="shared" si="149"/>
        <v>0</v>
      </c>
      <c r="O309" s="11"/>
      <c r="P309" s="2">
        <f>-7889</f>
        <v>-7889</v>
      </c>
      <c r="Q309" s="2"/>
      <c r="R309" s="19">
        <f t="shared" si="150"/>
        <v>-4.9017019074366875E-4</v>
      </c>
      <c r="S309" s="2"/>
      <c r="T309" s="2"/>
      <c r="U309" s="2"/>
      <c r="V309" s="19">
        <f t="shared" si="151"/>
        <v>0</v>
      </c>
      <c r="W309" s="2"/>
      <c r="X309" s="2">
        <f t="shared" si="152"/>
        <v>-7889</v>
      </c>
      <c r="Y309" s="2"/>
      <c r="Z309" s="19">
        <f t="shared" si="153"/>
        <v>0</v>
      </c>
    </row>
    <row r="310" spans="1:26" s="24" customFormat="1" hidden="1" outlineLevel="1" x14ac:dyDescent="0.25">
      <c r="A310" s="44"/>
      <c r="B310" s="11" t="str">
        <f>CONCATENATE("          ", "9150", " - ", "MISC. INCOME")</f>
        <v xml:space="preserve">          9150 - MISC. INCOME</v>
      </c>
      <c r="C310" s="11"/>
      <c r="D310" s="2">
        <f>--70871.73</f>
        <v>70871.73</v>
      </c>
      <c r="E310" s="2"/>
      <c r="F310" s="19">
        <f t="shared" si="146"/>
        <v>2.6875819271546635E-2</v>
      </c>
      <c r="G310" s="2"/>
      <c r="H310" s="2">
        <v>109138</v>
      </c>
      <c r="I310" s="2"/>
      <c r="J310" s="19">
        <f t="shared" si="147"/>
        <v>4.4453141691510545E-2</v>
      </c>
      <c r="K310" s="2"/>
      <c r="L310" s="2">
        <f t="shared" si="148"/>
        <v>-38266.270000000004</v>
      </c>
      <c r="M310" s="2"/>
      <c r="N310" s="19">
        <f t="shared" si="149"/>
        <v>-0.35062278949586767</v>
      </c>
      <c r="O310" s="11"/>
      <c r="P310" s="2">
        <f>--406363.13</f>
        <v>406363.13</v>
      </c>
      <c r="Q310" s="2"/>
      <c r="R310" s="19">
        <f t="shared" si="150"/>
        <v>2.5248712503903443E-2</v>
      </c>
      <c r="S310" s="2"/>
      <c r="T310" s="2">
        <v>339332</v>
      </c>
      <c r="U310" s="2"/>
      <c r="V310" s="19">
        <f t="shared" si="151"/>
        <v>2.0592128189534806E-2</v>
      </c>
      <c r="W310" s="2"/>
      <c r="X310" s="2">
        <f t="shared" si="152"/>
        <v>67031.13</v>
      </c>
      <c r="Y310" s="2"/>
      <c r="Z310" s="19">
        <f t="shared" si="153"/>
        <v>0.19753848738108992</v>
      </c>
    </row>
    <row r="311" spans="1:26" s="24" customFormat="1" hidden="1" outlineLevel="1" x14ac:dyDescent="0.25">
      <c r="A311" s="44"/>
      <c r="B311" s="11" t="str">
        <f>CONCATENATE("          ", "9151", " - ", "MISC. INCOME")</f>
        <v xml:space="preserve">          9151 - MISC. INCOME</v>
      </c>
      <c r="C311" s="11"/>
      <c r="D311" s="2">
        <f>0</f>
        <v>0</v>
      </c>
      <c r="E311" s="2"/>
      <c r="F311" s="19">
        <f t="shared" si="146"/>
        <v>0</v>
      </c>
      <c r="G311" s="2"/>
      <c r="H311" s="2">
        <v>34550</v>
      </c>
      <c r="I311" s="2"/>
      <c r="J311" s="19">
        <f t="shared" si="147"/>
        <v>1.4072605741736969E-2</v>
      </c>
      <c r="K311" s="2"/>
      <c r="L311" s="2">
        <f t="shared" si="148"/>
        <v>-34550</v>
      </c>
      <c r="M311" s="2"/>
      <c r="N311" s="19">
        <f t="shared" si="149"/>
        <v>-1</v>
      </c>
      <c r="O311" s="11"/>
      <c r="P311" s="2">
        <f>--87224.27</f>
        <v>87224.27</v>
      </c>
      <c r="Q311" s="2"/>
      <c r="R311" s="19">
        <f t="shared" si="150"/>
        <v>5.4195382258052059E-3</v>
      </c>
      <c r="S311" s="2"/>
      <c r="T311" s="2">
        <v>309817</v>
      </c>
      <c r="U311" s="2"/>
      <c r="V311" s="19">
        <f t="shared" si="151"/>
        <v>1.8801030787833465E-2</v>
      </c>
      <c r="W311" s="2"/>
      <c r="X311" s="2">
        <f t="shared" si="152"/>
        <v>-222592.72999999998</v>
      </c>
      <c r="Y311" s="2"/>
      <c r="Z311" s="19">
        <f t="shared" si="153"/>
        <v>-0.71846519074163129</v>
      </c>
    </row>
    <row r="312" spans="1:26" s="24" customFormat="1" hidden="1" outlineLevel="1" x14ac:dyDescent="0.25">
      <c r="A312" s="44"/>
      <c r="B312" s="11" t="str">
        <f>CONCATENATE("          ", "9152", " - ", "MISC. INCOME")</f>
        <v xml:space="preserve">          9152 - MISC. INCOME</v>
      </c>
      <c r="C312" s="11"/>
      <c r="D312" s="2">
        <f>--154.22</f>
        <v>154.22</v>
      </c>
      <c r="E312" s="2"/>
      <c r="F312" s="19">
        <f t="shared" si="146"/>
        <v>5.8482964195426334E-5</v>
      </c>
      <c r="G312" s="2"/>
      <c r="H312" s="2"/>
      <c r="I312" s="2"/>
      <c r="J312" s="19">
        <f t="shared" si="147"/>
        <v>0</v>
      </c>
      <c r="K312" s="2"/>
      <c r="L312" s="2">
        <f t="shared" si="148"/>
        <v>154.22</v>
      </c>
      <c r="M312" s="2"/>
      <c r="N312" s="19">
        <f t="shared" si="149"/>
        <v>0</v>
      </c>
      <c r="O312" s="11"/>
      <c r="P312" s="2">
        <f>--848.32</f>
        <v>848.32</v>
      </c>
      <c r="Q312" s="2"/>
      <c r="R312" s="19">
        <f t="shared" si="150"/>
        <v>5.2708984181983663E-5</v>
      </c>
      <c r="S312" s="2"/>
      <c r="T312" s="2"/>
      <c r="U312" s="2"/>
      <c r="V312" s="19">
        <f t="shared" si="151"/>
        <v>0</v>
      </c>
      <c r="W312" s="2"/>
      <c r="X312" s="2">
        <f t="shared" si="152"/>
        <v>848.32</v>
      </c>
      <c r="Y312" s="2"/>
      <c r="Z312" s="19">
        <f t="shared" si="153"/>
        <v>0</v>
      </c>
    </row>
    <row r="313" spans="1:26" s="24" customFormat="1" hidden="1" outlineLevel="1" x14ac:dyDescent="0.25">
      <c r="A313" s="44"/>
      <c r="B313" s="11" t="str">
        <f>CONCATENATE("          ", "9153", " - ", "MISC. INCOME")</f>
        <v xml:space="preserve">          9153 - MISC. INCOME</v>
      </c>
      <c r="C313" s="11"/>
      <c r="D313" s="2">
        <f>--450</f>
        <v>450</v>
      </c>
      <c r="E313" s="2"/>
      <c r="F313" s="19">
        <f t="shared" si="146"/>
        <v>1.7064799564221145E-4</v>
      </c>
      <c r="G313" s="2"/>
      <c r="H313" s="2"/>
      <c r="I313" s="2"/>
      <c r="J313" s="19">
        <f t="shared" si="147"/>
        <v>0</v>
      </c>
      <c r="K313" s="2"/>
      <c r="L313" s="2">
        <f t="shared" si="148"/>
        <v>450</v>
      </c>
      <c r="M313" s="2"/>
      <c r="N313" s="19">
        <f t="shared" si="149"/>
        <v>0</v>
      </c>
      <c r="O313" s="11"/>
      <c r="P313" s="2">
        <f>--450</f>
        <v>450</v>
      </c>
      <c r="Q313" s="2"/>
      <c r="R313" s="19">
        <f t="shared" si="150"/>
        <v>2.796001848582215E-5</v>
      </c>
      <c r="S313" s="2"/>
      <c r="T313" s="2"/>
      <c r="U313" s="2"/>
      <c r="V313" s="19">
        <f t="shared" si="151"/>
        <v>0</v>
      </c>
      <c r="W313" s="2"/>
      <c r="X313" s="2">
        <f t="shared" si="152"/>
        <v>450</v>
      </c>
      <c r="Y313" s="2"/>
      <c r="Z313" s="19">
        <f t="shared" si="153"/>
        <v>0</v>
      </c>
    </row>
    <row r="314" spans="1:26" s="24" customFormat="1" hidden="1" outlineLevel="1" x14ac:dyDescent="0.25">
      <c r="A314" s="44"/>
      <c r="B314" s="11" t="str">
        <f>CONCATENATE("          ", "9160", " - ", "MISC. INCOME")</f>
        <v xml:space="preserve">          9160 - MISC. INCOME</v>
      </c>
      <c r="C314" s="11"/>
      <c r="D314" s="2">
        <f>--8997.32</f>
        <v>8997.32</v>
      </c>
      <c r="E314" s="2"/>
      <c r="F314" s="19">
        <f t="shared" si="146"/>
        <v>3.4119436092257373E-3</v>
      </c>
      <c r="G314" s="2"/>
      <c r="H314" s="2">
        <v>17300</v>
      </c>
      <c r="I314" s="2"/>
      <c r="J314" s="19">
        <f t="shared" si="147"/>
        <v>7.0464856536049079E-3</v>
      </c>
      <c r="K314" s="2"/>
      <c r="L314" s="2">
        <f t="shared" si="148"/>
        <v>-8302.68</v>
      </c>
      <c r="M314" s="2"/>
      <c r="N314" s="19">
        <f t="shared" si="149"/>
        <v>-0.47992369942196533</v>
      </c>
      <c r="O314" s="11"/>
      <c r="P314" s="2">
        <f>--126525.2</f>
        <v>126525.2</v>
      </c>
      <c r="Q314" s="2"/>
      <c r="R314" s="19">
        <f t="shared" si="150"/>
        <v>7.8614376242718761E-3</v>
      </c>
      <c r="S314" s="2"/>
      <c r="T314" s="2">
        <v>167100</v>
      </c>
      <c r="U314" s="2"/>
      <c r="V314" s="19">
        <f t="shared" si="151"/>
        <v>1.0140348155998451E-2</v>
      </c>
      <c r="W314" s="2"/>
      <c r="X314" s="2">
        <f t="shared" si="152"/>
        <v>-40574.800000000003</v>
      </c>
      <c r="Y314" s="2"/>
      <c r="Z314" s="19">
        <f t="shared" si="153"/>
        <v>-0.24281747456612809</v>
      </c>
    </row>
    <row r="315" spans="1:26" s="24" customFormat="1" hidden="1" outlineLevel="1" x14ac:dyDescent="0.25">
      <c r="A315" s="44"/>
      <c r="B315" s="11" t="str">
        <f>CONCATENATE("          ", "9163", " - ", "MISC. INCOME")</f>
        <v xml:space="preserve">          9163 - MISC. INCOME</v>
      </c>
      <c r="C315" s="11"/>
      <c r="D315" s="2">
        <f>0</f>
        <v>0</v>
      </c>
      <c r="E315" s="2"/>
      <c r="F315" s="19">
        <f t="shared" si="146"/>
        <v>0</v>
      </c>
      <c r="G315" s="2"/>
      <c r="H315" s="2"/>
      <c r="I315" s="2"/>
      <c r="J315" s="19">
        <f t="shared" si="147"/>
        <v>0</v>
      </c>
      <c r="K315" s="2"/>
      <c r="L315" s="2">
        <f t="shared" si="148"/>
        <v>0</v>
      </c>
      <c r="M315" s="2"/>
      <c r="N315" s="19">
        <f t="shared" si="149"/>
        <v>0</v>
      </c>
      <c r="O315" s="11"/>
      <c r="P315" s="2">
        <f>--61106.55</f>
        <v>61106.55</v>
      </c>
      <c r="Q315" s="2"/>
      <c r="R315" s="19">
        <f t="shared" si="150"/>
        <v>3.7967561502329234E-3</v>
      </c>
      <c r="S315" s="2"/>
      <c r="T315" s="2"/>
      <c r="U315" s="2"/>
      <c r="V315" s="19">
        <f t="shared" si="151"/>
        <v>0</v>
      </c>
      <c r="W315" s="2"/>
      <c r="X315" s="2">
        <f t="shared" si="152"/>
        <v>61106.55</v>
      </c>
      <c r="Y315" s="2"/>
      <c r="Z315" s="19">
        <f t="shared" si="153"/>
        <v>0</v>
      </c>
    </row>
    <row r="316" spans="1:26" s="24" customFormat="1" hidden="1" outlineLevel="1" x14ac:dyDescent="0.25">
      <c r="A316" s="44"/>
      <c r="B316" s="11" t="str">
        <f>CONCATENATE("          ", "9165", " - ", "OTHER INCOME")</f>
        <v xml:space="preserve">          9165 - OTHER INCOME</v>
      </c>
      <c r="C316" s="11"/>
      <c r="D316" s="2">
        <f>--10504.05</f>
        <v>10504.05</v>
      </c>
      <c r="E316" s="2"/>
      <c r="F316" s="19">
        <f t="shared" si="146"/>
        <v>3.9833223969457134E-3</v>
      </c>
      <c r="G316" s="2"/>
      <c r="H316" s="2"/>
      <c r="I316" s="2"/>
      <c r="J316" s="19">
        <f t="shared" si="147"/>
        <v>0</v>
      </c>
      <c r="K316" s="2"/>
      <c r="L316" s="2">
        <f t="shared" si="148"/>
        <v>10504.05</v>
      </c>
      <c r="M316" s="2"/>
      <c r="N316" s="19">
        <f t="shared" si="149"/>
        <v>0</v>
      </c>
      <c r="O316" s="11"/>
      <c r="P316" s="2">
        <f>--223374.12</f>
        <v>223374.12</v>
      </c>
      <c r="Q316" s="2"/>
      <c r="R316" s="19">
        <f t="shared" si="150"/>
        <v>1.3878987832120568E-2</v>
      </c>
      <c r="S316" s="2"/>
      <c r="T316" s="2"/>
      <c r="U316" s="2"/>
      <c r="V316" s="19">
        <f t="shared" si="151"/>
        <v>0</v>
      </c>
      <c r="W316" s="2"/>
      <c r="X316" s="2">
        <f t="shared" si="152"/>
        <v>223374.12</v>
      </c>
      <c r="Y316" s="2"/>
      <c r="Z316" s="19">
        <f t="shared" si="153"/>
        <v>0</v>
      </c>
    </row>
    <row r="317" spans="1:26" x14ac:dyDescent="0.25">
      <c r="A317" s="9"/>
      <c r="B317" s="10"/>
      <c r="C317" s="10"/>
      <c r="D317" s="3"/>
      <c r="E317" s="3"/>
      <c r="F317" s="8"/>
      <c r="G317" s="3"/>
      <c r="H317" s="3"/>
      <c r="I317" s="3"/>
      <c r="J317" s="8"/>
      <c r="K317" s="3"/>
      <c r="L317" s="3"/>
      <c r="M317" s="3"/>
      <c r="N317" s="8"/>
      <c r="O317" s="10"/>
      <c r="P317" s="3"/>
      <c r="Q317" s="3"/>
      <c r="R317" s="8"/>
      <c r="S317" s="3"/>
      <c r="T317" s="3"/>
      <c r="U317" s="3"/>
      <c r="V317" s="8"/>
      <c r="W317" s="3"/>
      <c r="X317" s="3"/>
      <c r="Y317" s="3"/>
      <c r="Z317" s="8"/>
    </row>
    <row r="318" spans="1:26" s="23" customFormat="1" x14ac:dyDescent="0.25">
      <c r="A318" s="10"/>
      <c r="B318" s="28" t="s">
        <v>3</v>
      </c>
      <c r="C318" s="28"/>
      <c r="D318" s="20">
        <f>+D195-D197+D304</f>
        <v>319480.62000000029</v>
      </c>
      <c r="E318" s="14"/>
      <c r="F318" s="22">
        <f>IF(D$12=0,0,D318/D$12)</f>
        <v>0.12115272766562458</v>
      </c>
      <c r="G318" s="14"/>
      <c r="H318" s="20">
        <f>+H195-H197+H304</f>
        <v>319511.96449652826</v>
      </c>
      <c r="I318" s="14"/>
      <c r="J318" s="22">
        <f>IF(H$12=0,0,H318/H$12)</f>
        <v>0.13014083664623741</v>
      </c>
      <c r="K318" s="16"/>
      <c r="L318" s="20">
        <f>+D318-H318</f>
        <v>-31.344496527977753</v>
      </c>
      <c r="M318" s="16"/>
      <c r="N318" s="22">
        <f>IF(H318=0,0,L318/H318)</f>
        <v>-9.8101166813483547E-5</v>
      </c>
      <c r="O318" s="29"/>
      <c r="P318" s="20">
        <f>+P195-P197+P304</f>
        <v>2206452.3399999952</v>
      </c>
      <c r="Q318" s="14"/>
      <c r="R318" s="22">
        <f>IF(P$12=0,0,P318/P$12)</f>
        <v>0.13709432936552313</v>
      </c>
      <c r="S318" s="14"/>
      <c r="T318" s="20">
        <f>+T195-T197+T304</f>
        <v>2505600.1910801455</v>
      </c>
      <c r="U318" s="14"/>
      <c r="V318" s="22">
        <f>IF(T$12=0,0,T318/T$12)</f>
        <v>0.15205061805678585</v>
      </c>
      <c r="W318" s="16"/>
      <c r="X318" s="20">
        <f>+P318-T318</f>
        <v>-299147.85108015034</v>
      </c>
      <c r="Y318" s="16"/>
      <c r="Z318" s="22">
        <f>IF(T318=0,0,X318/T318)</f>
        <v>-0.11939169391234358</v>
      </c>
    </row>
    <row r="319" spans="1:26" x14ac:dyDescent="0.25">
      <c r="A319" s="9"/>
      <c r="B319" s="10"/>
      <c r="C319" s="9"/>
      <c r="D319" s="3"/>
      <c r="E319" s="3"/>
      <c r="F319" s="8"/>
      <c r="G319" s="3"/>
      <c r="H319" s="3"/>
      <c r="I319" s="3"/>
      <c r="J319" s="8"/>
      <c r="K319" s="3"/>
      <c r="L319" s="3"/>
      <c r="M319" s="3"/>
      <c r="N319" s="8"/>
      <c r="P319" s="3"/>
      <c r="Q319" s="3"/>
      <c r="R319" s="8"/>
      <c r="S319" s="3"/>
      <c r="T319" s="3"/>
      <c r="U319" s="3"/>
      <c r="V319" s="8"/>
      <c r="W319" s="3"/>
      <c r="X319" s="3"/>
      <c r="Y319" s="3"/>
      <c r="Z319" s="8"/>
    </row>
    <row r="320" spans="1:26" s="23" customFormat="1" x14ac:dyDescent="0.25">
      <c r="A320" s="52"/>
      <c r="B320" s="10" t="s">
        <v>14</v>
      </c>
      <c r="C320" s="10"/>
      <c r="D320" s="4">
        <v>349632.63</v>
      </c>
      <c r="E320" s="4"/>
      <c r="F320" s="12">
        <f>IF(D$12=0,0,D320/D$12)</f>
        <v>0.13258690560136652</v>
      </c>
      <c r="G320" s="4"/>
      <c r="H320" s="4">
        <v>399609</v>
      </c>
      <c r="I320" s="4"/>
      <c r="J320" s="12">
        <f>IF(H$12=0,0,H320/H$12)</f>
        <v>0.16276526506077477</v>
      </c>
      <c r="K320" s="4"/>
      <c r="L320" s="4">
        <f>+D320-H320</f>
        <v>-49976.369999999995</v>
      </c>
      <c r="M320" s="4"/>
      <c r="N320" s="12">
        <f>IF(H320=0,0,L320/H320)</f>
        <v>-0.12506317425283214</v>
      </c>
      <c r="O320" s="10"/>
      <c r="P320" s="4">
        <v>1704289.1400000001</v>
      </c>
      <c r="Q320" s="4"/>
      <c r="R320" s="12">
        <f>IF(P$12=0,0,P320/P$12)</f>
        <v>0.1058932352435243</v>
      </c>
      <c r="S320" s="4"/>
      <c r="T320" s="4">
        <v>2088380</v>
      </c>
      <c r="U320" s="4"/>
      <c r="V320" s="12">
        <f>IF(T$12=0,0,T320/T$12)</f>
        <v>0.12673189875538027</v>
      </c>
      <c r="W320" s="4"/>
      <c r="X320" s="4">
        <f>+P320-T320</f>
        <v>-384090.85999999987</v>
      </c>
      <c r="Y320" s="4"/>
      <c r="Z320" s="12">
        <f>IF(T320=0,0,X320/T320)</f>
        <v>-0.18391808961970516</v>
      </c>
    </row>
    <row r="321" spans="1:26" x14ac:dyDescent="0.25">
      <c r="A321" s="9"/>
      <c r="B321" s="10"/>
      <c r="C321" s="10"/>
      <c r="D321" s="3"/>
      <c r="E321" s="3"/>
      <c r="F321" s="8"/>
      <c r="G321" s="3"/>
      <c r="H321" s="3"/>
      <c r="I321" s="3"/>
      <c r="J321" s="8"/>
      <c r="K321" s="3"/>
      <c r="L321" s="3"/>
      <c r="M321" s="3"/>
      <c r="N321" s="8"/>
      <c r="O321" s="10"/>
      <c r="P321" s="3"/>
      <c r="Q321" s="3"/>
      <c r="R321" s="8"/>
      <c r="S321" s="3"/>
      <c r="T321" s="3"/>
      <c r="U321" s="3"/>
      <c r="V321" s="8"/>
      <c r="W321" s="3"/>
      <c r="X321" s="3"/>
      <c r="Y321" s="3"/>
      <c r="Z321" s="8"/>
    </row>
    <row r="322" spans="1:26" s="23" customFormat="1" ht="15.75" thickBot="1" x14ac:dyDescent="0.3">
      <c r="A322" s="10"/>
      <c r="B322" s="28" t="s">
        <v>4</v>
      </c>
      <c r="C322" s="28"/>
      <c r="D322" s="30">
        <f>+D318-D320</f>
        <v>-30152.009999999718</v>
      </c>
      <c r="E322" s="14"/>
      <c r="F322" s="32">
        <f>IF(D$12=0,0,D322/D$12)</f>
        <v>-1.1434177935741929E-2</v>
      </c>
      <c r="G322" s="14"/>
      <c r="H322" s="30">
        <f>+H318-H320</f>
        <v>-80097.035503471736</v>
      </c>
      <c r="I322" s="14"/>
      <c r="J322" s="32">
        <f>IF(H$12=0,0,H322/H$12)</f>
        <v>-3.2624428414537374E-2</v>
      </c>
      <c r="K322" s="16"/>
      <c r="L322" s="30">
        <f>D322-H322</f>
        <v>49945.025503472018</v>
      </c>
      <c r="M322" s="16"/>
      <c r="N322" s="32">
        <f>IF(H322=0,0,L322/H322)</f>
        <v>-0.62355647983135654</v>
      </c>
      <c r="O322" s="29"/>
      <c r="P322" s="30">
        <f>+P318-P320</f>
        <v>502163.19999999506</v>
      </c>
      <c r="Q322" s="14"/>
      <c r="R322" s="32">
        <f>IF(P$12=0,0,P322/P$12)</f>
        <v>3.1201094121998816E-2</v>
      </c>
      <c r="S322" s="14"/>
      <c r="T322" s="30">
        <f>+T318-T320</f>
        <v>417220.19108014554</v>
      </c>
      <c r="U322" s="14"/>
      <c r="V322" s="32">
        <f>IF(T$12=0,0,T322/T$12)</f>
        <v>2.5318719301405595E-2</v>
      </c>
      <c r="W322" s="16"/>
      <c r="X322" s="30">
        <f>P322-T322</f>
        <v>84943.008919849526</v>
      </c>
      <c r="Y322" s="16"/>
      <c r="Z322" s="32">
        <f>IF(T322=0,0,X322/T322)</f>
        <v>0.20359275686044753</v>
      </c>
    </row>
    <row r="323" spans="1:26" ht="15.75" thickTop="1" x14ac:dyDescent="0.25">
      <c r="A323" s="9"/>
      <c r="B323" s="9"/>
      <c r="C323" s="9"/>
      <c r="D323" s="3"/>
      <c r="E323" s="3"/>
      <c r="F323" s="8"/>
      <c r="G323" s="3"/>
      <c r="H323" s="3"/>
      <c r="I323" s="3"/>
      <c r="J323" s="8"/>
      <c r="K323" s="3"/>
      <c r="L323" s="3"/>
      <c r="M323" s="3"/>
      <c r="N323" s="8"/>
      <c r="P323" s="3"/>
      <c r="Q323" s="3"/>
      <c r="R323" s="8"/>
      <c r="S323" s="3"/>
      <c r="T323" s="3"/>
      <c r="U323" s="3"/>
      <c r="V323" s="8"/>
      <c r="W323" s="3"/>
      <c r="X323" s="3"/>
      <c r="Y323" s="3"/>
      <c r="Z323" s="8"/>
    </row>
    <row r="324" spans="1:26" s="23" customFormat="1" x14ac:dyDescent="0.25">
      <c r="A324" s="52"/>
      <c r="B324" s="10" t="s">
        <v>2</v>
      </c>
      <c r="C324" s="10"/>
      <c r="D324" s="4">
        <f>--198901.42</f>
        <v>198901.42</v>
      </c>
      <c r="E324" s="4"/>
      <c r="F324" s="12">
        <f t="shared" ref="F324:F325" si="155">IF(D$12=0,0,D324/D$12)</f>
        <v>7.5426952563088165E-2</v>
      </c>
      <c r="G324" s="4"/>
      <c r="H324" s="4">
        <f t="shared" ref="H324:H325" si="156">--25000</f>
        <v>25000</v>
      </c>
      <c r="I324" s="4"/>
      <c r="J324" s="12">
        <f t="shared" ref="J324:J325" si="157">IF(H$12=0,0,H324/H$12)</f>
        <v>1.0182782736423278E-2</v>
      </c>
      <c r="K324" s="4"/>
      <c r="L324" s="4">
        <f t="shared" ref="L324:L325" si="158">+D324-H324</f>
        <v>173901.42</v>
      </c>
      <c r="M324" s="4"/>
      <c r="N324" s="12">
        <f t="shared" ref="N324:N325" si="159">IF(H324=0,0,L324/H324)</f>
        <v>6.9560568000000007</v>
      </c>
      <c r="O324" s="10"/>
      <c r="P324" s="4">
        <f>--317204.67</f>
        <v>317204.67</v>
      </c>
      <c r="Q324" s="4"/>
      <c r="R324" s="12">
        <f t="shared" ref="R324:R325" si="160">IF(P$12=0,0,P324/P$12)</f>
        <v>1.9708996526642476E-2</v>
      </c>
      <c r="S324" s="4"/>
      <c r="T324" s="4">
        <f>--125000</f>
        <v>125000</v>
      </c>
      <c r="U324" s="4"/>
      <c r="V324" s="12">
        <f t="shared" ref="V324:V325" si="161">IF(T$12=0,0,T324/T$12)</f>
        <v>7.5855387163363628E-3</v>
      </c>
      <c r="W324" s="4"/>
      <c r="X324" s="4">
        <f t="shared" ref="X324:X325" si="162">+P324-T324</f>
        <v>192204.66999999998</v>
      </c>
      <c r="Y324" s="4"/>
      <c r="Z324" s="12">
        <f t="shared" ref="Z324:Z325" si="163">IF(T324=0,0,X324/T324)</f>
        <v>1.53763736</v>
      </c>
    </row>
    <row r="325" spans="1:26" s="23" customFormat="1" x14ac:dyDescent="0.25">
      <c r="A325" s="52"/>
      <c r="B325" s="10" t="s">
        <v>1</v>
      </c>
      <c r="C325" s="10"/>
      <c r="D325" s="4">
        <f>--12962.29</f>
        <v>12962.29</v>
      </c>
      <c r="E325" s="4"/>
      <c r="F325" s="12">
        <f t="shared" si="155"/>
        <v>4.9155306831846247E-3</v>
      </c>
      <c r="G325" s="4"/>
      <c r="H325" s="4">
        <f t="shared" si="156"/>
        <v>25000</v>
      </c>
      <c r="I325" s="4"/>
      <c r="J325" s="12">
        <f t="shared" si="157"/>
        <v>1.0182782736423278E-2</v>
      </c>
      <c r="K325" s="4"/>
      <c r="L325" s="4">
        <f t="shared" si="158"/>
        <v>-12037.71</v>
      </c>
      <c r="M325" s="4"/>
      <c r="N325" s="12">
        <f t="shared" si="159"/>
        <v>-0.48150839999999995</v>
      </c>
      <c r="O325" s="10"/>
      <c r="P325" s="4">
        <f>--78175.3</f>
        <v>78175.3</v>
      </c>
      <c r="Q325" s="4"/>
      <c r="R325" s="12">
        <f t="shared" si="160"/>
        <v>4.8572951847437613E-3</v>
      </c>
      <c r="S325" s="4"/>
      <c r="T325" s="4">
        <f>--120000</f>
        <v>120000</v>
      </c>
      <c r="U325" s="4"/>
      <c r="V325" s="12">
        <f t="shared" si="161"/>
        <v>7.2821171676829086E-3</v>
      </c>
      <c r="W325" s="4"/>
      <c r="X325" s="4">
        <f t="shared" si="162"/>
        <v>-41824.699999999997</v>
      </c>
      <c r="Y325" s="4"/>
      <c r="Z325" s="12">
        <f t="shared" si="163"/>
        <v>-0.34853916666666662</v>
      </c>
    </row>
    <row r="326" spans="1:26" x14ac:dyDescent="0.25">
      <c r="A326" s="9"/>
      <c r="B326" s="9"/>
      <c r="C326" s="9"/>
      <c r="D326" s="3"/>
      <c r="E326" s="3"/>
      <c r="F326" s="8"/>
      <c r="G326" s="3"/>
      <c r="H326" s="3"/>
      <c r="I326" s="3"/>
      <c r="J326" s="8"/>
      <c r="K326" s="3"/>
      <c r="L326" s="3"/>
      <c r="M326" s="3"/>
      <c r="N326" s="8"/>
      <c r="P326" s="3"/>
      <c r="Q326" s="3"/>
      <c r="R326" s="8"/>
      <c r="S326" s="3"/>
      <c r="T326" s="3"/>
      <c r="U326" s="3"/>
      <c r="V326" s="8"/>
      <c r="W326" s="3"/>
      <c r="X326" s="3"/>
      <c r="Y326" s="3"/>
      <c r="Z326" s="8"/>
    </row>
    <row r="327" spans="1:26" s="23" customFormat="1" ht="15.75" thickBot="1" x14ac:dyDescent="0.3">
      <c r="A327" s="10"/>
      <c r="B327" s="28" t="s">
        <v>5</v>
      </c>
      <c r="C327" s="28"/>
      <c r="D327" s="31">
        <f>SUM(D322:D326)</f>
        <v>181711.7000000003</v>
      </c>
      <c r="E327" s="14"/>
      <c r="F327" s="35">
        <f>IF(D$12=0,0,D327/D$12)</f>
        <v>6.8908305310530854E-2</v>
      </c>
      <c r="G327" s="14"/>
      <c r="H327" s="31">
        <f>SUM(H322:H326)</f>
        <v>-30097.035503471736</v>
      </c>
      <c r="I327" s="14"/>
      <c r="J327" s="35">
        <f>IF(H$12=0,0,H327/H$12)</f>
        <v>-1.2258862941690818E-2</v>
      </c>
      <c r="K327" s="16"/>
      <c r="L327" s="31">
        <f>+D327-H327</f>
        <v>211808.73550347204</v>
      </c>
      <c r="M327" s="16"/>
      <c r="N327" s="35">
        <f>IF(H327=0,0,L327/H327)</f>
        <v>-7.0375281804428749</v>
      </c>
      <c r="O327" s="29"/>
      <c r="P327" s="31">
        <f>SUM(P322:P326)</f>
        <v>897543.16999999504</v>
      </c>
      <c r="Q327" s="14"/>
      <c r="R327" s="35">
        <f>IF(P$12=0,0,P327/P$12)</f>
        <v>5.5767385833385051E-2</v>
      </c>
      <c r="S327" s="14"/>
      <c r="T327" s="31">
        <f>SUM(T322:T326)</f>
        <v>662220.19108014554</v>
      </c>
      <c r="U327" s="14"/>
      <c r="V327" s="35">
        <f>IF(T$12=0,0,T327/T$12)</f>
        <v>4.0186375185424866E-2</v>
      </c>
      <c r="W327" s="16"/>
      <c r="X327" s="31">
        <f>+P327-T327</f>
        <v>235322.9789198495</v>
      </c>
      <c r="Y327" s="16"/>
      <c r="Z327" s="35">
        <f>IF(T327=0,0,X327/T327)</f>
        <v>0.35535458158715283</v>
      </c>
    </row>
    <row r="328" spans="1:26" ht="15.75" thickTop="1" x14ac:dyDescent="0.25">
      <c r="A328" s="9"/>
      <c r="C328" s="9"/>
      <c r="D328" s="17"/>
      <c r="E328" s="17"/>
      <c r="G328" s="17"/>
      <c r="H328" s="17"/>
      <c r="I328" s="17"/>
      <c r="J328" s="43"/>
      <c r="K328" s="17"/>
      <c r="L328" s="17"/>
      <c r="M328" s="17"/>
      <c r="P328" s="17"/>
      <c r="Q328" s="17"/>
      <c r="R328" s="43"/>
      <c r="S328" s="17"/>
      <c r="T328" s="17"/>
      <c r="U328" s="17"/>
      <c r="V328" s="43"/>
      <c r="W328" s="17"/>
      <c r="X328" s="17"/>
    </row>
    <row r="329" spans="1:26" x14ac:dyDescent="0.25">
      <c r="A329" s="9"/>
      <c r="B329" s="56">
        <v>43815.483079432874</v>
      </c>
      <c r="D329" s="17"/>
      <c r="E329" s="17"/>
      <c r="G329" s="17"/>
      <c r="H329" s="17"/>
      <c r="I329" s="17"/>
      <c r="J329" s="43"/>
      <c r="K329" s="17"/>
      <c r="L329" s="17"/>
      <c r="M329" s="17"/>
      <c r="P329" s="17"/>
      <c r="Q329" s="17"/>
      <c r="R329" s="43"/>
      <c r="S329" s="17"/>
      <c r="T329" s="17"/>
      <c r="U329" s="17"/>
      <c r="V329" s="43"/>
      <c r="W329" s="17"/>
      <c r="X329" s="17"/>
    </row>
    <row r="330" spans="1:26" x14ac:dyDescent="0.25">
      <c r="A330" s="9"/>
      <c r="B330" s="62" t="s">
        <v>314</v>
      </c>
      <c r="D330" s="17"/>
      <c r="E330" s="17"/>
      <c r="G330" s="17"/>
      <c r="H330" s="17"/>
      <c r="I330" s="17"/>
      <c r="J330" s="43"/>
      <c r="K330" s="17"/>
      <c r="L330" s="17"/>
      <c r="M330" s="17"/>
      <c r="P330" s="17"/>
      <c r="Q330" s="17"/>
      <c r="R330" s="43"/>
      <c r="S330" s="17"/>
      <c r="T330" s="17"/>
      <c r="U330" s="17"/>
      <c r="V330" s="43"/>
      <c r="W330" s="17"/>
      <c r="X330" s="17"/>
    </row>
    <row r="331" spans="1:26" x14ac:dyDescent="0.25">
      <c r="A331" s="9"/>
      <c r="B331" s="58"/>
      <c r="D331" s="17"/>
      <c r="E331" s="17"/>
      <c r="G331" s="17"/>
      <c r="H331" s="17"/>
      <c r="I331" s="17"/>
      <c r="J331" s="43"/>
      <c r="K331" s="17"/>
      <c r="L331" s="17"/>
      <c r="M331" s="17"/>
      <c r="P331" s="17"/>
      <c r="Q331" s="17"/>
      <c r="R331" s="43"/>
      <c r="S331" s="17"/>
      <c r="T331" s="17"/>
      <c r="U331" s="17"/>
      <c r="V331" s="43"/>
      <c r="W331" s="17"/>
      <c r="X331" s="17"/>
    </row>
    <row r="332" spans="1:26" x14ac:dyDescent="0.25">
      <c r="D332" s="17"/>
      <c r="E332" s="17"/>
      <c r="G332" s="17"/>
      <c r="H332" s="17"/>
      <c r="I332" s="17"/>
      <c r="J332" s="43"/>
      <c r="K332" s="17"/>
      <c r="L332" s="17"/>
      <c r="M332" s="17"/>
      <c r="P332" s="17"/>
      <c r="Q332" s="17"/>
      <c r="R332" s="43"/>
      <c r="S332" s="17"/>
      <c r="T332" s="17"/>
      <c r="U332" s="17"/>
      <c r="V332" s="43"/>
      <c r="W332" s="17"/>
      <c r="X332" s="17"/>
    </row>
  </sheetData>
  <pageMargins left="0.25" right="0.25" top="0.75" bottom="0.75" header="0.3" footer="0.3"/>
  <pageSetup scale="55" fitToWidth="2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301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301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302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302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298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298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311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311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299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SUM(0)</f>
        <v>0</v>
      </c>
      <c r="E18" s="21"/>
      <c r="F18" s="33">
        <f>IF(D$12=0,0,D18/D$12)</f>
        <v>0</v>
      </c>
      <c r="G18" s="21"/>
      <c r="H18" s="21">
        <f>SUM(0)</f>
        <v>0</v>
      </c>
      <c r="I18" s="21"/>
      <c r="J18" s="33">
        <f>IF(H$12=0,0,H18/H$12)</f>
        <v>0</v>
      </c>
      <c r="K18" s="4"/>
      <c r="L18" s="21">
        <f>+D18-H18</f>
        <v>0</v>
      </c>
      <c r="M18" s="4"/>
      <c r="N18" s="33">
        <f>IF(H18=0,0,L18/H18)</f>
        <v>0</v>
      </c>
      <c r="O18" s="10"/>
      <c r="P18" s="21">
        <f>SUM(0)</f>
        <v>0</v>
      </c>
      <c r="Q18" s="21"/>
      <c r="R18" s="33">
        <f>IF(P$12=0,0,P18/P$12)</f>
        <v>0</v>
      </c>
      <c r="S18" s="21"/>
      <c r="T18" s="21">
        <f>SUM(0)</f>
        <v>0</v>
      </c>
      <c r="U18" s="21"/>
      <c r="V18" s="33">
        <f>IF(T$12=0,0,T18/T$12)</f>
        <v>0</v>
      </c>
      <c r="W18" s="4"/>
      <c r="X18" s="21">
        <f>+P18-T18</f>
        <v>0</v>
      </c>
      <c r="Y18" s="4"/>
      <c r="Z18" s="33">
        <f>IF(T18=0,0,X18/T18)</f>
        <v>0</v>
      </c>
    </row>
    <row r="19" spans="1:26" s="59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0">
        <f>+D16-D18+D20</f>
        <v>0</v>
      </c>
      <c r="E22" s="14"/>
      <c r="F22" s="22">
        <f>IF(D$12=0,0,D22/D$12)</f>
        <v>0</v>
      </c>
      <c r="G22" s="14"/>
      <c r="H22" s="20">
        <f>+H16-H18+H20</f>
        <v>0</v>
      </c>
      <c r="I22" s="14"/>
      <c r="J22" s="22">
        <f>IF(H$12=0,0,H22/H$12)</f>
        <v>0</v>
      </c>
      <c r="K22" s="16"/>
      <c r="L22" s="20">
        <f>+D22-H22</f>
        <v>0</v>
      </c>
      <c r="M22" s="16"/>
      <c r="N22" s="22">
        <f>IF(H22=0,0,L22/H22)</f>
        <v>0</v>
      </c>
      <c r="O22" s="29"/>
      <c r="P22" s="20">
        <f>+P16-P18+P20</f>
        <v>0</v>
      </c>
      <c r="Q22" s="14"/>
      <c r="R22" s="22">
        <f>IF(P$12=0,0,P22/P$12)</f>
        <v>0</v>
      </c>
      <c r="S22" s="14"/>
      <c r="T22" s="20">
        <f>+T16-T18+T20</f>
        <v>0</v>
      </c>
      <c r="U22" s="14"/>
      <c r="V22" s="22">
        <f>IF(T$12=0,0,T22/T$12)</f>
        <v>0</v>
      </c>
      <c r="W22" s="16"/>
      <c r="X22" s="20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0">
        <f>+D22-D24</f>
        <v>0</v>
      </c>
      <c r="E26" s="14"/>
      <c r="F26" s="32">
        <f>IF(D$12=0,0,D26/D$12)</f>
        <v>0</v>
      </c>
      <c r="G26" s="14"/>
      <c r="H26" s="30">
        <f>+H22-H24</f>
        <v>0</v>
      </c>
      <c r="I26" s="14"/>
      <c r="J26" s="32">
        <f>IF(H$12=0,0,H26/H$12)</f>
        <v>0</v>
      </c>
      <c r="K26" s="16"/>
      <c r="L26" s="30">
        <f>D26-H26</f>
        <v>0</v>
      </c>
      <c r="M26" s="16"/>
      <c r="N26" s="32">
        <f>IF(H26=0,0,L26/H26)</f>
        <v>0</v>
      </c>
      <c r="O26" s="29"/>
      <c r="P26" s="30">
        <f>+P22-P24</f>
        <v>0</v>
      </c>
      <c r="Q26" s="14"/>
      <c r="R26" s="32">
        <f>IF(P$12=0,0,P26/P$12)</f>
        <v>0</v>
      </c>
      <c r="S26" s="14"/>
      <c r="T26" s="30">
        <f>+T22-T24</f>
        <v>0</v>
      </c>
      <c r="U26" s="14"/>
      <c r="V26" s="32">
        <f>IF(T$12=0,0,T26/T$12)</f>
        <v>0</v>
      </c>
      <c r="W26" s="16"/>
      <c r="X26" s="30">
        <f>P26-T26</f>
        <v>0</v>
      </c>
      <c r="Y26" s="16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--198901.42</f>
        <v>198901.42</v>
      </c>
      <c r="E28" s="4"/>
      <c r="F28" s="12">
        <f t="shared" ref="F28:F29" si="0">IF(D$12=0,0,D28/D$12)</f>
        <v>0</v>
      </c>
      <c r="G28" s="4"/>
      <c r="H28" s="4">
        <f t="shared" ref="H28:H29" si="1">--25000</f>
        <v>25000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173901.42</v>
      </c>
      <c r="M28" s="4"/>
      <c r="N28" s="12">
        <f t="shared" ref="N28:N29" si="4">IF(H28=0,0,L28/H28)</f>
        <v>6.9560568000000007</v>
      </c>
      <c r="O28" s="10"/>
      <c r="P28" s="4">
        <f>--317204.67</f>
        <v>317204.67</v>
      </c>
      <c r="Q28" s="4"/>
      <c r="R28" s="12">
        <f t="shared" ref="R28:R29" si="5">IF(P$12=0,0,P28/P$12)</f>
        <v>0</v>
      </c>
      <c r="S28" s="4"/>
      <c r="T28" s="4">
        <f>--125000</f>
        <v>125000</v>
      </c>
      <c r="U28" s="4"/>
      <c r="V28" s="12">
        <f t="shared" ref="V28:V29" si="6">IF(T$12=0,0,T28/T$12)</f>
        <v>0</v>
      </c>
      <c r="W28" s="4"/>
      <c r="X28" s="4">
        <f t="shared" ref="X28:X29" si="7">+P28-T28</f>
        <v>192204.66999999998</v>
      </c>
      <c r="Y28" s="4"/>
      <c r="Z28" s="12">
        <f t="shared" ref="Z28:Z29" si="8">IF(T28=0,0,X28/T28)</f>
        <v>1.53763736</v>
      </c>
    </row>
    <row r="29" spans="1:26" s="23" customFormat="1" x14ac:dyDescent="0.25">
      <c r="A29" s="52"/>
      <c r="B29" s="10" t="s">
        <v>1</v>
      </c>
      <c r="C29" s="10"/>
      <c r="D29" s="4">
        <f>--12962.29</f>
        <v>12962.29</v>
      </c>
      <c r="E29" s="4"/>
      <c r="F29" s="12">
        <f t="shared" si="0"/>
        <v>0</v>
      </c>
      <c r="G29" s="4"/>
      <c r="H29" s="4">
        <f t="shared" si="1"/>
        <v>25000</v>
      </c>
      <c r="I29" s="4"/>
      <c r="J29" s="12">
        <f t="shared" si="2"/>
        <v>0</v>
      </c>
      <c r="K29" s="4"/>
      <c r="L29" s="4">
        <f t="shared" si="3"/>
        <v>-12037.71</v>
      </c>
      <c r="M29" s="4"/>
      <c r="N29" s="12">
        <f t="shared" si="4"/>
        <v>-0.48150839999999995</v>
      </c>
      <c r="O29" s="10"/>
      <c r="P29" s="4">
        <f>--78175.3</f>
        <v>78175.3</v>
      </c>
      <c r="Q29" s="4"/>
      <c r="R29" s="12">
        <f t="shared" si="5"/>
        <v>0</v>
      </c>
      <c r="S29" s="4"/>
      <c r="T29" s="4">
        <f>--120000</f>
        <v>120000</v>
      </c>
      <c r="U29" s="4"/>
      <c r="V29" s="12">
        <f t="shared" si="6"/>
        <v>0</v>
      </c>
      <c r="W29" s="4"/>
      <c r="X29" s="4">
        <f t="shared" si="7"/>
        <v>-41824.699999999997</v>
      </c>
      <c r="Y29" s="4"/>
      <c r="Z29" s="12">
        <f t="shared" si="8"/>
        <v>-0.34853916666666662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1">
        <f>SUM(D26:D30)</f>
        <v>211863.71000000002</v>
      </c>
      <c r="E31" s="14"/>
      <c r="F31" s="35">
        <f>IF(D$12=0,0,D31/D$12)</f>
        <v>0</v>
      </c>
      <c r="G31" s="14"/>
      <c r="H31" s="31">
        <f>SUM(H26:H30)</f>
        <v>50000</v>
      </c>
      <c r="I31" s="14"/>
      <c r="J31" s="35">
        <f>IF(H$12=0,0,H31/H$12)</f>
        <v>0</v>
      </c>
      <c r="K31" s="16"/>
      <c r="L31" s="31">
        <f>+D31-H31</f>
        <v>161863.71000000002</v>
      </c>
      <c r="M31" s="16"/>
      <c r="N31" s="35">
        <f>IF(H31=0,0,L31/H31)</f>
        <v>3.2372742000000003</v>
      </c>
      <c r="O31" s="29"/>
      <c r="P31" s="31">
        <f>SUM(P26:P30)</f>
        <v>395379.97</v>
      </c>
      <c r="Q31" s="14"/>
      <c r="R31" s="35">
        <f>IF(P$12=0,0,P31/P$12)</f>
        <v>0</v>
      </c>
      <c r="S31" s="14"/>
      <c r="T31" s="31">
        <f>SUM(T26:T30)</f>
        <v>245000</v>
      </c>
      <c r="U31" s="14"/>
      <c r="V31" s="35">
        <f>IF(T$12=0,0,T31/T$12)</f>
        <v>0</v>
      </c>
      <c r="W31" s="16"/>
      <c r="X31" s="31">
        <f>+P31-T31</f>
        <v>150379.96999999997</v>
      </c>
      <c r="Y31" s="16"/>
      <c r="Z31" s="35">
        <f>IF(T31=0,0,X31/T31)</f>
        <v>0.61379579591836719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6">
        <v>43815.483110104164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62" t="s">
        <v>314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58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","100", " - ", "Corporate")</f>
        <v>Department 100 - Corporate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SUM(0)</f>
        <v>0</v>
      </c>
      <c r="E18" s="21"/>
      <c r="F18" s="33">
        <f>IF(D$12=0,0,D18/D$12)</f>
        <v>0</v>
      </c>
      <c r="G18" s="21"/>
      <c r="H18" s="21">
        <f>SUM(0)</f>
        <v>0</v>
      </c>
      <c r="I18" s="21"/>
      <c r="J18" s="33">
        <f>IF(H$12=0,0,H18/H$12)</f>
        <v>0</v>
      </c>
      <c r="K18" s="4"/>
      <c r="L18" s="21">
        <f>+D18-H18</f>
        <v>0</v>
      </c>
      <c r="M18" s="4"/>
      <c r="N18" s="33">
        <f>IF(H18=0,0,L18/H18)</f>
        <v>0</v>
      </c>
      <c r="O18" s="10"/>
      <c r="P18" s="21">
        <f>SUM(0)</f>
        <v>0</v>
      </c>
      <c r="Q18" s="21"/>
      <c r="R18" s="33">
        <f>IF(P$12=0,0,P18/P$12)</f>
        <v>0</v>
      </c>
      <c r="S18" s="21"/>
      <c r="T18" s="21">
        <f>SUM(0)</f>
        <v>0</v>
      </c>
      <c r="U18" s="21"/>
      <c r="V18" s="33">
        <f>IF(T$12=0,0,T18/T$12)</f>
        <v>0</v>
      </c>
      <c r="W18" s="4"/>
      <c r="X18" s="21">
        <f>+P18-T18</f>
        <v>0</v>
      </c>
      <c r="Y18" s="4"/>
      <c r="Z18" s="33">
        <f>IF(T18=0,0,X18/T18)</f>
        <v>0</v>
      </c>
    </row>
    <row r="19" spans="1:26" s="59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0">
        <f>+D16-D18+D20</f>
        <v>0</v>
      </c>
      <c r="E22" s="14"/>
      <c r="F22" s="22">
        <f>IF(D$12=0,0,D22/D$12)</f>
        <v>0</v>
      </c>
      <c r="G22" s="14"/>
      <c r="H22" s="20">
        <f>+H16-H18+H20</f>
        <v>0</v>
      </c>
      <c r="I22" s="14"/>
      <c r="J22" s="22">
        <f>IF(H$12=0,0,H22/H$12)</f>
        <v>0</v>
      </c>
      <c r="K22" s="16"/>
      <c r="L22" s="20">
        <f>+D22-H22</f>
        <v>0</v>
      </c>
      <c r="M22" s="16"/>
      <c r="N22" s="22">
        <f>IF(H22=0,0,L22/H22)</f>
        <v>0</v>
      </c>
      <c r="O22" s="29"/>
      <c r="P22" s="20">
        <f>+P16-P18+P20</f>
        <v>0</v>
      </c>
      <c r="Q22" s="14"/>
      <c r="R22" s="22">
        <f>IF(P$12=0,0,P22/P$12)</f>
        <v>0</v>
      </c>
      <c r="S22" s="14"/>
      <c r="T22" s="20">
        <f>+T16-T18+T20</f>
        <v>0</v>
      </c>
      <c r="U22" s="14"/>
      <c r="V22" s="22">
        <f>IF(T$12=0,0,T22/T$12)</f>
        <v>0</v>
      </c>
      <c r="W22" s="16"/>
      <c r="X22" s="20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0">
        <f>+D22-D24</f>
        <v>0</v>
      </c>
      <c r="E26" s="14"/>
      <c r="F26" s="32">
        <f>IF(D$12=0,0,D26/D$12)</f>
        <v>0</v>
      </c>
      <c r="G26" s="14"/>
      <c r="H26" s="30">
        <f>+H22-H24</f>
        <v>0</v>
      </c>
      <c r="I26" s="14"/>
      <c r="J26" s="32">
        <f>IF(H$12=0,0,H26/H$12)</f>
        <v>0</v>
      </c>
      <c r="K26" s="16"/>
      <c r="L26" s="30">
        <f>D26-H26</f>
        <v>0</v>
      </c>
      <c r="M26" s="16"/>
      <c r="N26" s="32">
        <f>IF(H26=0,0,L26/H26)</f>
        <v>0</v>
      </c>
      <c r="O26" s="29"/>
      <c r="P26" s="30">
        <f>+P22-P24</f>
        <v>0</v>
      </c>
      <c r="Q26" s="14"/>
      <c r="R26" s="32">
        <f>IF(P$12=0,0,P26/P$12)</f>
        <v>0</v>
      </c>
      <c r="S26" s="14"/>
      <c r="T26" s="30">
        <f>+T22-T24</f>
        <v>0</v>
      </c>
      <c r="U26" s="14"/>
      <c r="V26" s="32">
        <f>IF(T$12=0,0,T26/T$12)</f>
        <v>0</v>
      </c>
      <c r="W26" s="16"/>
      <c r="X26" s="30">
        <f>P26-T26</f>
        <v>0</v>
      </c>
      <c r="Y26" s="16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--198901.42</f>
        <v>198901.42</v>
      </c>
      <c r="E28" s="4"/>
      <c r="F28" s="12">
        <f t="shared" ref="F28:F29" si="0">IF(D$12=0,0,D28/D$12)</f>
        <v>0</v>
      </c>
      <c r="G28" s="4"/>
      <c r="H28" s="4">
        <f t="shared" ref="H28:H29" si="1">--25000</f>
        <v>25000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173901.42</v>
      </c>
      <c r="M28" s="4"/>
      <c r="N28" s="12">
        <f t="shared" ref="N28:N29" si="4">IF(H28=0,0,L28/H28)</f>
        <v>6.9560568000000007</v>
      </c>
      <c r="O28" s="10"/>
      <c r="P28" s="4">
        <f>--317204.67</f>
        <v>317204.67</v>
      </c>
      <c r="Q28" s="4"/>
      <c r="R28" s="12">
        <f t="shared" ref="R28:R29" si="5">IF(P$12=0,0,P28/P$12)</f>
        <v>0</v>
      </c>
      <c r="S28" s="4"/>
      <c r="T28" s="4">
        <f>--125000</f>
        <v>125000</v>
      </c>
      <c r="U28" s="4"/>
      <c r="V28" s="12">
        <f t="shared" ref="V28:V29" si="6">IF(T$12=0,0,T28/T$12)</f>
        <v>0</v>
      </c>
      <c r="W28" s="4"/>
      <c r="X28" s="4">
        <f t="shared" ref="X28:X29" si="7">+P28-T28</f>
        <v>192204.66999999998</v>
      </c>
      <c r="Y28" s="4"/>
      <c r="Z28" s="12">
        <f t="shared" ref="Z28:Z29" si="8">IF(T28=0,0,X28/T28)</f>
        <v>1.53763736</v>
      </c>
    </row>
    <row r="29" spans="1:26" s="23" customFormat="1" x14ac:dyDescent="0.25">
      <c r="A29" s="52"/>
      <c r="B29" s="10" t="s">
        <v>1</v>
      </c>
      <c r="C29" s="10"/>
      <c r="D29" s="4">
        <f>--12962.29</f>
        <v>12962.29</v>
      </c>
      <c r="E29" s="4"/>
      <c r="F29" s="12">
        <f t="shared" si="0"/>
        <v>0</v>
      </c>
      <c r="G29" s="4"/>
      <c r="H29" s="4">
        <f t="shared" si="1"/>
        <v>25000</v>
      </c>
      <c r="I29" s="4"/>
      <c r="J29" s="12">
        <f t="shared" si="2"/>
        <v>0</v>
      </c>
      <c r="K29" s="4"/>
      <c r="L29" s="4">
        <f t="shared" si="3"/>
        <v>-12037.71</v>
      </c>
      <c r="M29" s="4"/>
      <c r="N29" s="12">
        <f t="shared" si="4"/>
        <v>-0.48150839999999995</v>
      </c>
      <c r="O29" s="10"/>
      <c r="P29" s="4">
        <f>--78175.3</f>
        <v>78175.3</v>
      </c>
      <c r="Q29" s="4"/>
      <c r="R29" s="12">
        <f t="shared" si="5"/>
        <v>0</v>
      </c>
      <c r="S29" s="4"/>
      <c r="T29" s="4">
        <f>--120000</f>
        <v>120000</v>
      </c>
      <c r="U29" s="4"/>
      <c r="V29" s="12">
        <f t="shared" si="6"/>
        <v>0</v>
      </c>
      <c r="W29" s="4"/>
      <c r="X29" s="4">
        <f t="shared" si="7"/>
        <v>-41824.699999999997</v>
      </c>
      <c r="Y29" s="4"/>
      <c r="Z29" s="12">
        <f t="shared" si="8"/>
        <v>-0.34853916666666662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5</v>
      </c>
      <c r="C31" s="28"/>
      <c r="D31" s="31">
        <f>SUM(D26:D30)</f>
        <v>211863.71000000002</v>
      </c>
      <c r="E31" s="14"/>
      <c r="F31" s="35">
        <f>IF(D$12=0,0,D31/D$12)</f>
        <v>0</v>
      </c>
      <c r="G31" s="14"/>
      <c r="H31" s="31">
        <f>SUM(H26:H30)</f>
        <v>50000</v>
      </c>
      <c r="I31" s="14"/>
      <c r="J31" s="35">
        <f>IF(H$12=0,0,H31/H$12)</f>
        <v>0</v>
      </c>
      <c r="K31" s="16"/>
      <c r="L31" s="31">
        <f>+D31-H31</f>
        <v>161863.71000000002</v>
      </c>
      <c r="M31" s="16"/>
      <c r="N31" s="35">
        <f>IF(H31=0,0,L31/H31)</f>
        <v>3.2372742000000003</v>
      </c>
      <c r="O31" s="29"/>
      <c r="P31" s="31">
        <f>SUM(P26:P30)</f>
        <v>395379.97</v>
      </c>
      <c r="Q31" s="14"/>
      <c r="R31" s="35">
        <f>IF(P$12=0,0,P31/P$12)</f>
        <v>0</v>
      </c>
      <c r="S31" s="14"/>
      <c r="T31" s="31">
        <f>SUM(T26:T30)</f>
        <v>245000</v>
      </c>
      <c r="U31" s="14"/>
      <c r="V31" s="35">
        <f>IF(T$12=0,0,T31/T$12)</f>
        <v>0</v>
      </c>
      <c r="W31" s="16"/>
      <c r="X31" s="31">
        <f>+P31-T31</f>
        <v>150379.96999999997</v>
      </c>
      <c r="Y31" s="16"/>
      <c r="Z31" s="35">
        <f>IF(T31=0,0,X31/T31)</f>
        <v>0.61379579591836719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6">
        <v>43815.483431631947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62" t="s">
        <v>314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58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297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1"/>
  <sheetViews>
    <sheetView zoomScale="80" workbookViewId="0">
      <pane xSplit="3" ySplit="10" topLeftCell="D46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300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349632.63</v>
      </c>
      <c r="E18" s="21"/>
      <c r="F18" s="33">
        <f t="shared" ref="F18:F30" si="0">IF(D$12=0,0,D18/D$12)</f>
        <v>0</v>
      </c>
      <c r="G18" s="21"/>
      <c r="H18" s="21">
        <f>SUM(OSRRefH22x_0)</f>
        <v>399609.11450137431</v>
      </c>
      <c r="I18" s="21"/>
      <c r="J18" s="33">
        <f t="shared" ref="J18:J30" si="1">IF(H$12=0,0,H18/H$12)</f>
        <v>0</v>
      </c>
      <c r="K18" s="4"/>
      <c r="L18" s="21">
        <f t="shared" ref="L18:L30" si="2">+D18-H18</f>
        <v>-49976.484501374303</v>
      </c>
      <c r="M18" s="4"/>
      <c r="N18" s="33">
        <f t="shared" ref="N18:N30" si="3">IF(H18=0,0,L18/H18)</f>
        <v>-0.12506342495149075</v>
      </c>
      <c r="O18" s="10"/>
      <c r="P18" s="21">
        <f>SUM(OSRRefP22x_0)</f>
        <v>1704289.1400000006</v>
      </c>
      <c r="Q18" s="21"/>
      <c r="R18" s="33">
        <f t="shared" ref="R18:R30" si="4">IF(P$12=0,0,P18/P$12)</f>
        <v>0</v>
      </c>
      <c r="S18" s="21"/>
      <c r="T18" s="21">
        <f>SUM(OSRRefT22x_0)</f>
        <v>2088382.2924186748</v>
      </c>
      <c r="U18" s="21"/>
      <c r="V18" s="33">
        <f t="shared" ref="V18:V30" si="5">IF(T$12=0,0,T18/T$12)</f>
        <v>0</v>
      </c>
      <c r="W18" s="4"/>
      <c r="X18" s="21">
        <f t="shared" ref="X18:X30" si="6">+P18-T18</f>
        <v>-384093.1524186742</v>
      </c>
      <c r="Y18" s="4"/>
      <c r="Z18" s="33">
        <f t="shared" ref="Z18:Z30" si="7">IF(T18=0,0,X18/T18)</f>
        <v>-0.1839189854333777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80994.819999999992</v>
      </c>
      <c r="E19" s="1"/>
      <c r="F19" s="5">
        <f t="shared" si="0"/>
        <v>0</v>
      </c>
      <c r="G19" s="1"/>
      <c r="H19" s="1">
        <f>SUM(OSRRefH22_0x_0)</f>
        <v>97975.91434445139</v>
      </c>
      <c r="I19" s="1"/>
      <c r="J19" s="5">
        <f t="shared" si="1"/>
        <v>0</v>
      </c>
      <c r="K19" s="1"/>
      <c r="L19" s="1">
        <f t="shared" si="2"/>
        <v>-16981.094344451398</v>
      </c>
      <c r="M19" s="1"/>
      <c r="N19" s="5">
        <f t="shared" si="3"/>
        <v>-0.1733190698762086</v>
      </c>
      <c r="O19" s="13"/>
      <c r="P19" s="1">
        <f>SUM(OSRRefP22_0x_0)</f>
        <v>474123.82</v>
      </c>
      <c r="Q19" s="1"/>
      <c r="R19" s="5">
        <f t="shared" si="4"/>
        <v>0</v>
      </c>
      <c r="S19" s="1"/>
      <c r="T19" s="1">
        <f>SUM(OSRRefT22_0x_0)</f>
        <v>510229.40605559811</v>
      </c>
      <c r="U19" s="1"/>
      <c r="V19" s="5">
        <f t="shared" si="5"/>
        <v>0</v>
      </c>
      <c r="W19" s="1"/>
      <c r="X19" s="1">
        <f t="shared" si="6"/>
        <v>-36105.586055598105</v>
      </c>
      <c r="Y19" s="1"/>
      <c r="Z19" s="5">
        <f t="shared" si="7"/>
        <v>-7.0763436264321841E-2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6791.99</v>
      </c>
      <c r="E20" s="2"/>
      <c r="F20" s="7">
        <f t="shared" si="0"/>
        <v>0</v>
      </c>
      <c r="G20" s="2"/>
      <c r="H20" s="6">
        <v>9594.8226262052249</v>
      </c>
      <c r="I20" s="2"/>
      <c r="J20" s="7">
        <f t="shared" si="1"/>
        <v>0</v>
      </c>
      <c r="K20" s="2"/>
      <c r="L20" s="6">
        <f t="shared" si="2"/>
        <v>-2802.8326262052251</v>
      </c>
      <c r="M20" s="2"/>
      <c r="N20" s="7">
        <f t="shared" si="3"/>
        <v>-0.29211927467529974</v>
      </c>
      <c r="O20" s="11"/>
      <c r="P20" s="6">
        <v>51917.65</v>
      </c>
      <c r="Q20" s="2"/>
      <c r="R20" s="7">
        <f t="shared" si="4"/>
        <v>0</v>
      </c>
      <c r="S20" s="2"/>
      <c r="T20" s="6">
        <v>52748.951920628773</v>
      </c>
      <c r="U20" s="2"/>
      <c r="V20" s="7">
        <f t="shared" si="5"/>
        <v>0</v>
      </c>
      <c r="W20" s="2"/>
      <c r="X20" s="6">
        <f t="shared" si="6"/>
        <v>-831.30192062877177</v>
      </c>
      <c r="Y20" s="2"/>
      <c r="Z20" s="7">
        <f t="shared" si="7"/>
        <v>-1.575959124040284E-2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656.32</v>
      </c>
      <c r="E21" s="2"/>
      <c r="F21" s="7">
        <f t="shared" si="0"/>
        <v>0</v>
      </c>
      <c r="G21" s="2"/>
      <c r="H21" s="6">
        <v>741.94530238769289</v>
      </c>
      <c r="I21" s="2"/>
      <c r="J21" s="7">
        <f t="shared" si="1"/>
        <v>0</v>
      </c>
      <c r="K21" s="2"/>
      <c r="L21" s="6">
        <f t="shared" si="2"/>
        <v>-85.625302387692841</v>
      </c>
      <c r="M21" s="2"/>
      <c r="N21" s="7">
        <f t="shared" si="3"/>
        <v>-0.11540648901224604</v>
      </c>
      <c r="O21" s="11"/>
      <c r="P21" s="6">
        <v>2964.79</v>
      </c>
      <c r="Q21" s="2"/>
      <c r="R21" s="7">
        <f t="shared" si="4"/>
        <v>0</v>
      </c>
      <c r="S21" s="2"/>
      <c r="T21" s="6">
        <v>4084.643333132311</v>
      </c>
      <c r="U21" s="2"/>
      <c r="V21" s="7">
        <f t="shared" si="5"/>
        <v>0</v>
      </c>
      <c r="W21" s="2"/>
      <c r="X21" s="6">
        <f t="shared" si="6"/>
        <v>-1119.853333132311</v>
      </c>
      <c r="Y21" s="2"/>
      <c r="Z21" s="7">
        <f t="shared" si="7"/>
        <v>-0.27416184028815827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22318.02</v>
      </c>
      <c r="E22" s="2"/>
      <c r="F22" s="7">
        <f t="shared" si="0"/>
        <v>0</v>
      </c>
      <c r="G22" s="2"/>
      <c r="H22" s="6">
        <v>26690.038461538461</v>
      </c>
      <c r="I22" s="2"/>
      <c r="J22" s="7">
        <f t="shared" si="1"/>
        <v>0</v>
      </c>
      <c r="K22" s="2"/>
      <c r="L22" s="6">
        <f t="shared" si="2"/>
        <v>-4372.0184615384605</v>
      </c>
      <c r="M22" s="2"/>
      <c r="N22" s="7">
        <f t="shared" si="3"/>
        <v>-0.16380712481320456</v>
      </c>
      <c r="O22" s="11"/>
      <c r="P22" s="6">
        <v>112996.56999999999</v>
      </c>
      <c r="Q22" s="2"/>
      <c r="R22" s="7">
        <f t="shared" si="4"/>
        <v>0</v>
      </c>
      <c r="S22" s="2"/>
      <c r="T22" s="6">
        <v>137174.57692307694</v>
      </c>
      <c r="U22" s="2"/>
      <c r="V22" s="7">
        <f t="shared" si="5"/>
        <v>0</v>
      </c>
      <c r="W22" s="2"/>
      <c r="X22" s="6">
        <f t="shared" si="6"/>
        <v>-24178.006923076944</v>
      </c>
      <c r="Y22" s="2"/>
      <c r="Z22" s="7">
        <f t="shared" si="7"/>
        <v>-0.17625720060820882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296.02</v>
      </c>
      <c r="E23" s="2"/>
      <c r="F23" s="7">
        <f t="shared" si="0"/>
        <v>0</v>
      </c>
      <c r="G23" s="2"/>
      <c r="H23" s="6">
        <v>360.86791512000002</v>
      </c>
      <c r="I23" s="2"/>
      <c r="J23" s="7">
        <f t="shared" si="1"/>
        <v>0</v>
      </c>
      <c r="K23" s="2"/>
      <c r="L23" s="6">
        <f t="shared" si="2"/>
        <v>-64.847915120000039</v>
      </c>
      <c r="M23" s="2"/>
      <c r="N23" s="7">
        <f t="shared" si="3"/>
        <v>-0.17969986358703033</v>
      </c>
      <c r="O23" s="11"/>
      <c r="P23" s="6">
        <v>2083.79</v>
      </c>
      <c r="Q23" s="2"/>
      <c r="R23" s="7">
        <f t="shared" si="4"/>
        <v>0</v>
      </c>
      <c r="S23" s="2"/>
      <c r="T23" s="6">
        <v>1987.7896631600001</v>
      </c>
      <c r="U23" s="2"/>
      <c r="V23" s="7">
        <f t="shared" si="5"/>
        <v>0</v>
      </c>
      <c r="W23" s="2"/>
      <c r="X23" s="6">
        <f t="shared" si="6"/>
        <v>96.000336839999818</v>
      </c>
      <c r="Y23" s="2"/>
      <c r="Z23" s="7">
        <f t="shared" si="7"/>
        <v>4.8295017636517716E-2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6783.07</v>
      </c>
      <c r="E24" s="2"/>
      <c r="F24" s="7">
        <f t="shared" si="0"/>
        <v>0</v>
      </c>
      <c r="G24" s="2"/>
      <c r="H24" s="6">
        <v>8097.1122453538474</v>
      </c>
      <c r="I24" s="2"/>
      <c r="J24" s="7">
        <f t="shared" si="1"/>
        <v>0</v>
      </c>
      <c r="K24" s="2"/>
      <c r="L24" s="6">
        <f t="shared" si="2"/>
        <v>-1314.0422453538476</v>
      </c>
      <c r="M24" s="2"/>
      <c r="N24" s="7">
        <f t="shared" si="3"/>
        <v>-0.16228529450210474</v>
      </c>
      <c r="O24" s="11"/>
      <c r="P24" s="6">
        <v>46724.94</v>
      </c>
      <c r="Q24" s="2"/>
      <c r="R24" s="7">
        <f t="shared" si="4"/>
        <v>0</v>
      </c>
      <c r="S24" s="2"/>
      <c r="T24" s="6">
        <v>44534.117349446169</v>
      </c>
      <c r="U24" s="2"/>
      <c r="V24" s="7">
        <f t="shared" si="5"/>
        <v>0</v>
      </c>
      <c r="W24" s="2"/>
      <c r="X24" s="6">
        <f t="shared" si="6"/>
        <v>2190.8226505538332</v>
      </c>
      <c r="Y24" s="2"/>
      <c r="Z24" s="7">
        <f t="shared" si="7"/>
        <v>4.9194253326345055E-2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500</v>
      </c>
      <c r="I25" s="2"/>
      <c r="J25" s="7">
        <f t="shared" si="1"/>
        <v>0</v>
      </c>
      <c r="K25" s="2"/>
      <c r="L25" s="6">
        <f t="shared" si="2"/>
        <v>-500</v>
      </c>
      <c r="M25" s="2"/>
      <c r="N25" s="7">
        <f t="shared" si="3"/>
        <v>-1</v>
      </c>
      <c r="O25" s="11"/>
      <c r="P25" s="6">
        <v>1971.94</v>
      </c>
      <c r="Q25" s="2"/>
      <c r="R25" s="7">
        <f t="shared" si="4"/>
        <v>0</v>
      </c>
      <c r="S25" s="2"/>
      <c r="T25" s="6">
        <v>2500</v>
      </c>
      <c r="U25" s="2"/>
      <c r="V25" s="7">
        <f t="shared" si="5"/>
        <v>0</v>
      </c>
      <c r="W25" s="2"/>
      <c r="X25" s="6">
        <f t="shared" si="6"/>
        <v>-528.05999999999995</v>
      </c>
      <c r="Y25" s="2"/>
      <c r="Z25" s="7">
        <f t="shared" si="7"/>
        <v>-0.21122399999999997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6">
        <v>843.9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843.9</v>
      </c>
      <c r="M26" s="2"/>
      <c r="N26" s="7">
        <f t="shared" si="3"/>
        <v>0</v>
      </c>
      <c r="O26" s="11"/>
      <c r="P26" s="6">
        <v>4337.6400000000003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4337.6400000000003</v>
      </c>
      <c r="Y26" s="2"/>
      <c r="Z26" s="7">
        <f t="shared" si="7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6949.45</v>
      </c>
      <c r="E27" s="2"/>
      <c r="F27" s="7">
        <f t="shared" si="0"/>
        <v>0</v>
      </c>
      <c r="G27" s="2"/>
      <c r="H27" s="6">
        <v>6830.8805984615401</v>
      </c>
      <c r="I27" s="2"/>
      <c r="J27" s="7">
        <f t="shared" si="1"/>
        <v>0</v>
      </c>
      <c r="K27" s="2"/>
      <c r="L27" s="6">
        <f t="shared" si="2"/>
        <v>118.56940153845972</v>
      </c>
      <c r="M27" s="2"/>
      <c r="N27" s="7">
        <f t="shared" si="3"/>
        <v>1.7357850108690828E-2</v>
      </c>
      <c r="O27" s="11"/>
      <c r="P27" s="6">
        <v>48342.6</v>
      </c>
      <c r="Q27" s="2"/>
      <c r="R27" s="7">
        <f t="shared" si="4"/>
        <v>0</v>
      </c>
      <c r="S27" s="2"/>
      <c r="T27" s="6">
        <v>37632.930791538478</v>
      </c>
      <c r="U27" s="2"/>
      <c r="V27" s="7">
        <f t="shared" si="5"/>
        <v>0</v>
      </c>
      <c r="W27" s="2"/>
      <c r="X27" s="6">
        <f t="shared" si="6"/>
        <v>10709.669208461521</v>
      </c>
      <c r="Y27" s="2"/>
      <c r="Z27" s="7">
        <f t="shared" si="7"/>
        <v>0.28458238524620888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4880.68</v>
      </c>
      <c r="E28" s="2"/>
      <c r="F28" s="7">
        <f t="shared" si="0"/>
        <v>0</v>
      </c>
      <c r="G28" s="2"/>
      <c r="H28" s="6">
        <v>4810.2471953846161</v>
      </c>
      <c r="I28" s="2"/>
      <c r="J28" s="7">
        <f t="shared" si="1"/>
        <v>0</v>
      </c>
      <c r="K28" s="2"/>
      <c r="L28" s="6">
        <f t="shared" si="2"/>
        <v>70.432804615384157</v>
      </c>
      <c r="M28" s="2"/>
      <c r="N28" s="7">
        <f t="shared" si="3"/>
        <v>1.464224222883259E-2</v>
      </c>
      <c r="O28" s="11"/>
      <c r="P28" s="6">
        <v>44206.86</v>
      </c>
      <c r="Q28" s="2"/>
      <c r="R28" s="7">
        <f t="shared" si="4"/>
        <v>0</v>
      </c>
      <c r="S28" s="2"/>
      <c r="T28" s="6">
        <v>26516.396074615404</v>
      </c>
      <c r="U28" s="2"/>
      <c r="V28" s="7">
        <f t="shared" si="5"/>
        <v>0</v>
      </c>
      <c r="W28" s="2"/>
      <c r="X28" s="6">
        <f t="shared" si="6"/>
        <v>17690.463925384596</v>
      </c>
      <c r="Y28" s="2"/>
      <c r="Z28" s="7">
        <f t="shared" si="7"/>
        <v>0.66715189634386163</v>
      </c>
    </row>
    <row r="29" spans="1:26" s="24" customFormat="1" hidden="1" outlineLevel="2" x14ac:dyDescent="0.25">
      <c r="A29" s="25"/>
      <c r="B29" s="11" t="str">
        <f>CONCATENATE("          ", "6120", " - ", "RETIREES HEALTH INSURANCE")</f>
        <v xml:space="preserve">          6120 - RETIREES HEALTH INSURANCE</v>
      </c>
      <c r="C29" s="11"/>
      <c r="D29" s="6">
        <v>29023.1</v>
      </c>
      <c r="E29" s="2"/>
      <c r="F29" s="7">
        <f t="shared" si="0"/>
        <v>0</v>
      </c>
      <c r="G29" s="2"/>
      <c r="H29" s="6">
        <v>39000</v>
      </c>
      <c r="I29" s="2"/>
      <c r="J29" s="7">
        <f t="shared" si="1"/>
        <v>0</v>
      </c>
      <c r="K29" s="2"/>
      <c r="L29" s="6">
        <f t="shared" si="2"/>
        <v>-9976.9000000000015</v>
      </c>
      <c r="M29" s="2"/>
      <c r="N29" s="7">
        <f t="shared" si="3"/>
        <v>-0.25581794871794877</v>
      </c>
      <c r="O29" s="11"/>
      <c r="P29" s="6">
        <v>146429.12</v>
      </c>
      <c r="Q29" s="2"/>
      <c r="R29" s="7">
        <f t="shared" si="4"/>
        <v>0</v>
      </c>
      <c r="S29" s="2"/>
      <c r="T29" s="6">
        <v>196300</v>
      </c>
      <c r="U29" s="2"/>
      <c r="V29" s="7">
        <f t="shared" si="5"/>
        <v>0</v>
      </c>
      <c r="W29" s="2"/>
      <c r="X29" s="6">
        <f t="shared" si="6"/>
        <v>-49870.880000000005</v>
      </c>
      <c r="Y29" s="2"/>
      <c r="Z29" s="7">
        <f t="shared" si="7"/>
        <v>-0.25405440652063171</v>
      </c>
    </row>
    <row r="30" spans="1:26" s="24" customFormat="1" hidden="1" outlineLevel="2" x14ac:dyDescent="0.25">
      <c r="A30" s="25"/>
      <c r="B30" s="11" t="str">
        <f>CONCATENATE("          ", "6156", " - ", "EMPLOYEE MEALS")</f>
        <v xml:space="preserve">          6156 - EMPLOYEE MEALS</v>
      </c>
      <c r="C30" s="11"/>
      <c r="D30" s="6">
        <v>2452.27</v>
      </c>
      <c r="E30" s="2"/>
      <c r="F30" s="7">
        <f t="shared" si="0"/>
        <v>0</v>
      </c>
      <c r="G30" s="2"/>
      <c r="H30" s="6">
        <v>1350</v>
      </c>
      <c r="I30" s="2"/>
      <c r="J30" s="7">
        <f t="shared" si="1"/>
        <v>0</v>
      </c>
      <c r="K30" s="2"/>
      <c r="L30" s="6">
        <f t="shared" si="2"/>
        <v>1102.27</v>
      </c>
      <c r="M30" s="2"/>
      <c r="N30" s="7">
        <f t="shared" si="3"/>
        <v>0.81649629629629628</v>
      </c>
      <c r="O30" s="11"/>
      <c r="P30" s="6">
        <v>12147.92</v>
      </c>
      <c r="Q30" s="2"/>
      <c r="R30" s="7">
        <f t="shared" si="4"/>
        <v>0</v>
      </c>
      <c r="S30" s="2"/>
      <c r="T30" s="6">
        <v>6750</v>
      </c>
      <c r="U30" s="2"/>
      <c r="V30" s="7">
        <f t="shared" si="5"/>
        <v>0</v>
      </c>
      <c r="W30" s="2"/>
      <c r="X30" s="6">
        <f t="shared" si="6"/>
        <v>5397.92</v>
      </c>
      <c r="Y30" s="2"/>
      <c r="Z30" s="7">
        <f t="shared" si="7"/>
        <v>0.79969185185185188</v>
      </c>
    </row>
    <row r="31" spans="1:26" s="26" customFormat="1" outlineLevel="1" collapsed="1" x14ac:dyDescent="0.25">
      <c r="A31" s="27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105565.87</v>
      </c>
      <c r="E31" s="1"/>
      <c r="F31" s="5">
        <f t="shared" ref="F31:F41" si="8">IF(D$12=0,0,D31/D$12)</f>
        <v>0</v>
      </c>
      <c r="G31" s="1"/>
      <c r="H31" s="1">
        <f>SUM(OSRRefH22_1x_0)</f>
        <v>128785.20015692296</v>
      </c>
      <c r="I31" s="1"/>
      <c r="J31" s="5">
        <f t="shared" ref="J31:J41" si="9">IF(H$12=0,0,H31/H$12)</f>
        <v>0</v>
      </c>
      <c r="K31" s="1"/>
      <c r="L31" s="1">
        <f t="shared" ref="L31:L41" si="10">+D31-H31</f>
        <v>-23219.330156922966</v>
      </c>
      <c r="M31" s="1"/>
      <c r="N31" s="5">
        <f t="shared" ref="N31:N41" si="11">IF(H31=0,0,L31/H31)</f>
        <v>-0.18029501937047532</v>
      </c>
      <c r="O31" s="13"/>
      <c r="P31" s="1">
        <f>SUM(OSRRefP22_1x_0)</f>
        <v>542837.17999999993</v>
      </c>
      <c r="Q31" s="1"/>
      <c r="R31" s="5">
        <f t="shared" ref="R31:R41" si="12">IF(P$12=0,0,P31/P$12)</f>
        <v>0</v>
      </c>
      <c r="S31" s="1"/>
      <c r="T31" s="1">
        <f>SUM(OSRRefT22_1x_0)</f>
        <v>709025.88636307651</v>
      </c>
      <c r="U31" s="1"/>
      <c r="V31" s="5">
        <f t="shared" ref="V31:V41" si="13">IF(T$12=0,0,T31/T$12)</f>
        <v>0</v>
      </c>
      <c r="W31" s="1"/>
      <c r="X31" s="1">
        <f t="shared" ref="X31:X41" si="14">+P31-T31</f>
        <v>-166188.70636307658</v>
      </c>
      <c r="Y31" s="1"/>
      <c r="Z31" s="5">
        <f t="shared" ref="Z31:Z41" si="15">IF(T31=0,0,X31/T31)</f>
        <v>-0.2343901817400994</v>
      </c>
    </row>
    <row r="32" spans="1:26" s="24" customFormat="1" hidden="1" outlineLevel="2" x14ac:dyDescent="0.25">
      <c r="A32" s="25"/>
      <c r="B32" s="11" t="str">
        <f>CONCATENATE("          ", "6001", " - ", "ADMINISTRATIVE SALARIES")</f>
        <v xml:space="preserve">          6001 - ADMINISTRATIVE SALARIES</v>
      </c>
      <c r="C32" s="11"/>
      <c r="D32" s="6">
        <v>21786.16</v>
      </c>
      <c r="E32" s="2"/>
      <c r="F32" s="7">
        <f t="shared" si="8"/>
        <v>0</v>
      </c>
      <c r="G32" s="2"/>
      <c r="H32" s="6">
        <v>42696.154864615339</v>
      </c>
      <c r="I32" s="2"/>
      <c r="J32" s="7">
        <f t="shared" si="9"/>
        <v>0</v>
      </c>
      <c r="K32" s="2"/>
      <c r="L32" s="6">
        <f t="shared" si="10"/>
        <v>-20909.994864615339</v>
      </c>
      <c r="M32" s="2"/>
      <c r="N32" s="7">
        <f t="shared" si="11"/>
        <v>-0.48973953113385876</v>
      </c>
      <c r="O32" s="11"/>
      <c r="P32" s="6">
        <v>125443.37999999999</v>
      </c>
      <c r="Q32" s="2"/>
      <c r="R32" s="7">
        <f t="shared" si="12"/>
        <v>0</v>
      </c>
      <c r="S32" s="2"/>
      <c r="T32" s="6">
        <v>234828.85175538447</v>
      </c>
      <c r="U32" s="2"/>
      <c r="V32" s="7">
        <f t="shared" si="13"/>
        <v>0</v>
      </c>
      <c r="W32" s="2"/>
      <c r="X32" s="6">
        <f t="shared" si="14"/>
        <v>-109385.47175538448</v>
      </c>
      <c r="Y32" s="2"/>
      <c r="Z32" s="7">
        <f t="shared" si="15"/>
        <v>-0.46580933704572502</v>
      </c>
    </row>
    <row r="33" spans="1:26" s="24" customFormat="1" hidden="1" outlineLevel="2" x14ac:dyDescent="0.25">
      <c r="A33" s="25"/>
      <c r="B33" s="11" t="str">
        <f>CONCATENATE("          ", "6002", " - ", "STAFF SALARIES")</f>
        <v xml:space="preserve">          6002 - STAFF SALARIES</v>
      </c>
      <c r="C33" s="11"/>
      <c r="D33" s="6">
        <v>41108.85</v>
      </c>
      <c r="E33" s="2"/>
      <c r="F33" s="7">
        <f t="shared" si="8"/>
        <v>0</v>
      </c>
      <c r="G33" s="2"/>
      <c r="H33" s="6">
        <v>44196.157492307611</v>
      </c>
      <c r="I33" s="2"/>
      <c r="J33" s="7">
        <f t="shared" si="9"/>
        <v>0</v>
      </c>
      <c r="K33" s="2"/>
      <c r="L33" s="6">
        <f t="shared" si="10"/>
        <v>-3087.3074923076128</v>
      </c>
      <c r="M33" s="2"/>
      <c r="N33" s="7">
        <f t="shared" si="11"/>
        <v>-6.9854658583044515E-2</v>
      </c>
      <c r="O33" s="11"/>
      <c r="P33" s="6">
        <v>234050.78</v>
      </c>
      <c r="Q33" s="2"/>
      <c r="R33" s="7">
        <f t="shared" si="12"/>
        <v>0</v>
      </c>
      <c r="S33" s="2"/>
      <c r="T33" s="6">
        <v>243078.86620769202</v>
      </c>
      <c r="U33" s="2"/>
      <c r="V33" s="7">
        <f t="shared" si="13"/>
        <v>0</v>
      </c>
      <c r="W33" s="2"/>
      <c r="X33" s="6">
        <f t="shared" si="14"/>
        <v>-9028.0862076920166</v>
      </c>
      <c r="Y33" s="2"/>
      <c r="Z33" s="7">
        <f t="shared" si="15"/>
        <v>-3.7140564083338358E-2</v>
      </c>
    </row>
    <row r="34" spans="1:26" s="24" customFormat="1" hidden="1" outlineLevel="2" x14ac:dyDescent="0.25">
      <c r="A34" s="25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"6004", " - ", "STAFF HOURLY")</f>
        <v xml:space="preserve">          6004 - STAFF HOURLY</v>
      </c>
      <c r="C35" s="11"/>
      <c r="D35" s="6">
        <v>22623.11</v>
      </c>
      <c r="E35" s="2"/>
      <c r="F35" s="7">
        <f t="shared" si="8"/>
        <v>0</v>
      </c>
      <c r="G35" s="2"/>
      <c r="H35" s="6">
        <v>22426.787800000002</v>
      </c>
      <c r="I35" s="2"/>
      <c r="J35" s="7">
        <f t="shared" si="9"/>
        <v>0</v>
      </c>
      <c r="K35" s="2"/>
      <c r="L35" s="6">
        <f t="shared" si="10"/>
        <v>196.3221999999987</v>
      </c>
      <c r="M35" s="2"/>
      <c r="N35" s="7">
        <f t="shared" si="11"/>
        <v>8.7539152619974716E-3</v>
      </c>
      <c r="O35" s="11"/>
      <c r="P35" s="6">
        <v>116356.58</v>
      </c>
      <c r="Q35" s="2"/>
      <c r="R35" s="7">
        <f t="shared" si="12"/>
        <v>0</v>
      </c>
      <c r="S35" s="2"/>
      <c r="T35" s="6">
        <v>124604.2934</v>
      </c>
      <c r="U35" s="2"/>
      <c r="V35" s="7">
        <f t="shared" si="13"/>
        <v>0</v>
      </c>
      <c r="W35" s="2"/>
      <c r="X35" s="6">
        <f t="shared" si="14"/>
        <v>-8247.7133999999933</v>
      </c>
      <c r="Y35" s="2"/>
      <c r="Z35" s="7">
        <f t="shared" si="15"/>
        <v>-6.61912457022929E-2</v>
      </c>
    </row>
    <row r="36" spans="1:26" s="24" customFormat="1" hidden="1" outlineLevel="2" x14ac:dyDescent="0.25">
      <c r="A36" s="25"/>
      <c r="B36" s="11" t="str">
        <f>CONCATENATE("          ", "6005", " - ", "TEMPORARY WAGES-HOURLY")</f>
        <v xml:space="preserve">          6005 - TEMPORARY WAGES-HOURLY</v>
      </c>
      <c r="C36" s="11"/>
      <c r="D36" s="6">
        <v>7653.73</v>
      </c>
      <c r="E36" s="2"/>
      <c r="F36" s="7">
        <f t="shared" si="8"/>
        <v>0</v>
      </c>
      <c r="G36" s="2"/>
      <c r="H36" s="6">
        <v>7192</v>
      </c>
      <c r="I36" s="2"/>
      <c r="J36" s="7">
        <f t="shared" si="9"/>
        <v>0</v>
      </c>
      <c r="K36" s="2"/>
      <c r="L36" s="6">
        <f t="shared" si="10"/>
        <v>461.72999999999956</v>
      </c>
      <c r="M36" s="2"/>
      <c r="N36" s="7">
        <f t="shared" si="11"/>
        <v>6.4200500556173462E-2</v>
      </c>
      <c r="O36" s="11"/>
      <c r="P36" s="6">
        <v>50763.23</v>
      </c>
      <c r="Q36" s="2"/>
      <c r="R36" s="7">
        <f t="shared" si="12"/>
        <v>0</v>
      </c>
      <c r="S36" s="2"/>
      <c r="T36" s="6">
        <v>39556</v>
      </c>
      <c r="U36" s="2"/>
      <c r="V36" s="7">
        <f t="shared" si="13"/>
        <v>0</v>
      </c>
      <c r="W36" s="2"/>
      <c r="X36" s="6">
        <f t="shared" si="14"/>
        <v>11207.230000000003</v>
      </c>
      <c r="Y36" s="2"/>
      <c r="Z36" s="7">
        <f t="shared" si="15"/>
        <v>0.28332566488016997</v>
      </c>
    </row>
    <row r="37" spans="1:26" s="24" customFormat="1" hidden="1" outlineLevel="2" x14ac:dyDescent="0.25">
      <c r="A37" s="25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>
        <v>2361.4299999999998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2361.4299999999998</v>
      </c>
      <c r="Y37" s="2"/>
      <c r="Z37" s="7">
        <f t="shared" si="15"/>
        <v>0</v>
      </c>
    </row>
    <row r="38" spans="1:26" s="24" customFormat="1" hidden="1" outlineLevel="2" x14ac:dyDescent="0.25">
      <c r="A38" s="25"/>
      <c r="B38" s="11" t="str">
        <f>CONCATENATE("          ", "6007", " - ", "STUDENT HOURLY")</f>
        <v xml:space="preserve">          6007 - STUDENT HOURLY</v>
      </c>
      <c r="C38" s="11"/>
      <c r="D38" s="6">
        <v>10867.77</v>
      </c>
      <c r="E38" s="2"/>
      <c r="F38" s="7">
        <f t="shared" si="8"/>
        <v>0</v>
      </c>
      <c r="G38" s="2"/>
      <c r="H38" s="6">
        <v>6000</v>
      </c>
      <c r="I38" s="2"/>
      <c r="J38" s="7">
        <f t="shared" si="9"/>
        <v>0</v>
      </c>
      <c r="K38" s="2"/>
      <c r="L38" s="6">
        <f t="shared" si="10"/>
        <v>4867.7700000000004</v>
      </c>
      <c r="M38" s="2"/>
      <c r="N38" s="7">
        <f t="shared" si="11"/>
        <v>0.8112950000000001</v>
      </c>
      <c r="O38" s="11"/>
      <c r="P38" s="6">
        <v>4977.08</v>
      </c>
      <c r="Q38" s="2"/>
      <c r="R38" s="7">
        <f t="shared" si="12"/>
        <v>0</v>
      </c>
      <c r="S38" s="2"/>
      <c r="T38" s="6">
        <v>31072.499999999996</v>
      </c>
      <c r="U38" s="2"/>
      <c r="V38" s="7">
        <f t="shared" si="13"/>
        <v>0</v>
      </c>
      <c r="W38" s="2"/>
      <c r="X38" s="6">
        <f t="shared" si="14"/>
        <v>-26095.42</v>
      </c>
      <c r="Y38" s="2"/>
      <c r="Z38" s="7">
        <f t="shared" si="15"/>
        <v>-0.83982363826534723</v>
      </c>
    </row>
    <row r="39" spans="1:26" s="24" customFormat="1" hidden="1" outlineLevel="2" x14ac:dyDescent="0.25">
      <c r="A39" s="25"/>
      <c r="B39" s="11" t="str">
        <f>CONCATENATE("          ", "6008", " - ", "STUDENT HOURLY-FICA EXEMPT")</f>
        <v xml:space="preserve">          6008 - STUDENT HOURLY-FICA EXEMPT</v>
      </c>
      <c r="C39" s="11"/>
      <c r="D39" s="6">
        <v>1526.25</v>
      </c>
      <c r="E39" s="2"/>
      <c r="F39" s="7">
        <f t="shared" si="8"/>
        <v>0</v>
      </c>
      <c r="G39" s="2"/>
      <c r="H39" s="6">
        <v>6274.1</v>
      </c>
      <c r="I39" s="2"/>
      <c r="J39" s="7">
        <f t="shared" si="9"/>
        <v>0</v>
      </c>
      <c r="K39" s="2"/>
      <c r="L39" s="6">
        <f t="shared" si="10"/>
        <v>-4747.8500000000004</v>
      </c>
      <c r="M39" s="2"/>
      <c r="N39" s="7">
        <f t="shared" si="11"/>
        <v>-0.75673801820181386</v>
      </c>
      <c r="O39" s="11"/>
      <c r="P39" s="6">
        <v>8884.7000000000007</v>
      </c>
      <c r="Q39" s="2"/>
      <c r="R39" s="7">
        <f t="shared" si="12"/>
        <v>0</v>
      </c>
      <c r="S39" s="2"/>
      <c r="T39" s="6">
        <v>35885.375</v>
      </c>
      <c r="U39" s="2"/>
      <c r="V39" s="7">
        <f t="shared" si="13"/>
        <v>0</v>
      </c>
      <c r="W39" s="2"/>
      <c r="X39" s="6">
        <f t="shared" si="14"/>
        <v>-27000.674999999999</v>
      </c>
      <c r="Y39" s="2"/>
      <c r="Z39" s="7">
        <f t="shared" si="15"/>
        <v>-0.75241445853638145</v>
      </c>
    </row>
    <row r="40" spans="1:26" s="24" customFormat="1" hidden="1" outlineLevel="2" x14ac:dyDescent="0.25">
      <c r="A40" s="25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4" customFormat="1" hidden="1" outlineLevel="2" x14ac:dyDescent="0.25">
      <c r="A41" s="25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8"/>
        <v>0</v>
      </c>
      <c r="G41" s="2"/>
      <c r="H41" s="6">
        <v>0</v>
      </c>
      <c r="I41" s="2"/>
      <c r="J41" s="7">
        <f t="shared" si="9"/>
        <v>0</v>
      </c>
      <c r="K41" s="2"/>
      <c r="L41" s="6">
        <f t="shared" si="10"/>
        <v>0</v>
      </c>
      <c r="M41" s="2"/>
      <c r="N41" s="7">
        <f t="shared" si="11"/>
        <v>0</v>
      </c>
      <c r="O41" s="11"/>
      <c r="P41" s="6"/>
      <c r="Q41" s="2"/>
      <c r="R41" s="7">
        <f t="shared" si="12"/>
        <v>0</v>
      </c>
      <c r="S41" s="2"/>
      <c r="T41" s="6">
        <v>0</v>
      </c>
      <c r="U41" s="2"/>
      <c r="V41" s="7">
        <f t="shared" si="13"/>
        <v>0</v>
      </c>
      <c r="W41" s="2"/>
      <c r="X41" s="6">
        <f t="shared" si="14"/>
        <v>0</v>
      </c>
      <c r="Y41" s="2"/>
      <c r="Z41" s="7">
        <f t="shared" si="15"/>
        <v>0</v>
      </c>
    </row>
    <row r="42" spans="1:26" s="26" customFormat="1" outlineLevel="1" collapsed="1" x14ac:dyDescent="0.25">
      <c r="A42" s="27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-5570.04</v>
      </c>
      <c r="E42" s="1"/>
      <c r="F42" s="5">
        <f t="shared" ref="F42:F52" si="16">IF(D$12=0,0,D42/D$12)</f>
        <v>0</v>
      </c>
      <c r="G42" s="1"/>
      <c r="H42" s="1">
        <f>SUM(OSRRefH22_2x_0)</f>
        <v>260</v>
      </c>
      <c r="I42" s="1"/>
      <c r="J42" s="5">
        <f t="shared" ref="J42:J52" si="17">IF(H$12=0,0,H42/H$12)</f>
        <v>0</v>
      </c>
      <c r="K42" s="1"/>
      <c r="L42" s="1">
        <f t="shared" ref="L42:L52" si="18">+D42-H42</f>
        <v>-5830.04</v>
      </c>
      <c r="M42" s="1"/>
      <c r="N42" s="5">
        <f t="shared" ref="N42:N52" si="19">IF(H42=0,0,L42/H42)</f>
        <v>-22.42323076923077</v>
      </c>
      <c r="O42" s="13"/>
      <c r="P42" s="1">
        <f>SUM(OSRRefP22_2x_0)</f>
        <v>-17866.809999999998</v>
      </c>
      <c r="Q42" s="1"/>
      <c r="R42" s="5">
        <f t="shared" ref="R42:R52" si="20">IF(P$12=0,0,P42/P$12)</f>
        <v>0</v>
      </c>
      <c r="S42" s="1"/>
      <c r="T42" s="1">
        <f>SUM(OSRRefT22_2x_0)</f>
        <v>1325</v>
      </c>
      <c r="U42" s="1"/>
      <c r="V42" s="5">
        <f t="shared" ref="V42:V52" si="21">IF(T$12=0,0,T42/T$12)</f>
        <v>0</v>
      </c>
      <c r="W42" s="1"/>
      <c r="X42" s="1">
        <f t="shared" ref="X42:X52" si="22">+P42-T42</f>
        <v>-19191.809999999998</v>
      </c>
      <c r="Y42" s="1"/>
      <c r="Z42" s="5">
        <f t="shared" ref="Z42:Z52" si="23">IF(T42=0,0,X42/T42)</f>
        <v>-14.484384905660376</v>
      </c>
    </row>
    <row r="43" spans="1:26" s="24" customFormat="1" hidden="1" outlineLevel="2" x14ac:dyDescent="0.25">
      <c r="A43" s="25"/>
      <c r="B43" s="11" t="str">
        <f>CONCATENATE("          ", "6362", " - ", "ADVERTISING EXPENSE")</f>
        <v xml:space="preserve">          6362 - ADVERTISING EXPENSE</v>
      </c>
      <c r="C43" s="11"/>
      <c r="D43" s="6">
        <v>-5570.04</v>
      </c>
      <c r="E43" s="2"/>
      <c r="F43" s="7">
        <f t="shared" si="16"/>
        <v>0</v>
      </c>
      <c r="G43" s="2"/>
      <c r="H43" s="6">
        <v>260</v>
      </c>
      <c r="I43" s="2"/>
      <c r="J43" s="7">
        <f t="shared" si="17"/>
        <v>0</v>
      </c>
      <c r="K43" s="2"/>
      <c r="L43" s="6">
        <f t="shared" si="18"/>
        <v>-5830.04</v>
      </c>
      <c r="M43" s="2"/>
      <c r="N43" s="7">
        <f t="shared" si="19"/>
        <v>-22.42323076923077</v>
      </c>
      <c r="O43" s="11"/>
      <c r="P43" s="6">
        <v>-17866.809999999998</v>
      </c>
      <c r="Q43" s="2"/>
      <c r="R43" s="7">
        <f t="shared" si="20"/>
        <v>0</v>
      </c>
      <c r="S43" s="2"/>
      <c r="T43" s="6">
        <v>1325</v>
      </c>
      <c r="U43" s="2"/>
      <c r="V43" s="7">
        <f t="shared" si="21"/>
        <v>0</v>
      </c>
      <c r="W43" s="2"/>
      <c r="X43" s="6">
        <f t="shared" si="22"/>
        <v>-19191.809999999998</v>
      </c>
      <c r="Y43" s="2"/>
      <c r="Z43" s="7">
        <f t="shared" si="23"/>
        <v>-14.484384905660376</v>
      </c>
    </row>
    <row r="44" spans="1:26" s="26" customFormat="1" outlineLevel="1" collapsed="1" x14ac:dyDescent="0.25">
      <c r="A44" s="27"/>
      <c r="B44" s="13" t="str">
        <f>CONCATENATE("     ","Bank/card Fees                                    ")</f>
        <v xml:space="preserve">     Bank/card Fees                                    </v>
      </c>
      <c r="C44" s="13"/>
      <c r="D44" s="1">
        <f>SUM(OSRRefD22_3x_0)</f>
        <v>1830.56</v>
      </c>
      <c r="E44" s="1"/>
      <c r="F44" s="5">
        <f t="shared" si="16"/>
        <v>0</v>
      </c>
      <c r="G44" s="1"/>
      <c r="H44" s="1">
        <f>SUM(OSRRefH22_3x_0)</f>
        <v>1000</v>
      </c>
      <c r="I44" s="1"/>
      <c r="J44" s="5">
        <f t="shared" si="17"/>
        <v>0</v>
      </c>
      <c r="K44" s="1"/>
      <c r="L44" s="1">
        <f t="shared" si="18"/>
        <v>830.56</v>
      </c>
      <c r="M44" s="1"/>
      <c r="N44" s="5">
        <f t="shared" si="19"/>
        <v>0.83055999999999996</v>
      </c>
      <c r="O44" s="13"/>
      <c r="P44" s="1">
        <f>SUM(OSRRefP22_3x_0)</f>
        <v>22756.720000000001</v>
      </c>
      <c r="Q44" s="1"/>
      <c r="R44" s="5">
        <f t="shared" si="20"/>
        <v>0</v>
      </c>
      <c r="S44" s="1"/>
      <c r="T44" s="1">
        <f>SUM(OSRRefT22_3x_0)</f>
        <v>34000</v>
      </c>
      <c r="U44" s="1"/>
      <c r="V44" s="5">
        <f t="shared" si="21"/>
        <v>0</v>
      </c>
      <c r="W44" s="1"/>
      <c r="X44" s="1">
        <f t="shared" si="22"/>
        <v>-11243.279999999999</v>
      </c>
      <c r="Y44" s="1"/>
      <c r="Z44" s="5">
        <f t="shared" si="23"/>
        <v>-0.33068470588235288</v>
      </c>
    </row>
    <row r="45" spans="1:26" s="24" customFormat="1" hidden="1" outlineLevel="2" x14ac:dyDescent="0.25">
      <c r="A45" s="25"/>
      <c r="B45" s="11" t="str">
        <f>CONCATENATE("          ", "6381", " - ", "BANK/CREDIT CARD FEES")</f>
        <v xml:space="preserve">          6381 - BANK/CREDIT CARD FEES</v>
      </c>
      <c r="C45" s="11"/>
      <c r="D45" s="6">
        <v>1830.56</v>
      </c>
      <c r="E45" s="2"/>
      <c r="F45" s="7">
        <f t="shared" si="16"/>
        <v>0</v>
      </c>
      <c r="G45" s="2"/>
      <c r="H45" s="6">
        <v>1000</v>
      </c>
      <c r="I45" s="2"/>
      <c r="J45" s="7">
        <f t="shared" si="17"/>
        <v>0</v>
      </c>
      <c r="K45" s="2"/>
      <c r="L45" s="6">
        <f t="shared" si="18"/>
        <v>830.56</v>
      </c>
      <c r="M45" s="2"/>
      <c r="N45" s="7">
        <f t="shared" si="19"/>
        <v>0.83055999999999996</v>
      </c>
      <c r="O45" s="11"/>
      <c r="P45" s="6">
        <v>22756.720000000001</v>
      </c>
      <c r="Q45" s="2"/>
      <c r="R45" s="7">
        <f t="shared" si="20"/>
        <v>0</v>
      </c>
      <c r="S45" s="2"/>
      <c r="T45" s="6">
        <v>34000</v>
      </c>
      <c r="U45" s="2"/>
      <c r="V45" s="7">
        <f t="shared" si="21"/>
        <v>0</v>
      </c>
      <c r="W45" s="2"/>
      <c r="X45" s="6">
        <f t="shared" si="22"/>
        <v>-11243.279999999999</v>
      </c>
      <c r="Y45" s="2"/>
      <c r="Z45" s="7">
        <f t="shared" si="23"/>
        <v>-0.33068470588235288</v>
      </c>
    </row>
    <row r="46" spans="1:26" s="26" customFormat="1" outlineLevel="1" collapsed="1" x14ac:dyDescent="0.25">
      <c r="A46" s="27"/>
      <c r="B46" s="13" t="str">
        <f>CONCATENATE("     ","Board                                             ")</f>
        <v xml:space="preserve">     Board                                             </v>
      </c>
      <c r="C46" s="13"/>
      <c r="D46" s="1">
        <f>SUM(OSRRefD22_4x_0)</f>
        <v>2318.88</v>
      </c>
      <c r="E46" s="1"/>
      <c r="F46" s="5">
        <f t="shared" si="16"/>
        <v>0</v>
      </c>
      <c r="G46" s="1"/>
      <c r="H46" s="1">
        <f>SUM(OSRRefH22_4x_0)</f>
        <v>3500</v>
      </c>
      <c r="I46" s="1"/>
      <c r="J46" s="5">
        <f t="shared" si="17"/>
        <v>0</v>
      </c>
      <c r="K46" s="1"/>
      <c r="L46" s="1">
        <f t="shared" si="18"/>
        <v>-1181.1199999999999</v>
      </c>
      <c r="M46" s="1"/>
      <c r="N46" s="5">
        <f t="shared" si="19"/>
        <v>-0.33746285714285712</v>
      </c>
      <c r="O46" s="13"/>
      <c r="P46" s="1">
        <f>SUM(OSRRefP22_4x_0)</f>
        <v>14165.11</v>
      </c>
      <c r="Q46" s="1"/>
      <c r="R46" s="5">
        <f t="shared" si="20"/>
        <v>0</v>
      </c>
      <c r="S46" s="1"/>
      <c r="T46" s="1">
        <f>SUM(OSRRefT22_4x_0)</f>
        <v>14700</v>
      </c>
      <c r="U46" s="1"/>
      <c r="V46" s="5">
        <f t="shared" si="21"/>
        <v>0</v>
      </c>
      <c r="W46" s="1"/>
      <c r="X46" s="1">
        <f t="shared" si="22"/>
        <v>-534.88999999999942</v>
      </c>
      <c r="Y46" s="1"/>
      <c r="Z46" s="5">
        <f t="shared" si="23"/>
        <v>-3.6387074829931934E-2</v>
      </c>
    </row>
    <row r="47" spans="1:26" s="24" customFormat="1" hidden="1" outlineLevel="2" x14ac:dyDescent="0.25">
      <c r="A47" s="25"/>
      <c r="B47" s="11" t="str">
        <f>CONCATENATE("          ", "6397", " - ", "BOARD EXPENSES")</f>
        <v xml:space="preserve">          6397 - BOARD EXPENSES</v>
      </c>
      <c r="C47" s="11"/>
      <c r="D47" s="6">
        <v>2318.88</v>
      </c>
      <c r="E47" s="2"/>
      <c r="F47" s="7">
        <f t="shared" si="16"/>
        <v>0</v>
      </c>
      <c r="G47" s="2"/>
      <c r="H47" s="6">
        <v>3500</v>
      </c>
      <c r="I47" s="2"/>
      <c r="J47" s="7">
        <f t="shared" si="17"/>
        <v>0</v>
      </c>
      <c r="K47" s="2"/>
      <c r="L47" s="6">
        <f t="shared" si="18"/>
        <v>-1181.1199999999999</v>
      </c>
      <c r="M47" s="2"/>
      <c r="N47" s="7">
        <f t="shared" si="19"/>
        <v>-0.33746285714285712</v>
      </c>
      <c r="O47" s="11"/>
      <c r="P47" s="6">
        <v>14165.11</v>
      </c>
      <c r="Q47" s="2"/>
      <c r="R47" s="7">
        <f t="shared" si="20"/>
        <v>0</v>
      </c>
      <c r="S47" s="2"/>
      <c r="T47" s="6">
        <v>14700</v>
      </c>
      <c r="U47" s="2"/>
      <c r="V47" s="7">
        <f t="shared" si="21"/>
        <v>0</v>
      </c>
      <c r="W47" s="2"/>
      <c r="X47" s="6">
        <f t="shared" si="22"/>
        <v>-534.88999999999942</v>
      </c>
      <c r="Y47" s="2"/>
      <c r="Z47" s="7">
        <f t="shared" si="23"/>
        <v>-3.6387074829931934E-2</v>
      </c>
    </row>
    <row r="48" spans="1:26" s="26" customFormat="1" outlineLevel="1" collapsed="1" x14ac:dyDescent="0.25">
      <c r="A48" s="27"/>
      <c r="B48" s="13" t="str">
        <f>CONCATENATE("     ","Depreciation                                      ")</f>
        <v xml:space="preserve">     Depreciation                                      </v>
      </c>
      <c r="C48" s="13"/>
      <c r="D48" s="1">
        <f>SUM(OSRRefD22_5x_0)</f>
        <v>8599.93</v>
      </c>
      <c r="E48" s="1"/>
      <c r="F48" s="5">
        <f t="shared" si="16"/>
        <v>0</v>
      </c>
      <c r="G48" s="1"/>
      <c r="H48" s="1">
        <f>SUM(OSRRefH22_5x_0)</f>
        <v>8593</v>
      </c>
      <c r="I48" s="1"/>
      <c r="J48" s="5">
        <f t="shared" si="17"/>
        <v>0</v>
      </c>
      <c r="K48" s="1"/>
      <c r="L48" s="1">
        <f t="shared" si="18"/>
        <v>6.930000000000291</v>
      </c>
      <c r="M48" s="1"/>
      <c r="N48" s="5">
        <f t="shared" si="19"/>
        <v>8.0647038286981159E-4</v>
      </c>
      <c r="O48" s="13"/>
      <c r="P48" s="1">
        <f>SUM(OSRRefP22_5x_0)</f>
        <v>42999.65</v>
      </c>
      <c r="Q48" s="1"/>
      <c r="R48" s="5">
        <f t="shared" si="20"/>
        <v>0</v>
      </c>
      <c r="S48" s="1"/>
      <c r="T48" s="1">
        <f>SUM(OSRRefT22_5x_0)</f>
        <v>42965</v>
      </c>
      <c r="U48" s="1"/>
      <c r="V48" s="5">
        <f t="shared" si="21"/>
        <v>0</v>
      </c>
      <c r="W48" s="1"/>
      <c r="X48" s="1">
        <f t="shared" si="22"/>
        <v>34.650000000001455</v>
      </c>
      <c r="Y48" s="1"/>
      <c r="Z48" s="5">
        <f t="shared" si="23"/>
        <v>8.0647038286981159E-4</v>
      </c>
    </row>
    <row r="49" spans="1:26" s="24" customFormat="1" hidden="1" outlineLevel="2" x14ac:dyDescent="0.25">
      <c r="A49" s="25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8599.93</v>
      </c>
      <c r="E49" s="2"/>
      <c r="F49" s="7">
        <f t="shared" si="16"/>
        <v>0</v>
      </c>
      <c r="G49" s="2"/>
      <c r="H49" s="6">
        <v>8593</v>
      </c>
      <c r="I49" s="2"/>
      <c r="J49" s="7">
        <f t="shared" si="17"/>
        <v>0</v>
      </c>
      <c r="K49" s="2"/>
      <c r="L49" s="6">
        <f t="shared" si="18"/>
        <v>6.930000000000291</v>
      </c>
      <c r="M49" s="2"/>
      <c r="N49" s="7">
        <f t="shared" si="19"/>
        <v>8.0647038286981159E-4</v>
      </c>
      <c r="O49" s="11"/>
      <c r="P49" s="6">
        <v>42999.65</v>
      </c>
      <c r="Q49" s="2"/>
      <c r="R49" s="7">
        <f t="shared" si="20"/>
        <v>0</v>
      </c>
      <c r="S49" s="2"/>
      <c r="T49" s="6">
        <v>42965</v>
      </c>
      <c r="U49" s="2"/>
      <c r="V49" s="7">
        <f t="shared" si="21"/>
        <v>0</v>
      </c>
      <c r="W49" s="2"/>
      <c r="X49" s="6">
        <f t="shared" si="22"/>
        <v>34.650000000001455</v>
      </c>
      <c r="Y49" s="2"/>
      <c r="Z49" s="7">
        <f t="shared" si="23"/>
        <v>8.0647038286981159E-4</v>
      </c>
    </row>
    <row r="50" spans="1:26" s="26" customFormat="1" outlineLevel="1" collapsed="1" x14ac:dyDescent="0.25">
      <c r="A50" s="27"/>
      <c r="B50" s="13" t="str">
        <f>CONCATENATE("     ","Donations                                         ")</f>
        <v xml:space="preserve">     Donations                                         </v>
      </c>
      <c r="C50" s="13"/>
      <c r="D50" s="1">
        <f>SUM(OSRRefD22_6x_0)</f>
        <v>98765.54</v>
      </c>
      <c r="E50" s="1"/>
      <c r="F50" s="5">
        <f t="shared" si="16"/>
        <v>0</v>
      </c>
      <c r="G50" s="1"/>
      <c r="H50" s="1">
        <f>SUM(OSRRefH22_6x_0)</f>
        <v>100000</v>
      </c>
      <c r="I50" s="1"/>
      <c r="J50" s="5">
        <f t="shared" si="17"/>
        <v>0</v>
      </c>
      <c r="K50" s="1"/>
      <c r="L50" s="1">
        <f t="shared" si="18"/>
        <v>-1234.4600000000064</v>
      </c>
      <c r="M50" s="1"/>
      <c r="N50" s="5">
        <f t="shared" si="19"/>
        <v>-1.2344600000000063E-2</v>
      </c>
      <c r="O50" s="13"/>
      <c r="P50" s="1">
        <f>SUM(OSRRefP22_6x_0)</f>
        <v>243142.79</v>
      </c>
      <c r="Q50" s="1"/>
      <c r="R50" s="5">
        <f t="shared" si="20"/>
        <v>0</v>
      </c>
      <c r="S50" s="1"/>
      <c r="T50" s="1">
        <f>SUM(OSRRefT22_6x_0)</f>
        <v>441800</v>
      </c>
      <c r="U50" s="1"/>
      <c r="V50" s="5">
        <f t="shared" si="21"/>
        <v>0</v>
      </c>
      <c r="W50" s="1"/>
      <c r="X50" s="1">
        <f t="shared" si="22"/>
        <v>-198657.21</v>
      </c>
      <c r="Y50" s="1"/>
      <c r="Z50" s="5">
        <f t="shared" si="23"/>
        <v>-0.44965416478044362</v>
      </c>
    </row>
    <row r="51" spans="1:26" s="24" customFormat="1" hidden="1" outlineLevel="2" x14ac:dyDescent="0.25">
      <c r="A51" s="25"/>
      <c r="B51" s="11" t="str">
        <f>CONCATENATE("          ", "6395", " - ", "DONATION-OFF CAMPUS")</f>
        <v xml:space="preserve">          6395 - DONATION-OFF CAMPUS</v>
      </c>
      <c r="C51" s="11"/>
      <c r="D51" s="6"/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0</v>
      </c>
      <c r="M51" s="2"/>
      <c r="N51" s="7">
        <f t="shared" si="19"/>
        <v>0</v>
      </c>
      <c r="O51" s="11"/>
      <c r="P51" s="6"/>
      <c r="Q51" s="2"/>
      <c r="R51" s="7">
        <f t="shared" si="20"/>
        <v>0</v>
      </c>
      <c r="S51" s="2"/>
      <c r="T51" s="6">
        <v>800</v>
      </c>
      <c r="U51" s="2"/>
      <c r="V51" s="7">
        <f t="shared" si="21"/>
        <v>0</v>
      </c>
      <c r="W51" s="2"/>
      <c r="X51" s="6">
        <f t="shared" si="22"/>
        <v>-800</v>
      </c>
      <c r="Y51" s="2"/>
      <c r="Z51" s="7">
        <f t="shared" si="23"/>
        <v>-1</v>
      </c>
    </row>
    <row r="52" spans="1:26" s="24" customFormat="1" hidden="1" outlineLevel="2" x14ac:dyDescent="0.25">
      <c r="A52" s="25"/>
      <c r="B52" s="11" t="str">
        <f>CONCATENATE("          ", "6399", " - ", "DONATION-ON CAMPUS")</f>
        <v xml:space="preserve">          6399 - DONATION-ON CAMPUS</v>
      </c>
      <c r="C52" s="11"/>
      <c r="D52" s="6">
        <v>98765.54</v>
      </c>
      <c r="E52" s="2"/>
      <c r="F52" s="7">
        <f t="shared" si="16"/>
        <v>0</v>
      </c>
      <c r="G52" s="2"/>
      <c r="H52" s="6">
        <v>100000</v>
      </c>
      <c r="I52" s="2"/>
      <c r="J52" s="7">
        <f t="shared" si="17"/>
        <v>0</v>
      </c>
      <c r="K52" s="2"/>
      <c r="L52" s="6">
        <f t="shared" si="18"/>
        <v>-1234.4600000000064</v>
      </c>
      <c r="M52" s="2"/>
      <c r="N52" s="7">
        <f t="shared" si="19"/>
        <v>-1.2344600000000063E-2</v>
      </c>
      <c r="O52" s="11"/>
      <c r="P52" s="6">
        <v>243142.79</v>
      </c>
      <c r="Q52" s="2"/>
      <c r="R52" s="7">
        <f t="shared" si="20"/>
        <v>0</v>
      </c>
      <c r="S52" s="2"/>
      <c r="T52" s="6">
        <v>441000</v>
      </c>
      <c r="U52" s="2"/>
      <c r="V52" s="7">
        <f t="shared" si="21"/>
        <v>0</v>
      </c>
      <c r="W52" s="2"/>
      <c r="X52" s="6">
        <f t="shared" si="22"/>
        <v>-197857.21</v>
      </c>
      <c r="Y52" s="2"/>
      <c r="Z52" s="7">
        <f t="shared" si="23"/>
        <v>-0.44865580498866209</v>
      </c>
    </row>
    <row r="53" spans="1:26" s="26" customFormat="1" outlineLevel="1" collapsed="1" x14ac:dyDescent="0.25">
      <c r="A53" s="27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SUM(OSRRefD22_7x_0)</f>
        <v>330</v>
      </c>
      <c r="E53" s="1"/>
      <c r="F53" s="5">
        <f t="shared" ref="F53:F66" si="24">IF(D$12=0,0,D53/D$12)</f>
        <v>0</v>
      </c>
      <c r="G53" s="1"/>
      <c r="H53" s="1">
        <f>SUM(OSRRefH22_7x_0)</f>
        <v>908</v>
      </c>
      <c r="I53" s="1"/>
      <c r="J53" s="5">
        <f t="shared" ref="J53:J66" si="25">IF(H$12=0,0,H53/H$12)</f>
        <v>0</v>
      </c>
      <c r="K53" s="1"/>
      <c r="L53" s="1">
        <f t="shared" ref="L53:L66" si="26">+D53-H53</f>
        <v>-578</v>
      </c>
      <c r="M53" s="1"/>
      <c r="N53" s="5">
        <f t="shared" ref="N53:N66" si="27">IF(H53=0,0,L53/H53)</f>
        <v>-0.63656387665198233</v>
      </c>
      <c r="O53" s="13"/>
      <c r="P53" s="1">
        <f>SUM(OSRRefP22_7x_0)</f>
        <v>12159.12</v>
      </c>
      <c r="Q53" s="1"/>
      <c r="R53" s="5">
        <f t="shared" ref="R53:R66" si="28">IF(P$12=0,0,P53/P$12)</f>
        <v>0</v>
      </c>
      <c r="S53" s="1"/>
      <c r="T53" s="1">
        <f>SUM(OSRRefT22_7x_0)</f>
        <v>15040</v>
      </c>
      <c r="U53" s="1"/>
      <c r="V53" s="5">
        <f t="shared" ref="V53:V66" si="29">IF(T$12=0,0,T53/T$12)</f>
        <v>0</v>
      </c>
      <c r="W53" s="1"/>
      <c r="X53" s="1">
        <f t="shared" ref="X53:X66" si="30">+P53-T53</f>
        <v>-2880.8799999999992</v>
      </c>
      <c r="Y53" s="1"/>
      <c r="Z53" s="5">
        <f t="shared" ref="Z53:Z66" si="31">IF(T53=0,0,X53/T53)</f>
        <v>-0.19154787234042547</v>
      </c>
    </row>
    <row r="54" spans="1:26" s="24" customFormat="1" hidden="1" outlineLevel="2" x14ac:dyDescent="0.25">
      <c r="A54" s="25"/>
      <c r="B54" s="11" t="str">
        <f>CONCATENATE("          ", "6277", " - ", "EMPLOYEE APPRECIATION")</f>
        <v xml:space="preserve">          6277 - EMPLOYEE APPRECIATION</v>
      </c>
      <c r="C54" s="11"/>
      <c r="D54" s="6">
        <v>330</v>
      </c>
      <c r="E54" s="2"/>
      <c r="F54" s="7">
        <f t="shared" si="24"/>
        <v>0</v>
      </c>
      <c r="G54" s="2"/>
      <c r="H54" s="6">
        <v>908</v>
      </c>
      <c r="I54" s="2"/>
      <c r="J54" s="7">
        <f t="shared" si="25"/>
        <v>0</v>
      </c>
      <c r="K54" s="2"/>
      <c r="L54" s="6">
        <f t="shared" si="26"/>
        <v>-578</v>
      </c>
      <c r="M54" s="2"/>
      <c r="N54" s="7">
        <f t="shared" si="27"/>
        <v>-0.63656387665198233</v>
      </c>
      <c r="O54" s="11"/>
      <c r="P54" s="6">
        <v>12159.12</v>
      </c>
      <c r="Q54" s="2"/>
      <c r="R54" s="7">
        <f t="shared" si="28"/>
        <v>0</v>
      </c>
      <c r="S54" s="2"/>
      <c r="T54" s="6">
        <v>15040</v>
      </c>
      <c r="U54" s="2"/>
      <c r="V54" s="7">
        <f t="shared" si="29"/>
        <v>0</v>
      </c>
      <c r="W54" s="2"/>
      <c r="X54" s="6">
        <f t="shared" si="30"/>
        <v>-2880.8799999999992</v>
      </c>
      <c r="Y54" s="2"/>
      <c r="Z54" s="7">
        <f t="shared" si="31"/>
        <v>-0.19154787234042547</v>
      </c>
    </row>
    <row r="55" spans="1:26" s="26" customFormat="1" outlineLevel="1" collapsed="1" x14ac:dyDescent="0.25">
      <c r="A55" s="27"/>
      <c r="B55" s="13" t="str">
        <f>CONCATENATE("     ","Equipment Rental                                  ")</f>
        <v xml:space="preserve">     Equipment Rental                                  </v>
      </c>
      <c r="C55" s="13"/>
      <c r="D55" s="1">
        <f>SUM(OSRRefD22_8x_0)</f>
        <v>208.98</v>
      </c>
      <c r="E55" s="1"/>
      <c r="F55" s="5">
        <f t="shared" si="24"/>
        <v>0</v>
      </c>
      <c r="G55" s="1"/>
      <c r="H55" s="1">
        <f>SUM(OSRRefH22_8x_0)</f>
        <v>299</v>
      </c>
      <c r="I55" s="1"/>
      <c r="J55" s="5">
        <f t="shared" si="25"/>
        <v>0</v>
      </c>
      <c r="K55" s="1"/>
      <c r="L55" s="1">
        <f t="shared" si="26"/>
        <v>-90.02000000000001</v>
      </c>
      <c r="M55" s="1"/>
      <c r="N55" s="5">
        <f t="shared" si="27"/>
        <v>-0.30107023411371242</v>
      </c>
      <c r="O55" s="13"/>
      <c r="P55" s="1">
        <f>SUM(OSRRefP22_8x_0)</f>
        <v>1527.66</v>
      </c>
      <c r="Q55" s="1"/>
      <c r="R55" s="5">
        <f t="shared" si="28"/>
        <v>0</v>
      </c>
      <c r="S55" s="1"/>
      <c r="T55" s="1">
        <f>SUM(OSRRefT22_8x_0)</f>
        <v>1405</v>
      </c>
      <c r="U55" s="1"/>
      <c r="V55" s="5">
        <f t="shared" si="29"/>
        <v>0</v>
      </c>
      <c r="W55" s="1"/>
      <c r="X55" s="1">
        <f t="shared" si="30"/>
        <v>122.66000000000008</v>
      </c>
      <c r="Y55" s="1"/>
      <c r="Z55" s="5">
        <f t="shared" si="31"/>
        <v>8.7302491103202901E-2</v>
      </c>
    </row>
    <row r="56" spans="1:26" s="24" customFormat="1" hidden="1" outlineLevel="2" x14ac:dyDescent="0.25">
      <c r="A56" s="25"/>
      <c r="B56" s="11" t="str">
        <f>CONCATENATE("          ", "6351", " - ", "EQUIPMENT RENTAL")</f>
        <v xml:space="preserve">          6351 - EQUIPMENT RENTAL</v>
      </c>
      <c r="C56" s="11"/>
      <c r="D56" s="6">
        <v>208.98</v>
      </c>
      <c r="E56" s="2"/>
      <c r="F56" s="7">
        <f t="shared" si="24"/>
        <v>0</v>
      </c>
      <c r="G56" s="2"/>
      <c r="H56" s="6">
        <v>299</v>
      </c>
      <c r="I56" s="2"/>
      <c r="J56" s="7">
        <f t="shared" si="25"/>
        <v>0</v>
      </c>
      <c r="K56" s="2"/>
      <c r="L56" s="6">
        <f t="shared" si="26"/>
        <v>-90.02000000000001</v>
      </c>
      <c r="M56" s="2"/>
      <c r="N56" s="7">
        <f t="shared" si="27"/>
        <v>-0.30107023411371242</v>
      </c>
      <c r="O56" s="11"/>
      <c r="P56" s="6">
        <v>1527.66</v>
      </c>
      <c r="Q56" s="2"/>
      <c r="R56" s="7">
        <f t="shared" si="28"/>
        <v>0</v>
      </c>
      <c r="S56" s="2"/>
      <c r="T56" s="6">
        <v>1405</v>
      </c>
      <c r="U56" s="2"/>
      <c r="V56" s="7">
        <f t="shared" si="29"/>
        <v>0</v>
      </c>
      <c r="W56" s="2"/>
      <c r="X56" s="6">
        <f t="shared" si="30"/>
        <v>122.66000000000008</v>
      </c>
      <c r="Y56" s="2"/>
      <c r="Z56" s="7">
        <f t="shared" si="31"/>
        <v>8.7302491103202901E-2</v>
      </c>
    </row>
    <row r="57" spans="1:26" s="26" customFormat="1" outlineLevel="1" collapsed="1" x14ac:dyDescent="0.25">
      <c r="A57" s="27"/>
      <c r="B57" s="13" t="str">
        <f>CONCATENATE("     ","Freight out/Postage                               ")</f>
        <v xml:space="preserve">     Freight out/Postage                               </v>
      </c>
      <c r="C57" s="13"/>
      <c r="D57" s="1">
        <f>SUM(OSRRefD22_9x_0)</f>
        <v>172.5</v>
      </c>
      <c r="E57" s="1"/>
      <c r="F57" s="5">
        <f t="shared" si="24"/>
        <v>0</v>
      </c>
      <c r="G57" s="1"/>
      <c r="H57" s="1">
        <f>SUM(OSRRefH22_9x_0)</f>
        <v>245</v>
      </c>
      <c r="I57" s="1"/>
      <c r="J57" s="5">
        <f t="shared" si="25"/>
        <v>0</v>
      </c>
      <c r="K57" s="1"/>
      <c r="L57" s="1">
        <f t="shared" si="26"/>
        <v>-72.5</v>
      </c>
      <c r="M57" s="1"/>
      <c r="N57" s="5">
        <f t="shared" si="27"/>
        <v>-0.29591836734693877</v>
      </c>
      <c r="O57" s="13"/>
      <c r="P57" s="1">
        <f>SUM(OSRRefP22_9x_0)</f>
        <v>958</v>
      </c>
      <c r="Q57" s="1"/>
      <c r="R57" s="5">
        <f t="shared" si="28"/>
        <v>0</v>
      </c>
      <c r="S57" s="1"/>
      <c r="T57" s="1">
        <f>SUM(OSRRefT22_9x_0)</f>
        <v>1130</v>
      </c>
      <c r="U57" s="1"/>
      <c r="V57" s="5">
        <f t="shared" si="29"/>
        <v>0</v>
      </c>
      <c r="W57" s="1"/>
      <c r="X57" s="1">
        <f t="shared" si="30"/>
        <v>-172</v>
      </c>
      <c r="Y57" s="1"/>
      <c r="Z57" s="5">
        <f t="shared" si="31"/>
        <v>-0.15221238938053097</v>
      </c>
    </row>
    <row r="58" spans="1:26" s="24" customFormat="1" hidden="1" outlineLevel="2" x14ac:dyDescent="0.25">
      <c r="A58" s="25"/>
      <c r="B58" s="11" t="str">
        <f>CONCATENATE("          ", "6307", " - ", "POSTAGE")</f>
        <v xml:space="preserve">          6307 - POSTAGE</v>
      </c>
      <c r="C58" s="11"/>
      <c r="D58" s="6">
        <v>172.5</v>
      </c>
      <c r="E58" s="2"/>
      <c r="F58" s="7">
        <f t="shared" si="24"/>
        <v>0</v>
      </c>
      <c r="G58" s="2"/>
      <c r="H58" s="6">
        <v>245</v>
      </c>
      <c r="I58" s="2"/>
      <c r="J58" s="7">
        <f t="shared" si="25"/>
        <v>0</v>
      </c>
      <c r="K58" s="2"/>
      <c r="L58" s="6">
        <f t="shared" si="26"/>
        <v>-72.5</v>
      </c>
      <c r="M58" s="2"/>
      <c r="N58" s="7">
        <f t="shared" si="27"/>
        <v>-0.29591836734693877</v>
      </c>
      <c r="O58" s="11"/>
      <c r="P58" s="6">
        <v>958</v>
      </c>
      <c r="Q58" s="2"/>
      <c r="R58" s="7">
        <f t="shared" si="28"/>
        <v>0</v>
      </c>
      <c r="S58" s="2"/>
      <c r="T58" s="6">
        <v>1130</v>
      </c>
      <c r="U58" s="2"/>
      <c r="V58" s="7">
        <f t="shared" si="29"/>
        <v>0</v>
      </c>
      <c r="W58" s="2"/>
      <c r="X58" s="6">
        <f t="shared" si="30"/>
        <v>-172</v>
      </c>
      <c r="Y58" s="2"/>
      <c r="Z58" s="7">
        <f t="shared" si="31"/>
        <v>-0.15221238938053097</v>
      </c>
    </row>
    <row r="59" spans="1:26" s="26" customFormat="1" outlineLevel="1" collapsed="1" x14ac:dyDescent="0.25">
      <c r="A59" s="27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SUM(OSRRefD22_10x_0)</f>
        <v>-8.7899999999999991</v>
      </c>
      <c r="E59" s="1"/>
      <c r="F59" s="5">
        <f t="shared" si="24"/>
        <v>0</v>
      </c>
      <c r="G59" s="1"/>
      <c r="H59" s="1">
        <f>SUM(OSRRefH22_10x_0)</f>
        <v>-85</v>
      </c>
      <c r="I59" s="1"/>
      <c r="J59" s="5">
        <f t="shared" si="25"/>
        <v>0</v>
      </c>
      <c r="K59" s="1"/>
      <c r="L59" s="1">
        <f t="shared" si="26"/>
        <v>76.210000000000008</v>
      </c>
      <c r="M59" s="1"/>
      <c r="N59" s="5">
        <f t="shared" si="27"/>
        <v>-0.89658823529411769</v>
      </c>
      <c r="O59" s="13"/>
      <c r="P59" s="1">
        <f>SUM(OSRRefP22_10x_0)</f>
        <v>12571.35</v>
      </c>
      <c r="Q59" s="1"/>
      <c r="R59" s="5">
        <f t="shared" si="28"/>
        <v>0</v>
      </c>
      <c r="S59" s="1"/>
      <c r="T59" s="1">
        <f>SUM(OSRRefT22_10x_0)</f>
        <v>1685</v>
      </c>
      <c r="U59" s="1"/>
      <c r="V59" s="5">
        <f t="shared" si="29"/>
        <v>0</v>
      </c>
      <c r="W59" s="1"/>
      <c r="X59" s="1">
        <f t="shared" si="30"/>
        <v>10886.35</v>
      </c>
      <c r="Y59" s="1"/>
      <c r="Z59" s="5">
        <f t="shared" si="31"/>
        <v>6.4607418397626111</v>
      </c>
    </row>
    <row r="60" spans="1:26" s="24" customFormat="1" hidden="1" outlineLevel="2" x14ac:dyDescent="0.25">
      <c r="A60" s="25"/>
      <c r="B60" s="11" t="str">
        <f>CONCATENATE("          ", "6279", " - ", "GENERAL EXPENSE")</f>
        <v xml:space="preserve">          6279 - GENERAL EXPENSE</v>
      </c>
      <c r="C60" s="11"/>
      <c r="D60" s="6">
        <v>-8.7899999999999991</v>
      </c>
      <c r="E60" s="2"/>
      <c r="F60" s="7">
        <f t="shared" si="24"/>
        <v>0</v>
      </c>
      <c r="G60" s="2"/>
      <c r="H60" s="6">
        <v>-85</v>
      </c>
      <c r="I60" s="2"/>
      <c r="J60" s="7">
        <f t="shared" si="25"/>
        <v>0</v>
      </c>
      <c r="K60" s="2"/>
      <c r="L60" s="6">
        <f t="shared" si="26"/>
        <v>76.210000000000008</v>
      </c>
      <c r="M60" s="2"/>
      <c r="N60" s="7">
        <f t="shared" si="27"/>
        <v>-0.89658823529411769</v>
      </c>
      <c r="O60" s="11"/>
      <c r="P60" s="6">
        <v>12571.35</v>
      </c>
      <c r="Q60" s="2"/>
      <c r="R60" s="7">
        <f t="shared" si="28"/>
        <v>0</v>
      </c>
      <c r="S60" s="2"/>
      <c r="T60" s="6">
        <v>1685</v>
      </c>
      <c r="U60" s="2"/>
      <c r="V60" s="7">
        <f t="shared" si="29"/>
        <v>0</v>
      </c>
      <c r="W60" s="2"/>
      <c r="X60" s="6">
        <f t="shared" si="30"/>
        <v>10886.35</v>
      </c>
      <c r="Y60" s="2"/>
      <c r="Z60" s="7">
        <f t="shared" si="31"/>
        <v>6.4607418397626111</v>
      </c>
    </row>
    <row r="61" spans="1:26" s="26" customFormat="1" outlineLevel="1" collapsed="1" x14ac:dyDescent="0.25">
      <c r="A61" s="27"/>
      <c r="B61" s="13" t="str">
        <f>CONCATENATE("     ","Insurance                                         ")</f>
        <v xml:space="preserve">     Insurance                                         </v>
      </c>
      <c r="C61" s="13"/>
      <c r="D61" s="1">
        <f>SUM(OSRRefD22_11x_0)</f>
        <v>393.67</v>
      </c>
      <c r="E61" s="1"/>
      <c r="F61" s="5">
        <f t="shared" si="24"/>
        <v>0</v>
      </c>
      <c r="G61" s="1"/>
      <c r="H61" s="1">
        <f>SUM(OSRRefH22_11x_0)</f>
        <v>380</v>
      </c>
      <c r="I61" s="1"/>
      <c r="J61" s="5">
        <f t="shared" si="25"/>
        <v>0</v>
      </c>
      <c r="K61" s="1"/>
      <c r="L61" s="1">
        <f t="shared" si="26"/>
        <v>13.670000000000016</v>
      </c>
      <c r="M61" s="1"/>
      <c r="N61" s="5">
        <f t="shared" si="27"/>
        <v>3.5973684210526359E-2</v>
      </c>
      <c r="O61" s="13"/>
      <c r="P61" s="1">
        <f>SUM(OSRRefP22_11x_0)</f>
        <v>1968.35</v>
      </c>
      <c r="Q61" s="1"/>
      <c r="R61" s="5">
        <f t="shared" si="28"/>
        <v>0</v>
      </c>
      <c r="S61" s="1"/>
      <c r="T61" s="1">
        <f>SUM(OSRRefT22_11x_0)</f>
        <v>1900</v>
      </c>
      <c r="U61" s="1"/>
      <c r="V61" s="5">
        <f t="shared" si="29"/>
        <v>0</v>
      </c>
      <c r="W61" s="1"/>
      <c r="X61" s="1">
        <f t="shared" si="30"/>
        <v>68.349999999999909</v>
      </c>
      <c r="Y61" s="1"/>
      <c r="Z61" s="5">
        <f t="shared" si="31"/>
        <v>3.5973684210526269E-2</v>
      </c>
    </row>
    <row r="62" spans="1:26" s="24" customFormat="1" hidden="1" outlineLevel="2" x14ac:dyDescent="0.25">
      <c r="A62" s="25"/>
      <c r="B62" s="11" t="str">
        <f>CONCATENATE("          ", "6314", " - ", "LIABILITY INSURANCE")</f>
        <v xml:space="preserve">          6314 - LIABILITY INSURANCE</v>
      </c>
      <c r="C62" s="11"/>
      <c r="D62" s="6">
        <v>393.67</v>
      </c>
      <c r="E62" s="2"/>
      <c r="F62" s="7">
        <f t="shared" si="24"/>
        <v>0</v>
      </c>
      <c r="G62" s="2"/>
      <c r="H62" s="6">
        <v>380</v>
      </c>
      <c r="I62" s="2"/>
      <c r="J62" s="7">
        <f t="shared" si="25"/>
        <v>0</v>
      </c>
      <c r="K62" s="2"/>
      <c r="L62" s="6">
        <f t="shared" si="26"/>
        <v>13.670000000000016</v>
      </c>
      <c r="M62" s="2"/>
      <c r="N62" s="7">
        <f t="shared" si="27"/>
        <v>3.5973684210526359E-2</v>
      </c>
      <c r="O62" s="11"/>
      <c r="P62" s="6">
        <v>1968.35</v>
      </c>
      <c r="Q62" s="2"/>
      <c r="R62" s="7">
        <f t="shared" si="28"/>
        <v>0</v>
      </c>
      <c r="S62" s="2"/>
      <c r="T62" s="6">
        <v>1900</v>
      </c>
      <c r="U62" s="2"/>
      <c r="V62" s="7">
        <f t="shared" si="29"/>
        <v>0</v>
      </c>
      <c r="W62" s="2"/>
      <c r="X62" s="6">
        <f t="shared" si="30"/>
        <v>68.349999999999909</v>
      </c>
      <c r="Y62" s="2"/>
      <c r="Z62" s="7">
        <f t="shared" si="31"/>
        <v>3.5973684210526269E-2</v>
      </c>
    </row>
    <row r="63" spans="1:26" s="26" customFormat="1" outlineLevel="1" collapsed="1" x14ac:dyDescent="0.25">
      <c r="A63" s="27"/>
      <c r="B63" s="13" t="str">
        <f>CONCATENATE("     ","Interest                                          ")</f>
        <v xml:space="preserve">     Interest                                          </v>
      </c>
      <c r="C63" s="13"/>
      <c r="D63" s="1">
        <f>SUM(OSRRefD22_12x_0)</f>
        <v>0</v>
      </c>
      <c r="E63" s="1"/>
      <c r="F63" s="5">
        <f t="shared" si="24"/>
        <v>0</v>
      </c>
      <c r="G63" s="1"/>
      <c r="H63" s="1">
        <f>SUM(OSRRefH22_12x_0)</f>
        <v>0</v>
      </c>
      <c r="I63" s="1"/>
      <c r="J63" s="5">
        <f t="shared" si="25"/>
        <v>0</v>
      </c>
      <c r="K63" s="1"/>
      <c r="L63" s="1">
        <f t="shared" si="26"/>
        <v>0</v>
      </c>
      <c r="M63" s="1"/>
      <c r="N63" s="5">
        <f t="shared" si="27"/>
        <v>0</v>
      </c>
      <c r="O63" s="13"/>
      <c r="P63" s="1">
        <f>SUM(OSRRefP22_12x_0)</f>
        <v>0</v>
      </c>
      <c r="Q63" s="1"/>
      <c r="R63" s="5">
        <f t="shared" si="28"/>
        <v>0</v>
      </c>
      <c r="S63" s="1"/>
      <c r="T63" s="1">
        <f>SUM(OSRRefT22_12x_0)</f>
        <v>0</v>
      </c>
      <c r="U63" s="1"/>
      <c r="V63" s="5">
        <f t="shared" si="29"/>
        <v>0</v>
      </c>
      <c r="W63" s="1"/>
      <c r="X63" s="1">
        <f t="shared" si="30"/>
        <v>0</v>
      </c>
      <c r="Y63" s="1"/>
      <c r="Z63" s="5">
        <f t="shared" si="31"/>
        <v>0</v>
      </c>
    </row>
    <row r="64" spans="1:26" s="24" customFormat="1" hidden="1" outlineLevel="2" x14ac:dyDescent="0.25">
      <c r="A64" s="25"/>
      <c r="B64" s="11" t="str">
        <f>CONCATENATE("          ", "6401", " - ", "INTEREST EXPENSE")</f>
        <v xml:space="preserve">          6401 - INTEREST EXPENSE</v>
      </c>
      <c r="C64" s="11"/>
      <c r="D64" s="6"/>
      <c r="E64" s="2"/>
      <c r="F64" s="7">
        <f t="shared" si="24"/>
        <v>0</v>
      </c>
      <c r="G64" s="2"/>
      <c r="H64" s="6">
        <v>0</v>
      </c>
      <c r="I64" s="2"/>
      <c r="J64" s="7">
        <f t="shared" si="25"/>
        <v>0</v>
      </c>
      <c r="K64" s="2"/>
      <c r="L64" s="6">
        <f t="shared" si="26"/>
        <v>0</v>
      </c>
      <c r="M64" s="2"/>
      <c r="N64" s="7">
        <f t="shared" si="27"/>
        <v>0</v>
      </c>
      <c r="O64" s="11"/>
      <c r="P64" s="6"/>
      <c r="Q64" s="2"/>
      <c r="R64" s="7">
        <f t="shared" si="28"/>
        <v>0</v>
      </c>
      <c r="S64" s="2"/>
      <c r="T64" s="6">
        <v>0</v>
      </c>
      <c r="U64" s="2"/>
      <c r="V64" s="7">
        <f t="shared" si="29"/>
        <v>0</v>
      </c>
      <c r="W64" s="2"/>
      <c r="X64" s="6">
        <f t="shared" si="30"/>
        <v>0</v>
      </c>
      <c r="Y64" s="2"/>
      <c r="Z64" s="7">
        <f t="shared" si="31"/>
        <v>0</v>
      </c>
    </row>
    <row r="65" spans="1:26" s="24" customFormat="1" hidden="1" outlineLevel="2" x14ac:dyDescent="0.25">
      <c r="A65" s="25"/>
      <c r="B65" s="11" t="str">
        <f>CONCATENATE("          ", "6402", " - ", "INTEREST EXPENSE BOND ISSUANCE")</f>
        <v xml:space="preserve">          6402 - INTEREST EXPENSE BOND ISSUANCE</v>
      </c>
      <c r="C65" s="11"/>
      <c r="D65" s="6"/>
      <c r="E65" s="2"/>
      <c r="F65" s="7">
        <f t="shared" si="24"/>
        <v>0</v>
      </c>
      <c r="G65" s="2"/>
      <c r="H65" s="6">
        <v>0</v>
      </c>
      <c r="I65" s="2"/>
      <c r="J65" s="7">
        <f t="shared" si="25"/>
        <v>0</v>
      </c>
      <c r="K65" s="2"/>
      <c r="L65" s="6">
        <f t="shared" si="26"/>
        <v>0</v>
      </c>
      <c r="M65" s="2"/>
      <c r="N65" s="7">
        <f t="shared" si="27"/>
        <v>0</v>
      </c>
      <c r="O65" s="11"/>
      <c r="P65" s="6"/>
      <c r="Q65" s="2"/>
      <c r="R65" s="7">
        <f t="shared" si="28"/>
        <v>0</v>
      </c>
      <c r="S65" s="2"/>
      <c r="T65" s="6">
        <v>0</v>
      </c>
      <c r="U65" s="2"/>
      <c r="V65" s="7">
        <f t="shared" si="29"/>
        <v>0</v>
      </c>
      <c r="W65" s="2"/>
      <c r="X65" s="6">
        <f t="shared" si="30"/>
        <v>0</v>
      </c>
      <c r="Y65" s="2"/>
      <c r="Z65" s="7">
        <f t="shared" si="31"/>
        <v>0</v>
      </c>
    </row>
    <row r="66" spans="1:26" s="24" customFormat="1" hidden="1" outlineLevel="2" x14ac:dyDescent="0.25">
      <c r="A66" s="25"/>
      <c r="B66" s="11" t="str">
        <f>CONCATENATE("          ", "6403", " - ", "INTEREST EXPENSE LEASE EQUIP")</f>
        <v xml:space="preserve">          6403 - INTEREST EXPENSE LEASE EQUIP</v>
      </c>
      <c r="C66" s="11"/>
      <c r="D66" s="6"/>
      <c r="E66" s="2"/>
      <c r="F66" s="7">
        <f t="shared" si="24"/>
        <v>0</v>
      </c>
      <c r="G66" s="2"/>
      <c r="H66" s="6">
        <v>0</v>
      </c>
      <c r="I66" s="2"/>
      <c r="J66" s="7">
        <f t="shared" si="25"/>
        <v>0</v>
      </c>
      <c r="K66" s="2"/>
      <c r="L66" s="6">
        <f t="shared" si="26"/>
        <v>0</v>
      </c>
      <c r="M66" s="2"/>
      <c r="N66" s="7">
        <f t="shared" si="27"/>
        <v>0</v>
      </c>
      <c r="O66" s="11"/>
      <c r="P66" s="6"/>
      <c r="Q66" s="2"/>
      <c r="R66" s="7">
        <f t="shared" si="28"/>
        <v>0</v>
      </c>
      <c r="S66" s="2"/>
      <c r="T66" s="6">
        <v>0</v>
      </c>
      <c r="U66" s="2"/>
      <c r="V66" s="7">
        <f t="shared" si="29"/>
        <v>0</v>
      </c>
      <c r="W66" s="2"/>
      <c r="X66" s="6">
        <f t="shared" si="30"/>
        <v>0</v>
      </c>
      <c r="Y66" s="2"/>
      <c r="Z66" s="7">
        <f t="shared" si="31"/>
        <v>0</v>
      </c>
    </row>
    <row r="67" spans="1:26" s="26" customFormat="1" outlineLevel="1" collapsed="1" x14ac:dyDescent="0.25">
      <c r="A67" s="27"/>
      <c r="B67" s="13" t="str">
        <f>CONCATENATE("     ","Professional Services                             ")</f>
        <v xml:space="preserve">     Professional Services                             </v>
      </c>
      <c r="C67" s="13"/>
      <c r="D67" s="1">
        <f>SUM(OSRRefD22_13x_0)</f>
        <v>19180.91</v>
      </c>
      <c r="E67" s="1"/>
      <c r="F67" s="5">
        <f t="shared" ref="F67:F71" si="32">IF(D$12=0,0,D67/D$12)</f>
        <v>0</v>
      </c>
      <c r="G67" s="1"/>
      <c r="H67" s="1">
        <f>SUM(OSRRefH22_13x_0)</f>
        <v>16433</v>
      </c>
      <c r="I67" s="1"/>
      <c r="J67" s="5">
        <f t="shared" ref="J67:J71" si="33">IF(H$12=0,0,H67/H$12)</f>
        <v>0</v>
      </c>
      <c r="K67" s="1"/>
      <c r="L67" s="1">
        <f t="shared" ref="L67:L71" si="34">+D67-H67</f>
        <v>2747.91</v>
      </c>
      <c r="M67" s="1"/>
      <c r="N67" s="5">
        <f t="shared" ref="N67:N71" si="35">IF(H67=0,0,L67/H67)</f>
        <v>0.16721901052759691</v>
      </c>
      <c r="O67" s="13"/>
      <c r="P67" s="1">
        <f>SUM(OSRRefP22_13x_0)</f>
        <v>143791.83000000002</v>
      </c>
      <c r="Q67" s="1"/>
      <c r="R67" s="5">
        <f t="shared" ref="R67:R71" si="36">IF(P$12=0,0,P67/P$12)</f>
        <v>0</v>
      </c>
      <c r="S67" s="1"/>
      <c r="T67" s="1">
        <f>SUM(OSRRefT22_13x_0)</f>
        <v>110165</v>
      </c>
      <c r="U67" s="1"/>
      <c r="V67" s="5">
        <f t="shared" ref="V67:V71" si="37">IF(T$12=0,0,T67/T$12)</f>
        <v>0</v>
      </c>
      <c r="W67" s="1"/>
      <c r="X67" s="1">
        <f t="shared" ref="X67:X71" si="38">+P67-T67</f>
        <v>33626.830000000016</v>
      </c>
      <c r="Y67" s="1"/>
      <c r="Z67" s="5">
        <f t="shared" ref="Z67:Z71" si="39">IF(T67=0,0,X67/T67)</f>
        <v>0.30524059365497225</v>
      </c>
    </row>
    <row r="68" spans="1:26" s="24" customFormat="1" hidden="1" outlineLevel="2" x14ac:dyDescent="0.25">
      <c r="A68" s="25"/>
      <c r="B68" s="11" t="str">
        <f>CONCATENATE("          ", "6331", " - ", "INDIRECT COSTS-AUXILIARY ORGAN")</f>
        <v xml:space="preserve">          6331 - INDIRECT COSTS-AUXILIARY ORGAN</v>
      </c>
      <c r="C68" s="11"/>
      <c r="D68" s="6">
        <v>18550</v>
      </c>
      <c r="E68" s="2"/>
      <c r="F68" s="7">
        <f t="shared" si="32"/>
        <v>0</v>
      </c>
      <c r="G68" s="2"/>
      <c r="H68" s="6"/>
      <c r="I68" s="2"/>
      <c r="J68" s="7">
        <f t="shared" si="33"/>
        <v>0</v>
      </c>
      <c r="K68" s="2"/>
      <c r="L68" s="6">
        <f t="shared" si="34"/>
        <v>18550</v>
      </c>
      <c r="M68" s="2"/>
      <c r="N68" s="7">
        <f t="shared" si="35"/>
        <v>0</v>
      </c>
      <c r="O68" s="11"/>
      <c r="P68" s="6">
        <v>68749</v>
      </c>
      <c r="Q68" s="2"/>
      <c r="R68" s="7">
        <f t="shared" si="36"/>
        <v>0</v>
      </c>
      <c r="S68" s="2"/>
      <c r="T68" s="6">
        <v>45000</v>
      </c>
      <c r="U68" s="2"/>
      <c r="V68" s="7">
        <f t="shared" si="37"/>
        <v>0</v>
      </c>
      <c r="W68" s="2"/>
      <c r="X68" s="6">
        <f t="shared" si="38"/>
        <v>23749</v>
      </c>
      <c r="Y68" s="2"/>
      <c r="Z68" s="7">
        <f t="shared" si="39"/>
        <v>0.52775555555555553</v>
      </c>
    </row>
    <row r="69" spans="1:26" s="24" customFormat="1" hidden="1" outlineLevel="2" x14ac:dyDescent="0.25">
      <c r="A69" s="25"/>
      <c r="B69" s="11" t="str">
        <f>CONCATENATE("          ", "6332", " - ", "CONSULTANT FEES")</f>
        <v xml:space="preserve">          6332 - CONSULTANT FEES</v>
      </c>
      <c r="C69" s="11"/>
      <c r="D69" s="6"/>
      <c r="E69" s="2"/>
      <c r="F69" s="7">
        <f t="shared" si="32"/>
        <v>0</v>
      </c>
      <c r="G69" s="2"/>
      <c r="H69" s="6">
        <v>15600</v>
      </c>
      <c r="I69" s="2"/>
      <c r="J69" s="7">
        <f t="shared" si="33"/>
        <v>0</v>
      </c>
      <c r="K69" s="2"/>
      <c r="L69" s="6">
        <f t="shared" si="34"/>
        <v>-15600</v>
      </c>
      <c r="M69" s="2"/>
      <c r="N69" s="7">
        <f t="shared" si="35"/>
        <v>-1</v>
      </c>
      <c r="O69" s="11"/>
      <c r="P69" s="6">
        <v>15144.74</v>
      </c>
      <c r="Q69" s="2"/>
      <c r="R69" s="7">
        <f t="shared" si="36"/>
        <v>0</v>
      </c>
      <c r="S69" s="2"/>
      <c r="T69" s="6">
        <v>18000</v>
      </c>
      <c r="U69" s="2"/>
      <c r="V69" s="7">
        <f t="shared" si="37"/>
        <v>0</v>
      </c>
      <c r="W69" s="2"/>
      <c r="X69" s="6">
        <f t="shared" si="38"/>
        <v>-2855.26</v>
      </c>
      <c r="Y69" s="2"/>
      <c r="Z69" s="7">
        <f t="shared" si="39"/>
        <v>-0.15862555555555558</v>
      </c>
    </row>
    <row r="70" spans="1:26" s="24" customFormat="1" hidden="1" outlineLevel="2" x14ac:dyDescent="0.25">
      <c r="A70" s="25"/>
      <c r="B70" s="11" t="str">
        <f>CONCATENATE("          ", "6334", " - ", "LEGAL COUNCIL EXPENSE")</f>
        <v xml:space="preserve">          6334 - LEGAL COUNCIL EXPENSE</v>
      </c>
      <c r="C70" s="11"/>
      <c r="D70" s="6">
        <v>315</v>
      </c>
      <c r="E70" s="2"/>
      <c r="F70" s="7">
        <f t="shared" si="32"/>
        <v>0</v>
      </c>
      <c r="G70" s="2"/>
      <c r="H70" s="6">
        <v>833</v>
      </c>
      <c r="I70" s="2"/>
      <c r="J70" s="7">
        <f t="shared" si="33"/>
        <v>0</v>
      </c>
      <c r="K70" s="2"/>
      <c r="L70" s="6">
        <f t="shared" si="34"/>
        <v>-518</v>
      </c>
      <c r="M70" s="2"/>
      <c r="N70" s="7">
        <f t="shared" si="35"/>
        <v>-0.62184873949579833</v>
      </c>
      <c r="O70" s="11"/>
      <c r="P70" s="6">
        <v>38200</v>
      </c>
      <c r="Q70" s="2"/>
      <c r="R70" s="7">
        <f t="shared" si="36"/>
        <v>0</v>
      </c>
      <c r="S70" s="2"/>
      <c r="T70" s="6">
        <v>5665</v>
      </c>
      <c r="U70" s="2"/>
      <c r="V70" s="7">
        <f t="shared" si="37"/>
        <v>0</v>
      </c>
      <c r="W70" s="2"/>
      <c r="X70" s="6">
        <f t="shared" si="38"/>
        <v>32535</v>
      </c>
      <c r="Y70" s="2"/>
      <c r="Z70" s="7">
        <f t="shared" si="39"/>
        <v>5.7431597528684906</v>
      </c>
    </row>
    <row r="71" spans="1:26" s="24" customFormat="1" hidden="1" outlineLevel="2" x14ac:dyDescent="0.25">
      <c r="A71" s="25"/>
      <c r="B71" s="11" t="str">
        <f>CONCATENATE("          ", "6336", " - ", "PROFESSIONAL SERVICES")</f>
        <v xml:space="preserve">          6336 - PROFESSIONAL SERVICES</v>
      </c>
      <c r="C71" s="11"/>
      <c r="D71" s="6">
        <v>315.91000000000003</v>
      </c>
      <c r="E71" s="2"/>
      <c r="F71" s="7">
        <f t="shared" si="32"/>
        <v>0</v>
      </c>
      <c r="G71" s="2"/>
      <c r="H71" s="6">
        <v>0</v>
      </c>
      <c r="I71" s="2"/>
      <c r="J71" s="7">
        <f t="shared" si="33"/>
        <v>0</v>
      </c>
      <c r="K71" s="2"/>
      <c r="L71" s="6">
        <f t="shared" si="34"/>
        <v>315.91000000000003</v>
      </c>
      <c r="M71" s="2"/>
      <c r="N71" s="7">
        <f t="shared" si="35"/>
        <v>0</v>
      </c>
      <c r="O71" s="11"/>
      <c r="P71" s="6">
        <v>21698.09</v>
      </c>
      <c r="Q71" s="2"/>
      <c r="R71" s="7">
        <f t="shared" si="36"/>
        <v>0</v>
      </c>
      <c r="S71" s="2"/>
      <c r="T71" s="6">
        <v>41500</v>
      </c>
      <c r="U71" s="2"/>
      <c r="V71" s="7">
        <f t="shared" si="37"/>
        <v>0</v>
      </c>
      <c r="W71" s="2"/>
      <c r="X71" s="6">
        <f t="shared" si="38"/>
        <v>-19801.91</v>
      </c>
      <c r="Y71" s="2"/>
      <c r="Z71" s="7">
        <f t="shared" si="39"/>
        <v>-0.47715445783132532</v>
      </c>
    </row>
    <row r="72" spans="1:26" s="26" customFormat="1" outlineLevel="1" collapsed="1" x14ac:dyDescent="0.25">
      <c r="A72" s="27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SUM(OSRRefD22_14x_0)</f>
        <v>27339.480000000003</v>
      </c>
      <c r="E72" s="1"/>
      <c r="F72" s="5">
        <f t="shared" ref="F72:F76" si="40">IF(D$12=0,0,D72/D$12)</f>
        <v>0</v>
      </c>
      <c r="G72" s="1"/>
      <c r="H72" s="1">
        <f>SUM(OSRRefH22_14x_0)</f>
        <v>30915</v>
      </c>
      <c r="I72" s="1"/>
      <c r="J72" s="5">
        <f t="shared" ref="J72:J76" si="41">IF(H$12=0,0,H72/H$12)</f>
        <v>0</v>
      </c>
      <c r="K72" s="1"/>
      <c r="L72" s="1">
        <f t="shared" ref="L72:L76" si="42">+D72-H72</f>
        <v>-3575.5199999999968</v>
      </c>
      <c r="M72" s="1"/>
      <c r="N72" s="5">
        <f t="shared" ref="N72:N76" si="43">IF(H72=0,0,L72/H72)</f>
        <v>-0.11565647743813673</v>
      </c>
      <c r="O72" s="13"/>
      <c r="P72" s="1">
        <f>SUM(OSRRefP22_14x_0)</f>
        <v>130038.81000000001</v>
      </c>
      <c r="Q72" s="1"/>
      <c r="R72" s="5">
        <f t="shared" ref="R72:R76" si="44">IF(P$12=0,0,P72/P$12)</f>
        <v>0</v>
      </c>
      <c r="S72" s="1"/>
      <c r="T72" s="1">
        <f>SUM(OSRRefT22_14x_0)</f>
        <v>129555</v>
      </c>
      <c r="U72" s="1"/>
      <c r="V72" s="5">
        <f t="shared" ref="V72:V76" si="45">IF(T$12=0,0,T72/T$12)</f>
        <v>0</v>
      </c>
      <c r="W72" s="1"/>
      <c r="X72" s="1">
        <f t="shared" ref="X72:X76" si="46">+P72-T72</f>
        <v>483.81000000001222</v>
      </c>
      <c r="Y72" s="1"/>
      <c r="Z72" s="5">
        <f t="shared" ref="Z72:Z76" si="47">IF(T72=0,0,X72/T72)</f>
        <v>3.734398518004031E-3</v>
      </c>
    </row>
    <row r="73" spans="1:26" s="24" customFormat="1" hidden="1" outlineLevel="2" x14ac:dyDescent="0.25">
      <c r="A73" s="25"/>
      <c r="B73" s="11" t="str">
        <f>CONCATENATE("          ", "6371", " - ", "COMPUTER SOFTWARE MAINTENANCE")</f>
        <v xml:space="preserve">          6371 - COMPUTER SOFTWARE MAINTENANCE</v>
      </c>
      <c r="C73" s="11"/>
      <c r="D73" s="6">
        <v>13365.68</v>
      </c>
      <c r="E73" s="2"/>
      <c r="F73" s="7">
        <f t="shared" si="40"/>
        <v>0</v>
      </c>
      <c r="G73" s="2"/>
      <c r="H73" s="6">
        <v>13820</v>
      </c>
      <c r="I73" s="2"/>
      <c r="J73" s="7">
        <f t="shared" si="41"/>
        <v>0</v>
      </c>
      <c r="K73" s="2"/>
      <c r="L73" s="6">
        <f t="shared" si="42"/>
        <v>-454.31999999999971</v>
      </c>
      <c r="M73" s="2"/>
      <c r="N73" s="7">
        <f t="shared" si="43"/>
        <v>-3.2874095513748168E-2</v>
      </c>
      <c r="O73" s="11"/>
      <c r="P73" s="6">
        <v>58268.87</v>
      </c>
      <c r="Q73" s="2"/>
      <c r="R73" s="7">
        <f t="shared" si="44"/>
        <v>0</v>
      </c>
      <c r="S73" s="2"/>
      <c r="T73" s="6">
        <v>56680</v>
      </c>
      <c r="U73" s="2"/>
      <c r="V73" s="7">
        <f t="shared" si="45"/>
        <v>0</v>
      </c>
      <c r="W73" s="2"/>
      <c r="X73" s="6">
        <f t="shared" si="46"/>
        <v>1588.8700000000026</v>
      </c>
      <c r="Y73" s="2"/>
      <c r="Z73" s="7">
        <f t="shared" si="47"/>
        <v>2.8032286520818676E-2</v>
      </c>
    </row>
    <row r="74" spans="1:26" s="24" customFormat="1" hidden="1" outlineLevel="2" x14ac:dyDescent="0.25">
      <c r="A74" s="25"/>
      <c r="B74" s="11" t="str">
        <f>CONCATENATE("          ", "6372", " - ", "COMPUTER HARDWARE MAINTENANCE")</f>
        <v xml:space="preserve">          6372 - COMPUTER HARDWARE MAINTENANCE</v>
      </c>
      <c r="C74" s="11"/>
      <c r="D74" s="6"/>
      <c r="E74" s="2"/>
      <c r="F74" s="7">
        <f t="shared" si="40"/>
        <v>0</v>
      </c>
      <c r="G74" s="2"/>
      <c r="H74" s="6">
        <v>1000</v>
      </c>
      <c r="I74" s="2"/>
      <c r="J74" s="7">
        <f t="shared" si="41"/>
        <v>0</v>
      </c>
      <c r="K74" s="2"/>
      <c r="L74" s="6">
        <f t="shared" si="42"/>
        <v>-1000</v>
      </c>
      <c r="M74" s="2"/>
      <c r="N74" s="7">
        <f t="shared" si="43"/>
        <v>-1</v>
      </c>
      <c r="O74" s="11"/>
      <c r="P74" s="6"/>
      <c r="Q74" s="2"/>
      <c r="R74" s="7">
        <f t="shared" si="44"/>
        <v>0</v>
      </c>
      <c r="S74" s="2"/>
      <c r="T74" s="6">
        <v>4000</v>
      </c>
      <c r="U74" s="2"/>
      <c r="V74" s="7">
        <f t="shared" si="45"/>
        <v>0</v>
      </c>
      <c r="W74" s="2"/>
      <c r="X74" s="6">
        <f t="shared" si="46"/>
        <v>-4000</v>
      </c>
      <c r="Y74" s="2"/>
      <c r="Z74" s="7">
        <f t="shared" si="47"/>
        <v>-1</v>
      </c>
    </row>
    <row r="75" spans="1:26" s="24" customFormat="1" hidden="1" outlineLevel="2" x14ac:dyDescent="0.25">
      <c r="A75" s="25"/>
      <c r="B75" s="11" t="str">
        <f>CONCATENATE("          ", "6373", " - ", "MAINTENANCE CONTRACTS")</f>
        <v xml:space="preserve">          6373 - MAINTENANCE CONTRACTS</v>
      </c>
      <c r="C75" s="11"/>
      <c r="D75" s="6">
        <v>13715.4</v>
      </c>
      <c r="E75" s="2"/>
      <c r="F75" s="7">
        <f t="shared" si="40"/>
        <v>0</v>
      </c>
      <c r="G75" s="2"/>
      <c r="H75" s="6">
        <v>16095</v>
      </c>
      <c r="I75" s="2"/>
      <c r="J75" s="7">
        <f t="shared" si="41"/>
        <v>0</v>
      </c>
      <c r="K75" s="2"/>
      <c r="L75" s="6">
        <f t="shared" si="42"/>
        <v>-2379.6000000000004</v>
      </c>
      <c r="M75" s="2"/>
      <c r="N75" s="7">
        <f t="shared" si="43"/>
        <v>-0.14784715750232993</v>
      </c>
      <c r="O75" s="11"/>
      <c r="P75" s="6">
        <v>70221.900000000009</v>
      </c>
      <c r="Q75" s="2"/>
      <c r="R75" s="7">
        <f t="shared" si="44"/>
        <v>0</v>
      </c>
      <c r="S75" s="2"/>
      <c r="T75" s="6">
        <v>68875</v>
      </c>
      <c r="U75" s="2"/>
      <c r="V75" s="7">
        <f t="shared" si="45"/>
        <v>0</v>
      </c>
      <c r="W75" s="2"/>
      <c r="X75" s="6">
        <f t="shared" si="46"/>
        <v>1346.9000000000087</v>
      </c>
      <c r="Y75" s="2"/>
      <c r="Z75" s="7">
        <f t="shared" si="47"/>
        <v>1.9555716878403032E-2</v>
      </c>
    </row>
    <row r="76" spans="1:26" s="24" customFormat="1" hidden="1" outlineLevel="2" x14ac:dyDescent="0.25">
      <c r="A76" s="25"/>
      <c r="B76" s="11" t="str">
        <f>CONCATENATE("          ", "6375", " - ", "OUTSIDE REPAIRS &amp; MAINTENANCE")</f>
        <v xml:space="preserve">          6375 - OUTSIDE REPAIRS &amp; MAINTENANCE</v>
      </c>
      <c r="C76" s="11"/>
      <c r="D76" s="6">
        <v>258.39999999999998</v>
      </c>
      <c r="E76" s="2"/>
      <c r="F76" s="7">
        <f t="shared" si="40"/>
        <v>0</v>
      </c>
      <c r="G76" s="2"/>
      <c r="H76" s="6"/>
      <c r="I76" s="2"/>
      <c r="J76" s="7">
        <f t="shared" si="41"/>
        <v>0</v>
      </c>
      <c r="K76" s="2"/>
      <c r="L76" s="6">
        <f t="shared" si="42"/>
        <v>258.39999999999998</v>
      </c>
      <c r="M76" s="2"/>
      <c r="N76" s="7">
        <f t="shared" si="43"/>
        <v>0</v>
      </c>
      <c r="O76" s="11"/>
      <c r="P76" s="6">
        <v>1548.04</v>
      </c>
      <c r="Q76" s="2"/>
      <c r="R76" s="7">
        <f t="shared" si="44"/>
        <v>0</v>
      </c>
      <c r="S76" s="2"/>
      <c r="T76" s="6"/>
      <c r="U76" s="2"/>
      <c r="V76" s="7">
        <f t="shared" si="45"/>
        <v>0</v>
      </c>
      <c r="W76" s="2"/>
      <c r="X76" s="6">
        <f t="shared" si="46"/>
        <v>1548.04</v>
      </c>
      <c r="Y76" s="2"/>
      <c r="Z76" s="7">
        <f t="shared" si="47"/>
        <v>0</v>
      </c>
    </row>
    <row r="77" spans="1:26" s="26" customFormat="1" outlineLevel="1" collapsed="1" x14ac:dyDescent="0.25">
      <c r="A77" s="27"/>
      <c r="B77" s="13" t="str">
        <f>CONCATENATE("     ","Services                                          ")</f>
        <v xml:space="preserve">     Services                                          </v>
      </c>
      <c r="C77" s="13"/>
      <c r="D77" s="1">
        <f>SUM(OSRRefD22_15x_0)</f>
        <v>427.96</v>
      </c>
      <c r="E77" s="1"/>
      <c r="F77" s="5">
        <f t="shared" ref="F77:F79" si="48">IF(D$12=0,0,D77/D$12)</f>
        <v>0</v>
      </c>
      <c r="G77" s="1"/>
      <c r="H77" s="1">
        <f>SUM(OSRRefH22_15x_0)</f>
        <v>610</v>
      </c>
      <c r="I77" s="1"/>
      <c r="J77" s="5">
        <f t="shared" ref="J77:J79" si="49">IF(H$12=0,0,H77/H$12)</f>
        <v>0</v>
      </c>
      <c r="K77" s="1"/>
      <c r="L77" s="1">
        <f t="shared" ref="L77:L79" si="50">+D77-H77</f>
        <v>-182.04000000000002</v>
      </c>
      <c r="M77" s="1"/>
      <c r="N77" s="5">
        <f t="shared" ref="N77:N79" si="51">IF(H77=0,0,L77/H77)</f>
        <v>-0.29842622950819675</v>
      </c>
      <c r="O77" s="13"/>
      <c r="P77" s="1">
        <f>SUM(OSRRefP22_15x_0)</f>
        <v>7634.8099999999995</v>
      </c>
      <c r="Q77" s="1"/>
      <c r="R77" s="5">
        <f t="shared" ref="R77:R79" si="52">IF(P$12=0,0,P77/P$12)</f>
        <v>0</v>
      </c>
      <c r="S77" s="1"/>
      <c r="T77" s="1">
        <f>SUM(OSRRefT22_15x_0)</f>
        <v>3050</v>
      </c>
      <c r="U77" s="1"/>
      <c r="V77" s="5">
        <f t="shared" ref="V77:V79" si="53">IF(T$12=0,0,T77/T$12)</f>
        <v>0</v>
      </c>
      <c r="W77" s="1"/>
      <c r="X77" s="1">
        <f t="shared" ref="X77:X79" si="54">+P77-T77</f>
        <v>4584.8099999999995</v>
      </c>
      <c r="Y77" s="1"/>
      <c r="Z77" s="5">
        <f t="shared" ref="Z77:Z79" si="55">IF(T77=0,0,X77/T77)</f>
        <v>1.5032163934426228</v>
      </c>
    </row>
    <row r="78" spans="1:26" s="24" customFormat="1" hidden="1" outlineLevel="2" x14ac:dyDescent="0.25">
      <c r="A78" s="25"/>
      <c r="B78" s="11" t="str">
        <f>CONCATENATE("          ", "6281", " - ", "STORAGE FEE")</f>
        <v xml:space="preserve">          6281 - STORAGE FEE</v>
      </c>
      <c r="C78" s="11"/>
      <c r="D78" s="6">
        <v>427.96</v>
      </c>
      <c r="E78" s="2"/>
      <c r="F78" s="7">
        <f t="shared" si="48"/>
        <v>0</v>
      </c>
      <c r="G78" s="2"/>
      <c r="H78" s="6">
        <v>600</v>
      </c>
      <c r="I78" s="2"/>
      <c r="J78" s="7">
        <f t="shared" si="49"/>
        <v>0</v>
      </c>
      <c r="K78" s="2"/>
      <c r="L78" s="6">
        <f t="shared" si="50"/>
        <v>-172.04000000000002</v>
      </c>
      <c r="M78" s="2"/>
      <c r="N78" s="7">
        <f t="shared" si="51"/>
        <v>-0.28673333333333334</v>
      </c>
      <c r="O78" s="11"/>
      <c r="P78" s="6">
        <v>7595.03</v>
      </c>
      <c r="Q78" s="2"/>
      <c r="R78" s="7">
        <f t="shared" si="52"/>
        <v>0</v>
      </c>
      <c r="S78" s="2"/>
      <c r="T78" s="6">
        <v>3000</v>
      </c>
      <c r="U78" s="2"/>
      <c r="V78" s="7">
        <f t="shared" si="53"/>
        <v>0</v>
      </c>
      <c r="W78" s="2"/>
      <c r="X78" s="6">
        <f t="shared" si="54"/>
        <v>4595.03</v>
      </c>
      <c r="Y78" s="2"/>
      <c r="Z78" s="7">
        <f t="shared" si="55"/>
        <v>1.5316766666666666</v>
      </c>
    </row>
    <row r="79" spans="1:26" s="24" customFormat="1" hidden="1" outlineLevel="2" x14ac:dyDescent="0.25">
      <c r="A79" s="25"/>
      <c r="B79" s="11" t="str">
        <f>CONCATENATE("          ", "6286", " - ", "LAUNDRY EXPENSE")</f>
        <v xml:space="preserve">          6286 - LAUNDRY EXPENSE</v>
      </c>
      <c r="C79" s="11"/>
      <c r="D79" s="6"/>
      <c r="E79" s="2"/>
      <c r="F79" s="7">
        <f t="shared" si="48"/>
        <v>0</v>
      </c>
      <c r="G79" s="2"/>
      <c r="H79" s="6">
        <v>10</v>
      </c>
      <c r="I79" s="2"/>
      <c r="J79" s="7">
        <f t="shared" si="49"/>
        <v>0</v>
      </c>
      <c r="K79" s="2"/>
      <c r="L79" s="6">
        <f t="shared" si="50"/>
        <v>-10</v>
      </c>
      <c r="M79" s="2"/>
      <c r="N79" s="7">
        <f t="shared" si="51"/>
        <v>-1</v>
      </c>
      <c r="O79" s="11"/>
      <c r="P79" s="6">
        <v>39.78</v>
      </c>
      <c r="Q79" s="2"/>
      <c r="R79" s="7">
        <f t="shared" si="52"/>
        <v>0</v>
      </c>
      <c r="S79" s="2"/>
      <c r="T79" s="6">
        <v>50</v>
      </c>
      <c r="U79" s="2"/>
      <c r="V79" s="7">
        <f t="shared" si="53"/>
        <v>0</v>
      </c>
      <c r="W79" s="2"/>
      <c r="X79" s="6">
        <f t="shared" si="54"/>
        <v>-10.219999999999999</v>
      </c>
      <c r="Y79" s="2"/>
      <c r="Z79" s="7">
        <f t="shared" si="55"/>
        <v>-0.20439999999999997</v>
      </c>
    </row>
    <row r="80" spans="1:26" s="26" customFormat="1" outlineLevel="1" collapsed="1" x14ac:dyDescent="0.25">
      <c r="A80" s="27"/>
      <c r="B80" s="13" t="str">
        <f>CONCATENATE("     ","Subscriptions &amp; Dues                              ")</f>
        <v xml:space="preserve">     Subscriptions &amp; Dues                              </v>
      </c>
      <c r="C80" s="13"/>
      <c r="D80" s="1">
        <f>SUM(OSRRefD22_16x_0)</f>
        <v>0</v>
      </c>
      <c r="E80" s="1"/>
      <c r="F80" s="5">
        <f t="shared" ref="F80:F82" si="56">IF(D$12=0,0,D80/D$12)</f>
        <v>0</v>
      </c>
      <c r="G80" s="1"/>
      <c r="H80" s="1">
        <f>SUM(OSRRefH22_16x_0)</f>
        <v>100</v>
      </c>
      <c r="I80" s="1"/>
      <c r="J80" s="5">
        <f t="shared" ref="J80:J82" si="57">IF(H$12=0,0,H80/H$12)</f>
        <v>0</v>
      </c>
      <c r="K80" s="1"/>
      <c r="L80" s="1">
        <f t="shared" ref="L80:L82" si="58">+D80-H80</f>
        <v>-100</v>
      </c>
      <c r="M80" s="1"/>
      <c r="N80" s="5">
        <f t="shared" ref="N80:N82" si="59">IF(H80=0,0,L80/H80)</f>
        <v>-1</v>
      </c>
      <c r="O80" s="13"/>
      <c r="P80" s="1">
        <f>SUM(OSRRefP22_16x_0)</f>
        <v>1626</v>
      </c>
      <c r="Q80" s="1"/>
      <c r="R80" s="5">
        <f t="shared" ref="R80:R82" si="60">IF(P$12=0,0,P80/P$12)</f>
        <v>0</v>
      </c>
      <c r="S80" s="1"/>
      <c r="T80" s="1">
        <f>SUM(OSRRefT22_16x_0)</f>
        <v>2357</v>
      </c>
      <c r="U80" s="1"/>
      <c r="V80" s="5">
        <f t="shared" ref="V80:V82" si="61">IF(T$12=0,0,T80/T$12)</f>
        <v>0</v>
      </c>
      <c r="W80" s="1"/>
      <c r="X80" s="1">
        <f t="shared" ref="X80:X82" si="62">+P80-T80</f>
        <v>-731</v>
      </c>
      <c r="Y80" s="1"/>
      <c r="Z80" s="5">
        <f t="shared" ref="Z80:Z82" si="63">IF(T80=0,0,X80/T80)</f>
        <v>-0.31014000848536277</v>
      </c>
    </row>
    <row r="81" spans="1:26" s="24" customFormat="1" hidden="1" outlineLevel="2" x14ac:dyDescent="0.25">
      <c r="A81" s="25"/>
      <c r="B81" s="11" t="str">
        <f>CONCATENATE("          ", "6258", " - ", "MEMBERSHIP DUES")</f>
        <v xml:space="preserve">          6258 - MEMBERSHIP DUES</v>
      </c>
      <c r="C81" s="11"/>
      <c r="D81" s="6"/>
      <c r="E81" s="2"/>
      <c r="F81" s="7">
        <f t="shared" si="56"/>
        <v>0</v>
      </c>
      <c r="G81" s="2"/>
      <c r="H81" s="6"/>
      <c r="I81" s="2"/>
      <c r="J81" s="7">
        <f t="shared" si="57"/>
        <v>0</v>
      </c>
      <c r="K81" s="2"/>
      <c r="L81" s="6">
        <f t="shared" si="58"/>
        <v>0</v>
      </c>
      <c r="M81" s="2"/>
      <c r="N81" s="7">
        <f t="shared" si="59"/>
        <v>0</v>
      </c>
      <c r="O81" s="11"/>
      <c r="P81" s="6">
        <v>1626</v>
      </c>
      <c r="Q81" s="2"/>
      <c r="R81" s="7">
        <f t="shared" si="60"/>
        <v>0</v>
      </c>
      <c r="S81" s="2"/>
      <c r="T81" s="6">
        <v>1857</v>
      </c>
      <c r="U81" s="2"/>
      <c r="V81" s="7">
        <f t="shared" si="61"/>
        <v>0</v>
      </c>
      <c r="W81" s="2"/>
      <c r="X81" s="6">
        <f t="shared" si="62"/>
        <v>-231</v>
      </c>
      <c r="Y81" s="2"/>
      <c r="Z81" s="7">
        <f t="shared" si="63"/>
        <v>-0.12439418416801293</v>
      </c>
    </row>
    <row r="82" spans="1:26" s="24" customFormat="1" hidden="1" outlineLevel="2" x14ac:dyDescent="0.25">
      <c r="A82" s="25"/>
      <c r="B82" s="11" t="str">
        <f>CONCATENATE("          ", "6275", " - ", "SUBSCRIPTIONS")</f>
        <v xml:space="preserve">          6275 - SUBSCRIPTIONS</v>
      </c>
      <c r="C82" s="11"/>
      <c r="D82" s="6"/>
      <c r="E82" s="2"/>
      <c r="F82" s="7">
        <f t="shared" si="56"/>
        <v>0</v>
      </c>
      <c r="G82" s="2"/>
      <c r="H82" s="6">
        <v>100</v>
      </c>
      <c r="I82" s="2"/>
      <c r="J82" s="7">
        <f t="shared" si="57"/>
        <v>0</v>
      </c>
      <c r="K82" s="2"/>
      <c r="L82" s="6">
        <f t="shared" si="58"/>
        <v>-100</v>
      </c>
      <c r="M82" s="2"/>
      <c r="N82" s="7">
        <f t="shared" si="59"/>
        <v>-1</v>
      </c>
      <c r="O82" s="11"/>
      <c r="P82" s="6"/>
      <c r="Q82" s="2"/>
      <c r="R82" s="7">
        <f t="shared" si="60"/>
        <v>0</v>
      </c>
      <c r="S82" s="2"/>
      <c r="T82" s="6">
        <v>500</v>
      </c>
      <c r="U82" s="2"/>
      <c r="V82" s="7">
        <f t="shared" si="61"/>
        <v>0</v>
      </c>
      <c r="W82" s="2"/>
      <c r="X82" s="6">
        <f t="shared" si="62"/>
        <v>-500</v>
      </c>
      <c r="Y82" s="2"/>
      <c r="Z82" s="7">
        <f t="shared" si="63"/>
        <v>-1</v>
      </c>
    </row>
    <row r="83" spans="1:26" s="26" customFormat="1" outlineLevel="1" collapsed="1" x14ac:dyDescent="0.25">
      <c r="A83" s="27"/>
      <c r="B83" s="13" t="str">
        <f>CONCATENATE("     ","Supplies                                          ")</f>
        <v xml:space="preserve">     Supplies                                          </v>
      </c>
      <c r="C83" s="13"/>
      <c r="D83" s="1">
        <f>SUM(OSRRefD22_17x_0)</f>
        <v>2482.96</v>
      </c>
      <c r="E83" s="1"/>
      <c r="F83" s="5">
        <f t="shared" ref="F83:F87" si="64">IF(D$12=0,0,D83/D$12)</f>
        <v>0</v>
      </c>
      <c r="G83" s="1"/>
      <c r="H83" s="1">
        <f>SUM(OSRRefH22_17x_0)</f>
        <v>2802</v>
      </c>
      <c r="I83" s="1"/>
      <c r="J83" s="5">
        <f t="shared" ref="J83:J87" si="65">IF(H$12=0,0,H83/H$12)</f>
        <v>0</v>
      </c>
      <c r="K83" s="1"/>
      <c r="L83" s="1">
        <f t="shared" ref="L83:L87" si="66">+D83-H83</f>
        <v>-319.03999999999996</v>
      </c>
      <c r="M83" s="1"/>
      <c r="N83" s="5">
        <f t="shared" ref="N83:N87" si="67">IF(H83=0,0,L83/H83)</f>
        <v>-0.11386152748037115</v>
      </c>
      <c r="O83" s="13"/>
      <c r="P83" s="1">
        <f>SUM(OSRRefP22_17x_0)</f>
        <v>38372.439999999995</v>
      </c>
      <c r="Q83" s="1"/>
      <c r="R83" s="5">
        <f t="shared" ref="R83:R87" si="68">IF(P$12=0,0,P83/P$12)</f>
        <v>0</v>
      </c>
      <c r="S83" s="1"/>
      <c r="T83" s="1">
        <f>SUM(OSRRefT22_17x_0)</f>
        <v>23660</v>
      </c>
      <c r="U83" s="1"/>
      <c r="V83" s="5">
        <f t="shared" ref="V83:V87" si="69">IF(T$12=0,0,T83/T$12)</f>
        <v>0</v>
      </c>
      <c r="W83" s="1"/>
      <c r="X83" s="1">
        <f t="shared" ref="X83:X87" si="70">+P83-T83</f>
        <v>14712.439999999995</v>
      </c>
      <c r="Y83" s="1"/>
      <c r="Z83" s="5">
        <f t="shared" ref="Z83:Z87" si="71">IF(T83=0,0,X83/T83)</f>
        <v>0.62182755705832604</v>
      </c>
    </row>
    <row r="84" spans="1:26" s="24" customFormat="1" hidden="1" outlineLevel="2" x14ac:dyDescent="0.25">
      <c r="A84" s="25"/>
      <c r="B84" s="11" t="str">
        <f>CONCATENATE("          ", "6234", " - ", "EXPENDABLE SUPPLIES &amp; EQUIPMEN")</f>
        <v xml:space="preserve">          6234 - EXPENDABLE SUPPLIES &amp; EQUIPMEN</v>
      </c>
      <c r="C84" s="11"/>
      <c r="D84" s="6"/>
      <c r="E84" s="2"/>
      <c r="F84" s="7">
        <f t="shared" si="64"/>
        <v>0</v>
      </c>
      <c r="G84" s="2"/>
      <c r="H84" s="6">
        <v>500</v>
      </c>
      <c r="I84" s="2"/>
      <c r="J84" s="7">
        <f t="shared" si="65"/>
        <v>0</v>
      </c>
      <c r="K84" s="2"/>
      <c r="L84" s="6">
        <f t="shared" si="66"/>
        <v>-500</v>
      </c>
      <c r="M84" s="2"/>
      <c r="N84" s="7">
        <f t="shared" si="67"/>
        <v>-1</v>
      </c>
      <c r="O84" s="11"/>
      <c r="P84" s="6">
        <v>910.52</v>
      </c>
      <c r="Q84" s="2"/>
      <c r="R84" s="7">
        <f t="shared" si="68"/>
        <v>0</v>
      </c>
      <c r="S84" s="2"/>
      <c r="T84" s="6">
        <v>3400</v>
      </c>
      <c r="U84" s="2"/>
      <c r="V84" s="7">
        <f t="shared" si="69"/>
        <v>0</v>
      </c>
      <c r="W84" s="2"/>
      <c r="X84" s="6">
        <f t="shared" si="70"/>
        <v>-2489.48</v>
      </c>
      <c r="Y84" s="2"/>
      <c r="Z84" s="7">
        <f t="shared" si="71"/>
        <v>-0.73219999999999996</v>
      </c>
    </row>
    <row r="85" spans="1:26" s="24" customFormat="1" hidden="1" outlineLevel="2" x14ac:dyDescent="0.25">
      <c r="A85" s="25"/>
      <c r="B85" s="11" t="str">
        <f>CONCATENATE("          ", "6241", " - ", "OFFICE EXPENSE")</f>
        <v xml:space="preserve">          6241 - OFFICE EXPENSE</v>
      </c>
      <c r="C85" s="11"/>
      <c r="D85" s="6">
        <v>2351.1</v>
      </c>
      <c r="E85" s="2"/>
      <c r="F85" s="7">
        <f t="shared" si="64"/>
        <v>0</v>
      </c>
      <c r="G85" s="2"/>
      <c r="H85" s="6">
        <v>1885</v>
      </c>
      <c r="I85" s="2"/>
      <c r="J85" s="7">
        <f t="shared" si="65"/>
        <v>0</v>
      </c>
      <c r="K85" s="2"/>
      <c r="L85" s="6">
        <f t="shared" si="66"/>
        <v>466.09999999999991</v>
      </c>
      <c r="M85" s="2"/>
      <c r="N85" s="7">
        <f t="shared" si="67"/>
        <v>0.24726790450928376</v>
      </c>
      <c r="O85" s="11"/>
      <c r="P85" s="6">
        <v>32979.03</v>
      </c>
      <c r="Q85" s="2"/>
      <c r="R85" s="7">
        <f t="shared" si="68"/>
        <v>0</v>
      </c>
      <c r="S85" s="2"/>
      <c r="T85" s="6">
        <v>18175</v>
      </c>
      <c r="U85" s="2"/>
      <c r="V85" s="7">
        <f t="shared" si="69"/>
        <v>0</v>
      </c>
      <c r="W85" s="2"/>
      <c r="X85" s="6">
        <f t="shared" si="70"/>
        <v>14804.029999999999</v>
      </c>
      <c r="Y85" s="2"/>
      <c r="Z85" s="7">
        <f t="shared" si="71"/>
        <v>0.81452709766162301</v>
      </c>
    </row>
    <row r="86" spans="1:26" s="24" customFormat="1" hidden="1" outlineLevel="2" x14ac:dyDescent="0.25">
      <c r="A86" s="25"/>
      <c r="B86" s="11" t="str">
        <f>CONCATENATE("          ", "6244", " - ", "SAFETY SUPPLY EXPENSE")</f>
        <v xml:space="preserve">          6244 - SAFETY SUPPLY EXPENSE</v>
      </c>
      <c r="C86" s="11"/>
      <c r="D86" s="6">
        <v>100</v>
      </c>
      <c r="E86" s="2"/>
      <c r="F86" s="7">
        <f t="shared" si="64"/>
        <v>0</v>
      </c>
      <c r="G86" s="2"/>
      <c r="H86" s="6">
        <v>417</v>
      </c>
      <c r="I86" s="2"/>
      <c r="J86" s="7">
        <f t="shared" si="65"/>
        <v>0</v>
      </c>
      <c r="K86" s="2"/>
      <c r="L86" s="6">
        <f t="shared" si="66"/>
        <v>-317</v>
      </c>
      <c r="M86" s="2"/>
      <c r="N86" s="7">
        <f t="shared" si="67"/>
        <v>-0.76019184652278182</v>
      </c>
      <c r="O86" s="11"/>
      <c r="P86" s="6">
        <v>1507.33</v>
      </c>
      <c r="Q86" s="2"/>
      <c r="R86" s="7">
        <f t="shared" si="68"/>
        <v>0</v>
      </c>
      <c r="S86" s="2"/>
      <c r="T86" s="6">
        <v>2085</v>
      </c>
      <c r="U86" s="2"/>
      <c r="V86" s="7">
        <f t="shared" si="69"/>
        <v>0</v>
      </c>
      <c r="W86" s="2"/>
      <c r="X86" s="6">
        <f t="shared" si="70"/>
        <v>-577.67000000000007</v>
      </c>
      <c r="Y86" s="2"/>
      <c r="Z86" s="7">
        <f t="shared" si="71"/>
        <v>-0.27705995203836936</v>
      </c>
    </row>
    <row r="87" spans="1:26" s="24" customFormat="1" hidden="1" outlineLevel="2" x14ac:dyDescent="0.25">
      <c r="A87" s="25"/>
      <c r="B87" s="11" t="str">
        <f>CONCATENATE("          ", "6245", " - ", "PRINTING")</f>
        <v xml:space="preserve">          6245 - PRINTING</v>
      </c>
      <c r="C87" s="11"/>
      <c r="D87" s="6">
        <v>31.86</v>
      </c>
      <c r="E87" s="2"/>
      <c r="F87" s="7">
        <f t="shared" si="64"/>
        <v>0</v>
      </c>
      <c r="G87" s="2"/>
      <c r="H87" s="6"/>
      <c r="I87" s="2"/>
      <c r="J87" s="7">
        <f t="shared" si="65"/>
        <v>0</v>
      </c>
      <c r="K87" s="2"/>
      <c r="L87" s="6">
        <f t="shared" si="66"/>
        <v>31.86</v>
      </c>
      <c r="M87" s="2"/>
      <c r="N87" s="7">
        <f t="shared" si="67"/>
        <v>0</v>
      </c>
      <c r="O87" s="11"/>
      <c r="P87" s="6">
        <v>2975.56</v>
      </c>
      <c r="Q87" s="2"/>
      <c r="R87" s="7">
        <f t="shared" si="68"/>
        <v>0</v>
      </c>
      <c r="S87" s="2"/>
      <c r="T87" s="6"/>
      <c r="U87" s="2"/>
      <c r="V87" s="7">
        <f t="shared" si="69"/>
        <v>0</v>
      </c>
      <c r="W87" s="2"/>
      <c r="X87" s="6">
        <f t="shared" si="70"/>
        <v>2975.56</v>
      </c>
      <c r="Y87" s="2"/>
      <c r="Z87" s="7">
        <f t="shared" si="71"/>
        <v>0</v>
      </c>
    </row>
    <row r="88" spans="1:26" s="26" customFormat="1" outlineLevel="1" collapsed="1" x14ac:dyDescent="0.25">
      <c r="A88" s="27"/>
      <c r="B88" s="13" t="str">
        <f>CONCATENATE("     ","Telephone/Data Lines                              ")</f>
        <v xml:space="preserve">     Telephone/Data Lines                              </v>
      </c>
      <c r="C88" s="13"/>
      <c r="D88" s="1">
        <f>SUM(OSRRefD22_18x_0)</f>
        <v>1824.27</v>
      </c>
      <c r="E88" s="1"/>
      <c r="F88" s="5">
        <f t="shared" ref="F88:F90" si="72">IF(D$12=0,0,D88/D$12)</f>
        <v>0</v>
      </c>
      <c r="G88" s="1"/>
      <c r="H88" s="1">
        <f>SUM(OSRRefH22_18x_0)</f>
        <v>1630</v>
      </c>
      <c r="I88" s="1"/>
      <c r="J88" s="5">
        <f t="shared" ref="J88:J90" si="73">IF(H$12=0,0,H88/H$12)</f>
        <v>0</v>
      </c>
      <c r="K88" s="1"/>
      <c r="L88" s="1">
        <f t="shared" ref="L88:L90" si="74">+D88-H88</f>
        <v>194.26999999999998</v>
      </c>
      <c r="M88" s="1"/>
      <c r="N88" s="5">
        <f t="shared" ref="N88:N90" si="75">IF(H88=0,0,L88/H88)</f>
        <v>0.11918404907975459</v>
      </c>
      <c r="O88" s="13"/>
      <c r="P88" s="1">
        <f>SUM(OSRRefP22_18x_0)</f>
        <v>13531.07</v>
      </c>
      <c r="Q88" s="1"/>
      <c r="R88" s="5">
        <f t="shared" ref="R88:R90" si="76">IF(P$12=0,0,P88/P$12)</f>
        <v>0</v>
      </c>
      <c r="S88" s="1"/>
      <c r="T88" s="1">
        <f>SUM(OSRRefT22_18x_0)</f>
        <v>8550</v>
      </c>
      <c r="U88" s="1"/>
      <c r="V88" s="5">
        <f t="shared" ref="V88:V90" si="77">IF(T$12=0,0,T88/T$12)</f>
        <v>0</v>
      </c>
      <c r="W88" s="1"/>
      <c r="X88" s="1">
        <f t="shared" ref="X88:X90" si="78">+P88-T88</f>
        <v>4981.07</v>
      </c>
      <c r="Y88" s="1"/>
      <c r="Z88" s="5">
        <f t="shared" ref="Z88:Z90" si="79">IF(T88=0,0,X88/T88)</f>
        <v>0.58258128654970753</v>
      </c>
    </row>
    <row r="89" spans="1:26" s="24" customFormat="1" hidden="1" outlineLevel="2" x14ac:dyDescent="0.25">
      <c r="A89" s="25"/>
      <c r="B89" s="11" t="str">
        <f>CONCATENATE("          ", "6303", " - ", "DATA PHONE LINES")</f>
        <v xml:space="preserve">          6303 - DATA PHONE LINES</v>
      </c>
      <c r="C89" s="11"/>
      <c r="D89" s="6">
        <v>141.68</v>
      </c>
      <c r="E89" s="2"/>
      <c r="F89" s="7">
        <f t="shared" si="72"/>
        <v>0</v>
      </c>
      <c r="G89" s="2"/>
      <c r="H89" s="6">
        <v>200</v>
      </c>
      <c r="I89" s="2"/>
      <c r="J89" s="7">
        <f t="shared" si="73"/>
        <v>0</v>
      </c>
      <c r="K89" s="2"/>
      <c r="L89" s="6">
        <f t="shared" si="74"/>
        <v>-58.319999999999993</v>
      </c>
      <c r="M89" s="2"/>
      <c r="N89" s="7">
        <f t="shared" si="75"/>
        <v>-0.29159999999999997</v>
      </c>
      <c r="O89" s="11"/>
      <c r="P89" s="6">
        <v>882.09</v>
      </c>
      <c r="Q89" s="2"/>
      <c r="R89" s="7">
        <f t="shared" si="76"/>
        <v>0</v>
      </c>
      <c r="S89" s="2"/>
      <c r="T89" s="6">
        <v>1100</v>
      </c>
      <c r="U89" s="2"/>
      <c r="V89" s="7">
        <f t="shared" si="77"/>
        <v>0</v>
      </c>
      <c r="W89" s="2"/>
      <c r="X89" s="6">
        <f t="shared" si="78"/>
        <v>-217.90999999999997</v>
      </c>
      <c r="Y89" s="2"/>
      <c r="Z89" s="7">
        <f t="shared" si="79"/>
        <v>-0.19809999999999997</v>
      </c>
    </row>
    <row r="90" spans="1:26" s="24" customFormat="1" hidden="1" outlineLevel="2" x14ac:dyDescent="0.25">
      <c r="A90" s="25"/>
      <c r="B90" s="11" t="str">
        <f>CONCATENATE("          ", "6309", " - ", "TELEPHONE")</f>
        <v xml:space="preserve">          6309 - TELEPHONE</v>
      </c>
      <c r="C90" s="11"/>
      <c r="D90" s="6">
        <v>1682.59</v>
      </c>
      <c r="E90" s="2"/>
      <c r="F90" s="7">
        <f t="shared" si="72"/>
        <v>0</v>
      </c>
      <c r="G90" s="2"/>
      <c r="H90" s="6">
        <v>1430</v>
      </c>
      <c r="I90" s="2"/>
      <c r="J90" s="7">
        <f t="shared" si="73"/>
        <v>0</v>
      </c>
      <c r="K90" s="2"/>
      <c r="L90" s="6">
        <f t="shared" si="74"/>
        <v>252.58999999999992</v>
      </c>
      <c r="M90" s="2"/>
      <c r="N90" s="7">
        <f t="shared" si="75"/>
        <v>0.17663636363636359</v>
      </c>
      <c r="O90" s="11"/>
      <c r="P90" s="6">
        <v>12648.98</v>
      </c>
      <c r="Q90" s="2"/>
      <c r="R90" s="7">
        <f t="shared" si="76"/>
        <v>0</v>
      </c>
      <c r="S90" s="2"/>
      <c r="T90" s="6">
        <v>7450</v>
      </c>
      <c r="U90" s="2"/>
      <c r="V90" s="7">
        <f t="shared" si="77"/>
        <v>0</v>
      </c>
      <c r="W90" s="2"/>
      <c r="X90" s="6">
        <f t="shared" si="78"/>
        <v>5198.9799999999996</v>
      </c>
      <c r="Y90" s="2"/>
      <c r="Z90" s="7">
        <f t="shared" si="79"/>
        <v>0.69784966442953011</v>
      </c>
    </row>
    <row r="91" spans="1:26" s="26" customFormat="1" outlineLevel="1" collapsed="1" x14ac:dyDescent="0.25">
      <c r="A91" s="27"/>
      <c r="B91" s="13" t="str">
        <f>CONCATENATE("     ","Training                                          ")</f>
        <v xml:space="preserve">     Training                                          </v>
      </c>
      <c r="C91" s="13"/>
      <c r="D91" s="1">
        <f>SUM(OSRRefD22_19x_0)</f>
        <v>1541.76</v>
      </c>
      <c r="E91" s="1"/>
      <c r="F91" s="5">
        <f t="shared" ref="F91:F95" si="80">IF(D$12=0,0,D91/D$12)</f>
        <v>0</v>
      </c>
      <c r="G91" s="1"/>
      <c r="H91" s="1">
        <f>SUM(OSRRefH22_19x_0)</f>
        <v>2283</v>
      </c>
      <c r="I91" s="1"/>
      <c r="J91" s="5">
        <f t="shared" ref="J91:J95" si="81">IF(H$12=0,0,H91/H$12)</f>
        <v>0</v>
      </c>
      <c r="K91" s="1"/>
      <c r="L91" s="1">
        <f t="shared" ref="L91:L95" si="82">+D91-H91</f>
        <v>-741.24</v>
      </c>
      <c r="M91" s="1"/>
      <c r="N91" s="5">
        <f t="shared" ref="N91:N95" si="83">IF(H91=0,0,L91/H91)</f>
        <v>-0.32467805519053877</v>
      </c>
      <c r="O91" s="13"/>
      <c r="P91" s="1">
        <f>SUM(OSRRefP22_19x_0)</f>
        <v>9090.49</v>
      </c>
      <c r="Q91" s="1"/>
      <c r="R91" s="5">
        <f t="shared" ref="R91:R95" si="84">IF(P$12=0,0,P91/P$12)</f>
        <v>0</v>
      </c>
      <c r="S91" s="1"/>
      <c r="T91" s="1">
        <f>SUM(OSRRefT22_19x_0)</f>
        <v>17115</v>
      </c>
      <c r="U91" s="1"/>
      <c r="V91" s="5">
        <f t="shared" ref="V91:V95" si="85">IF(T$12=0,0,T91/T$12)</f>
        <v>0</v>
      </c>
      <c r="W91" s="1"/>
      <c r="X91" s="1">
        <f t="shared" ref="X91:X95" si="86">+P91-T91</f>
        <v>-8024.51</v>
      </c>
      <c r="Y91" s="1"/>
      <c r="Z91" s="5">
        <f t="shared" ref="Z91:Z95" si="87">IF(T91=0,0,X91/T91)</f>
        <v>-0.4688583114227286</v>
      </c>
    </row>
    <row r="92" spans="1:26" s="24" customFormat="1" hidden="1" outlineLevel="2" x14ac:dyDescent="0.25">
      <c r="A92" s="25"/>
      <c r="B92" s="11" t="str">
        <f>CONCATENATE("          ", "6376", " - ", "TRAINING")</f>
        <v xml:space="preserve">          6376 - TRAINING</v>
      </c>
      <c r="C92" s="11"/>
      <c r="D92" s="6">
        <v>1541.76</v>
      </c>
      <c r="E92" s="2"/>
      <c r="F92" s="7">
        <f t="shared" si="80"/>
        <v>0</v>
      </c>
      <c r="G92" s="2"/>
      <c r="H92" s="6">
        <v>2283</v>
      </c>
      <c r="I92" s="2"/>
      <c r="J92" s="7">
        <f t="shared" si="81"/>
        <v>0</v>
      </c>
      <c r="K92" s="2"/>
      <c r="L92" s="6">
        <f t="shared" si="82"/>
        <v>-741.24</v>
      </c>
      <c r="M92" s="2"/>
      <c r="N92" s="7">
        <f t="shared" si="83"/>
        <v>-0.32467805519053877</v>
      </c>
      <c r="O92" s="11"/>
      <c r="P92" s="6">
        <v>9090.49</v>
      </c>
      <c r="Q92" s="2"/>
      <c r="R92" s="7">
        <f t="shared" si="84"/>
        <v>0</v>
      </c>
      <c r="S92" s="2"/>
      <c r="T92" s="6">
        <v>17115</v>
      </c>
      <c r="U92" s="2"/>
      <c r="V92" s="7">
        <f t="shared" si="85"/>
        <v>0</v>
      </c>
      <c r="W92" s="2"/>
      <c r="X92" s="6">
        <f t="shared" si="86"/>
        <v>-8024.51</v>
      </c>
      <c r="Y92" s="2"/>
      <c r="Z92" s="7">
        <f t="shared" si="87"/>
        <v>-0.4688583114227286</v>
      </c>
    </row>
    <row r="93" spans="1:26" s="26" customFormat="1" outlineLevel="1" collapsed="1" x14ac:dyDescent="0.25">
      <c r="A93" s="27"/>
      <c r="B93" s="13" t="str">
        <f>CONCATENATE("     ","Travel                                            ")</f>
        <v xml:space="preserve">     Travel                                            </v>
      </c>
      <c r="C93" s="13"/>
      <c r="D93" s="1">
        <f>SUM(OSRRefD22_20x_0)</f>
        <v>3233.37</v>
      </c>
      <c r="E93" s="1"/>
      <c r="F93" s="5">
        <f t="shared" si="80"/>
        <v>0</v>
      </c>
      <c r="G93" s="1"/>
      <c r="H93" s="1">
        <f>SUM(OSRRefH22_20x_0)</f>
        <v>2975</v>
      </c>
      <c r="I93" s="1"/>
      <c r="J93" s="5">
        <f t="shared" si="81"/>
        <v>0</v>
      </c>
      <c r="K93" s="1"/>
      <c r="L93" s="1">
        <f t="shared" si="82"/>
        <v>258.36999999999989</v>
      </c>
      <c r="M93" s="1"/>
      <c r="N93" s="5">
        <f t="shared" si="83"/>
        <v>8.6847058823529374E-2</v>
      </c>
      <c r="O93" s="13"/>
      <c r="P93" s="1">
        <f>SUM(OSRRefP22_20x_0)</f>
        <v>8860.75</v>
      </c>
      <c r="Q93" s="1"/>
      <c r="R93" s="5">
        <f t="shared" si="84"/>
        <v>0</v>
      </c>
      <c r="S93" s="1"/>
      <c r="T93" s="1">
        <f>SUM(OSRRefT22_20x_0)</f>
        <v>18725</v>
      </c>
      <c r="U93" s="1"/>
      <c r="V93" s="5">
        <f t="shared" si="85"/>
        <v>0</v>
      </c>
      <c r="W93" s="1"/>
      <c r="X93" s="1">
        <f t="shared" si="86"/>
        <v>-9864.25</v>
      </c>
      <c r="Y93" s="1"/>
      <c r="Z93" s="5">
        <f t="shared" si="87"/>
        <v>-0.52679572763684912</v>
      </c>
    </row>
    <row r="94" spans="1:26" s="24" customFormat="1" hidden="1" outlineLevel="2" x14ac:dyDescent="0.25">
      <c r="A94" s="25"/>
      <c r="B94" s="11" t="str">
        <f>CONCATENATE("          ", "6292", " - ", "TRAVEL/CONFERENCE")</f>
        <v xml:space="preserve">          6292 - TRAVEL/CONFERENCE</v>
      </c>
      <c r="C94" s="11"/>
      <c r="D94" s="6">
        <v>3233.37</v>
      </c>
      <c r="E94" s="2"/>
      <c r="F94" s="7">
        <f t="shared" si="80"/>
        <v>0</v>
      </c>
      <c r="G94" s="2"/>
      <c r="H94" s="6">
        <v>2975</v>
      </c>
      <c r="I94" s="2"/>
      <c r="J94" s="7">
        <f t="shared" si="81"/>
        <v>0</v>
      </c>
      <c r="K94" s="2"/>
      <c r="L94" s="6">
        <f t="shared" si="82"/>
        <v>258.36999999999989</v>
      </c>
      <c r="M94" s="2"/>
      <c r="N94" s="7">
        <f t="shared" si="83"/>
        <v>8.6847058823529374E-2</v>
      </c>
      <c r="O94" s="11"/>
      <c r="P94" s="6">
        <v>8836.85</v>
      </c>
      <c r="Q94" s="2"/>
      <c r="R94" s="7">
        <f t="shared" si="84"/>
        <v>0</v>
      </c>
      <c r="S94" s="2"/>
      <c r="T94" s="6">
        <v>17475</v>
      </c>
      <c r="U94" s="2"/>
      <c r="V94" s="7">
        <f t="shared" si="85"/>
        <v>0</v>
      </c>
      <c r="W94" s="2"/>
      <c r="X94" s="6">
        <f t="shared" si="86"/>
        <v>-8638.15</v>
      </c>
      <c r="Y94" s="2"/>
      <c r="Z94" s="7">
        <f t="shared" si="87"/>
        <v>-0.49431473533619452</v>
      </c>
    </row>
    <row r="95" spans="1:26" s="24" customFormat="1" hidden="1" outlineLevel="2" x14ac:dyDescent="0.25">
      <c r="A95" s="25"/>
      <c r="B95" s="11" t="str">
        <f>CONCATENATE("          ", "6294", " - ", "TRAVEL OPERATIONAL")</f>
        <v xml:space="preserve">          6294 - TRAVEL OPERATIONAL</v>
      </c>
      <c r="C95" s="11"/>
      <c r="D95" s="6"/>
      <c r="E95" s="2"/>
      <c r="F95" s="7">
        <f t="shared" si="80"/>
        <v>0</v>
      </c>
      <c r="G95" s="2"/>
      <c r="H95" s="6"/>
      <c r="I95" s="2"/>
      <c r="J95" s="7">
        <f t="shared" si="81"/>
        <v>0</v>
      </c>
      <c r="K95" s="2"/>
      <c r="L95" s="6">
        <f t="shared" si="82"/>
        <v>0</v>
      </c>
      <c r="M95" s="2"/>
      <c r="N95" s="7">
        <f t="shared" si="83"/>
        <v>0</v>
      </c>
      <c r="O95" s="11"/>
      <c r="P95" s="6">
        <v>23.9</v>
      </c>
      <c r="Q95" s="2"/>
      <c r="R95" s="7">
        <f t="shared" si="84"/>
        <v>0</v>
      </c>
      <c r="S95" s="2"/>
      <c r="T95" s="6">
        <v>1250</v>
      </c>
      <c r="U95" s="2"/>
      <c r="V95" s="7">
        <f t="shared" si="85"/>
        <v>0</v>
      </c>
      <c r="W95" s="2"/>
      <c r="X95" s="6">
        <f t="shared" si="86"/>
        <v>-1226.0999999999999</v>
      </c>
      <c r="Y95" s="2"/>
      <c r="Z95" s="7">
        <f t="shared" si="87"/>
        <v>-0.98087999999999997</v>
      </c>
    </row>
    <row r="96" spans="1:26" s="59" customFormat="1" x14ac:dyDescent="0.2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x14ac:dyDescent="0.25">
      <c r="A97" s="10"/>
      <c r="B97" s="29" t="s">
        <v>0</v>
      </c>
      <c r="C97" s="10"/>
      <c r="D97" s="4">
        <f>SUM(0)</f>
        <v>0</v>
      </c>
      <c r="E97" s="4"/>
      <c r="F97" s="12">
        <f>IF(D$12=0,0,D97/D$12)</f>
        <v>0</v>
      </c>
      <c r="G97" s="4"/>
      <c r="H97" s="4">
        <f>SUM(0)</f>
        <v>0</v>
      </c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>
        <f>SUM(0)</f>
        <v>0</v>
      </c>
      <c r="Q97" s="4"/>
      <c r="R97" s="12">
        <f>IF(P$12=0,0,P97/P$12)</f>
        <v>0</v>
      </c>
      <c r="S97" s="4"/>
      <c r="T97" s="4">
        <f>SUM(0)</f>
        <v>0</v>
      </c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10"/>
      <c r="B99" s="28" t="s">
        <v>3</v>
      </c>
      <c r="C99" s="28"/>
      <c r="D99" s="20">
        <f>+D16-D18+D97</f>
        <v>-349632.63</v>
      </c>
      <c r="E99" s="14"/>
      <c r="F99" s="22">
        <f>IF(D$12=0,0,D99/D$12)</f>
        <v>0</v>
      </c>
      <c r="G99" s="14"/>
      <c r="H99" s="20">
        <f>+H16-H18+H97</f>
        <v>-399609.11450137431</v>
      </c>
      <c r="I99" s="14"/>
      <c r="J99" s="22">
        <f>IF(H$12=0,0,H99/H$12)</f>
        <v>0</v>
      </c>
      <c r="K99" s="16"/>
      <c r="L99" s="20">
        <f>+D99-H99</f>
        <v>49976.484501374303</v>
      </c>
      <c r="M99" s="16"/>
      <c r="N99" s="22">
        <f>IF(H99=0,0,L99/H99)</f>
        <v>-0.12506342495149075</v>
      </c>
      <c r="O99" s="29"/>
      <c r="P99" s="20">
        <f>+P16-P18+P97</f>
        <v>-1704289.1400000006</v>
      </c>
      <c r="Q99" s="14"/>
      <c r="R99" s="22">
        <f>IF(P$12=0,0,P99/P$12)</f>
        <v>0</v>
      </c>
      <c r="S99" s="14"/>
      <c r="T99" s="20">
        <f>+T16-T18+T97</f>
        <v>-2088382.2924186748</v>
      </c>
      <c r="U99" s="14"/>
      <c r="V99" s="22">
        <f>IF(T$12=0,0,T99/T$12)</f>
        <v>0</v>
      </c>
      <c r="W99" s="16"/>
      <c r="X99" s="20">
        <f>+P99-T99</f>
        <v>384093.1524186742</v>
      </c>
      <c r="Y99" s="16"/>
      <c r="Z99" s="22">
        <f>IF(T99=0,0,X99/T99)</f>
        <v>-0.1839189854333777</v>
      </c>
    </row>
    <row r="100" spans="1:26" x14ac:dyDescent="0.25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52"/>
      <c r="B101" s="10" t="s">
        <v>14</v>
      </c>
      <c r="C101" s="10"/>
      <c r="D101" s="4"/>
      <c r="E101" s="4"/>
      <c r="F101" s="12">
        <f>IF(D$12=0,0,D101/D$12)</f>
        <v>0</v>
      </c>
      <c r="G101" s="4"/>
      <c r="H101" s="4"/>
      <c r="I101" s="4"/>
      <c r="J101" s="12">
        <f>IF(H$12=0,0,H101/H$12)</f>
        <v>0</v>
      </c>
      <c r="K101" s="4"/>
      <c r="L101" s="4">
        <f>+D101-H101</f>
        <v>0</v>
      </c>
      <c r="M101" s="4"/>
      <c r="N101" s="12">
        <f>IF(H101=0,0,L101/H101)</f>
        <v>0</v>
      </c>
      <c r="O101" s="10"/>
      <c r="P101" s="4"/>
      <c r="Q101" s="4"/>
      <c r="R101" s="12">
        <f>IF(P$12=0,0,P101/P$12)</f>
        <v>0</v>
      </c>
      <c r="S101" s="4"/>
      <c r="T101" s="4"/>
      <c r="U101" s="4"/>
      <c r="V101" s="12">
        <f>IF(T$12=0,0,T101/T$12)</f>
        <v>0</v>
      </c>
      <c r="W101" s="4"/>
      <c r="X101" s="4">
        <f>+P101-T101</f>
        <v>0</v>
      </c>
      <c r="Y101" s="4"/>
      <c r="Z101" s="12">
        <f>IF(T101=0,0,X101/T101)</f>
        <v>0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8" t="s">
        <v>4</v>
      </c>
      <c r="C103" s="28"/>
      <c r="D103" s="30">
        <f>+D99-D101</f>
        <v>-349632.63</v>
      </c>
      <c r="E103" s="14"/>
      <c r="F103" s="32">
        <f>IF(D$12=0,0,D103/D$12)</f>
        <v>0</v>
      </c>
      <c r="G103" s="14"/>
      <c r="H103" s="30">
        <f>+H99-H101</f>
        <v>-399609.11450137431</v>
      </c>
      <c r="I103" s="14"/>
      <c r="J103" s="32">
        <f>IF(H$12=0,0,H103/H$12)</f>
        <v>0</v>
      </c>
      <c r="K103" s="16"/>
      <c r="L103" s="30">
        <f>D103-H103</f>
        <v>49976.484501374303</v>
      </c>
      <c r="M103" s="16"/>
      <c r="N103" s="32">
        <f>IF(H103=0,0,L103/H103)</f>
        <v>-0.12506342495149075</v>
      </c>
      <c r="O103" s="29"/>
      <c r="P103" s="30">
        <f>+P99-P101</f>
        <v>-1704289.1400000006</v>
      </c>
      <c r="Q103" s="14"/>
      <c r="R103" s="32">
        <f>IF(P$12=0,0,P103/P$12)</f>
        <v>0</v>
      </c>
      <c r="S103" s="14"/>
      <c r="T103" s="30">
        <f>+T99-T101</f>
        <v>-2088382.2924186748</v>
      </c>
      <c r="U103" s="14"/>
      <c r="V103" s="32">
        <f>IF(T$12=0,0,T103/T$12)</f>
        <v>0</v>
      </c>
      <c r="W103" s="16"/>
      <c r="X103" s="30">
        <f>P103-T103</f>
        <v>384093.1524186742</v>
      </c>
      <c r="Y103" s="16"/>
      <c r="Z103" s="32">
        <f>IF(T103=0,0,X103/T103)</f>
        <v>-0.1839189854333777</v>
      </c>
    </row>
    <row r="104" spans="1:26" ht="15.75" thickTop="1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8" t="s">
        <v>5</v>
      </c>
      <c r="C106" s="28"/>
      <c r="D106" s="31">
        <f>SUM(D103:D105)</f>
        <v>-349632.63</v>
      </c>
      <c r="E106" s="14"/>
      <c r="F106" s="35">
        <f>IF(D$12=0,0,D106/D$12)</f>
        <v>0</v>
      </c>
      <c r="G106" s="14"/>
      <c r="H106" s="31">
        <f>SUM(H103:H105)</f>
        <v>-399609.11450137431</v>
      </c>
      <c r="I106" s="14"/>
      <c r="J106" s="35">
        <f>IF(H$12=0,0,H106/H$12)</f>
        <v>0</v>
      </c>
      <c r="K106" s="16"/>
      <c r="L106" s="31">
        <f>+D106-H106</f>
        <v>49976.484501374303</v>
      </c>
      <c r="M106" s="16"/>
      <c r="N106" s="35">
        <f>IF(H106=0,0,L106/H106)</f>
        <v>-0.12506342495149075</v>
      </c>
      <c r="O106" s="29"/>
      <c r="P106" s="31">
        <f>SUM(P103:P105)</f>
        <v>-1704289.1400000006</v>
      </c>
      <c r="Q106" s="14"/>
      <c r="R106" s="35">
        <f>IF(P$12=0,0,P106/P$12)</f>
        <v>0</v>
      </c>
      <c r="S106" s="14"/>
      <c r="T106" s="31">
        <f>SUM(T103:T105)</f>
        <v>-2088382.2924186748</v>
      </c>
      <c r="U106" s="14"/>
      <c r="V106" s="35">
        <f>IF(T$12=0,0,T106/T$12)</f>
        <v>0</v>
      </c>
      <c r="W106" s="16"/>
      <c r="X106" s="31">
        <f>+P106-T106</f>
        <v>384093.1524186742</v>
      </c>
      <c r="Y106" s="16"/>
      <c r="Z106" s="35">
        <f>IF(T106=0,0,X106/T106)</f>
        <v>-0.1839189854333777</v>
      </c>
    </row>
    <row r="107" spans="1:26" ht="15.75" thickTop="1" x14ac:dyDescent="0.25">
      <c r="A107" s="9"/>
      <c r="C107" s="9"/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A108" s="9"/>
      <c r="B108" s="56">
        <v>43815.483124421298</v>
      </c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A109" s="9"/>
      <c r="B109" s="62" t="s">
        <v>314</v>
      </c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A110" s="9"/>
      <c r="B110" s="58"/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","200", " - ", "Corporate Expense")</f>
        <v>Department 200 - Corporate Expense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130672.54000000001</v>
      </c>
      <c r="E18" s="21"/>
      <c r="F18" s="33">
        <f t="shared" ref="F18:F29" si="0">IF(D$12=0,0,D18/D$12)</f>
        <v>0</v>
      </c>
      <c r="G18" s="21"/>
      <c r="H18" s="21">
        <f>SUM(OSRRefH22x_0)</f>
        <v>156000</v>
      </c>
      <c r="I18" s="21"/>
      <c r="J18" s="33">
        <f t="shared" ref="J18:J29" si="1">IF(H$12=0,0,H18/H$12)</f>
        <v>0</v>
      </c>
      <c r="K18" s="4"/>
      <c r="L18" s="21">
        <f t="shared" ref="L18:L29" si="2">+D18-H18</f>
        <v>-25327.459999999992</v>
      </c>
      <c r="M18" s="4"/>
      <c r="N18" s="33">
        <f t="shared" ref="N18:N29" si="3">IF(H18=0,0,L18/H18)</f>
        <v>-0.16235551282051278</v>
      </c>
      <c r="O18" s="10"/>
      <c r="P18" s="21">
        <f>SUM(OSRRefP22x_0)</f>
        <v>319112.19</v>
      </c>
      <c r="Q18" s="21"/>
      <c r="R18" s="33">
        <f t="shared" ref="R18:R29" si="4">IF(P$12=0,0,P18/P$12)</f>
        <v>0</v>
      </c>
      <c r="S18" s="21"/>
      <c r="T18" s="21">
        <f>SUM(OSRRefT22x_0)</f>
        <v>382500</v>
      </c>
      <c r="U18" s="21"/>
      <c r="V18" s="33">
        <f t="shared" ref="V18:V29" si="5">IF(T$12=0,0,T18/T$12)</f>
        <v>0</v>
      </c>
      <c r="W18" s="4"/>
      <c r="X18" s="21">
        <f t="shared" ref="X18:X29" si="6">+P18-T18</f>
        <v>-63387.81</v>
      </c>
      <c r="Y18" s="4"/>
      <c r="Z18" s="33">
        <f t="shared" ref="Z18:Z29" si="7">IF(T18=0,0,X18/T18)</f>
        <v>-0.16571976470588234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29023.1</v>
      </c>
      <c r="E19" s="1"/>
      <c r="F19" s="5">
        <f t="shared" si="0"/>
        <v>0</v>
      </c>
      <c r="G19" s="1"/>
      <c r="H19" s="1">
        <f>SUM(OSRRefH22_0x_0)</f>
        <v>39000</v>
      </c>
      <c r="I19" s="1"/>
      <c r="J19" s="5">
        <f t="shared" si="1"/>
        <v>0</v>
      </c>
      <c r="K19" s="1"/>
      <c r="L19" s="1">
        <f t="shared" si="2"/>
        <v>-9976.9000000000015</v>
      </c>
      <c r="M19" s="1"/>
      <c r="N19" s="5">
        <f t="shared" si="3"/>
        <v>-0.25581794871794877</v>
      </c>
      <c r="O19" s="13"/>
      <c r="P19" s="1">
        <f>SUM(OSRRefP22_0x_0)</f>
        <v>146429.12</v>
      </c>
      <c r="Q19" s="1"/>
      <c r="R19" s="5">
        <f t="shared" si="4"/>
        <v>0</v>
      </c>
      <c r="S19" s="1"/>
      <c r="T19" s="1">
        <f>SUM(OSRRefT22_0x_0)</f>
        <v>196300</v>
      </c>
      <c r="U19" s="1"/>
      <c r="V19" s="5">
        <f t="shared" si="5"/>
        <v>0</v>
      </c>
      <c r="W19" s="1"/>
      <c r="X19" s="1">
        <f t="shared" si="6"/>
        <v>-49870.880000000005</v>
      </c>
      <c r="Y19" s="1"/>
      <c r="Z19" s="5">
        <f t="shared" si="7"/>
        <v>-0.25405440652063171</v>
      </c>
    </row>
    <row r="20" spans="1:26" s="24" customFormat="1" hidden="1" outlineLevel="2" x14ac:dyDescent="0.25">
      <c r="A20" s="25"/>
      <c r="B20" s="11" t="str">
        <f>CONCATENATE("          ", "6120", " - ", "RETIREES HEALTH INSURANCE")</f>
        <v xml:space="preserve">          6120 - RETIREES HEALTH INSURANCE</v>
      </c>
      <c r="C20" s="11"/>
      <c r="D20" s="6">
        <v>29023.1</v>
      </c>
      <c r="E20" s="2"/>
      <c r="F20" s="7">
        <f t="shared" si="0"/>
        <v>0</v>
      </c>
      <c r="G20" s="2"/>
      <c r="H20" s="6">
        <v>39000</v>
      </c>
      <c r="I20" s="2"/>
      <c r="J20" s="7">
        <f t="shared" si="1"/>
        <v>0</v>
      </c>
      <c r="K20" s="2"/>
      <c r="L20" s="6">
        <f t="shared" si="2"/>
        <v>-9976.9000000000015</v>
      </c>
      <c r="M20" s="2"/>
      <c r="N20" s="7">
        <f t="shared" si="3"/>
        <v>-0.25581794871794877</v>
      </c>
      <c r="O20" s="11"/>
      <c r="P20" s="6">
        <v>146429.12</v>
      </c>
      <c r="Q20" s="2"/>
      <c r="R20" s="7">
        <f t="shared" si="4"/>
        <v>0</v>
      </c>
      <c r="S20" s="2"/>
      <c r="T20" s="6">
        <v>196300</v>
      </c>
      <c r="U20" s="2"/>
      <c r="V20" s="7">
        <f t="shared" si="5"/>
        <v>0</v>
      </c>
      <c r="W20" s="2"/>
      <c r="X20" s="6">
        <f t="shared" si="6"/>
        <v>-49870.880000000005</v>
      </c>
      <c r="Y20" s="2"/>
      <c r="Z20" s="7">
        <f t="shared" si="7"/>
        <v>-0.25405440652063171</v>
      </c>
    </row>
    <row r="21" spans="1:26" s="26" customFormat="1" outlineLevel="1" collapsed="1" x14ac:dyDescent="0.25">
      <c r="A21" s="27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1830.56</v>
      </c>
      <c r="E21" s="1"/>
      <c r="F21" s="5">
        <f t="shared" si="0"/>
        <v>0</v>
      </c>
      <c r="G21" s="1"/>
      <c r="H21" s="1">
        <f>SUM(OSRRefH22_1x_0)</f>
        <v>1000</v>
      </c>
      <c r="I21" s="1"/>
      <c r="J21" s="5">
        <f t="shared" si="1"/>
        <v>0</v>
      </c>
      <c r="K21" s="1"/>
      <c r="L21" s="1">
        <f t="shared" si="2"/>
        <v>830.56</v>
      </c>
      <c r="M21" s="1"/>
      <c r="N21" s="5">
        <f t="shared" si="3"/>
        <v>0.83055999999999996</v>
      </c>
      <c r="O21" s="13"/>
      <c r="P21" s="1">
        <f>SUM(OSRRefP22_1x_0)</f>
        <v>22756.720000000001</v>
      </c>
      <c r="Q21" s="1"/>
      <c r="R21" s="5">
        <f t="shared" si="4"/>
        <v>0</v>
      </c>
      <c r="S21" s="1"/>
      <c r="T21" s="1">
        <f>SUM(OSRRefT22_1x_0)</f>
        <v>34000</v>
      </c>
      <c r="U21" s="1"/>
      <c r="V21" s="5">
        <f t="shared" si="5"/>
        <v>0</v>
      </c>
      <c r="W21" s="1"/>
      <c r="X21" s="1">
        <f t="shared" si="6"/>
        <v>-11243.279999999999</v>
      </c>
      <c r="Y21" s="1"/>
      <c r="Z21" s="5">
        <f t="shared" si="7"/>
        <v>-0.33068470588235288</v>
      </c>
    </row>
    <row r="22" spans="1:26" s="24" customFormat="1" hidden="1" outlineLevel="2" x14ac:dyDescent="0.25">
      <c r="A22" s="25"/>
      <c r="B22" s="11" t="str">
        <f>CONCATENATE("          ", "6381", " - ", "BANK/CREDIT CARD FEES")</f>
        <v xml:space="preserve">          6381 - BANK/CREDIT CARD FEES</v>
      </c>
      <c r="C22" s="11"/>
      <c r="D22" s="6">
        <v>1830.56</v>
      </c>
      <c r="E22" s="2"/>
      <c r="F22" s="7">
        <f t="shared" si="0"/>
        <v>0</v>
      </c>
      <c r="G22" s="2"/>
      <c r="H22" s="6">
        <v>1000</v>
      </c>
      <c r="I22" s="2"/>
      <c r="J22" s="7">
        <f t="shared" si="1"/>
        <v>0</v>
      </c>
      <c r="K22" s="2"/>
      <c r="L22" s="6">
        <f t="shared" si="2"/>
        <v>830.56</v>
      </c>
      <c r="M22" s="2"/>
      <c r="N22" s="7">
        <f t="shared" si="3"/>
        <v>0.83055999999999996</v>
      </c>
      <c r="O22" s="11"/>
      <c r="P22" s="6">
        <v>22756.720000000001</v>
      </c>
      <c r="Q22" s="2"/>
      <c r="R22" s="7">
        <f t="shared" si="4"/>
        <v>0</v>
      </c>
      <c r="S22" s="2"/>
      <c r="T22" s="6">
        <v>34000</v>
      </c>
      <c r="U22" s="2"/>
      <c r="V22" s="7">
        <f t="shared" si="5"/>
        <v>0</v>
      </c>
      <c r="W22" s="2"/>
      <c r="X22" s="6">
        <f t="shared" si="6"/>
        <v>-11243.279999999999</v>
      </c>
      <c r="Y22" s="2"/>
      <c r="Z22" s="7">
        <f t="shared" si="7"/>
        <v>-0.33068470588235288</v>
      </c>
    </row>
    <row r="23" spans="1:26" s="26" customFormat="1" outlineLevel="1" collapsed="1" x14ac:dyDescent="0.25">
      <c r="A23" s="27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2318.88</v>
      </c>
      <c r="E23" s="1"/>
      <c r="F23" s="5">
        <f t="shared" si="0"/>
        <v>0</v>
      </c>
      <c r="G23" s="1"/>
      <c r="H23" s="1">
        <f>SUM(OSRRefH22_2x_0)</f>
        <v>3500</v>
      </c>
      <c r="I23" s="1"/>
      <c r="J23" s="5">
        <f t="shared" si="1"/>
        <v>0</v>
      </c>
      <c r="K23" s="1"/>
      <c r="L23" s="1">
        <f t="shared" si="2"/>
        <v>-1181.1199999999999</v>
      </c>
      <c r="M23" s="1"/>
      <c r="N23" s="5">
        <f t="shared" si="3"/>
        <v>-0.33746285714285712</v>
      </c>
      <c r="O23" s="13"/>
      <c r="P23" s="1">
        <f>SUM(OSRRefP22_2x_0)</f>
        <v>14165.11</v>
      </c>
      <c r="Q23" s="1"/>
      <c r="R23" s="5">
        <f t="shared" si="4"/>
        <v>0</v>
      </c>
      <c r="S23" s="1"/>
      <c r="T23" s="1">
        <f>SUM(OSRRefT22_2x_0)</f>
        <v>14700</v>
      </c>
      <c r="U23" s="1"/>
      <c r="V23" s="5">
        <f t="shared" si="5"/>
        <v>0</v>
      </c>
      <c r="W23" s="1"/>
      <c r="X23" s="1">
        <f t="shared" si="6"/>
        <v>-534.88999999999942</v>
      </c>
      <c r="Y23" s="1"/>
      <c r="Z23" s="5">
        <f t="shared" si="7"/>
        <v>-3.6387074829931934E-2</v>
      </c>
    </row>
    <row r="24" spans="1:26" s="24" customFormat="1" hidden="1" outlineLevel="2" x14ac:dyDescent="0.25">
      <c r="A24" s="25"/>
      <c r="B24" s="11" t="str">
        <f>CONCATENATE("          ", "6397", " - ", "BOARD EXPENSES")</f>
        <v xml:space="preserve">          6397 - BOARD EXPENSES</v>
      </c>
      <c r="C24" s="11"/>
      <c r="D24" s="6">
        <v>2318.88</v>
      </c>
      <c r="E24" s="2"/>
      <c r="F24" s="7">
        <f t="shared" si="0"/>
        <v>0</v>
      </c>
      <c r="G24" s="2"/>
      <c r="H24" s="6">
        <v>3500</v>
      </c>
      <c r="I24" s="2"/>
      <c r="J24" s="7">
        <f t="shared" si="1"/>
        <v>0</v>
      </c>
      <c r="K24" s="2"/>
      <c r="L24" s="6">
        <f t="shared" si="2"/>
        <v>-1181.1199999999999</v>
      </c>
      <c r="M24" s="2"/>
      <c r="N24" s="7">
        <f t="shared" si="3"/>
        <v>-0.33746285714285712</v>
      </c>
      <c r="O24" s="11"/>
      <c r="P24" s="6">
        <v>14165.11</v>
      </c>
      <c r="Q24" s="2"/>
      <c r="R24" s="7">
        <f t="shared" si="4"/>
        <v>0</v>
      </c>
      <c r="S24" s="2"/>
      <c r="T24" s="6">
        <v>14700</v>
      </c>
      <c r="U24" s="2"/>
      <c r="V24" s="7">
        <f t="shared" si="5"/>
        <v>0</v>
      </c>
      <c r="W24" s="2"/>
      <c r="X24" s="6">
        <f t="shared" si="6"/>
        <v>-534.88999999999942</v>
      </c>
      <c r="Y24" s="2"/>
      <c r="Z24" s="7">
        <f t="shared" si="7"/>
        <v>-3.6387074829931934E-2</v>
      </c>
    </row>
    <row r="25" spans="1:26" s="26" customFormat="1" outlineLevel="1" collapsed="1" x14ac:dyDescent="0.25">
      <c r="A25" s="27"/>
      <c r="B25" s="13" t="str">
        <f>CONCATENATE("     ","Donations                                         ")</f>
        <v xml:space="preserve">     Donations                                         </v>
      </c>
      <c r="C25" s="13"/>
      <c r="D25" s="1">
        <f>SUM(OSRRefD22_3x_0)</f>
        <v>97500</v>
      </c>
      <c r="E25" s="1"/>
      <c r="F25" s="5">
        <f t="shared" si="0"/>
        <v>0</v>
      </c>
      <c r="G25" s="1"/>
      <c r="H25" s="1">
        <f>SUM(OSRRefH22_3x_0)</f>
        <v>97500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3"/>
      <c r="P25" s="1">
        <f>SUM(OSRRefP22_3x_0)</f>
        <v>97500</v>
      </c>
      <c r="Q25" s="1"/>
      <c r="R25" s="5">
        <f t="shared" si="4"/>
        <v>0</v>
      </c>
      <c r="S25" s="1"/>
      <c r="T25" s="1">
        <f>SUM(OSRRefT22_3x_0)</f>
        <v>97500</v>
      </c>
      <c r="U25" s="1"/>
      <c r="V25" s="5">
        <f t="shared" si="5"/>
        <v>0</v>
      </c>
      <c r="W25" s="1"/>
      <c r="X25" s="1">
        <f t="shared" si="6"/>
        <v>0</v>
      </c>
      <c r="Y25" s="1"/>
      <c r="Z25" s="5">
        <f t="shared" si="7"/>
        <v>0</v>
      </c>
    </row>
    <row r="26" spans="1:26" s="24" customFormat="1" hidden="1" outlineLevel="2" x14ac:dyDescent="0.25">
      <c r="A26" s="25"/>
      <c r="B26" s="11" t="str">
        <f>CONCATENATE("          ", "6399", " - ", "DONATION-ON CAMPUS")</f>
        <v xml:space="preserve">          6399 - DONATION-ON CAMPUS</v>
      </c>
      <c r="C26" s="11"/>
      <c r="D26" s="6">
        <v>97500</v>
      </c>
      <c r="E26" s="2"/>
      <c r="F26" s="7">
        <f t="shared" si="0"/>
        <v>0</v>
      </c>
      <c r="G26" s="2"/>
      <c r="H26" s="6">
        <v>97500</v>
      </c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97500</v>
      </c>
      <c r="Q26" s="2"/>
      <c r="R26" s="7">
        <f t="shared" si="4"/>
        <v>0</v>
      </c>
      <c r="S26" s="2"/>
      <c r="T26" s="6">
        <v>97500</v>
      </c>
      <c r="U26" s="2"/>
      <c r="V26" s="7">
        <f t="shared" si="5"/>
        <v>0</v>
      </c>
      <c r="W26" s="2"/>
      <c r="X26" s="6">
        <f t="shared" si="6"/>
        <v>0</v>
      </c>
      <c r="Y26" s="2"/>
      <c r="Z26" s="7">
        <f t="shared" si="7"/>
        <v>0</v>
      </c>
    </row>
    <row r="27" spans="1:26" s="26" customFormat="1" outlineLevel="1" collapsed="1" x14ac:dyDescent="0.25">
      <c r="A27" s="27"/>
      <c r="B27" s="13" t="str">
        <f>CONCATENATE("     ","Professional Services                             ")</f>
        <v xml:space="preserve">     Professional Services                             </v>
      </c>
      <c r="C27" s="13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15000</v>
      </c>
      <c r="I27" s="1"/>
      <c r="J27" s="5">
        <f t="shared" si="1"/>
        <v>0</v>
      </c>
      <c r="K27" s="1"/>
      <c r="L27" s="1">
        <f t="shared" si="2"/>
        <v>-15000</v>
      </c>
      <c r="M27" s="1"/>
      <c r="N27" s="5">
        <f t="shared" si="3"/>
        <v>-1</v>
      </c>
      <c r="O27" s="13"/>
      <c r="P27" s="1">
        <f>SUM(OSRRefP22_4x_0)</f>
        <v>38261.24</v>
      </c>
      <c r="Q27" s="1"/>
      <c r="R27" s="5">
        <f t="shared" si="4"/>
        <v>0</v>
      </c>
      <c r="S27" s="1"/>
      <c r="T27" s="1">
        <f>SUM(OSRRefT22_4x_0)</f>
        <v>40000</v>
      </c>
      <c r="U27" s="1"/>
      <c r="V27" s="5">
        <f t="shared" si="5"/>
        <v>0</v>
      </c>
      <c r="W27" s="1"/>
      <c r="X27" s="1">
        <f t="shared" si="6"/>
        <v>-1738.760000000002</v>
      </c>
      <c r="Y27" s="1"/>
      <c r="Z27" s="5">
        <f t="shared" si="7"/>
        <v>-4.3469000000000049E-2</v>
      </c>
    </row>
    <row r="28" spans="1:26" s="24" customFormat="1" hidden="1" outlineLevel="2" x14ac:dyDescent="0.25">
      <c r="A28" s="25"/>
      <c r="B28" s="11" t="str">
        <f>CONCATENATE("          ", "6331", " - ", "INDIRECT COSTS-AUXILIARY ORGAN")</f>
        <v xml:space="preserve">          6331 - INDIRECT COSTS-AUXILIARY ORGAN</v>
      </c>
      <c r="C28" s="11"/>
      <c r="D28" s="6"/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1"/>
      <c r="P28" s="6">
        <v>23199</v>
      </c>
      <c r="Q28" s="2"/>
      <c r="R28" s="7">
        <f t="shared" si="4"/>
        <v>0</v>
      </c>
      <c r="S28" s="2"/>
      <c r="T28" s="6">
        <v>25000</v>
      </c>
      <c r="U28" s="2"/>
      <c r="V28" s="7">
        <f t="shared" si="5"/>
        <v>0</v>
      </c>
      <c r="W28" s="2"/>
      <c r="X28" s="6">
        <f t="shared" si="6"/>
        <v>-1801</v>
      </c>
      <c r="Y28" s="2"/>
      <c r="Z28" s="7">
        <f t="shared" si="7"/>
        <v>-7.2040000000000007E-2</v>
      </c>
    </row>
    <row r="29" spans="1:26" s="24" customFormat="1" hidden="1" outlineLevel="2" x14ac:dyDescent="0.25">
      <c r="A29" s="25"/>
      <c r="B29" s="11" t="str">
        <f>CONCATENATE("          ", "6332", " - ", "CONSULTANT FEES")</f>
        <v xml:space="preserve">          6332 - CONSULTANT FEES</v>
      </c>
      <c r="C29" s="11"/>
      <c r="D29" s="6"/>
      <c r="E29" s="2"/>
      <c r="F29" s="7">
        <f t="shared" si="0"/>
        <v>0</v>
      </c>
      <c r="G29" s="2"/>
      <c r="H29" s="6">
        <v>15000</v>
      </c>
      <c r="I29" s="2"/>
      <c r="J29" s="7">
        <f t="shared" si="1"/>
        <v>0</v>
      </c>
      <c r="K29" s="2"/>
      <c r="L29" s="6">
        <f t="shared" si="2"/>
        <v>-15000</v>
      </c>
      <c r="M29" s="2"/>
      <c r="N29" s="7">
        <f t="shared" si="3"/>
        <v>-1</v>
      </c>
      <c r="O29" s="11"/>
      <c r="P29" s="6">
        <v>15062.24</v>
      </c>
      <c r="Q29" s="2"/>
      <c r="R29" s="7">
        <f t="shared" si="4"/>
        <v>0</v>
      </c>
      <c r="S29" s="2"/>
      <c r="T29" s="6">
        <v>15000</v>
      </c>
      <c r="U29" s="2"/>
      <c r="V29" s="7">
        <f t="shared" si="5"/>
        <v>0</v>
      </c>
      <c r="W29" s="2"/>
      <c r="X29" s="6">
        <f t="shared" si="6"/>
        <v>62.239999999999782</v>
      </c>
      <c r="Y29" s="2"/>
      <c r="Z29" s="7">
        <f t="shared" si="7"/>
        <v>4.1493333333333191E-3</v>
      </c>
    </row>
    <row r="30" spans="1:26" s="59" customFormat="1" x14ac:dyDescent="0.25">
      <c r="A30" s="36"/>
      <c r="B30" s="36"/>
      <c r="C30" s="36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9" t="s">
        <v>0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8" t="s">
        <v>3</v>
      </c>
      <c r="C33" s="28"/>
      <c r="D33" s="20">
        <f>+D16-D18+D31</f>
        <v>-130672.54000000001</v>
      </c>
      <c r="E33" s="14"/>
      <c r="F33" s="22">
        <f>IF(D$12=0,0,D33/D$12)</f>
        <v>0</v>
      </c>
      <c r="G33" s="14"/>
      <c r="H33" s="20">
        <f>+H16-H18+H31</f>
        <v>-156000</v>
      </c>
      <c r="I33" s="14"/>
      <c r="J33" s="22">
        <f>IF(H$12=0,0,H33/H$12)</f>
        <v>0</v>
      </c>
      <c r="K33" s="16"/>
      <c r="L33" s="20">
        <f>+D33-H33</f>
        <v>25327.459999999992</v>
      </c>
      <c r="M33" s="16"/>
      <c r="N33" s="22">
        <f>IF(H33=0,0,L33/H33)</f>
        <v>-0.16235551282051278</v>
      </c>
      <c r="O33" s="29"/>
      <c r="P33" s="20">
        <f>+P16-P18+P31</f>
        <v>-319112.19</v>
      </c>
      <c r="Q33" s="14"/>
      <c r="R33" s="22">
        <f>IF(P$12=0,0,P33/P$12)</f>
        <v>0</v>
      </c>
      <c r="S33" s="14"/>
      <c r="T33" s="20">
        <f>+T16-T18+T31</f>
        <v>-382500</v>
      </c>
      <c r="U33" s="14"/>
      <c r="V33" s="22">
        <f>IF(T$12=0,0,T33/T$12)</f>
        <v>0</v>
      </c>
      <c r="W33" s="16"/>
      <c r="X33" s="20">
        <f>+P33-T33</f>
        <v>63387.81</v>
      </c>
      <c r="Y33" s="16"/>
      <c r="Z33" s="22">
        <f>IF(T33=0,0,X33/T33)</f>
        <v>-0.16571976470588234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52"/>
      <c r="B35" s="10" t="s">
        <v>14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8" t="s">
        <v>4</v>
      </c>
      <c r="C37" s="28"/>
      <c r="D37" s="30">
        <f>+D33-D35</f>
        <v>-130672.54000000001</v>
      </c>
      <c r="E37" s="14"/>
      <c r="F37" s="32">
        <f>IF(D$12=0,0,D37/D$12)</f>
        <v>0</v>
      </c>
      <c r="G37" s="14"/>
      <c r="H37" s="30">
        <f>+H33-H35</f>
        <v>-156000</v>
      </c>
      <c r="I37" s="14"/>
      <c r="J37" s="32">
        <f>IF(H$12=0,0,H37/H$12)</f>
        <v>0</v>
      </c>
      <c r="K37" s="16"/>
      <c r="L37" s="30">
        <f>D37-H37</f>
        <v>25327.459999999992</v>
      </c>
      <c r="M37" s="16"/>
      <c r="N37" s="32">
        <f>IF(H37=0,0,L37/H37)</f>
        <v>-0.16235551282051278</v>
      </c>
      <c r="O37" s="29"/>
      <c r="P37" s="30">
        <f>+P33-P35</f>
        <v>-319112.19</v>
      </c>
      <c r="Q37" s="14"/>
      <c r="R37" s="32">
        <f>IF(P$12=0,0,P37/P$12)</f>
        <v>0</v>
      </c>
      <c r="S37" s="14"/>
      <c r="T37" s="30">
        <f>+T33-T35</f>
        <v>-382500</v>
      </c>
      <c r="U37" s="14"/>
      <c r="V37" s="32">
        <f>IF(T$12=0,0,T37/T$12)</f>
        <v>0</v>
      </c>
      <c r="W37" s="16"/>
      <c r="X37" s="30">
        <f>P37-T37</f>
        <v>63387.81</v>
      </c>
      <c r="Y37" s="16"/>
      <c r="Z37" s="32">
        <f>IF(T37=0,0,X37/T37)</f>
        <v>-0.16571976470588234</v>
      </c>
    </row>
    <row r="38" spans="1:26" ht="15.75" thickTop="1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25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8" t="s">
        <v>5</v>
      </c>
      <c r="C40" s="28"/>
      <c r="D40" s="31">
        <f>SUM(D37:D39)</f>
        <v>-130672.54000000001</v>
      </c>
      <c r="E40" s="14"/>
      <c r="F40" s="35">
        <f>IF(D$12=0,0,D40/D$12)</f>
        <v>0</v>
      </c>
      <c r="G40" s="14"/>
      <c r="H40" s="31">
        <f>SUM(H37:H39)</f>
        <v>-156000</v>
      </c>
      <c r="I40" s="14"/>
      <c r="J40" s="35">
        <f>IF(H$12=0,0,H40/H$12)</f>
        <v>0</v>
      </c>
      <c r="K40" s="16"/>
      <c r="L40" s="31">
        <f>+D40-H40</f>
        <v>25327.459999999992</v>
      </c>
      <c r="M40" s="16"/>
      <c r="N40" s="35">
        <f>IF(H40=0,0,L40/H40)</f>
        <v>-0.16235551282051278</v>
      </c>
      <c r="O40" s="29"/>
      <c r="P40" s="31">
        <f>SUM(P37:P39)</f>
        <v>-319112.19</v>
      </c>
      <c r="Q40" s="14"/>
      <c r="R40" s="35">
        <f>IF(P$12=0,0,P40/P$12)</f>
        <v>0</v>
      </c>
      <c r="S40" s="14"/>
      <c r="T40" s="31">
        <f>SUM(T37:T39)</f>
        <v>-382500</v>
      </c>
      <c r="U40" s="14"/>
      <c r="V40" s="35">
        <f>IF(T$12=0,0,T40/T$12)</f>
        <v>0</v>
      </c>
      <c r="W40" s="16"/>
      <c r="X40" s="31">
        <f>+P40-T40</f>
        <v>63387.81</v>
      </c>
      <c r="Y40" s="16"/>
      <c r="Z40" s="35">
        <f>IF(T40=0,0,X40/T40)</f>
        <v>-0.16571976470588234</v>
      </c>
    </row>
    <row r="41" spans="1:26" ht="15.75" thickTop="1" x14ac:dyDescent="0.25">
      <c r="A41" s="9"/>
      <c r="C41" s="9"/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25">
      <c r="A42" s="9"/>
      <c r="B42" s="56">
        <v>43815.483444907404</v>
      </c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25">
      <c r="A43" s="9"/>
      <c r="B43" s="62" t="s">
        <v>314</v>
      </c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25">
      <c r="A44" s="9"/>
      <c r="B44" s="58"/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  <row r="45" spans="1:26" x14ac:dyDescent="0.25">
      <c r="D45" s="17"/>
      <c r="E45" s="17"/>
      <c r="G45" s="17"/>
      <c r="H45" s="17"/>
      <c r="I45" s="17"/>
      <c r="J45" s="43"/>
      <c r="K45" s="17"/>
      <c r="L45" s="17"/>
      <c r="M45" s="17"/>
      <c r="P45" s="17"/>
      <c r="Q45" s="17"/>
      <c r="R45" s="43"/>
      <c r="S45" s="17"/>
      <c r="T45" s="17"/>
      <c r="U45" s="17"/>
      <c r="V45" s="43"/>
      <c r="W45" s="17"/>
      <c r="X45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","201", " - ", "General Manager")</f>
        <v>Department 201 - General Manager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55653.32</v>
      </c>
      <c r="E18" s="21"/>
      <c r="F18" s="33">
        <f t="shared" ref="F18:F28" si="0">IF(D$12=0,0,D18/D$12)</f>
        <v>0</v>
      </c>
      <c r="G18" s="21"/>
      <c r="H18" s="21">
        <f>SUM(OSRRefH22x_0)</f>
        <v>57846.394416923045</v>
      </c>
      <c r="I18" s="21"/>
      <c r="J18" s="33">
        <f t="shared" ref="J18:J28" si="1">IF(H$12=0,0,H18/H$12)</f>
        <v>0</v>
      </c>
      <c r="K18" s="4"/>
      <c r="L18" s="21">
        <f t="shared" ref="L18:L28" si="2">+D18-H18</f>
        <v>-2193.0744169230456</v>
      </c>
      <c r="M18" s="4"/>
      <c r="N18" s="33">
        <f t="shared" ref="N18:N28" si="3">IF(H18=0,0,L18/H18)</f>
        <v>-3.7912033049400544E-2</v>
      </c>
      <c r="O18" s="10"/>
      <c r="P18" s="21">
        <f>SUM(OSRRefP22x_0)</f>
        <v>400662.36999999994</v>
      </c>
      <c r="Q18" s="21"/>
      <c r="R18" s="33">
        <f t="shared" ref="R18:R28" si="4">IF(P$12=0,0,P18/P$12)</f>
        <v>0</v>
      </c>
      <c r="S18" s="21"/>
      <c r="T18" s="21">
        <f>SUM(OSRRefT22x_0)</f>
        <v>676941.66929307685</v>
      </c>
      <c r="U18" s="21"/>
      <c r="V18" s="33">
        <f t="shared" ref="V18:V28" si="5">IF(T$12=0,0,T18/T$12)</f>
        <v>0</v>
      </c>
      <c r="W18" s="4"/>
      <c r="X18" s="21">
        <f t="shared" ref="X18:X28" si="6">+P18-T18</f>
        <v>-276279.29929307691</v>
      </c>
      <c r="Y18" s="4"/>
      <c r="Z18" s="33">
        <f t="shared" ref="Z18:Z28" si="7">IF(T18=0,0,X18/T18)</f>
        <v>-0.40812866429332456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9148.76</v>
      </c>
      <c r="E19" s="1"/>
      <c r="F19" s="5">
        <f t="shared" si="0"/>
        <v>0</v>
      </c>
      <c r="G19" s="1"/>
      <c r="H19" s="1">
        <f>SUM(OSRRefH22_0x_0)</f>
        <v>13117.425186153856</v>
      </c>
      <c r="I19" s="1"/>
      <c r="J19" s="5">
        <f t="shared" si="1"/>
        <v>0</v>
      </c>
      <c r="K19" s="1"/>
      <c r="L19" s="1">
        <f t="shared" si="2"/>
        <v>-3968.6651861538558</v>
      </c>
      <c r="M19" s="1"/>
      <c r="N19" s="5">
        <f t="shared" si="3"/>
        <v>-0.30254910013460523</v>
      </c>
      <c r="O19" s="13"/>
      <c r="P19" s="1">
        <f>SUM(OSRRefP22_0x_0)</f>
        <v>88345.18</v>
      </c>
      <c r="Q19" s="1"/>
      <c r="R19" s="5">
        <f t="shared" si="4"/>
        <v>0</v>
      </c>
      <c r="S19" s="1"/>
      <c r="T19" s="1">
        <f>SUM(OSRRefT22_0x_0)</f>
        <v>69776.338523846192</v>
      </c>
      <c r="U19" s="1"/>
      <c r="V19" s="5">
        <f t="shared" si="5"/>
        <v>0</v>
      </c>
      <c r="W19" s="1"/>
      <c r="X19" s="1">
        <f t="shared" si="6"/>
        <v>18568.841476153801</v>
      </c>
      <c r="Y19" s="1"/>
      <c r="Z19" s="5">
        <f t="shared" si="7"/>
        <v>0.26611945924631547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576.6</v>
      </c>
      <c r="E20" s="2"/>
      <c r="F20" s="7">
        <f t="shared" si="0"/>
        <v>0</v>
      </c>
      <c r="G20" s="2"/>
      <c r="H20" s="6">
        <v>2387.8184169230799</v>
      </c>
      <c r="I20" s="2"/>
      <c r="J20" s="7">
        <f t="shared" si="1"/>
        <v>0</v>
      </c>
      <c r="K20" s="2"/>
      <c r="L20" s="6">
        <f t="shared" si="2"/>
        <v>-1811.21841692308</v>
      </c>
      <c r="M20" s="2"/>
      <c r="N20" s="7">
        <f t="shared" si="3"/>
        <v>-0.75852435180435485</v>
      </c>
      <c r="O20" s="11"/>
      <c r="P20" s="6">
        <v>11806.05</v>
      </c>
      <c r="Q20" s="2"/>
      <c r="R20" s="7">
        <f t="shared" si="4"/>
        <v>0</v>
      </c>
      <c r="S20" s="2"/>
      <c r="T20" s="6">
        <v>13133.001293076941</v>
      </c>
      <c r="U20" s="2"/>
      <c r="V20" s="7">
        <f t="shared" si="5"/>
        <v>0</v>
      </c>
      <c r="W20" s="2"/>
      <c r="X20" s="6">
        <f t="shared" si="6"/>
        <v>-1326.9512930769415</v>
      </c>
      <c r="Y20" s="2"/>
      <c r="Z20" s="7">
        <f t="shared" si="7"/>
        <v>-0.10103945499315863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70.540000000000006</v>
      </c>
      <c r="E21" s="2"/>
      <c r="F21" s="7">
        <f t="shared" si="0"/>
        <v>0</v>
      </c>
      <c r="G21" s="2"/>
      <c r="H21" s="6">
        <v>106.08366153846201</v>
      </c>
      <c r="I21" s="2"/>
      <c r="J21" s="7">
        <f t="shared" si="1"/>
        <v>0</v>
      </c>
      <c r="K21" s="2"/>
      <c r="L21" s="6">
        <f t="shared" si="2"/>
        <v>-35.543661538462004</v>
      </c>
      <c r="M21" s="2"/>
      <c r="N21" s="7">
        <f t="shared" si="3"/>
        <v>-0.33505311772798479</v>
      </c>
      <c r="O21" s="11"/>
      <c r="P21" s="6">
        <v>741.57</v>
      </c>
      <c r="Q21" s="2"/>
      <c r="R21" s="7">
        <f t="shared" si="4"/>
        <v>0</v>
      </c>
      <c r="S21" s="2"/>
      <c r="T21" s="6">
        <v>583.46013846154005</v>
      </c>
      <c r="U21" s="2"/>
      <c r="V21" s="7">
        <f t="shared" si="5"/>
        <v>0</v>
      </c>
      <c r="W21" s="2"/>
      <c r="X21" s="6">
        <f t="shared" si="6"/>
        <v>158.10986153846</v>
      </c>
      <c r="Y21" s="2"/>
      <c r="Z21" s="7">
        <f t="shared" si="7"/>
        <v>0.27098656980297225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3849.84</v>
      </c>
      <c r="E22" s="2"/>
      <c r="F22" s="7">
        <f t="shared" si="0"/>
        <v>0</v>
      </c>
      <c r="G22" s="2"/>
      <c r="H22" s="6">
        <v>4739</v>
      </c>
      <c r="I22" s="2"/>
      <c r="J22" s="7">
        <f t="shared" si="1"/>
        <v>0</v>
      </c>
      <c r="K22" s="2"/>
      <c r="L22" s="6">
        <f t="shared" si="2"/>
        <v>-889.15999999999985</v>
      </c>
      <c r="M22" s="2"/>
      <c r="N22" s="7">
        <f t="shared" si="3"/>
        <v>-0.18762608145178306</v>
      </c>
      <c r="O22" s="11"/>
      <c r="P22" s="6">
        <v>21290.02</v>
      </c>
      <c r="Q22" s="2"/>
      <c r="R22" s="7">
        <f t="shared" si="4"/>
        <v>0</v>
      </c>
      <c r="S22" s="2"/>
      <c r="T22" s="6">
        <v>23695</v>
      </c>
      <c r="U22" s="2"/>
      <c r="V22" s="7">
        <f t="shared" si="5"/>
        <v>0</v>
      </c>
      <c r="W22" s="2"/>
      <c r="X22" s="6">
        <f t="shared" si="6"/>
        <v>-2404.9799999999996</v>
      </c>
      <c r="Y22" s="2"/>
      <c r="Z22" s="7">
        <f t="shared" si="7"/>
        <v>-0.10149736231272419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53.94</v>
      </c>
      <c r="E23" s="2"/>
      <c r="F23" s="7">
        <f t="shared" si="0"/>
        <v>0</v>
      </c>
      <c r="G23" s="2"/>
      <c r="H23" s="6">
        <v>81.122799999999998</v>
      </c>
      <c r="I23" s="2"/>
      <c r="J23" s="7">
        <f t="shared" si="1"/>
        <v>0</v>
      </c>
      <c r="K23" s="2"/>
      <c r="L23" s="6">
        <f t="shared" si="2"/>
        <v>-27.1828</v>
      </c>
      <c r="M23" s="2"/>
      <c r="N23" s="7">
        <f t="shared" si="3"/>
        <v>-0.33508212241194829</v>
      </c>
      <c r="O23" s="11"/>
      <c r="P23" s="6">
        <v>723.77</v>
      </c>
      <c r="Q23" s="2"/>
      <c r="R23" s="7">
        <f t="shared" si="4"/>
        <v>0</v>
      </c>
      <c r="S23" s="2"/>
      <c r="T23" s="6">
        <v>446.17540000000002</v>
      </c>
      <c r="U23" s="2"/>
      <c r="V23" s="7">
        <f t="shared" si="5"/>
        <v>0</v>
      </c>
      <c r="W23" s="2"/>
      <c r="X23" s="6">
        <f t="shared" si="6"/>
        <v>277.59459999999996</v>
      </c>
      <c r="Y23" s="2"/>
      <c r="Z23" s="7">
        <f t="shared" si="7"/>
        <v>0.62216473611050704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1898.57</v>
      </c>
      <c r="E24" s="2"/>
      <c r="F24" s="7">
        <f t="shared" si="0"/>
        <v>0</v>
      </c>
      <c r="G24" s="2"/>
      <c r="H24" s="6">
        <v>2683.2926153846201</v>
      </c>
      <c r="I24" s="2"/>
      <c r="J24" s="7">
        <f t="shared" si="1"/>
        <v>0</v>
      </c>
      <c r="K24" s="2"/>
      <c r="L24" s="6">
        <f t="shared" si="2"/>
        <v>-784.72261538462021</v>
      </c>
      <c r="M24" s="2"/>
      <c r="N24" s="7">
        <f t="shared" si="3"/>
        <v>-0.29244764841725579</v>
      </c>
      <c r="O24" s="11"/>
      <c r="P24" s="6">
        <v>17810</v>
      </c>
      <c r="Q24" s="2"/>
      <c r="R24" s="7">
        <f t="shared" si="4"/>
        <v>0</v>
      </c>
      <c r="S24" s="2"/>
      <c r="T24" s="6">
        <v>14758.109384615398</v>
      </c>
      <c r="U24" s="2"/>
      <c r="V24" s="7">
        <f t="shared" si="5"/>
        <v>0</v>
      </c>
      <c r="W24" s="2"/>
      <c r="X24" s="6">
        <f t="shared" si="6"/>
        <v>3051.8906153846019</v>
      </c>
      <c r="Y24" s="2"/>
      <c r="Z24" s="7">
        <f t="shared" si="7"/>
        <v>0.20679414522879519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1621.64</v>
      </c>
      <c r="E26" s="2"/>
      <c r="F26" s="7">
        <f t="shared" si="0"/>
        <v>0</v>
      </c>
      <c r="G26" s="2"/>
      <c r="H26" s="6">
        <v>2447.1215384615398</v>
      </c>
      <c r="I26" s="2"/>
      <c r="J26" s="7">
        <f t="shared" si="1"/>
        <v>0</v>
      </c>
      <c r="K26" s="2"/>
      <c r="L26" s="6">
        <f t="shared" si="2"/>
        <v>-825.48153846153969</v>
      </c>
      <c r="M26" s="2"/>
      <c r="N26" s="7">
        <f t="shared" si="3"/>
        <v>-0.33732756035505485</v>
      </c>
      <c r="O26" s="11"/>
      <c r="P26" s="6">
        <v>14887.54</v>
      </c>
      <c r="Q26" s="2"/>
      <c r="R26" s="7">
        <f t="shared" si="4"/>
        <v>0</v>
      </c>
      <c r="S26" s="2"/>
      <c r="T26" s="6">
        <v>13459.16846153846</v>
      </c>
      <c r="U26" s="2"/>
      <c r="V26" s="7">
        <f t="shared" si="5"/>
        <v>0</v>
      </c>
      <c r="W26" s="2"/>
      <c r="X26" s="6">
        <f t="shared" si="6"/>
        <v>1428.3715384615407</v>
      </c>
      <c r="Y26" s="2"/>
      <c r="Z26" s="7">
        <f t="shared" si="7"/>
        <v>0.10612628429039439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856.8</v>
      </c>
      <c r="E27" s="2"/>
      <c r="F27" s="7">
        <f t="shared" si="0"/>
        <v>0</v>
      </c>
      <c r="G27" s="2"/>
      <c r="H27" s="6">
        <v>672.98615384615402</v>
      </c>
      <c r="I27" s="2"/>
      <c r="J27" s="7">
        <f t="shared" si="1"/>
        <v>0</v>
      </c>
      <c r="K27" s="2"/>
      <c r="L27" s="6">
        <f t="shared" si="2"/>
        <v>183.81384615384593</v>
      </c>
      <c r="M27" s="2"/>
      <c r="N27" s="7">
        <f t="shared" si="3"/>
        <v>0.27313169090231554</v>
      </c>
      <c r="O27" s="11"/>
      <c r="P27" s="6">
        <v>19542.8</v>
      </c>
      <c r="Q27" s="2"/>
      <c r="R27" s="7">
        <f t="shared" si="4"/>
        <v>0</v>
      </c>
      <c r="S27" s="2"/>
      <c r="T27" s="6">
        <v>3701.4238461538462</v>
      </c>
      <c r="U27" s="2"/>
      <c r="V27" s="7">
        <f t="shared" si="5"/>
        <v>0</v>
      </c>
      <c r="W27" s="2"/>
      <c r="X27" s="6">
        <f t="shared" si="6"/>
        <v>15841.376153846153</v>
      </c>
      <c r="Y27" s="2"/>
      <c r="Z27" s="7">
        <f t="shared" si="7"/>
        <v>4.2798060455321663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220.83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220.83</v>
      </c>
      <c r="M28" s="2"/>
      <c r="N28" s="7">
        <f t="shared" si="3"/>
        <v>0</v>
      </c>
      <c r="O28" s="11"/>
      <c r="P28" s="6">
        <v>1543.43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1543.43</v>
      </c>
      <c r="Y28" s="2"/>
      <c r="Z28" s="7">
        <f t="shared" si="7"/>
        <v>0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19912.670000000002</v>
      </c>
      <c r="E29" s="1"/>
      <c r="F29" s="5">
        <f t="shared" ref="F29:F39" si="8">IF(D$12=0,0,D29/D$12)</f>
        <v>0</v>
      </c>
      <c r="G29" s="1"/>
      <c r="H29" s="1">
        <f>SUM(OSRRefH22_1x_0)</f>
        <v>28080.969230769191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-8168.2992307691893</v>
      </c>
      <c r="M29" s="1"/>
      <c r="N29" s="5">
        <f t="shared" ref="N29:N39" si="11">IF(H29=0,0,L29/H29)</f>
        <v>-0.29088380688152776</v>
      </c>
      <c r="O29" s="13"/>
      <c r="P29" s="1">
        <f>SUM(OSRRefP22_1x_0)</f>
        <v>59693.97</v>
      </c>
      <c r="Q29" s="1"/>
      <c r="R29" s="5">
        <f t="shared" ref="R29:R39" si="12">IF(P$12=0,0,P29/P$12)</f>
        <v>0</v>
      </c>
      <c r="S29" s="1"/>
      <c r="T29" s="1">
        <f>SUM(OSRRefT22_1x_0)</f>
        <v>154445.33076923061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-94751.36076923061</v>
      </c>
      <c r="Y29" s="1"/>
      <c r="Z29" s="5">
        <f t="shared" ref="Z29:Z39" si="15">IF(T29=0,0,X29/T29)</f>
        <v>-0.61349449865082917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>
        <v>14140.28</v>
      </c>
      <c r="E30" s="2"/>
      <c r="F30" s="7">
        <f t="shared" si="8"/>
        <v>0</v>
      </c>
      <c r="G30" s="2"/>
      <c r="H30" s="6">
        <v>23674.1538461538</v>
      </c>
      <c r="I30" s="2"/>
      <c r="J30" s="7">
        <f t="shared" si="9"/>
        <v>0</v>
      </c>
      <c r="K30" s="2"/>
      <c r="L30" s="6">
        <f t="shared" si="10"/>
        <v>-9533.8738461537996</v>
      </c>
      <c r="M30" s="2"/>
      <c r="N30" s="7">
        <f t="shared" si="11"/>
        <v>-0.40271233802523893</v>
      </c>
      <c r="O30" s="11"/>
      <c r="P30" s="6">
        <v>81816.86</v>
      </c>
      <c r="Q30" s="2"/>
      <c r="R30" s="7">
        <f t="shared" si="12"/>
        <v>0</v>
      </c>
      <c r="S30" s="2"/>
      <c r="T30" s="6">
        <v>130207.846153846</v>
      </c>
      <c r="U30" s="2"/>
      <c r="V30" s="7">
        <f t="shared" si="13"/>
        <v>0</v>
      </c>
      <c r="W30" s="2"/>
      <c r="X30" s="6">
        <f t="shared" si="14"/>
        <v>-48390.986153845995</v>
      </c>
      <c r="Y30" s="2"/>
      <c r="Z30" s="7">
        <f t="shared" si="15"/>
        <v>-0.37164416418247198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>
        <v>4162.01</v>
      </c>
      <c r="E31" s="2"/>
      <c r="F31" s="7">
        <f t="shared" si="8"/>
        <v>0</v>
      </c>
      <c r="G31" s="2"/>
      <c r="H31" s="6">
        <v>4406.81538461539</v>
      </c>
      <c r="I31" s="2"/>
      <c r="J31" s="7">
        <f t="shared" si="9"/>
        <v>0</v>
      </c>
      <c r="K31" s="2"/>
      <c r="L31" s="6">
        <f t="shared" si="10"/>
        <v>-244.80538461538981</v>
      </c>
      <c r="M31" s="2"/>
      <c r="N31" s="7">
        <f t="shared" si="11"/>
        <v>-5.5551540795202949E-2</v>
      </c>
      <c r="O31" s="11"/>
      <c r="P31" s="6">
        <v>23992.769999999997</v>
      </c>
      <c r="Q31" s="2"/>
      <c r="R31" s="7">
        <f t="shared" si="12"/>
        <v>0</v>
      </c>
      <c r="S31" s="2"/>
      <c r="T31" s="6">
        <v>24237.48461538463</v>
      </c>
      <c r="U31" s="2"/>
      <c r="V31" s="7">
        <f t="shared" si="13"/>
        <v>0</v>
      </c>
      <c r="W31" s="2"/>
      <c r="X31" s="6">
        <f t="shared" si="14"/>
        <v>-244.71461538463336</v>
      </c>
      <c r="Y31" s="2"/>
      <c r="Z31" s="7">
        <f t="shared" si="15"/>
        <v>-1.009653515073515E-2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>
        <v>1610.38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1610.38</v>
      </c>
      <c r="M36" s="2"/>
      <c r="N36" s="7">
        <f t="shared" si="11"/>
        <v>0</v>
      </c>
      <c r="O36" s="11"/>
      <c r="P36" s="6">
        <v>-46115.66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-46115.66</v>
      </c>
      <c r="Y36" s="2"/>
      <c r="Z36" s="7">
        <f t="shared" si="15"/>
        <v>0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45</v>
      </c>
      <c r="E40" s="1"/>
      <c r="F40" s="5">
        <f t="shared" ref="F40:F46" si="16">IF(D$12=0,0,D40/D$12)</f>
        <v>0</v>
      </c>
      <c r="G40" s="1"/>
      <c r="H40" s="1">
        <f>SUM(OSRRefH22_2x_0)</f>
        <v>9000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-8955</v>
      </c>
      <c r="M40" s="1"/>
      <c r="N40" s="5">
        <f t="shared" ref="N40:N46" si="19">IF(H40=0,0,L40/H40)</f>
        <v>-0.995</v>
      </c>
      <c r="O40" s="13"/>
      <c r="P40" s="1">
        <f>SUM(OSRRefP22_2x_0)</f>
        <v>11409.89</v>
      </c>
      <c r="Q40" s="1"/>
      <c r="R40" s="5">
        <f t="shared" ref="R40:R46" si="20">IF(P$12=0,0,P40/P$12)</f>
        <v>0</v>
      </c>
      <c r="S40" s="1"/>
      <c r="T40" s="1">
        <f>SUM(OSRRefT22_2x_0)</f>
        <v>45000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-33590.11</v>
      </c>
      <c r="Y40" s="1"/>
      <c r="Z40" s="5">
        <f t="shared" ref="Z40:Z46" si="23">IF(T40=0,0,X40/T40)</f>
        <v>-0.74644688888888888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6">
        <v>45</v>
      </c>
      <c r="E41" s="2"/>
      <c r="F41" s="7">
        <f t="shared" si="16"/>
        <v>0</v>
      </c>
      <c r="G41" s="2"/>
      <c r="H41" s="6">
        <v>9000</v>
      </c>
      <c r="I41" s="2"/>
      <c r="J41" s="7">
        <f t="shared" si="17"/>
        <v>0</v>
      </c>
      <c r="K41" s="2"/>
      <c r="L41" s="6">
        <f t="shared" si="18"/>
        <v>-8955</v>
      </c>
      <c r="M41" s="2"/>
      <c r="N41" s="7">
        <f t="shared" si="19"/>
        <v>-0.995</v>
      </c>
      <c r="O41" s="11"/>
      <c r="P41" s="6">
        <v>11409.89</v>
      </c>
      <c r="Q41" s="2"/>
      <c r="R41" s="7">
        <f t="shared" si="20"/>
        <v>0</v>
      </c>
      <c r="S41" s="2"/>
      <c r="T41" s="6">
        <v>45000</v>
      </c>
      <c r="U41" s="2"/>
      <c r="V41" s="7">
        <f t="shared" si="21"/>
        <v>0</v>
      </c>
      <c r="W41" s="2"/>
      <c r="X41" s="6">
        <f t="shared" si="22"/>
        <v>-33590.11</v>
      </c>
      <c r="Y41" s="2"/>
      <c r="Z41" s="7">
        <f t="shared" si="23"/>
        <v>-0.74644688888888888</v>
      </c>
    </row>
    <row r="42" spans="1:26" s="26" customFormat="1" outlineLevel="1" collapsed="1" x14ac:dyDescent="0.25">
      <c r="A42" s="27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345.23</v>
      </c>
      <c r="E42" s="1"/>
      <c r="F42" s="5">
        <f t="shared" si="16"/>
        <v>0</v>
      </c>
      <c r="G42" s="1"/>
      <c r="H42" s="1">
        <f>SUM(OSRRefH22_3x_0)</f>
        <v>345</v>
      </c>
      <c r="I42" s="1"/>
      <c r="J42" s="5">
        <f t="shared" si="17"/>
        <v>0</v>
      </c>
      <c r="K42" s="1"/>
      <c r="L42" s="1">
        <f t="shared" si="18"/>
        <v>0.23000000000001819</v>
      </c>
      <c r="M42" s="1"/>
      <c r="N42" s="5">
        <f t="shared" si="19"/>
        <v>6.6666666666671945E-4</v>
      </c>
      <c r="O42" s="13"/>
      <c r="P42" s="1">
        <f>SUM(OSRRefP22_3x_0)</f>
        <v>1726.15</v>
      </c>
      <c r="Q42" s="1"/>
      <c r="R42" s="5">
        <f t="shared" si="20"/>
        <v>0</v>
      </c>
      <c r="S42" s="1"/>
      <c r="T42" s="1">
        <f>SUM(OSRRefT22_3x_0)</f>
        <v>1725</v>
      </c>
      <c r="U42" s="1"/>
      <c r="V42" s="5">
        <f t="shared" si="21"/>
        <v>0</v>
      </c>
      <c r="W42" s="1"/>
      <c r="X42" s="1">
        <f t="shared" si="22"/>
        <v>1.1500000000000909</v>
      </c>
      <c r="Y42" s="1"/>
      <c r="Z42" s="5">
        <f t="shared" si="23"/>
        <v>6.6666666666671945E-4</v>
      </c>
    </row>
    <row r="43" spans="1:26" s="24" customFormat="1" hidden="1" outlineLevel="2" x14ac:dyDescent="0.25">
      <c r="A43" s="25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345.23</v>
      </c>
      <c r="E43" s="2"/>
      <c r="F43" s="7">
        <f t="shared" si="16"/>
        <v>0</v>
      </c>
      <c r="G43" s="2"/>
      <c r="H43" s="6">
        <v>345</v>
      </c>
      <c r="I43" s="2"/>
      <c r="J43" s="7">
        <f t="shared" si="17"/>
        <v>0</v>
      </c>
      <c r="K43" s="2"/>
      <c r="L43" s="6">
        <f t="shared" si="18"/>
        <v>0.23000000000001819</v>
      </c>
      <c r="M43" s="2"/>
      <c r="N43" s="7">
        <f t="shared" si="19"/>
        <v>6.6666666666671945E-4</v>
      </c>
      <c r="O43" s="11"/>
      <c r="P43" s="6">
        <v>1726.15</v>
      </c>
      <c r="Q43" s="2"/>
      <c r="R43" s="7">
        <f t="shared" si="20"/>
        <v>0</v>
      </c>
      <c r="S43" s="2"/>
      <c r="T43" s="6">
        <v>1725</v>
      </c>
      <c r="U43" s="2"/>
      <c r="V43" s="7">
        <f t="shared" si="21"/>
        <v>0</v>
      </c>
      <c r="W43" s="2"/>
      <c r="X43" s="6">
        <f t="shared" si="22"/>
        <v>1.1500000000000909</v>
      </c>
      <c r="Y43" s="2"/>
      <c r="Z43" s="7">
        <f t="shared" si="23"/>
        <v>6.6666666666671945E-4</v>
      </c>
    </row>
    <row r="44" spans="1:26" s="26" customFormat="1" outlineLevel="1" collapsed="1" x14ac:dyDescent="0.25">
      <c r="A44" s="27"/>
      <c r="B44" s="13" t="str">
        <f>CONCATENATE("     ","Donations                                         ")</f>
        <v xml:space="preserve">     Donations                                         </v>
      </c>
      <c r="C44" s="13"/>
      <c r="D44" s="1">
        <f>SUM(OSRRefD22_4x_0)</f>
        <v>1265.54</v>
      </c>
      <c r="E44" s="1"/>
      <c r="F44" s="5">
        <f t="shared" si="16"/>
        <v>0</v>
      </c>
      <c r="G44" s="1"/>
      <c r="H44" s="1">
        <f>SUM(OSRRefH22_4x_0)</f>
        <v>2500</v>
      </c>
      <c r="I44" s="1"/>
      <c r="J44" s="5">
        <f t="shared" si="17"/>
        <v>0</v>
      </c>
      <c r="K44" s="1"/>
      <c r="L44" s="1">
        <f t="shared" si="18"/>
        <v>-1234.46</v>
      </c>
      <c r="M44" s="1"/>
      <c r="N44" s="5">
        <f t="shared" si="19"/>
        <v>-0.493784</v>
      </c>
      <c r="O44" s="13"/>
      <c r="P44" s="1">
        <f>SUM(OSRRefP22_4x_0)</f>
        <v>145642.79</v>
      </c>
      <c r="Q44" s="1"/>
      <c r="R44" s="5">
        <f t="shared" si="20"/>
        <v>0</v>
      </c>
      <c r="S44" s="1"/>
      <c r="T44" s="1">
        <f>SUM(OSRRefT22_4x_0)</f>
        <v>344300</v>
      </c>
      <c r="U44" s="1"/>
      <c r="V44" s="5">
        <f t="shared" si="21"/>
        <v>0</v>
      </c>
      <c r="W44" s="1"/>
      <c r="X44" s="1">
        <f t="shared" si="22"/>
        <v>-198657.21</v>
      </c>
      <c r="Y44" s="1"/>
      <c r="Z44" s="5">
        <f t="shared" si="23"/>
        <v>-0.57698870171362182</v>
      </c>
    </row>
    <row r="45" spans="1:26" s="24" customFormat="1" hidden="1" outlineLevel="2" x14ac:dyDescent="0.25">
      <c r="A45" s="25"/>
      <c r="B45" s="11" t="str">
        <f>CONCATENATE("          ", "6395", " - ", "DONATION-OFF CAMPUS")</f>
        <v xml:space="preserve">          6395 - DONATION-OFF CAMPUS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800</v>
      </c>
      <c r="U45" s="2"/>
      <c r="V45" s="7">
        <f t="shared" si="21"/>
        <v>0</v>
      </c>
      <c r="W45" s="2"/>
      <c r="X45" s="6">
        <f t="shared" si="22"/>
        <v>-800</v>
      </c>
      <c r="Y45" s="2"/>
      <c r="Z45" s="7">
        <f t="shared" si="23"/>
        <v>-1</v>
      </c>
    </row>
    <row r="46" spans="1:26" s="24" customFormat="1" hidden="1" outlineLevel="2" x14ac:dyDescent="0.25">
      <c r="A46" s="25"/>
      <c r="B46" s="11" t="str">
        <f>CONCATENATE("          ", "6399", " - ", "DONATION-ON CAMPUS")</f>
        <v xml:space="preserve">          6399 - DONATION-ON CAMPUS</v>
      </c>
      <c r="C46" s="11"/>
      <c r="D46" s="6">
        <v>1265.54</v>
      </c>
      <c r="E46" s="2"/>
      <c r="F46" s="7">
        <f t="shared" si="16"/>
        <v>0</v>
      </c>
      <c r="G46" s="2"/>
      <c r="H46" s="6">
        <v>2500</v>
      </c>
      <c r="I46" s="2"/>
      <c r="J46" s="7">
        <f t="shared" si="17"/>
        <v>0</v>
      </c>
      <c r="K46" s="2"/>
      <c r="L46" s="6">
        <f t="shared" si="18"/>
        <v>-1234.46</v>
      </c>
      <c r="M46" s="2"/>
      <c r="N46" s="7">
        <f t="shared" si="19"/>
        <v>-0.493784</v>
      </c>
      <c r="O46" s="11"/>
      <c r="P46" s="6">
        <v>145642.79</v>
      </c>
      <c r="Q46" s="2"/>
      <c r="R46" s="7">
        <f t="shared" si="20"/>
        <v>0</v>
      </c>
      <c r="S46" s="2"/>
      <c r="T46" s="6">
        <v>343500</v>
      </c>
      <c r="U46" s="2"/>
      <c r="V46" s="7">
        <f t="shared" si="21"/>
        <v>0</v>
      </c>
      <c r="W46" s="2"/>
      <c r="X46" s="6">
        <f t="shared" si="22"/>
        <v>-197857.21</v>
      </c>
      <c r="Y46" s="2"/>
      <c r="Z46" s="7">
        <f t="shared" si="23"/>
        <v>-0.57600352256186316</v>
      </c>
    </row>
    <row r="47" spans="1:26" s="26" customFormat="1" outlineLevel="1" collapsed="1" x14ac:dyDescent="0.25">
      <c r="A47" s="27"/>
      <c r="B47" s="13" t="str">
        <f>CONCATENATE("     ","Employees' Appreciation                           ")</f>
        <v xml:space="preserve">     Employees' Appreciation                           </v>
      </c>
      <c r="C47" s="13"/>
      <c r="D47" s="1">
        <f>SUM(OSRRefD22_5x_0)</f>
        <v>0</v>
      </c>
      <c r="E47" s="1"/>
      <c r="F47" s="5">
        <f t="shared" ref="F47:F60" si="24">IF(D$12=0,0,D47/D$12)</f>
        <v>0</v>
      </c>
      <c r="G47" s="1"/>
      <c r="H47" s="1">
        <f>SUM(OSRRefH22_5x_0)</f>
        <v>0</v>
      </c>
      <c r="I47" s="1"/>
      <c r="J47" s="5">
        <f t="shared" ref="J47:J60" si="25">IF(H$12=0,0,H47/H$12)</f>
        <v>0</v>
      </c>
      <c r="K47" s="1"/>
      <c r="L47" s="1">
        <f t="shared" ref="L47:L60" si="26">+D47-H47</f>
        <v>0</v>
      </c>
      <c r="M47" s="1"/>
      <c r="N47" s="5">
        <f t="shared" ref="N47:N60" si="27">IF(H47=0,0,L47/H47)</f>
        <v>0</v>
      </c>
      <c r="O47" s="13"/>
      <c r="P47" s="1">
        <f>SUM(OSRRefP22_5x_0)</f>
        <v>0</v>
      </c>
      <c r="Q47" s="1"/>
      <c r="R47" s="5">
        <f t="shared" ref="R47:R60" si="28">IF(P$12=0,0,P47/P$12)</f>
        <v>0</v>
      </c>
      <c r="S47" s="1"/>
      <c r="T47" s="1">
        <f>SUM(OSRRefT22_5x_0)</f>
        <v>500</v>
      </c>
      <c r="U47" s="1"/>
      <c r="V47" s="5">
        <f t="shared" ref="V47:V60" si="29">IF(T$12=0,0,T47/T$12)</f>
        <v>0</v>
      </c>
      <c r="W47" s="1"/>
      <c r="X47" s="1">
        <f t="shared" ref="X47:X60" si="30">+P47-T47</f>
        <v>-500</v>
      </c>
      <c r="Y47" s="1"/>
      <c r="Z47" s="5">
        <f t="shared" ref="Z47:Z60" si="31">IF(T47=0,0,X47/T47)</f>
        <v>-1</v>
      </c>
    </row>
    <row r="48" spans="1:26" s="24" customFormat="1" hidden="1" outlineLevel="2" x14ac:dyDescent="0.25">
      <c r="A48" s="25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4"/>
        <v>0</v>
      </c>
      <c r="G48" s="2"/>
      <c r="H48" s="6"/>
      <c r="I48" s="2"/>
      <c r="J48" s="7">
        <f t="shared" si="25"/>
        <v>0</v>
      </c>
      <c r="K48" s="2"/>
      <c r="L48" s="6">
        <f t="shared" si="26"/>
        <v>0</v>
      </c>
      <c r="M48" s="2"/>
      <c r="N48" s="7">
        <f t="shared" si="27"/>
        <v>0</v>
      </c>
      <c r="O48" s="11"/>
      <c r="P48" s="6"/>
      <c r="Q48" s="2"/>
      <c r="R48" s="7">
        <f t="shared" si="28"/>
        <v>0</v>
      </c>
      <c r="S48" s="2"/>
      <c r="T48" s="6">
        <v>500</v>
      </c>
      <c r="U48" s="2"/>
      <c r="V48" s="7">
        <f t="shared" si="29"/>
        <v>0</v>
      </c>
      <c r="W48" s="2"/>
      <c r="X48" s="6">
        <f t="shared" si="30"/>
        <v>-500</v>
      </c>
      <c r="Y48" s="2"/>
      <c r="Z48" s="7">
        <f t="shared" si="31"/>
        <v>-1</v>
      </c>
    </row>
    <row r="49" spans="1:26" s="26" customFormat="1" outlineLevel="1" collapsed="1" x14ac:dyDescent="0.25">
      <c r="A49" s="27"/>
      <c r="B49" s="13" t="str">
        <f>CONCATENATE("     ","Equipment Rental                                  ")</f>
        <v xml:space="preserve">     Equipment Rental                                  </v>
      </c>
      <c r="C49" s="13"/>
      <c r="D49" s="1">
        <f>SUM(OSRRefD22_6x_0)</f>
        <v>117.72</v>
      </c>
      <c r="E49" s="1"/>
      <c r="F49" s="5">
        <f t="shared" si="24"/>
        <v>0</v>
      </c>
      <c r="G49" s="1"/>
      <c r="H49" s="1">
        <f>SUM(OSRRefH22_6x_0)</f>
        <v>118</v>
      </c>
      <c r="I49" s="1"/>
      <c r="J49" s="5">
        <f t="shared" si="25"/>
        <v>0</v>
      </c>
      <c r="K49" s="1"/>
      <c r="L49" s="1">
        <f t="shared" si="26"/>
        <v>-0.28000000000000114</v>
      </c>
      <c r="M49" s="1"/>
      <c r="N49" s="5">
        <f t="shared" si="27"/>
        <v>-2.3728813559322128E-3</v>
      </c>
      <c r="O49" s="13"/>
      <c r="P49" s="1">
        <f>SUM(OSRRefP22_6x_0)</f>
        <v>706.32</v>
      </c>
      <c r="Q49" s="1"/>
      <c r="R49" s="5">
        <f t="shared" si="28"/>
        <v>0</v>
      </c>
      <c r="S49" s="1"/>
      <c r="T49" s="1">
        <f>SUM(OSRRefT22_6x_0)</f>
        <v>590</v>
      </c>
      <c r="U49" s="1"/>
      <c r="V49" s="5">
        <f t="shared" si="29"/>
        <v>0</v>
      </c>
      <c r="W49" s="1"/>
      <c r="X49" s="1">
        <f t="shared" si="30"/>
        <v>116.32000000000005</v>
      </c>
      <c r="Y49" s="1"/>
      <c r="Z49" s="5">
        <f t="shared" si="31"/>
        <v>0.19715254237288143</v>
      </c>
    </row>
    <row r="50" spans="1:26" s="24" customFormat="1" hidden="1" outlineLevel="2" x14ac:dyDescent="0.25">
      <c r="A50" s="25"/>
      <c r="B50" s="11" t="str">
        <f>CONCATENATE("          ", "6351", " - ", "EQUIPMENT RENTAL")</f>
        <v xml:space="preserve">          6351 - EQUIPMENT RENTAL</v>
      </c>
      <c r="C50" s="11"/>
      <c r="D50" s="6">
        <v>117.72</v>
      </c>
      <c r="E50" s="2"/>
      <c r="F50" s="7">
        <f t="shared" si="24"/>
        <v>0</v>
      </c>
      <c r="G50" s="2"/>
      <c r="H50" s="6">
        <v>118</v>
      </c>
      <c r="I50" s="2"/>
      <c r="J50" s="7">
        <f t="shared" si="25"/>
        <v>0</v>
      </c>
      <c r="K50" s="2"/>
      <c r="L50" s="6">
        <f t="shared" si="26"/>
        <v>-0.28000000000000114</v>
      </c>
      <c r="M50" s="2"/>
      <c r="N50" s="7">
        <f t="shared" si="27"/>
        <v>-2.3728813559322128E-3</v>
      </c>
      <c r="O50" s="11"/>
      <c r="P50" s="6">
        <v>706.32</v>
      </c>
      <c r="Q50" s="2"/>
      <c r="R50" s="7">
        <f t="shared" si="28"/>
        <v>0</v>
      </c>
      <c r="S50" s="2"/>
      <c r="T50" s="6">
        <v>590</v>
      </c>
      <c r="U50" s="2"/>
      <c r="V50" s="7">
        <f t="shared" si="29"/>
        <v>0</v>
      </c>
      <c r="W50" s="2"/>
      <c r="X50" s="6">
        <f t="shared" si="30"/>
        <v>116.32000000000005</v>
      </c>
      <c r="Y50" s="2"/>
      <c r="Z50" s="7">
        <f t="shared" si="31"/>
        <v>0.19715254237288143</v>
      </c>
    </row>
    <row r="51" spans="1:26" s="26" customFormat="1" outlineLevel="1" collapsed="1" x14ac:dyDescent="0.25">
      <c r="A51" s="27"/>
      <c r="B51" s="13" t="str">
        <f>CONCATENATE("     ","Freight out/Postage                               ")</f>
        <v xml:space="preserve">     Freight out/Postage                               </v>
      </c>
      <c r="C51" s="13"/>
      <c r="D51" s="1">
        <f>SUM(OSRRefD22_7x_0)</f>
        <v>0.5</v>
      </c>
      <c r="E51" s="1"/>
      <c r="F51" s="5">
        <f t="shared" si="24"/>
        <v>0</v>
      </c>
      <c r="G51" s="1"/>
      <c r="H51" s="1">
        <f>SUM(OSRRefH22_7x_0)</f>
        <v>0</v>
      </c>
      <c r="I51" s="1"/>
      <c r="J51" s="5">
        <f t="shared" si="25"/>
        <v>0</v>
      </c>
      <c r="K51" s="1"/>
      <c r="L51" s="1">
        <f t="shared" si="26"/>
        <v>0.5</v>
      </c>
      <c r="M51" s="1"/>
      <c r="N51" s="5">
        <f t="shared" si="27"/>
        <v>0</v>
      </c>
      <c r="O51" s="13"/>
      <c r="P51" s="1">
        <f>SUM(OSRRefP22_7x_0)</f>
        <v>9.25</v>
      </c>
      <c r="Q51" s="1"/>
      <c r="R51" s="5">
        <f t="shared" si="28"/>
        <v>0</v>
      </c>
      <c r="S51" s="1"/>
      <c r="T51" s="1">
        <f>SUM(OSRRefT22_7x_0)</f>
        <v>0</v>
      </c>
      <c r="U51" s="1"/>
      <c r="V51" s="5">
        <f t="shared" si="29"/>
        <v>0</v>
      </c>
      <c r="W51" s="1"/>
      <c r="X51" s="1">
        <f t="shared" si="30"/>
        <v>9.25</v>
      </c>
      <c r="Y51" s="1"/>
      <c r="Z51" s="5">
        <f t="shared" si="31"/>
        <v>0</v>
      </c>
    </row>
    <row r="52" spans="1:26" s="24" customFormat="1" hidden="1" outlineLevel="2" x14ac:dyDescent="0.25">
      <c r="A52" s="25"/>
      <c r="B52" s="11" t="str">
        <f>CONCATENATE("          ", "6307", " - ", "POSTAGE")</f>
        <v xml:space="preserve">          6307 - POSTAGE</v>
      </c>
      <c r="C52" s="11"/>
      <c r="D52" s="6">
        <v>0.5</v>
      </c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0.5</v>
      </c>
      <c r="M52" s="2"/>
      <c r="N52" s="7">
        <f t="shared" si="27"/>
        <v>0</v>
      </c>
      <c r="O52" s="11"/>
      <c r="P52" s="6">
        <v>9.25</v>
      </c>
      <c r="Q52" s="2"/>
      <c r="R52" s="7">
        <f t="shared" si="28"/>
        <v>0</v>
      </c>
      <c r="S52" s="2"/>
      <c r="T52" s="6"/>
      <c r="U52" s="2"/>
      <c r="V52" s="7">
        <f t="shared" si="29"/>
        <v>0</v>
      </c>
      <c r="W52" s="2"/>
      <c r="X52" s="6">
        <f t="shared" si="30"/>
        <v>9.25</v>
      </c>
      <c r="Y52" s="2"/>
      <c r="Z52" s="7">
        <f t="shared" si="31"/>
        <v>0</v>
      </c>
    </row>
    <row r="53" spans="1:26" s="26" customFormat="1" outlineLevel="1" collapsed="1" x14ac:dyDescent="0.25">
      <c r="A53" s="27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SUM(OSRRefD22_8x_0)</f>
        <v>0</v>
      </c>
      <c r="E53" s="1"/>
      <c r="F53" s="5">
        <f t="shared" si="24"/>
        <v>0</v>
      </c>
      <c r="G53" s="1"/>
      <c r="H53" s="1">
        <f>SUM(OSRRefH22_8x_0)</f>
        <v>0</v>
      </c>
      <c r="I53" s="1"/>
      <c r="J53" s="5">
        <f t="shared" si="25"/>
        <v>0</v>
      </c>
      <c r="K53" s="1"/>
      <c r="L53" s="1">
        <f t="shared" si="26"/>
        <v>0</v>
      </c>
      <c r="M53" s="1"/>
      <c r="N53" s="5">
        <f t="shared" si="27"/>
        <v>0</v>
      </c>
      <c r="O53" s="13"/>
      <c r="P53" s="1">
        <f>SUM(OSRRefP22_8x_0)</f>
        <v>11700.62</v>
      </c>
      <c r="Q53" s="1"/>
      <c r="R53" s="5">
        <f t="shared" si="28"/>
        <v>0</v>
      </c>
      <c r="S53" s="1"/>
      <c r="T53" s="1">
        <f>SUM(OSRRefT22_8x_0)</f>
        <v>2500</v>
      </c>
      <c r="U53" s="1"/>
      <c r="V53" s="5">
        <f t="shared" si="29"/>
        <v>0</v>
      </c>
      <c r="W53" s="1"/>
      <c r="X53" s="1">
        <f t="shared" si="30"/>
        <v>9200.6200000000008</v>
      </c>
      <c r="Y53" s="1"/>
      <c r="Z53" s="5">
        <f t="shared" si="31"/>
        <v>3.6802480000000002</v>
      </c>
    </row>
    <row r="54" spans="1:26" s="24" customFormat="1" hidden="1" outlineLevel="2" x14ac:dyDescent="0.25">
      <c r="A54" s="25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24"/>
        <v>0</v>
      </c>
      <c r="G54" s="2"/>
      <c r="H54" s="6">
        <v>0</v>
      </c>
      <c r="I54" s="2"/>
      <c r="J54" s="7">
        <f t="shared" si="25"/>
        <v>0</v>
      </c>
      <c r="K54" s="2"/>
      <c r="L54" s="6">
        <f t="shared" si="26"/>
        <v>0</v>
      </c>
      <c r="M54" s="2"/>
      <c r="N54" s="7">
        <f t="shared" si="27"/>
        <v>0</v>
      </c>
      <c r="O54" s="11"/>
      <c r="P54" s="6">
        <v>11700.62</v>
      </c>
      <c r="Q54" s="2"/>
      <c r="R54" s="7">
        <f t="shared" si="28"/>
        <v>0</v>
      </c>
      <c r="S54" s="2"/>
      <c r="T54" s="6">
        <v>2500</v>
      </c>
      <c r="U54" s="2"/>
      <c r="V54" s="7">
        <f t="shared" si="29"/>
        <v>0</v>
      </c>
      <c r="W54" s="2"/>
      <c r="X54" s="6">
        <f t="shared" si="30"/>
        <v>9200.6200000000008</v>
      </c>
      <c r="Y54" s="2"/>
      <c r="Z54" s="7">
        <f t="shared" si="31"/>
        <v>3.6802480000000002</v>
      </c>
    </row>
    <row r="55" spans="1:26" s="26" customFormat="1" outlineLevel="1" collapsed="1" x14ac:dyDescent="0.25">
      <c r="A55" s="27"/>
      <c r="B55" s="13" t="str">
        <f>CONCATENATE("     ","Insurance                                         ")</f>
        <v xml:space="preserve">     Insurance                                         </v>
      </c>
      <c r="C55" s="13"/>
      <c r="D55" s="1">
        <f>SUM(OSRRefD22_9x_0)</f>
        <v>115.13</v>
      </c>
      <c r="E55" s="1"/>
      <c r="F55" s="5">
        <f t="shared" si="24"/>
        <v>0</v>
      </c>
      <c r="G55" s="1"/>
      <c r="H55" s="1">
        <f>SUM(OSRRefH22_9x_0)</f>
        <v>110</v>
      </c>
      <c r="I55" s="1"/>
      <c r="J55" s="5">
        <f t="shared" si="25"/>
        <v>0</v>
      </c>
      <c r="K55" s="1"/>
      <c r="L55" s="1">
        <f t="shared" si="26"/>
        <v>5.1299999999999955</v>
      </c>
      <c r="M55" s="1"/>
      <c r="N55" s="5">
        <f t="shared" si="27"/>
        <v>4.6636363636363594E-2</v>
      </c>
      <c r="O55" s="13"/>
      <c r="P55" s="1">
        <f>SUM(OSRRefP22_9x_0)</f>
        <v>575.65</v>
      </c>
      <c r="Q55" s="1"/>
      <c r="R55" s="5">
        <f t="shared" si="28"/>
        <v>0</v>
      </c>
      <c r="S55" s="1"/>
      <c r="T55" s="1">
        <f>SUM(OSRRefT22_9x_0)</f>
        <v>550</v>
      </c>
      <c r="U55" s="1"/>
      <c r="V55" s="5">
        <f t="shared" si="29"/>
        <v>0</v>
      </c>
      <c r="W55" s="1"/>
      <c r="X55" s="1">
        <f t="shared" si="30"/>
        <v>25.649999999999977</v>
      </c>
      <c r="Y55" s="1"/>
      <c r="Z55" s="5">
        <f t="shared" si="31"/>
        <v>4.6636363636363594E-2</v>
      </c>
    </row>
    <row r="56" spans="1:26" s="24" customFormat="1" hidden="1" outlineLevel="2" x14ac:dyDescent="0.25">
      <c r="A56" s="25"/>
      <c r="B56" s="11" t="str">
        <f>CONCATENATE("          ", "6314", " - ", "LIABILITY INSURANCE")</f>
        <v xml:space="preserve">          6314 - LIABILITY INSURANCE</v>
      </c>
      <c r="C56" s="11"/>
      <c r="D56" s="6">
        <v>115.13</v>
      </c>
      <c r="E56" s="2"/>
      <c r="F56" s="7">
        <f t="shared" si="24"/>
        <v>0</v>
      </c>
      <c r="G56" s="2"/>
      <c r="H56" s="6">
        <v>110</v>
      </c>
      <c r="I56" s="2"/>
      <c r="J56" s="7">
        <f t="shared" si="25"/>
        <v>0</v>
      </c>
      <c r="K56" s="2"/>
      <c r="L56" s="6">
        <f t="shared" si="26"/>
        <v>5.1299999999999955</v>
      </c>
      <c r="M56" s="2"/>
      <c r="N56" s="7">
        <f t="shared" si="27"/>
        <v>4.6636363636363594E-2</v>
      </c>
      <c r="O56" s="11"/>
      <c r="P56" s="6">
        <v>575.65</v>
      </c>
      <c r="Q56" s="2"/>
      <c r="R56" s="7">
        <f t="shared" si="28"/>
        <v>0</v>
      </c>
      <c r="S56" s="2"/>
      <c r="T56" s="6">
        <v>550</v>
      </c>
      <c r="U56" s="2"/>
      <c r="V56" s="7">
        <f t="shared" si="29"/>
        <v>0</v>
      </c>
      <c r="W56" s="2"/>
      <c r="X56" s="6">
        <f t="shared" si="30"/>
        <v>25.649999999999977</v>
      </c>
      <c r="Y56" s="2"/>
      <c r="Z56" s="7">
        <f t="shared" si="31"/>
        <v>4.6636363636363594E-2</v>
      </c>
    </row>
    <row r="57" spans="1:26" s="26" customFormat="1" outlineLevel="1" collapsed="1" x14ac:dyDescent="0.25">
      <c r="A57" s="27"/>
      <c r="B57" s="13" t="str">
        <f>CONCATENATE("     ","Professional Services                             ")</f>
        <v xml:space="preserve">     Professional Services                             </v>
      </c>
      <c r="C57" s="13"/>
      <c r="D57" s="1">
        <f>SUM(OSRRefD22_10x_0)</f>
        <v>18725</v>
      </c>
      <c r="E57" s="1"/>
      <c r="F57" s="5">
        <f t="shared" si="24"/>
        <v>0</v>
      </c>
      <c r="G57" s="1"/>
      <c r="H57" s="1">
        <f>SUM(OSRRefH22_10x_0)</f>
        <v>0</v>
      </c>
      <c r="I57" s="1"/>
      <c r="J57" s="5">
        <f t="shared" si="25"/>
        <v>0</v>
      </c>
      <c r="K57" s="1"/>
      <c r="L57" s="1">
        <f t="shared" si="26"/>
        <v>18725</v>
      </c>
      <c r="M57" s="1"/>
      <c r="N57" s="5">
        <f t="shared" si="27"/>
        <v>0</v>
      </c>
      <c r="O57" s="13"/>
      <c r="P57" s="1">
        <f>SUM(OSRRefP22_10x_0)</f>
        <v>50760</v>
      </c>
      <c r="Q57" s="1"/>
      <c r="R57" s="5">
        <f t="shared" si="28"/>
        <v>0</v>
      </c>
      <c r="S57" s="1"/>
      <c r="T57" s="1">
        <f>SUM(OSRRefT22_10x_0)</f>
        <v>26500</v>
      </c>
      <c r="U57" s="1"/>
      <c r="V57" s="5">
        <f t="shared" si="29"/>
        <v>0</v>
      </c>
      <c r="W57" s="1"/>
      <c r="X57" s="1">
        <f t="shared" si="30"/>
        <v>24260</v>
      </c>
      <c r="Y57" s="1"/>
      <c r="Z57" s="5">
        <f t="shared" si="31"/>
        <v>0.9154716981132075</v>
      </c>
    </row>
    <row r="58" spans="1:26" s="24" customFormat="1" hidden="1" outlineLevel="2" x14ac:dyDescent="0.25">
      <c r="A58" s="25"/>
      <c r="B58" s="11" t="str">
        <f>CONCATENATE("          ", "6331", " - ", "INDIRECT COSTS-AUXILIARY ORGAN")</f>
        <v xml:space="preserve">          6331 - INDIRECT COSTS-AUXILIARY ORGAN</v>
      </c>
      <c r="C58" s="11"/>
      <c r="D58" s="6">
        <v>18550</v>
      </c>
      <c r="E58" s="2"/>
      <c r="F58" s="7">
        <f t="shared" si="24"/>
        <v>0</v>
      </c>
      <c r="G58" s="2"/>
      <c r="H58" s="6"/>
      <c r="I58" s="2"/>
      <c r="J58" s="7">
        <f t="shared" si="25"/>
        <v>0</v>
      </c>
      <c r="K58" s="2"/>
      <c r="L58" s="6">
        <f t="shared" si="26"/>
        <v>18550</v>
      </c>
      <c r="M58" s="2"/>
      <c r="N58" s="7">
        <f t="shared" si="27"/>
        <v>0</v>
      </c>
      <c r="O58" s="11"/>
      <c r="P58" s="6">
        <v>45550</v>
      </c>
      <c r="Q58" s="2"/>
      <c r="R58" s="7">
        <f t="shared" si="28"/>
        <v>0</v>
      </c>
      <c r="S58" s="2"/>
      <c r="T58" s="6">
        <v>20000</v>
      </c>
      <c r="U58" s="2"/>
      <c r="V58" s="7">
        <f t="shared" si="29"/>
        <v>0</v>
      </c>
      <c r="W58" s="2"/>
      <c r="X58" s="6">
        <f t="shared" si="30"/>
        <v>25550</v>
      </c>
      <c r="Y58" s="2"/>
      <c r="Z58" s="7">
        <f t="shared" si="31"/>
        <v>1.2775000000000001</v>
      </c>
    </row>
    <row r="59" spans="1:26" s="24" customFormat="1" hidden="1" outlineLevel="2" x14ac:dyDescent="0.25">
      <c r="A59" s="25"/>
      <c r="B59" s="11" t="str">
        <f>CONCATENATE("          ", "6334", " - ", "LEGAL COUNCIL EXPENSE")</f>
        <v xml:space="preserve">          6334 - LEGAL COUNCIL EXPENSE</v>
      </c>
      <c r="C59" s="11"/>
      <c r="D59" s="6">
        <v>175</v>
      </c>
      <c r="E59" s="2"/>
      <c r="F59" s="7">
        <f t="shared" si="24"/>
        <v>0</v>
      </c>
      <c r="G59" s="2"/>
      <c r="H59" s="6">
        <v>0</v>
      </c>
      <c r="I59" s="2"/>
      <c r="J59" s="7">
        <f t="shared" si="25"/>
        <v>0</v>
      </c>
      <c r="K59" s="2"/>
      <c r="L59" s="6">
        <f t="shared" si="26"/>
        <v>175</v>
      </c>
      <c r="M59" s="2"/>
      <c r="N59" s="7">
        <f t="shared" si="27"/>
        <v>0</v>
      </c>
      <c r="O59" s="11"/>
      <c r="P59" s="6">
        <v>190</v>
      </c>
      <c r="Q59" s="2"/>
      <c r="R59" s="7">
        <f t="shared" si="28"/>
        <v>0</v>
      </c>
      <c r="S59" s="2"/>
      <c r="T59" s="6">
        <v>1500</v>
      </c>
      <c r="U59" s="2"/>
      <c r="V59" s="7">
        <f t="shared" si="29"/>
        <v>0</v>
      </c>
      <c r="W59" s="2"/>
      <c r="X59" s="6">
        <f t="shared" si="30"/>
        <v>-1310</v>
      </c>
      <c r="Y59" s="2"/>
      <c r="Z59" s="7">
        <f t="shared" si="31"/>
        <v>-0.87333333333333329</v>
      </c>
    </row>
    <row r="60" spans="1:26" s="24" customFormat="1" hidden="1" outlineLevel="2" x14ac:dyDescent="0.25">
      <c r="A60" s="25"/>
      <c r="B60" s="11" t="str">
        <f>CONCATENATE("          ", "6336", " - ", "PROFESSIONAL SERVICES")</f>
        <v xml:space="preserve">          6336 - PROFESSIONAL SERVICES</v>
      </c>
      <c r="C60" s="11"/>
      <c r="D60" s="6"/>
      <c r="E60" s="2"/>
      <c r="F60" s="7">
        <f t="shared" si="24"/>
        <v>0</v>
      </c>
      <c r="G60" s="2"/>
      <c r="H60" s="6">
        <v>0</v>
      </c>
      <c r="I60" s="2"/>
      <c r="J60" s="7">
        <f t="shared" si="25"/>
        <v>0</v>
      </c>
      <c r="K60" s="2"/>
      <c r="L60" s="6">
        <f t="shared" si="26"/>
        <v>0</v>
      </c>
      <c r="M60" s="2"/>
      <c r="N60" s="7">
        <f t="shared" si="27"/>
        <v>0</v>
      </c>
      <c r="O60" s="11"/>
      <c r="P60" s="6">
        <v>5020</v>
      </c>
      <c r="Q60" s="2"/>
      <c r="R60" s="7">
        <f t="shared" si="28"/>
        <v>0</v>
      </c>
      <c r="S60" s="2"/>
      <c r="T60" s="6">
        <v>5000</v>
      </c>
      <c r="U60" s="2"/>
      <c r="V60" s="7">
        <f t="shared" si="29"/>
        <v>0</v>
      </c>
      <c r="W60" s="2"/>
      <c r="X60" s="6">
        <f t="shared" si="30"/>
        <v>20</v>
      </c>
      <c r="Y60" s="2"/>
      <c r="Z60" s="7">
        <f t="shared" si="31"/>
        <v>4.0000000000000001E-3</v>
      </c>
    </row>
    <row r="61" spans="1:26" s="26" customFormat="1" outlineLevel="1" collapsed="1" x14ac:dyDescent="0.25">
      <c r="A61" s="27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SUM(OSRRefD22_11x_0)</f>
        <v>2656.02</v>
      </c>
      <c r="E61" s="1"/>
      <c r="F61" s="5">
        <f t="shared" ref="F61:F64" si="32">IF(D$12=0,0,D61/D$12)</f>
        <v>0</v>
      </c>
      <c r="G61" s="1"/>
      <c r="H61" s="1">
        <f>SUM(OSRRefH22_11x_0)</f>
        <v>2975</v>
      </c>
      <c r="I61" s="1"/>
      <c r="J61" s="5">
        <f t="shared" ref="J61:J64" si="33">IF(H$12=0,0,H61/H$12)</f>
        <v>0</v>
      </c>
      <c r="K61" s="1"/>
      <c r="L61" s="1">
        <f t="shared" ref="L61:L64" si="34">+D61-H61</f>
        <v>-318.98</v>
      </c>
      <c r="M61" s="1"/>
      <c r="N61" s="5">
        <f t="shared" ref="N61:N64" si="35">IF(H61=0,0,L61/H61)</f>
        <v>-0.1072201680672269</v>
      </c>
      <c r="O61" s="13"/>
      <c r="P61" s="1">
        <f>SUM(OSRRefP22_11x_0)</f>
        <v>17620.7</v>
      </c>
      <c r="Q61" s="1"/>
      <c r="R61" s="5">
        <f t="shared" ref="R61:R64" si="36">IF(P$12=0,0,P61/P$12)</f>
        <v>0</v>
      </c>
      <c r="S61" s="1"/>
      <c r="T61" s="1">
        <f>SUM(OSRRefT22_11x_0)</f>
        <v>14875</v>
      </c>
      <c r="U61" s="1"/>
      <c r="V61" s="5">
        <f t="shared" ref="V61:V64" si="37">IF(T$12=0,0,T61/T$12)</f>
        <v>0</v>
      </c>
      <c r="W61" s="1"/>
      <c r="X61" s="1">
        <f t="shared" ref="X61:X64" si="38">+P61-T61</f>
        <v>2745.7000000000007</v>
      </c>
      <c r="Y61" s="1"/>
      <c r="Z61" s="5">
        <f t="shared" ref="Z61:Z64" si="39">IF(T61=0,0,X61/T61)</f>
        <v>0.18458487394957987</v>
      </c>
    </row>
    <row r="62" spans="1:26" s="24" customFormat="1" hidden="1" outlineLevel="2" x14ac:dyDescent="0.25">
      <c r="A62" s="25"/>
      <c r="B62" s="11" t="str">
        <f>CONCATENATE("          ", "6371", " - ", "COMPUTER SOFTWARE MAINTENANCE")</f>
        <v xml:space="preserve">          6371 - COMPUTER SOFTWARE MAINTENANCE</v>
      </c>
      <c r="C62" s="11"/>
      <c r="D62" s="6"/>
      <c r="E62" s="2"/>
      <c r="F62" s="7">
        <f t="shared" si="32"/>
        <v>0</v>
      </c>
      <c r="G62" s="2"/>
      <c r="H62" s="6"/>
      <c r="I62" s="2"/>
      <c r="J62" s="7">
        <f t="shared" si="33"/>
        <v>0</v>
      </c>
      <c r="K62" s="2"/>
      <c r="L62" s="6">
        <f t="shared" si="34"/>
        <v>0</v>
      </c>
      <c r="M62" s="2"/>
      <c r="N62" s="7">
        <f t="shared" si="35"/>
        <v>0</v>
      </c>
      <c r="O62" s="11"/>
      <c r="P62" s="6">
        <v>31.58</v>
      </c>
      <c r="Q62" s="2"/>
      <c r="R62" s="7">
        <f t="shared" si="36"/>
        <v>0</v>
      </c>
      <c r="S62" s="2"/>
      <c r="T62" s="6"/>
      <c r="U62" s="2"/>
      <c r="V62" s="7">
        <f t="shared" si="37"/>
        <v>0</v>
      </c>
      <c r="W62" s="2"/>
      <c r="X62" s="6">
        <f t="shared" si="38"/>
        <v>31.58</v>
      </c>
      <c r="Y62" s="2"/>
      <c r="Z62" s="7">
        <f t="shared" si="39"/>
        <v>0</v>
      </c>
    </row>
    <row r="63" spans="1:26" s="24" customFormat="1" hidden="1" outlineLevel="2" x14ac:dyDescent="0.25">
      <c r="A63" s="25"/>
      <c r="B63" s="11" t="str">
        <f>CONCATENATE("          ", "6373", " - ", "MAINTENANCE CONTRACTS")</f>
        <v xml:space="preserve">          6373 - MAINTENANCE CONTRACTS</v>
      </c>
      <c r="C63" s="11"/>
      <c r="D63" s="6">
        <v>2656.02</v>
      </c>
      <c r="E63" s="2"/>
      <c r="F63" s="7">
        <f t="shared" si="32"/>
        <v>0</v>
      </c>
      <c r="G63" s="2"/>
      <c r="H63" s="6">
        <v>2975</v>
      </c>
      <c r="I63" s="2"/>
      <c r="J63" s="7">
        <f t="shared" si="33"/>
        <v>0</v>
      </c>
      <c r="K63" s="2"/>
      <c r="L63" s="6">
        <f t="shared" si="34"/>
        <v>-318.98</v>
      </c>
      <c r="M63" s="2"/>
      <c r="N63" s="7">
        <f t="shared" si="35"/>
        <v>-0.1072201680672269</v>
      </c>
      <c r="O63" s="11"/>
      <c r="P63" s="6">
        <v>17064.129999999997</v>
      </c>
      <c r="Q63" s="2"/>
      <c r="R63" s="7">
        <f t="shared" si="36"/>
        <v>0</v>
      </c>
      <c r="S63" s="2"/>
      <c r="T63" s="6">
        <v>14875</v>
      </c>
      <c r="U63" s="2"/>
      <c r="V63" s="7">
        <f t="shared" si="37"/>
        <v>0</v>
      </c>
      <c r="W63" s="2"/>
      <c r="X63" s="6">
        <f t="shared" si="38"/>
        <v>2189.1299999999974</v>
      </c>
      <c r="Y63" s="2"/>
      <c r="Z63" s="7">
        <f t="shared" si="39"/>
        <v>0.14716840336134437</v>
      </c>
    </row>
    <row r="64" spans="1:26" s="24" customFormat="1" hidden="1" outlineLevel="2" x14ac:dyDescent="0.25">
      <c r="A64" s="25"/>
      <c r="B64" s="11" t="str">
        <f>CONCATENATE("          ", "6375", " - ", "OUTSIDE REPAIRS &amp; MAINTENANCE")</f>
        <v xml:space="preserve">          6375 - OUTSIDE REPAIRS &amp; MAINTENANCE</v>
      </c>
      <c r="C64" s="11"/>
      <c r="D64" s="6"/>
      <c r="E64" s="2"/>
      <c r="F64" s="7">
        <f t="shared" si="32"/>
        <v>0</v>
      </c>
      <c r="G64" s="2"/>
      <c r="H64" s="6"/>
      <c r="I64" s="2"/>
      <c r="J64" s="7">
        <f t="shared" si="33"/>
        <v>0</v>
      </c>
      <c r="K64" s="2"/>
      <c r="L64" s="6">
        <f t="shared" si="34"/>
        <v>0</v>
      </c>
      <c r="M64" s="2"/>
      <c r="N64" s="7">
        <f t="shared" si="35"/>
        <v>0</v>
      </c>
      <c r="O64" s="11"/>
      <c r="P64" s="6">
        <v>524.99</v>
      </c>
      <c r="Q64" s="2"/>
      <c r="R64" s="7">
        <f t="shared" si="36"/>
        <v>0</v>
      </c>
      <c r="S64" s="2"/>
      <c r="T64" s="6"/>
      <c r="U64" s="2"/>
      <c r="V64" s="7">
        <f t="shared" si="37"/>
        <v>0</v>
      </c>
      <c r="W64" s="2"/>
      <c r="X64" s="6">
        <f t="shared" si="38"/>
        <v>524.99</v>
      </c>
      <c r="Y64" s="2"/>
      <c r="Z64" s="7">
        <f t="shared" si="39"/>
        <v>0</v>
      </c>
    </row>
    <row r="65" spans="1:26" s="26" customFormat="1" outlineLevel="1" collapsed="1" x14ac:dyDescent="0.25">
      <c r="A65" s="27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SUM(OSRRefD22_12x_0)</f>
        <v>0</v>
      </c>
      <c r="E65" s="1"/>
      <c r="F65" s="5">
        <f t="shared" ref="F65:F70" si="40">IF(D$12=0,0,D65/D$12)</f>
        <v>0</v>
      </c>
      <c r="G65" s="1"/>
      <c r="H65" s="1">
        <f>SUM(OSRRefH22_12x_0)</f>
        <v>0</v>
      </c>
      <c r="I65" s="1"/>
      <c r="J65" s="5">
        <f t="shared" ref="J65:J70" si="41">IF(H$12=0,0,H65/H$12)</f>
        <v>0</v>
      </c>
      <c r="K65" s="1"/>
      <c r="L65" s="1">
        <f t="shared" ref="L65:L70" si="42">+D65-H65</f>
        <v>0</v>
      </c>
      <c r="M65" s="1"/>
      <c r="N65" s="5">
        <f t="shared" ref="N65:N70" si="43">IF(H65=0,0,L65/H65)</f>
        <v>0</v>
      </c>
      <c r="O65" s="13"/>
      <c r="P65" s="1">
        <f>SUM(OSRRefP22_12x_0)</f>
        <v>1000</v>
      </c>
      <c r="Q65" s="1"/>
      <c r="R65" s="5">
        <f t="shared" ref="R65:R70" si="44">IF(P$12=0,0,P65/P$12)</f>
        <v>0</v>
      </c>
      <c r="S65" s="1"/>
      <c r="T65" s="1">
        <f>SUM(OSRRefT22_12x_0)</f>
        <v>1230</v>
      </c>
      <c r="U65" s="1"/>
      <c r="V65" s="5">
        <f t="shared" ref="V65:V70" si="45">IF(T$12=0,0,T65/T$12)</f>
        <v>0</v>
      </c>
      <c r="W65" s="1"/>
      <c r="X65" s="1">
        <f t="shared" ref="X65:X70" si="46">+P65-T65</f>
        <v>-230</v>
      </c>
      <c r="Y65" s="1"/>
      <c r="Z65" s="5">
        <f t="shared" ref="Z65:Z70" si="47">IF(T65=0,0,X65/T65)</f>
        <v>-0.18699186991869918</v>
      </c>
    </row>
    <row r="66" spans="1:26" s="24" customFormat="1" hidden="1" outlineLevel="2" x14ac:dyDescent="0.25">
      <c r="A66" s="25"/>
      <c r="B66" s="11" t="str">
        <f>CONCATENATE("          ", "6258", " - ", "MEMBERSHIP DUES")</f>
        <v xml:space="preserve">          6258 - MEMBERSHIP DUES</v>
      </c>
      <c r="C66" s="11"/>
      <c r="D66" s="6"/>
      <c r="E66" s="2"/>
      <c r="F66" s="7">
        <f t="shared" si="40"/>
        <v>0</v>
      </c>
      <c r="G66" s="2"/>
      <c r="H66" s="6"/>
      <c r="I66" s="2"/>
      <c r="J66" s="7">
        <f t="shared" si="41"/>
        <v>0</v>
      </c>
      <c r="K66" s="2"/>
      <c r="L66" s="6">
        <f t="shared" si="42"/>
        <v>0</v>
      </c>
      <c r="M66" s="2"/>
      <c r="N66" s="7">
        <f t="shared" si="43"/>
        <v>0</v>
      </c>
      <c r="O66" s="11"/>
      <c r="P66" s="6">
        <v>1000</v>
      </c>
      <c r="Q66" s="2"/>
      <c r="R66" s="7">
        <f t="shared" si="44"/>
        <v>0</v>
      </c>
      <c r="S66" s="2"/>
      <c r="T66" s="6">
        <v>1230</v>
      </c>
      <c r="U66" s="2"/>
      <c r="V66" s="7">
        <f t="shared" si="45"/>
        <v>0</v>
      </c>
      <c r="W66" s="2"/>
      <c r="X66" s="6">
        <f t="shared" si="46"/>
        <v>-230</v>
      </c>
      <c r="Y66" s="2"/>
      <c r="Z66" s="7">
        <f t="shared" si="47"/>
        <v>-0.18699186991869918</v>
      </c>
    </row>
    <row r="67" spans="1:26" s="26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SUM(OSRRefD22_13x_0)</f>
        <v>1263.8</v>
      </c>
      <c r="E67" s="1"/>
      <c r="F67" s="5">
        <f t="shared" si="40"/>
        <v>0</v>
      </c>
      <c r="G67" s="1"/>
      <c r="H67" s="1">
        <f>SUM(OSRRefH22_13x_0)</f>
        <v>500</v>
      </c>
      <c r="I67" s="1"/>
      <c r="J67" s="5">
        <f t="shared" si="41"/>
        <v>0</v>
      </c>
      <c r="K67" s="1"/>
      <c r="L67" s="1">
        <f t="shared" si="42"/>
        <v>763.8</v>
      </c>
      <c r="M67" s="1"/>
      <c r="N67" s="5">
        <f t="shared" si="43"/>
        <v>1.5275999999999998</v>
      </c>
      <c r="O67" s="13"/>
      <c r="P67" s="1">
        <f>SUM(OSRRefP22_13x_0)</f>
        <v>3140.1</v>
      </c>
      <c r="Q67" s="1"/>
      <c r="R67" s="5">
        <f t="shared" si="44"/>
        <v>0</v>
      </c>
      <c r="S67" s="1"/>
      <c r="T67" s="1">
        <f>SUM(OSRRefT22_13x_0)</f>
        <v>3000</v>
      </c>
      <c r="U67" s="1"/>
      <c r="V67" s="5">
        <f t="shared" si="45"/>
        <v>0</v>
      </c>
      <c r="W67" s="1"/>
      <c r="X67" s="1">
        <f t="shared" si="46"/>
        <v>140.09999999999991</v>
      </c>
      <c r="Y67" s="1"/>
      <c r="Z67" s="5">
        <f t="shared" si="47"/>
        <v>4.6699999999999971E-2</v>
      </c>
    </row>
    <row r="68" spans="1:26" s="24" customFormat="1" hidden="1" outlineLevel="2" x14ac:dyDescent="0.25">
      <c r="A68" s="25"/>
      <c r="B68" s="11" t="str">
        <f>CONCATENATE("          ", "6234", " - ", "EXPENDABLE SUPPLIES &amp; EQUIPMEN")</f>
        <v xml:space="preserve">          6234 - EXPENDABLE SUPPLIES &amp; EQUIPMEN</v>
      </c>
      <c r="C68" s="11"/>
      <c r="D68" s="6"/>
      <c r="E68" s="2"/>
      <c r="F68" s="7">
        <f t="shared" si="40"/>
        <v>0</v>
      </c>
      <c r="G68" s="2"/>
      <c r="H68" s="6">
        <v>500</v>
      </c>
      <c r="I68" s="2"/>
      <c r="J68" s="7">
        <f t="shared" si="41"/>
        <v>0</v>
      </c>
      <c r="K68" s="2"/>
      <c r="L68" s="6">
        <f t="shared" si="42"/>
        <v>-500</v>
      </c>
      <c r="M68" s="2"/>
      <c r="N68" s="7">
        <f t="shared" si="43"/>
        <v>-1</v>
      </c>
      <c r="O68" s="11"/>
      <c r="P68" s="6">
        <v>217.02</v>
      </c>
      <c r="Q68" s="2"/>
      <c r="R68" s="7">
        <f t="shared" si="44"/>
        <v>0</v>
      </c>
      <c r="S68" s="2"/>
      <c r="T68" s="6">
        <v>3000</v>
      </c>
      <c r="U68" s="2"/>
      <c r="V68" s="7">
        <f t="shared" si="45"/>
        <v>0</v>
      </c>
      <c r="W68" s="2"/>
      <c r="X68" s="6">
        <f t="shared" si="46"/>
        <v>-2782.98</v>
      </c>
      <c r="Y68" s="2"/>
      <c r="Z68" s="7">
        <f t="shared" si="47"/>
        <v>-0.92766000000000004</v>
      </c>
    </row>
    <row r="69" spans="1:26" s="24" customFormat="1" hidden="1" outlineLevel="2" x14ac:dyDescent="0.25">
      <c r="A69" s="25"/>
      <c r="B69" s="11" t="str">
        <f>CONCATENATE("          ", "6241", " - ", "OFFICE EXPENSE")</f>
        <v xml:space="preserve">          6241 - OFFICE EXPENSE</v>
      </c>
      <c r="C69" s="11"/>
      <c r="D69" s="6">
        <v>1263.8</v>
      </c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1263.8</v>
      </c>
      <c r="M69" s="2"/>
      <c r="N69" s="7">
        <f t="shared" si="43"/>
        <v>0</v>
      </c>
      <c r="O69" s="11"/>
      <c r="P69" s="6">
        <v>2891.22</v>
      </c>
      <c r="Q69" s="2"/>
      <c r="R69" s="7">
        <f t="shared" si="44"/>
        <v>0</v>
      </c>
      <c r="S69" s="2"/>
      <c r="T69" s="6"/>
      <c r="U69" s="2"/>
      <c r="V69" s="7">
        <f t="shared" si="45"/>
        <v>0</v>
      </c>
      <c r="W69" s="2"/>
      <c r="X69" s="6">
        <f t="shared" si="46"/>
        <v>2891.22</v>
      </c>
      <c r="Y69" s="2"/>
      <c r="Z69" s="7">
        <f t="shared" si="47"/>
        <v>0</v>
      </c>
    </row>
    <row r="70" spans="1:26" s="24" customFormat="1" hidden="1" outlineLevel="2" x14ac:dyDescent="0.25">
      <c r="A70" s="25"/>
      <c r="B70" s="11" t="str">
        <f>CONCATENATE("          ", "6245", " - ", "PRINTING")</f>
        <v xml:space="preserve">          6245 - PRINTING</v>
      </c>
      <c r="C70" s="11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1"/>
      <c r="P70" s="6">
        <v>31.86</v>
      </c>
      <c r="Q70" s="2"/>
      <c r="R70" s="7">
        <f t="shared" si="44"/>
        <v>0</v>
      </c>
      <c r="S70" s="2"/>
      <c r="T70" s="6"/>
      <c r="U70" s="2"/>
      <c r="V70" s="7">
        <f t="shared" si="45"/>
        <v>0</v>
      </c>
      <c r="W70" s="2"/>
      <c r="X70" s="6">
        <f t="shared" si="46"/>
        <v>31.86</v>
      </c>
      <c r="Y70" s="2"/>
      <c r="Z70" s="7">
        <f t="shared" si="47"/>
        <v>0</v>
      </c>
    </row>
    <row r="71" spans="1:26" s="26" customFormat="1" outlineLevel="1" collapsed="1" x14ac:dyDescent="0.25">
      <c r="A71" s="27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SUM(OSRRefD22_14x_0)</f>
        <v>240.1</v>
      </c>
      <c r="E71" s="1"/>
      <c r="F71" s="5">
        <f t="shared" ref="F71:F77" si="48">IF(D$12=0,0,D71/D$12)</f>
        <v>0</v>
      </c>
      <c r="G71" s="1"/>
      <c r="H71" s="1">
        <f>SUM(OSRRefH22_14x_0)</f>
        <v>350</v>
      </c>
      <c r="I71" s="1"/>
      <c r="J71" s="5">
        <f t="shared" ref="J71:J77" si="49">IF(H$12=0,0,H71/H$12)</f>
        <v>0</v>
      </c>
      <c r="K71" s="1"/>
      <c r="L71" s="1">
        <f t="shared" ref="L71:L77" si="50">+D71-H71</f>
        <v>-109.9</v>
      </c>
      <c r="M71" s="1"/>
      <c r="N71" s="5">
        <f t="shared" ref="N71:N77" si="51">IF(H71=0,0,L71/H71)</f>
        <v>-0.314</v>
      </c>
      <c r="O71" s="13"/>
      <c r="P71" s="1">
        <f>SUM(OSRRefP22_14x_0)</f>
        <v>1402.48</v>
      </c>
      <c r="Q71" s="1"/>
      <c r="R71" s="5">
        <f t="shared" ref="R71:R77" si="52">IF(P$12=0,0,P71/P$12)</f>
        <v>0</v>
      </c>
      <c r="S71" s="1"/>
      <c r="T71" s="1">
        <f>SUM(OSRRefT22_14x_0)</f>
        <v>1750</v>
      </c>
      <c r="U71" s="1"/>
      <c r="V71" s="5">
        <f t="shared" ref="V71:V77" si="53">IF(T$12=0,0,T71/T$12)</f>
        <v>0</v>
      </c>
      <c r="W71" s="1"/>
      <c r="X71" s="1">
        <f t="shared" ref="X71:X77" si="54">+P71-T71</f>
        <v>-347.52</v>
      </c>
      <c r="Y71" s="1"/>
      <c r="Z71" s="5">
        <f t="shared" ref="Z71:Z77" si="55">IF(T71=0,0,X71/T71)</f>
        <v>-0.19858285714285714</v>
      </c>
    </row>
    <row r="72" spans="1:26" s="24" customFormat="1" hidden="1" outlineLevel="2" x14ac:dyDescent="0.25">
      <c r="A72" s="25"/>
      <c r="B72" s="11" t="str">
        <f>CONCATENATE("          ", "6309", " - ", "TELEPHONE")</f>
        <v xml:space="preserve">          6309 - TELEPHONE</v>
      </c>
      <c r="C72" s="11"/>
      <c r="D72" s="6">
        <v>240.1</v>
      </c>
      <c r="E72" s="2"/>
      <c r="F72" s="7">
        <f t="shared" si="48"/>
        <v>0</v>
      </c>
      <c r="G72" s="2"/>
      <c r="H72" s="6">
        <v>350</v>
      </c>
      <c r="I72" s="2"/>
      <c r="J72" s="7">
        <f t="shared" si="49"/>
        <v>0</v>
      </c>
      <c r="K72" s="2"/>
      <c r="L72" s="6">
        <f t="shared" si="50"/>
        <v>-109.9</v>
      </c>
      <c r="M72" s="2"/>
      <c r="N72" s="7">
        <f t="shared" si="51"/>
        <v>-0.314</v>
      </c>
      <c r="O72" s="11"/>
      <c r="P72" s="6">
        <v>1402.48</v>
      </c>
      <c r="Q72" s="2"/>
      <c r="R72" s="7">
        <f t="shared" si="52"/>
        <v>0</v>
      </c>
      <c r="S72" s="2"/>
      <c r="T72" s="6">
        <v>1750</v>
      </c>
      <c r="U72" s="2"/>
      <c r="V72" s="7">
        <f t="shared" si="53"/>
        <v>0</v>
      </c>
      <c r="W72" s="2"/>
      <c r="X72" s="6">
        <f t="shared" si="54"/>
        <v>-347.52</v>
      </c>
      <c r="Y72" s="2"/>
      <c r="Z72" s="7">
        <f t="shared" si="55"/>
        <v>-0.19858285714285714</v>
      </c>
    </row>
    <row r="73" spans="1:26" s="26" customFormat="1" outlineLevel="1" collapsed="1" x14ac:dyDescent="0.25">
      <c r="A73" s="27"/>
      <c r="B73" s="13" t="str">
        <f>CONCATENATE("     ","Training                                          ")</f>
        <v xml:space="preserve">     Training                                          </v>
      </c>
      <c r="C73" s="13"/>
      <c r="D73" s="1">
        <f>SUM(OSRRefD22_15x_0)</f>
        <v>1399.92</v>
      </c>
      <c r="E73" s="1"/>
      <c r="F73" s="5">
        <f t="shared" si="48"/>
        <v>0</v>
      </c>
      <c r="G73" s="1"/>
      <c r="H73" s="1">
        <f>SUM(OSRRefH22_15x_0)</f>
        <v>500</v>
      </c>
      <c r="I73" s="1"/>
      <c r="J73" s="5">
        <f t="shared" si="49"/>
        <v>0</v>
      </c>
      <c r="K73" s="1"/>
      <c r="L73" s="1">
        <f t="shared" si="50"/>
        <v>899.92000000000007</v>
      </c>
      <c r="M73" s="1"/>
      <c r="N73" s="5">
        <f t="shared" si="51"/>
        <v>1.7998400000000001</v>
      </c>
      <c r="O73" s="13"/>
      <c r="P73" s="1">
        <f>SUM(OSRRefP22_15x_0)</f>
        <v>3313.92</v>
      </c>
      <c r="Q73" s="1"/>
      <c r="R73" s="5">
        <f t="shared" si="52"/>
        <v>0</v>
      </c>
      <c r="S73" s="1"/>
      <c r="T73" s="1">
        <f>SUM(OSRRefT22_15x_0)</f>
        <v>2200</v>
      </c>
      <c r="U73" s="1"/>
      <c r="V73" s="5">
        <f t="shared" si="53"/>
        <v>0</v>
      </c>
      <c r="W73" s="1"/>
      <c r="X73" s="1">
        <f t="shared" si="54"/>
        <v>1113.92</v>
      </c>
      <c r="Y73" s="1"/>
      <c r="Z73" s="5">
        <f t="shared" si="55"/>
        <v>0.50632727272727274</v>
      </c>
    </row>
    <row r="74" spans="1:26" s="24" customFormat="1" hidden="1" outlineLevel="2" x14ac:dyDescent="0.25">
      <c r="A74" s="25"/>
      <c r="B74" s="11" t="str">
        <f>CONCATENATE("          ", "6376", " - ", "TRAINING")</f>
        <v xml:space="preserve">          6376 - TRAINING</v>
      </c>
      <c r="C74" s="11"/>
      <c r="D74" s="6">
        <v>1399.92</v>
      </c>
      <c r="E74" s="2"/>
      <c r="F74" s="7">
        <f t="shared" si="48"/>
        <v>0</v>
      </c>
      <c r="G74" s="2"/>
      <c r="H74" s="6">
        <v>500</v>
      </c>
      <c r="I74" s="2"/>
      <c r="J74" s="7">
        <f t="shared" si="49"/>
        <v>0</v>
      </c>
      <c r="K74" s="2"/>
      <c r="L74" s="6">
        <f t="shared" si="50"/>
        <v>899.92000000000007</v>
      </c>
      <c r="M74" s="2"/>
      <c r="N74" s="7">
        <f t="shared" si="51"/>
        <v>1.7998400000000001</v>
      </c>
      <c r="O74" s="11"/>
      <c r="P74" s="6">
        <v>3313.92</v>
      </c>
      <c r="Q74" s="2"/>
      <c r="R74" s="7">
        <f t="shared" si="52"/>
        <v>0</v>
      </c>
      <c r="S74" s="2"/>
      <c r="T74" s="6">
        <v>2200</v>
      </c>
      <c r="U74" s="2"/>
      <c r="V74" s="7">
        <f t="shared" si="53"/>
        <v>0</v>
      </c>
      <c r="W74" s="2"/>
      <c r="X74" s="6">
        <f t="shared" si="54"/>
        <v>1113.92</v>
      </c>
      <c r="Y74" s="2"/>
      <c r="Z74" s="7">
        <f t="shared" si="55"/>
        <v>0.50632727272727274</v>
      </c>
    </row>
    <row r="75" spans="1:26" s="26" customFormat="1" outlineLevel="1" collapsed="1" x14ac:dyDescent="0.25">
      <c r="A75" s="27"/>
      <c r="B75" s="13" t="str">
        <f>CONCATENATE("     ","Travel                                            ")</f>
        <v xml:space="preserve">     Travel                                            </v>
      </c>
      <c r="C75" s="13"/>
      <c r="D75" s="1">
        <f>SUM(OSRRefD22_16x_0)</f>
        <v>417.93</v>
      </c>
      <c r="E75" s="1"/>
      <c r="F75" s="5">
        <f t="shared" si="48"/>
        <v>0</v>
      </c>
      <c r="G75" s="1"/>
      <c r="H75" s="1">
        <f>SUM(OSRRefH22_16x_0)</f>
        <v>250</v>
      </c>
      <c r="I75" s="1"/>
      <c r="J75" s="5">
        <f t="shared" si="49"/>
        <v>0</v>
      </c>
      <c r="K75" s="1"/>
      <c r="L75" s="1">
        <f t="shared" si="50"/>
        <v>167.93</v>
      </c>
      <c r="M75" s="1"/>
      <c r="N75" s="5">
        <f t="shared" si="51"/>
        <v>0.67171999999999998</v>
      </c>
      <c r="O75" s="13"/>
      <c r="P75" s="1">
        <f>SUM(OSRRefP22_16x_0)</f>
        <v>3615.35</v>
      </c>
      <c r="Q75" s="1"/>
      <c r="R75" s="5">
        <f t="shared" si="52"/>
        <v>0</v>
      </c>
      <c r="S75" s="1"/>
      <c r="T75" s="1">
        <f>SUM(OSRRefT22_16x_0)</f>
        <v>8000</v>
      </c>
      <c r="U75" s="1"/>
      <c r="V75" s="5">
        <f t="shared" si="53"/>
        <v>0</v>
      </c>
      <c r="W75" s="1"/>
      <c r="X75" s="1">
        <f t="shared" si="54"/>
        <v>-4384.6499999999996</v>
      </c>
      <c r="Y75" s="1"/>
      <c r="Z75" s="5">
        <f t="shared" si="55"/>
        <v>-0.54808124999999996</v>
      </c>
    </row>
    <row r="76" spans="1:26" s="24" customFormat="1" hidden="1" outlineLevel="2" x14ac:dyDescent="0.25">
      <c r="A76" s="25"/>
      <c r="B76" s="11" t="str">
        <f>CONCATENATE("          ", "6292", " - ", "TRAVEL/CONFERENCE")</f>
        <v xml:space="preserve">          6292 - TRAVEL/CONFERENCE</v>
      </c>
      <c r="C76" s="11"/>
      <c r="D76" s="6">
        <v>417.93</v>
      </c>
      <c r="E76" s="2"/>
      <c r="F76" s="7">
        <f t="shared" si="48"/>
        <v>0</v>
      </c>
      <c r="G76" s="2"/>
      <c r="H76" s="6">
        <v>250</v>
      </c>
      <c r="I76" s="2"/>
      <c r="J76" s="7">
        <f t="shared" si="49"/>
        <v>0</v>
      </c>
      <c r="K76" s="2"/>
      <c r="L76" s="6">
        <f t="shared" si="50"/>
        <v>167.93</v>
      </c>
      <c r="M76" s="2"/>
      <c r="N76" s="7">
        <f t="shared" si="51"/>
        <v>0.67171999999999998</v>
      </c>
      <c r="O76" s="11"/>
      <c r="P76" s="6">
        <v>3615.35</v>
      </c>
      <c r="Q76" s="2"/>
      <c r="R76" s="7">
        <f t="shared" si="52"/>
        <v>0</v>
      </c>
      <c r="S76" s="2"/>
      <c r="T76" s="6">
        <v>6750</v>
      </c>
      <c r="U76" s="2"/>
      <c r="V76" s="7">
        <f t="shared" si="53"/>
        <v>0</v>
      </c>
      <c r="W76" s="2"/>
      <c r="X76" s="6">
        <f t="shared" si="54"/>
        <v>-3134.65</v>
      </c>
      <c r="Y76" s="2"/>
      <c r="Z76" s="7">
        <f t="shared" si="55"/>
        <v>-0.46439259259259258</v>
      </c>
    </row>
    <row r="77" spans="1:26" s="24" customFormat="1" hidden="1" outlineLevel="2" x14ac:dyDescent="0.25">
      <c r="A77" s="25"/>
      <c r="B77" s="11" t="str">
        <f>CONCATENATE("          ", "6294", " - ", "TRAVEL OPERATIONAL")</f>
        <v xml:space="preserve">          6294 - TRAVEL OPERATIONAL</v>
      </c>
      <c r="C77" s="11"/>
      <c r="D77" s="6"/>
      <c r="E77" s="2"/>
      <c r="F77" s="7">
        <f t="shared" si="48"/>
        <v>0</v>
      </c>
      <c r="G77" s="2"/>
      <c r="H77" s="6"/>
      <c r="I77" s="2"/>
      <c r="J77" s="7">
        <f t="shared" si="49"/>
        <v>0</v>
      </c>
      <c r="K77" s="2"/>
      <c r="L77" s="6">
        <f t="shared" si="50"/>
        <v>0</v>
      </c>
      <c r="M77" s="2"/>
      <c r="N77" s="7">
        <f t="shared" si="51"/>
        <v>0</v>
      </c>
      <c r="O77" s="11"/>
      <c r="P77" s="6"/>
      <c r="Q77" s="2"/>
      <c r="R77" s="7">
        <f t="shared" si="52"/>
        <v>0</v>
      </c>
      <c r="S77" s="2"/>
      <c r="T77" s="6">
        <v>1250</v>
      </c>
      <c r="U77" s="2"/>
      <c r="V77" s="7">
        <f t="shared" si="53"/>
        <v>0</v>
      </c>
      <c r="W77" s="2"/>
      <c r="X77" s="6">
        <f t="shared" si="54"/>
        <v>-1250</v>
      </c>
      <c r="Y77" s="2"/>
      <c r="Z77" s="7">
        <f t="shared" si="55"/>
        <v>-1</v>
      </c>
    </row>
    <row r="78" spans="1:26" s="59" customFormat="1" x14ac:dyDescent="0.25">
      <c r="A78" s="36"/>
      <c r="B78" s="36"/>
      <c r="C78" s="36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6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9" t="s">
        <v>0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8" t="s">
        <v>3</v>
      </c>
      <c r="C81" s="28"/>
      <c r="D81" s="20">
        <f>+D16-D18+D79</f>
        <v>-55653.32</v>
      </c>
      <c r="E81" s="14"/>
      <c r="F81" s="22">
        <f>IF(D$12=0,0,D81/D$12)</f>
        <v>0</v>
      </c>
      <c r="G81" s="14"/>
      <c r="H81" s="20">
        <f>+H16-H18+H79</f>
        <v>-57846.394416923045</v>
      </c>
      <c r="I81" s="14"/>
      <c r="J81" s="22">
        <f>IF(H$12=0,0,H81/H$12)</f>
        <v>0</v>
      </c>
      <c r="K81" s="16"/>
      <c r="L81" s="20">
        <f>+D81-H81</f>
        <v>2193.0744169230456</v>
      </c>
      <c r="M81" s="16"/>
      <c r="N81" s="22">
        <f>IF(H81=0,0,L81/H81)</f>
        <v>-3.7912033049400544E-2</v>
      </c>
      <c r="O81" s="29"/>
      <c r="P81" s="20">
        <f>+P16-P18+P79</f>
        <v>-400662.36999999994</v>
      </c>
      <c r="Q81" s="14"/>
      <c r="R81" s="22">
        <f>IF(P$12=0,0,P81/P$12)</f>
        <v>0</v>
      </c>
      <c r="S81" s="14"/>
      <c r="T81" s="20">
        <f>+T16-T18+T79</f>
        <v>-676941.66929307685</v>
      </c>
      <c r="U81" s="14"/>
      <c r="V81" s="22">
        <f>IF(T$12=0,0,T81/T$12)</f>
        <v>0</v>
      </c>
      <c r="W81" s="16"/>
      <c r="X81" s="20">
        <f>+P81-T81</f>
        <v>276279.29929307691</v>
      </c>
      <c r="Y81" s="16"/>
      <c r="Z81" s="22">
        <f>IF(T81=0,0,X81/T81)</f>
        <v>-0.40812866429332456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2"/>
      <c r="B83" s="10" t="s">
        <v>14</v>
      </c>
      <c r="C83" s="10"/>
      <c r="D83" s="4"/>
      <c r="E83" s="4"/>
      <c r="F83" s="12">
        <f>IF(D$12=0,0,D83/D$12)</f>
        <v>0</v>
      </c>
      <c r="G83" s="4"/>
      <c r="H83" s="4"/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/>
      <c r="Q83" s="4"/>
      <c r="R83" s="12">
        <f>IF(P$12=0,0,P83/P$12)</f>
        <v>0</v>
      </c>
      <c r="S83" s="4"/>
      <c r="T83" s="4"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8" t="s">
        <v>4</v>
      </c>
      <c r="C85" s="28"/>
      <c r="D85" s="30">
        <f>+D81-D83</f>
        <v>-55653.32</v>
      </c>
      <c r="E85" s="14"/>
      <c r="F85" s="32">
        <f>IF(D$12=0,0,D85/D$12)</f>
        <v>0</v>
      </c>
      <c r="G85" s="14"/>
      <c r="H85" s="30">
        <f>+H81-H83</f>
        <v>-57846.394416923045</v>
      </c>
      <c r="I85" s="14"/>
      <c r="J85" s="32">
        <f>IF(H$12=0,0,H85/H$12)</f>
        <v>0</v>
      </c>
      <c r="K85" s="16"/>
      <c r="L85" s="30">
        <f>D85-H85</f>
        <v>2193.0744169230456</v>
      </c>
      <c r="M85" s="16"/>
      <c r="N85" s="32">
        <f>IF(H85=0,0,L85/H85)</f>
        <v>-3.7912033049400544E-2</v>
      </c>
      <c r="O85" s="29"/>
      <c r="P85" s="30">
        <f>+P81-P83</f>
        <v>-400662.36999999994</v>
      </c>
      <c r="Q85" s="14"/>
      <c r="R85" s="32">
        <f>IF(P$12=0,0,P85/P$12)</f>
        <v>0</v>
      </c>
      <c r="S85" s="14"/>
      <c r="T85" s="30">
        <f>+T81-T83</f>
        <v>-676941.66929307685</v>
      </c>
      <c r="U85" s="14"/>
      <c r="V85" s="32">
        <f>IF(T$12=0,0,T85/T$12)</f>
        <v>0</v>
      </c>
      <c r="W85" s="16"/>
      <c r="X85" s="30">
        <f>P85-T85</f>
        <v>276279.29929307691</v>
      </c>
      <c r="Y85" s="16"/>
      <c r="Z85" s="32">
        <f>IF(T85=0,0,X85/T85)</f>
        <v>-0.40812866429332456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8" t="s">
        <v>5</v>
      </c>
      <c r="C88" s="28"/>
      <c r="D88" s="31">
        <f>SUM(D85:D87)</f>
        <v>-55653.32</v>
      </c>
      <c r="E88" s="14"/>
      <c r="F88" s="35">
        <f>IF(D$12=0,0,D88/D$12)</f>
        <v>0</v>
      </c>
      <c r="G88" s="14"/>
      <c r="H88" s="31">
        <f>SUM(H85:H87)</f>
        <v>-57846.394416923045</v>
      </c>
      <c r="I88" s="14"/>
      <c r="J88" s="35">
        <f>IF(H$12=0,0,H88/H$12)</f>
        <v>0</v>
      </c>
      <c r="K88" s="16"/>
      <c r="L88" s="31">
        <f>+D88-H88</f>
        <v>2193.0744169230456</v>
      </c>
      <c r="M88" s="16"/>
      <c r="N88" s="35">
        <f>IF(H88=0,0,L88/H88)</f>
        <v>-3.7912033049400544E-2</v>
      </c>
      <c r="O88" s="29"/>
      <c r="P88" s="31">
        <f>SUM(P85:P87)</f>
        <v>-400662.36999999994</v>
      </c>
      <c r="Q88" s="14"/>
      <c r="R88" s="35">
        <f>IF(P$12=0,0,P88/P$12)</f>
        <v>0</v>
      </c>
      <c r="S88" s="14"/>
      <c r="T88" s="31">
        <f>SUM(T85:T87)</f>
        <v>-676941.66929307685</v>
      </c>
      <c r="U88" s="14"/>
      <c r="V88" s="35">
        <f>IF(T$12=0,0,T88/T$12)</f>
        <v>0</v>
      </c>
      <c r="W88" s="16"/>
      <c r="X88" s="31">
        <f>+P88-T88</f>
        <v>276279.29929307691</v>
      </c>
      <c r="Y88" s="16"/>
      <c r="Z88" s="35">
        <f>IF(T88=0,0,X88/T88)</f>
        <v>-0.40812866429332456</v>
      </c>
    </row>
    <row r="89" spans="1:26" ht="15.75" thickTop="1" x14ac:dyDescent="0.25">
      <c r="A89" s="9"/>
      <c r="C89" s="9"/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56">
        <v>43815.483461805554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62" t="s">
        <v>314</v>
      </c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58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","202", " - ", "Accounting")</f>
        <v>Department 202 - Accounting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44835.369999999988</v>
      </c>
      <c r="E18" s="21"/>
      <c r="F18" s="33">
        <f t="shared" ref="F18:F28" si="0">IF(D$12=0,0,D18/D$12)</f>
        <v>0</v>
      </c>
      <c r="G18" s="21"/>
      <c r="H18" s="21">
        <f>SUM(OSRRefH22x_0)</f>
        <v>49390.253413846098</v>
      </c>
      <c r="I18" s="21"/>
      <c r="J18" s="33">
        <f t="shared" ref="J18:J28" si="1">IF(H$12=0,0,H18/H$12)</f>
        <v>0</v>
      </c>
      <c r="K18" s="4"/>
      <c r="L18" s="21">
        <f t="shared" ref="L18:L28" si="2">+D18-H18</f>
        <v>-4554.8834138461098</v>
      </c>
      <c r="M18" s="4"/>
      <c r="N18" s="33">
        <f t="shared" ref="N18:N28" si="3">IF(H18=0,0,L18/H18)</f>
        <v>-9.2222313088379304E-2</v>
      </c>
      <c r="O18" s="10"/>
      <c r="P18" s="21">
        <f>SUM(OSRRefP22x_0)</f>
        <v>259130.04999999996</v>
      </c>
      <c r="Q18" s="21"/>
      <c r="R18" s="33">
        <f t="shared" ref="R18:R28" si="4">IF(P$12=0,0,P18/P$12)</f>
        <v>0</v>
      </c>
      <c r="S18" s="21"/>
      <c r="T18" s="21">
        <f>SUM(OSRRefT22x_0)</f>
        <v>266794.58710115368</v>
      </c>
      <c r="U18" s="21"/>
      <c r="V18" s="33">
        <f t="shared" ref="V18:V28" si="5">IF(T$12=0,0,T18/T$12)</f>
        <v>0</v>
      </c>
      <c r="W18" s="4"/>
      <c r="X18" s="21">
        <f t="shared" ref="X18:X28" si="6">+P18-T18</f>
        <v>-7664.5371011537209</v>
      </c>
      <c r="Y18" s="4"/>
      <c r="Z18" s="33">
        <f t="shared" ref="Z18:Z28" si="7">IF(T18=0,0,X18/T18)</f>
        <v>-2.8728233149077177E-2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14248.290000000003</v>
      </c>
      <c r="E19" s="1"/>
      <c r="F19" s="5">
        <f t="shared" si="0"/>
        <v>0</v>
      </c>
      <c r="G19" s="1"/>
      <c r="H19" s="1">
        <f>SUM(OSRRefH22_0x_0)</f>
        <v>14061.894952307683</v>
      </c>
      <c r="I19" s="1"/>
      <c r="J19" s="5">
        <f t="shared" si="1"/>
        <v>0</v>
      </c>
      <c r="K19" s="1"/>
      <c r="L19" s="1">
        <f t="shared" si="2"/>
        <v>186.39504769232008</v>
      </c>
      <c r="M19" s="1"/>
      <c r="N19" s="5">
        <f t="shared" si="3"/>
        <v>1.325532926568556E-2</v>
      </c>
      <c r="O19" s="13"/>
      <c r="P19" s="1">
        <f>SUM(OSRRefP22_0x_0)</f>
        <v>80468.309999999983</v>
      </c>
      <c r="Q19" s="1"/>
      <c r="R19" s="5">
        <f t="shared" si="4"/>
        <v>0</v>
      </c>
      <c r="S19" s="1"/>
      <c r="T19" s="1">
        <f>SUM(OSRRefT22_0x_0)</f>
        <v>74767.290562692302</v>
      </c>
      <c r="U19" s="1"/>
      <c r="V19" s="5">
        <f t="shared" si="5"/>
        <v>0</v>
      </c>
      <c r="W19" s="1"/>
      <c r="X19" s="1">
        <f t="shared" si="6"/>
        <v>5701.0194373076811</v>
      </c>
      <c r="Y19" s="1"/>
      <c r="Z19" s="5">
        <f t="shared" si="7"/>
        <v>7.6250180986930136E-2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2035.18</v>
      </c>
      <c r="E20" s="2"/>
      <c r="F20" s="7">
        <f t="shared" si="0"/>
        <v>0</v>
      </c>
      <c r="G20" s="2"/>
      <c r="H20" s="6">
        <v>2111.3214138461499</v>
      </c>
      <c r="I20" s="2"/>
      <c r="J20" s="7">
        <f t="shared" si="1"/>
        <v>0</v>
      </c>
      <c r="K20" s="2"/>
      <c r="L20" s="6">
        <f t="shared" si="2"/>
        <v>-76.141413846149817</v>
      </c>
      <c r="M20" s="2"/>
      <c r="N20" s="7">
        <f t="shared" si="3"/>
        <v>-3.6063392975986826E-2</v>
      </c>
      <c r="O20" s="11"/>
      <c r="P20" s="6">
        <v>13375.49</v>
      </c>
      <c r="Q20" s="2"/>
      <c r="R20" s="7">
        <f t="shared" si="4"/>
        <v>0</v>
      </c>
      <c r="S20" s="2"/>
      <c r="T20" s="6">
        <v>12446.63610115383</v>
      </c>
      <c r="U20" s="2"/>
      <c r="V20" s="7">
        <f t="shared" si="5"/>
        <v>0</v>
      </c>
      <c r="W20" s="2"/>
      <c r="X20" s="6">
        <f t="shared" si="6"/>
        <v>928.85389884616961</v>
      </c>
      <c r="Y20" s="2"/>
      <c r="Z20" s="7">
        <f t="shared" si="7"/>
        <v>7.462690250581544E-2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106.38</v>
      </c>
      <c r="E21" s="2"/>
      <c r="F21" s="7">
        <f t="shared" si="0"/>
        <v>0</v>
      </c>
      <c r="G21" s="2"/>
      <c r="H21" s="6">
        <v>114.98172307692299</v>
      </c>
      <c r="I21" s="2"/>
      <c r="J21" s="7">
        <f t="shared" si="1"/>
        <v>0</v>
      </c>
      <c r="K21" s="2"/>
      <c r="L21" s="6">
        <f t="shared" si="2"/>
        <v>-8.601723076922994</v>
      </c>
      <c r="M21" s="2"/>
      <c r="N21" s="7">
        <f t="shared" si="3"/>
        <v>-7.4809481426612687E-2</v>
      </c>
      <c r="O21" s="11"/>
      <c r="P21" s="6">
        <v>422.01</v>
      </c>
      <c r="Q21" s="2"/>
      <c r="R21" s="7">
        <f t="shared" si="4"/>
        <v>0</v>
      </c>
      <c r="S21" s="2"/>
      <c r="T21" s="6">
        <v>632.39947692307703</v>
      </c>
      <c r="U21" s="2"/>
      <c r="V21" s="7">
        <f t="shared" si="5"/>
        <v>0</v>
      </c>
      <c r="W21" s="2"/>
      <c r="X21" s="6">
        <f t="shared" si="6"/>
        <v>-210.38947692307704</v>
      </c>
      <c r="Y21" s="2"/>
      <c r="Z21" s="7">
        <f t="shared" si="7"/>
        <v>-0.33268445753105536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5942.02</v>
      </c>
      <c r="E22" s="2"/>
      <c r="F22" s="7">
        <f t="shared" si="0"/>
        <v>0</v>
      </c>
      <c r="G22" s="2"/>
      <c r="H22" s="6">
        <v>6065</v>
      </c>
      <c r="I22" s="2"/>
      <c r="J22" s="7">
        <f t="shared" si="1"/>
        <v>0</v>
      </c>
      <c r="K22" s="2"/>
      <c r="L22" s="6">
        <f t="shared" si="2"/>
        <v>-122.97999999999956</v>
      </c>
      <c r="M22" s="2"/>
      <c r="N22" s="7">
        <f t="shared" si="3"/>
        <v>-2.027699917559762E-2</v>
      </c>
      <c r="O22" s="11"/>
      <c r="P22" s="6">
        <v>29710.099999999995</v>
      </c>
      <c r="Q22" s="2"/>
      <c r="R22" s="7">
        <f t="shared" si="4"/>
        <v>0</v>
      </c>
      <c r="S22" s="2"/>
      <c r="T22" s="6">
        <v>30325</v>
      </c>
      <c r="U22" s="2"/>
      <c r="V22" s="7">
        <f t="shared" si="5"/>
        <v>0</v>
      </c>
      <c r="W22" s="2"/>
      <c r="X22" s="6">
        <f t="shared" si="6"/>
        <v>-614.90000000000509</v>
      </c>
      <c r="Y22" s="2"/>
      <c r="Z22" s="7">
        <f t="shared" si="7"/>
        <v>-2.027699917559786E-2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81.349999999999994</v>
      </c>
      <c r="E23" s="2"/>
      <c r="F23" s="7">
        <f t="shared" si="0"/>
        <v>0</v>
      </c>
      <c r="G23" s="2"/>
      <c r="H23" s="6">
        <v>87.927199999999999</v>
      </c>
      <c r="I23" s="2"/>
      <c r="J23" s="7">
        <f t="shared" si="1"/>
        <v>0</v>
      </c>
      <c r="K23" s="2"/>
      <c r="L23" s="6">
        <f t="shared" si="2"/>
        <v>-6.5772000000000048</v>
      </c>
      <c r="M23" s="2"/>
      <c r="N23" s="7">
        <f t="shared" si="3"/>
        <v>-7.4802791400158372E-2</v>
      </c>
      <c r="O23" s="11"/>
      <c r="P23" s="6">
        <v>463.47</v>
      </c>
      <c r="Q23" s="2"/>
      <c r="R23" s="7">
        <f t="shared" si="4"/>
        <v>0</v>
      </c>
      <c r="S23" s="2"/>
      <c r="T23" s="6">
        <v>483.59960000000001</v>
      </c>
      <c r="U23" s="2"/>
      <c r="V23" s="7">
        <f t="shared" si="5"/>
        <v>0</v>
      </c>
      <c r="W23" s="2"/>
      <c r="X23" s="6">
        <f t="shared" si="6"/>
        <v>-20.129599999999982</v>
      </c>
      <c r="Y23" s="2"/>
      <c r="Z23" s="7">
        <f t="shared" si="7"/>
        <v>-4.1624517472719127E-2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2196.79</v>
      </c>
      <c r="E24" s="2"/>
      <c r="F24" s="7">
        <f t="shared" si="0"/>
        <v>0</v>
      </c>
      <c r="G24" s="2"/>
      <c r="H24" s="6">
        <v>2159.9892307692298</v>
      </c>
      <c r="I24" s="2"/>
      <c r="J24" s="7">
        <f t="shared" si="1"/>
        <v>0</v>
      </c>
      <c r="K24" s="2"/>
      <c r="L24" s="6">
        <f t="shared" si="2"/>
        <v>36.800769230770129</v>
      </c>
      <c r="M24" s="2"/>
      <c r="N24" s="7">
        <f t="shared" si="3"/>
        <v>1.7037478107085002E-2</v>
      </c>
      <c r="O24" s="11"/>
      <c r="P24" s="6">
        <v>12211.74</v>
      </c>
      <c r="Q24" s="2"/>
      <c r="R24" s="7">
        <f t="shared" si="4"/>
        <v>0</v>
      </c>
      <c r="S24" s="2"/>
      <c r="T24" s="6">
        <v>11879.940769230769</v>
      </c>
      <c r="U24" s="2"/>
      <c r="V24" s="7">
        <f t="shared" si="5"/>
        <v>0</v>
      </c>
      <c r="W24" s="2"/>
      <c r="X24" s="6">
        <f t="shared" si="6"/>
        <v>331.79923076923114</v>
      </c>
      <c r="Y24" s="2"/>
      <c r="Z24" s="7">
        <f t="shared" si="7"/>
        <v>2.7929367428211116E-2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1866.76</v>
      </c>
      <c r="E26" s="2"/>
      <c r="F26" s="7">
        <f t="shared" si="0"/>
        <v>0</v>
      </c>
      <c r="G26" s="2"/>
      <c r="H26" s="6">
        <v>1255.8076923076899</v>
      </c>
      <c r="I26" s="2"/>
      <c r="J26" s="7">
        <f t="shared" si="1"/>
        <v>0</v>
      </c>
      <c r="K26" s="2"/>
      <c r="L26" s="6">
        <f t="shared" si="2"/>
        <v>610.95230769231011</v>
      </c>
      <c r="M26" s="2"/>
      <c r="N26" s="7">
        <f t="shared" si="3"/>
        <v>0.48650148540626914</v>
      </c>
      <c r="O26" s="11"/>
      <c r="P26" s="6">
        <v>11141.6</v>
      </c>
      <c r="Q26" s="2"/>
      <c r="R26" s="7">
        <f t="shared" si="4"/>
        <v>0</v>
      </c>
      <c r="S26" s="2"/>
      <c r="T26" s="6">
        <v>6906.9423076923094</v>
      </c>
      <c r="U26" s="2"/>
      <c r="V26" s="7">
        <f t="shared" si="5"/>
        <v>0</v>
      </c>
      <c r="W26" s="2"/>
      <c r="X26" s="6">
        <f t="shared" si="6"/>
        <v>4234.6576923076909</v>
      </c>
      <c r="Y26" s="2"/>
      <c r="Z26" s="7">
        <f t="shared" si="7"/>
        <v>0.61310164522317256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1152.2</v>
      </c>
      <c r="E27" s="2"/>
      <c r="F27" s="7">
        <f t="shared" si="0"/>
        <v>0</v>
      </c>
      <c r="G27" s="2"/>
      <c r="H27" s="6">
        <v>1516.8676923076898</v>
      </c>
      <c r="I27" s="2"/>
      <c r="J27" s="7">
        <f t="shared" si="1"/>
        <v>0</v>
      </c>
      <c r="K27" s="2"/>
      <c r="L27" s="6">
        <f t="shared" si="2"/>
        <v>-364.66769230768978</v>
      </c>
      <c r="M27" s="2"/>
      <c r="N27" s="7">
        <f t="shared" si="3"/>
        <v>-0.24040837190810085</v>
      </c>
      <c r="O27" s="11"/>
      <c r="P27" s="6">
        <v>9119.81</v>
      </c>
      <c r="Q27" s="2"/>
      <c r="R27" s="7">
        <f t="shared" si="4"/>
        <v>0</v>
      </c>
      <c r="S27" s="2"/>
      <c r="T27" s="6">
        <v>8342.7723076923103</v>
      </c>
      <c r="U27" s="2"/>
      <c r="V27" s="7">
        <f t="shared" si="5"/>
        <v>0</v>
      </c>
      <c r="W27" s="2"/>
      <c r="X27" s="6">
        <f t="shared" si="6"/>
        <v>777.03769230768921</v>
      </c>
      <c r="Y27" s="2"/>
      <c r="Z27" s="7">
        <f t="shared" si="7"/>
        <v>9.3139026650797471E-2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867.61</v>
      </c>
      <c r="E28" s="2"/>
      <c r="F28" s="7">
        <f t="shared" si="0"/>
        <v>0</v>
      </c>
      <c r="G28" s="2"/>
      <c r="H28" s="6">
        <v>750</v>
      </c>
      <c r="I28" s="2"/>
      <c r="J28" s="7">
        <f t="shared" si="1"/>
        <v>0</v>
      </c>
      <c r="K28" s="2"/>
      <c r="L28" s="6">
        <f t="shared" si="2"/>
        <v>117.61000000000001</v>
      </c>
      <c r="M28" s="2"/>
      <c r="N28" s="7">
        <f t="shared" si="3"/>
        <v>0.15681333333333336</v>
      </c>
      <c r="O28" s="11"/>
      <c r="P28" s="6">
        <v>4024.09</v>
      </c>
      <c r="Q28" s="2"/>
      <c r="R28" s="7">
        <f t="shared" si="4"/>
        <v>0</v>
      </c>
      <c r="S28" s="2"/>
      <c r="T28" s="6">
        <v>3750</v>
      </c>
      <c r="U28" s="2"/>
      <c r="V28" s="7">
        <f t="shared" si="5"/>
        <v>0</v>
      </c>
      <c r="W28" s="2"/>
      <c r="X28" s="6">
        <f t="shared" si="6"/>
        <v>274.09000000000015</v>
      </c>
      <c r="Y28" s="2"/>
      <c r="Z28" s="7">
        <f t="shared" si="7"/>
        <v>7.3090666666666707E-2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27514.3</v>
      </c>
      <c r="E29" s="1"/>
      <c r="F29" s="5">
        <f t="shared" ref="F29:F39" si="8">IF(D$12=0,0,D29/D$12)</f>
        <v>0</v>
      </c>
      <c r="G29" s="1"/>
      <c r="H29" s="1">
        <f>SUM(OSRRefH22_1x_0)</f>
        <v>31375.358461538424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-3861.058461538425</v>
      </c>
      <c r="M29" s="1"/>
      <c r="N29" s="5">
        <f t="shared" ref="N29:N39" si="11">IF(H29=0,0,L29/H29)</f>
        <v>-0.12306021830066148</v>
      </c>
      <c r="O29" s="13"/>
      <c r="P29" s="1">
        <f>SUM(OSRRefP22_1x_0)</f>
        <v>155797.57999999999</v>
      </c>
      <c r="Q29" s="1"/>
      <c r="R29" s="5">
        <f t="shared" ref="R29:R39" si="12">IF(P$12=0,0,P29/P$12)</f>
        <v>0</v>
      </c>
      <c r="S29" s="1"/>
      <c r="T29" s="1">
        <f>SUM(OSRRefT22_1x_0)</f>
        <v>172487.29653846141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-16689.71653846142</v>
      </c>
      <c r="Y29" s="1"/>
      <c r="Z29" s="5">
        <f t="shared" ref="Z29:Z39" si="15">IF(T29=0,0,X29/T29)</f>
        <v>-9.6759105588624772E-2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5419.3846153846198</v>
      </c>
      <c r="I30" s="2"/>
      <c r="J30" s="7">
        <f t="shared" si="9"/>
        <v>0</v>
      </c>
      <c r="K30" s="2"/>
      <c r="L30" s="6">
        <f t="shared" si="10"/>
        <v>-5419.3846153846198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29806.615384615401</v>
      </c>
      <c r="U30" s="2"/>
      <c r="V30" s="7">
        <f t="shared" si="13"/>
        <v>0</v>
      </c>
      <c r="W30" s="2"/>
      <c r="X30" s="6">
        <f t="shared" si="14"/>
        <v>-29806.615384615401</v>
      </c>
      <c r="Y30" s="2"/>
      <c r="Z30" s="7">
        <f t="shared" si="15"/>
        <v>-1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>
        <v>22187.53</v>
      </c>
      <c r="E31" s="2"/>
      <c r="F31" s="7">
        <f t="shared" si="8"/>
        <v>0</v>
      </c>
      <c r="G31" s="2"/>
      <c r="H31" s="6">
        <v>17185.1538461538</v>
      </c>
      <c r="I31" s="2"/>
      <c r="J31" s="7">
        <f t="shared" si="9"/>
        <v>0</v>
      </c>
      <c r="K31" s="2"/>
      <c r="L31" s="6">
        <f t="shared" si="10"/>
        <v>5002.3761538461986</v>
      </c>
      <c r="M31" s="2"/>
      <c r="N31" s="7">
        <f t="shared" si="11"/>
        <v>0.29108707426356717</v>
      </c>
      <c r="O31" s="11"/>
      <c r="P31" s="6">
        <v>125644.87999999999</v>
      </c>
      <c r="Q31" s="2"/>
      <c r="R31" s="7">
        <f t="shared" si="12"/>
        <v>0</v>
      </c>
      <c r="S31" s="2"/>
      <c r="T31" s="6">
        <v>94518.346153845996</v>
      </c>
      <c r="U31" s="2"/>
      <c r="V31" s="7">
        <f t="shared" si="13"/>
        <v>0</v>
      </c>
      <c r="W31" s="2"/>
      <c r="X31" s="6">
        <f t="shared" si="14"/>
        <v>31126.533846153994</v>
      </c>
      <c r="Y31" s="2"/>
      <c r="Z31" s="7">
        <f t="shared" si="15"/>
        <v>0.32931737713110038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2496.7199999999998</v>
      </c>
      <c r="I33" s="2"/>
      <c r="J33" s="7">
        <f t="shared" si="9"/>
        <v>0</v>
      </c>
      <c r="K33" s="2"/>
      <c r="L33" s="6">
        <f t="shared" si="10"/>
        <v>-2496.7199999999998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13731.96</v>
      </c>
      <c r="U33" s="2"/>
      <c r="V33" s="7">
        <f t="shared" si="13"/>
        <v>0</v>
      </c>
      <c r="W33" s="2"/>
      <c r="X33" s="6">
        <f t="shared" si="14"/>
        <v>-13731.96</v>
      </c>
      <c r="Y33" s="2"/>
      <c r="Z33" s="7">
        <f t="shared" si="15"/>
        <v>-1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>
        <v>1665.77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1665.77</v>
      </c>
      <c r="M34" s="2"/>
      <c r="N34" s="7">
        <f t="shared" si="11"/>
        <v>0</v>
      </c>
      <c r="O34" s="11"/>
      <c r="P34" s="6">
        <v>11904.45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11904.45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>
        <v>3181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3181</v>
      </c>
      <c r="M36" s="2"/>
      <c r="N36" s="7">
        <f t="shared" si="11"/>
        <v>0</v>
      </c>
      <c r="O36" s="11"/>
      <c r="P36" s="6">
        <v>15743.249999999998</v>
      </c>
      <c r="Q36" s="2"/>
      <c r="R36" s="7">
        <f t="shared" si="12"/>
        <v>0</v>
      </c>
      <c r="S36" s="2"/>
      <c r="T36" s="6">
        <v>10902.5</v>
      </c>
      <c r="U36" s="2"/>
      <c r="V36" s="7">
        <f t="shared" si="13"/>
        <v>0</v>
      </c>
      <c r="W36" s="2"/>
      <c r="X36" s="6">
        <f t="shared" si="14"/>
        <v>4840.7499999999982</v>
      </c>
      <c r="Y36" s="2"/>
      <c r="Z36" s="7">
        <f t="shared" si="15"/>
        <v>0.44400366888328346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>
        <v>480</v>
      </c>
      <c r="E37" s="2"/>
      <c r="F37" s="7">
        <f t="shared" si="8"/>
        <v>0</v>
      </c>
      <c r="G37" s="2"/>
      <c r="H37" s="6">
        <v>6274.1</v>
      </c>
      <c r="I37" s="2"/>
      <c r="J37" s="7">
        <f t="shared" si="9"/>
        <v>0</v>
      </c>
      <c r="K37" s="2"/>
      <c r="L37" s="6">
        <f t="shared" si="10"/>
        <v>-5794.1</v>
      </c>
      <c r="M37" s="2"/>
      <c r="N37" s="7">
        <f t="shared" si="11"/>
        <v>-0.92349500326740086</v>
      </c>
      <c r="O37" s="11"/>
      <c r="P37" s="6">
        <v>2505</v>
      </c>
      <c r="Q37" s="2"/>
      <c r="R37" s="7">
        <f t="shared" si="12"/>
        <v>0</v>
      </c>
      <c r="S37" s="2"/>
      <c r="T37" s="6">
        <v>23527.875</v>
      </c>
      <c r="U37" s="2"/>
      <c r="V37" s="7">
        <f t="shared" si="13"/>
        <v>0</v>
      </c>
      <c r="W37" s="2"/>
      <c r="X37" s="6">
        <f t="shared" si="14"/>
        <v>-21022.875</v>
      </c>
      <c r="Y37" s="2"/>
      <c r="Z37" s="7">
        <f t="shared" si="15"/>
        <v>-0.89353054621379957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7" si="16">IF(D$12=0,0,D40/D$12)</f>
        <v>0</v>
      </c>
      <c r="G40" s="1"/>
      <c r="H40" s="1">
        <f>SUM(OSRRefH22_2x_0)</f>
        <v>0</v>
      </c>
      <c r="I40" s="1"/>
      <c r="J40" s="5">
        <f t="shared" ref="J40:J57" si="17">IF(H$12=0,0,H40/H$12)</f>
        <v>0</v>
      </c>
      <c r="K40" s="1"/>
      <c r="L40" s="1">
        <f t="shared" ref="L40:L57" si="18">+D40-H40</f>
        <v>0</v>
      </c>
      <c r="M40" s="1"/>
      <c r="N40" s="5">
        <f t="shared" ref="N40:N57" si="19">IF(H40=0,0,L40/H40)</f>
        <v>0</v>
      </c>
      <c r="O40" s="13"/>
      <c r="P40" s="1">
        <f>SUM(OSRRefP22_2x_0)</f>
        <v>0</v>
      </c>
      <c r="Q40" s="1"/>
      <c r="R40" s="5">
        <f t="shared" ref="R40:R57" si="20">IF(P$12=0,0,P40/P$12)</f>
        <v>0</v>
      </c>
      <c r="S40" s="1"/>
      <c r="T40" s="1">
        <f>SUM(OSRRefT22_2x_0)</f>
        <v>25</v>
      </c>
      <c r="U40" s="1"/>
      <c r="V40" s="5">
        <f t="shared" ref="V40:V57" si="21">IF(T$12=0,0,T40/T$12)</f>
        <v>0</v>
      </c>
      <c r="W40" s="1"/>
      <c r="X40" s="1">
        <f t="shared" ref="X40:X57" si="22">+P40-T40</f>
        <v>-25</v>
      </c>
      <c r="Y40" s="1"/>
      <c r="Z40" s="5">
        <f t="shared" ref="Z40:Z57" si="23">IF(T40=0,0,X40/T40)</f>
        <v>-1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/>
      <c r="Q41" s="2"/>
      <c r="R41" s="7">
        <f t="shared" si="20"/>
        <v>0</v>
      </c>
      <c r="S41" s="2"/>
      <c r="T41" s="6">
        <v>25</v>
      </c>
      <c r="U41" s="2"/>
      <c r="V41" s="7">
        <f t="shared" si="21"/>
        <v>0</v>
      </c>
      <c r="W41" s="2"/>
      <c r="X41" s="6">
        <f t="shared" si="22"/>
        <v>-25</v>
      </c>
      <c r="Y41" s="2"/>
      <c r="Z41" s="7">
        <f t="shared" si="23"/>
        <v>-1</v>
      </c>
    </row>
    <row r="42" spans="1:26" s="26" customFormat="1" outlineLevel="1" collapsed="1" x14ac:dyDescent="0.25">
      <c r="A42" s="27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1558.88</v>
      </c>
      <c r="E42" s="1"/>
      <c r="F42" s="5">
        <f t="shared" si="16"/>
        <v>0</v>
      </c>
      <c r="G42" s="1"/>
      <c r="H42" s="1">
        <f>SUM(OSRRefH22_3x_0)</f>
        <v>1559</v>
      </c>
      <c r="I42" s="1"/>
      <c r="J42" s="5">
        <f t="shared" si="17"/>
        <v>0</v>
      </c>
      <c r="K42" s="1"/>
      <c r="L42" s="1">
        <f t="shared" si="18"/>
        <v>-0.11999999999989086</v>
      </c>
      <c r="M42" s="1"/>
      <c r="N42" s="5">
        <f t="shared" si="19"/>
        <v>-7.6972418216735637E-5</v>
      </c>
      <c r="O42" s="13"/>
      <c r="P42" s="1">
        <f>SUM(OSRRefP22_3x_0)</f>
        <v>7794.4</v>
      </c>
      <c r="Q42" s="1"/>
      <c r="R42" s="5">
        <f t="shared" si="20"/>
        <v>0</v>
      </c>
      <c r="S42" s="1"/>
      <c r="T42" s="1">
        <f>SUM(OSRRefT22_3x_0)</f>
        <v>7795</v>
      </c>
      <c r="U42" s="1"/>
      <c r="V42" s="5">
        <f t="shared" si="21"/>
        <v>0</v>
      </c>
      <c r="W42" s="1"/>
      <c r="X42" s="1">
        <f t="shared" si="22"/>
        <v>-0.6000000000003638</v>
      </c>
      <c r="Y42" s="1"/>
      <c r="Z42" s="5">
        <f t="shared" si="23"/>
        <v>-7.6972418216852311E-5</v>
      </c>
    </row>
    <row r="43" spans="1:26" s="24" customFormat="1" hidden="1" outlineLevel="2" x14ac:dyDescent="0.25">
      <c r="A43" s="25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1558.88</v>
      </c>
      <c r="E43" s="2"/>
      <c r="F43" s="7">
        <f t="shared" si="16"/>
        <v>0</v>
      </c>
      <c r="G43" s="2"/>
      <c r="H43" s="6">
        <v>1559</v>
      </c>
      <c r="I43" s="2"/>
      <c r="J43" s="7">
        <f t="shared" si="17"/>
        <v>0</v>
      </c>
      <c r="K43" s="2"/>
      <c r="L43" s="6">
        <f t="shared" si="18"/>
        <v>-0.11999999999989086</v>
      </c>
      <c r="M43" s="2"/>
      <c r="N43" s="7">
        <f t="shared" si="19"/>
        <v>-7.6972418216735637E-5</v>
      </c>
      <c r="O43" s="11"/>
      <c r="P43" s="6">
        <v>7794.4</v>
      </c>
      <c r="Q43" s="2"/>
      <c r="R43" s="7">
        <f t="shared" si="20"/>
        <v>0</v>
      </c>
      <c r="S43" s="2"/>
      <c r="T43" s="6">
        <v>7795</v>
      </c>
      <c r="U43" s="2"/>
      <c r="V43" s="7">
        <f t="shared" si="21"/>
        <v>0</v>
      </c>
      <c r="W43" s="2"/>
      <c r="X43" s="6">
        <f t="shared" si="22"/>
        <v>-0.6000000000003638</v>
      </c>
      <c r="Y43" s="2"/>
      <c r="Z43" s="7">
        <f t="shared" si="23"/>
        <v>-7.6972418216852311E-5</v>
      </c>
    </row>
    <row r="44" spans="1:26" s="26" customFormat="1" outlineLevel="1" collapsed="1" x14ac:dyDescent="0.25">
      <c r="A44" s="27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25</v>
      </c>
      <c r="I44" s="1"/>
      <c r="J44" s="5">
        <f t="shared" si="17"/>
        <v>0</v>
      </c>
      <c r="K44" s="1"/>
      <c r="L44" s="1">
        <f t="shared" si="18"/>
        <v>-25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125</v>
      </c>
      <c r="U44" s="1"/>
      <c r="V44" s="5">
        <f t="shared" si="21"/>
        <v>0</v>
      </c>
      <c r="W44" s="1"/>
      <c r="X44" s="1">
        <f t="shared" si="22"/>
        <v>-125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>
        <v>25</v>
      </c>
      <c r="I45" s="2"/>
      <c r="J45" s="7">
        <f t="shared" si="17"/>
        <v>0</v>
      </c>
      <c r="K45" s="2"/>
      <c r="L45" s="6">
        <f t="shared" si="18"/>
        <v>-25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125</v>
      </c>
      <c r="U45" s="2"/>
      <c r="V45" s="7">
        <f t="shared" si="21"/>
        <v>0</v>
      </c>
      <c r="W45" s="2"/>
      <c r="X45" s="6">
        <f t="shared" si="22"/>
        <v>-125</v>
      </c>
      <c r="Y45" s="2"/>
      <c r="Z45" s="7">
        <f t="shared" si="23"/>
        <v>-1</v>
      </c>
    </row>
    <row r="46" spans="1:26" s="26" customFormat="1" outlineLevel="1" collapsed="1" x14ac:dyDescent="0.25">
      <c r="A46" s="27"/>
      <c r="B46" s="13" t="str">
        <f>CONCATENATE("     ","Equipment Rental                                  ")</f>
        <v xml:space="preserve">     Equipment Rental                                  </v>
      </c>
      <c r="C46" s="13"/>
      <c r="D46" s="1">
        <f>SUM(OSRRefD22_5x_0)</f>
        <v>91.26</v>
      </c>
      <c r="E46" s="1"/>
      <c r="F46" s="5">
        <f t="shared" si="16"/>
        <v>0</v>
      </c>
      <c r="G46" s="1"/>
      <c r="H46" s="1">
        <f>SUM(OSRRefH22_5x_0)</f>
        <v>91</v>
      </c>
      <c r="I46" s="1"/>
      <c r="J46" s="5">
        <f t="shared" si="17"/>
        <v>0</v>
      </c>
      <c r="K46" s="1"/>
      <c r="L46" s="1">
        <f t="shared" si="18"/>
        <v>0.26000000000000512</v>
      </c>
      <c r="M46" s="1"/>
      <c r="N46" s="5">
        <f t="shared" si="19"/>
        <v>2.8571428571429135E-3</v>
      </c>
      <c r="O46" s="13"/>
      <c r="P46" s="1">
        <f>SUM(OSRRefP22_5x_0)</f>
        <v>547.55999999999995</v>
      </c>
      <c r="Q46" s="1"/>
      <c r="R46" s="5">
        <f t="shared" si="20"/>
        <v>0</v>
      </c>
      <c r="S46" s="1"/>
      <c r="T46" s="1">
        <f>SUM(OSRRefT22_5x_0)</f>
        <v>455</v>
      </c>
      <c r="U46" s="1"/>
      <c r="V46" s="5">
        <f t="shared" si="21"/>
        <v>0</v>
      </c>
      <c r="W46" s="1"/>
      <c r="X46" s="1">
        <f t="shared" si="22"/>
        <v>92.559999999999945</v>
      </c>
      <c r="Y46" s="1"/>
      <c r="Z46" s="5">
        <f t="shared" si="23"/>
        <v>0.20342857142857132</v>
      </c>
    </row>
    <row r="47" spans="1:26" s="24" customFormat="1" hidden="1" outlineLevel="2" x14ac:dyDescent="0.25">
      <c r="A47" s="25"/>
      <c r="B47" s="11" t="str">
        <f>CONCATENATE("          ", "6351", " - ", "EQUIPMENT RENTAL")</f>
        <v xml:space="preserve">          6351 - EQUIPMENT RENTAL</v>
      </c>
      <c r="C47" s="11"/>
      <c r="D47" s="6">
        <v>91.26</v>
      </c>
      <c r="E47" s="2"/>
      <c r="F47" s="7">
        <f t="shared" si="16"/>
        <v>0</v>
      </c>
      <c r="G47" s="2"/>
      <c r="H47" s="6">
        <v>91</v>
      </c>
      <c r="I47" s="2"/>
      <c r="J47" s="7">
        <f t="shared" si="17"/>
        <v>0</v>
      </c>
      <c r="K47" s="2"/>
      <c r="L47" s="6">
        <f t="shared" si="18"/>
        <v>0.26000000000000512</v>
      </c>
      <c r="M47" s="2"/>
      <c r="N47" s="7">
        <f t="shared" si="19"/>
        <v>2.8571428571429135E-3</v>
      </c>
      <c r="O47" s="11"/>
      <c r="P47" s="6">
        <v>547.55999999999995</v>
      </c>
      <c r="Q47" s="2"/>
      <c r="R47" s="7">
        <f t="shared" si="20"/>
        <v>0</v>
      </c>
      <c r="S47" s="2"/>
      <c r="T47" s="6">
        <v>455</v>
      </c>
      <c r="U47" s="2"/>
      <c r="V47" s="7">
        <f t="shared" si="21"/>
        <v>0</v>
      </c>
      <c r="W47" s="2"/>
      <c r="X47" s="6">
        <f t="shared" si="22"/>
        <v>92.559999999999945</v>
      </c>
      <c r="Y47" s="2"/>
      <c r="Z47" s="7">
        <f t="shared" si="23"/>
        <v>0.20342857142857132</v>
      </c>
    </row>
    <row r="48" spans="1:26" s="26" customFormat="1" outlineLevel="1" collapsed="1" x14ac:dyDescent="0.25">
      <c r="A48" s="27"/>
      <c r="B48" s="13" t="str">
        <f>CONCATENATE("     ","Freight out/Postage                               ")</f>
        <v xml:space="preserve">     Freight out/Postage                               </v>
      </c>
      <c r="C48" s="13"/>
      <c r="D48" s="1">
        <f>SUM(OSRRefD22_6x_0)</f>
        <v>126.1</v>
      </c>
      <c r="E48" s="1"/>
      <c r="F48" s="5">
        <f t="shared" si="16"/>
        <v>0</v>
      </c>
      <c r="G48" s="1"/>
      <c r="H48" s="1">
        <f>SUM(OSRRefH22_6x_0)</f>
        <v>150</v>
      </c>
      <c r="I48" s="1"/>
      <c r="J48" s="5">
        <f t="shared" si="17"/>
        <v>0</v>
      </c>
      <c r="K48" s="1"/>
      <c r="L48" s="1">
        <f t="shared" si="18"/>
        <v>-23.900000000000006</v>
      </c>
      <c r="M48" s="1"/>
      <c r="N48" s="5">
        <f t="shared" si="19"/>
        <v>-0.15933333333333338</v>
      </c>
      <c r="O48" s="13"/>
      <c r="P48" s="1">
        <f>SUM(OSRRefP22_6x_0)</f>
        <v>665.25</v>
      </c>
      <c r="Q48" s="1"/>
      <c r="R48" s="5">
        <f t="shared" si="20"/>
        <v>0</v>
      </c>
      <c r="S48" s="1"/>
      <c r="T48" s="1">
        <f>SUM(OSRRefT22_6x_0)</f>
        <v>750</v>
      </c>
      <c r="U48" s="1"/>
      <c r="V48" s="5">
        <f t="shared" si="21"/>
        <v>0</v>
      </c>
      <c r="W48" s="1"/>
      <c r="X48" s="1">
        <f t="shared" si="22"/>
        <v>-84.75</v>
      </c>
      <c r="Y48" s="1"/>
      <c r="Z48" s="5">
        <f t="shared" si="23"/>
        <v>-0.113</v>
      </c>
    </row>
    <row r="49" spans="1:26" s="24" customFormat="1" hidden="1" outlineLevel="2" x14ac:dyDescent="0.25">
      <c r="A49" s="25"/>
      <c r="B49" s="11" t="str">
        <f>CONCATENATE("          ", "6307", " - ", "POSTAGE")</f>
        <v xml:space="preserve">          6307 - POSTAGE</v>
      </c>
      <c r="C49" s="11"/>
      <c r="D49" s="6">
        <v>126.1</v>
      </c>
      <c r="E49" s="2"/>
      <c r="F49" s="7">
        <f t="shared" si="16"/>
        <v>0</v>
      </c>
      <c r="G49" s="2"/>
      <c r="H49" s="6">
        <v>150</v>
      </c>
      <c r="I49" s="2"/>
      <c r="J49" s="7">
        <f t="shared" si="17"/>
        <v>0</v>
      </c>
      <c r="K49" s="2"/>
      <c r="L49" s="6">
        <f t="shared" si="18"/>
        <v>-23.900000000000006</v>
      </c>
      <c r="M49" s="2"/>
      <c r="N49" s="7">
        <f t="shared" si="19"/>
        <v>-0.15933333333333338</v>
      </c>
      <c r="O49" s="11"/>
      <c r="P49" s="6">
        <v>665.25</v>
      </c>
      <c r="Q49" s="2"/>
      <c r="R49" s="7">
        <f t="shared" si="20"/>
        <v>0</v>
      </c>
      <c r="S49" s="2"/>
      <c r="T49" s="6">
        <v>750</v>
      </c>
      <c r="U49" s="2"/>
      <c r="V49" s="7">
        <f t="shared" si="21"/>
        <v>0</v>
      </c>
      <c r="W49" s="2"/>
      <c r="X49" s="6">
        <f t="shared" si="22"/>
        <v>-84.75</v>
      </c>
      <c r="Y49" s="2"/>
      <c r="Z49" s="7">
        <f t="shared" si="23"/>
        <v>-0.113</v>
      </c>
    </row>
    <row r="50" spans="1:26" s="26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25</v>
      </c>
      <c r="I50" s="1"/>
      <c r="J50" s="5">
        <f t="shared" si="17"/>
        <v>0</v>
      </c>
      <c r="K50" s="1"/>
      <c r="L50" s="1">
        <f t="shared" si="18"/>
        <v>-25</v>
      </c>
      <c r="M50" s="1"/>
      <c r="N50" s="5">
        <f t="shared" si="19"/>
        <v>-1</v>
      </c>
      <c r="O50" s="13"/>
      <c r="P50" s="1">
        <f>SUM(OSRRefP22_7x_0)</f>
        <v>0</v>
      </c>
      <c r="Q50" s="1"/>
      <c r="R50" s="5">
        <f t="shared" si="20"/>
        <v>0</v>
      </c>
      <c r="S50" s="1"/>
      <c r="T50" s="1">
        <f>SUM(OSRRefT22_7x_0)</f>
        <v>125</v>
      </c>
      <c r="U50" s="1"/>
      <c r="V50" s="5">
        <f t="shared" si="21"/>
        <v>0</v>
      </c>
      <c r="W50" s="1"/>
      <c r="X50" s="1">
        <f t="shared" si="22"/>
        <v>-125</v>
      </c>
      <c r="Y50" s="1"/>
      <c r="Z50" s="5">
        <f t="shared" si="23"/>
        <v>-1</v>
      </c>
    </row>
    <row r="51" spans="1:26" s="24" customFormat="1" hidden="1" outlineLevel="2" x14ac:dyDescent="0.25">
      <c r="A51" s="25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16"/>
        <v>0</v>
      </c>
      <c r="G51" s="2"/>
      <c r="H51" s="6">
        <v>25</v>
      </c>
      <c r="I51" s="2"/>
      <c r="J51" s="7">
        <f t="shared" si="17"/>
        <v>0</v>
      </c>
      <c r="K51" s="2"/>
      <c r="L51" s="6">
        <f t="shared" si="18"/>
        <v>-25</v>
      </c>
      <c r="M51" s="2"/>
      <c r="N51" s="7">
        <f t="shared" si="19"/>
        <v>-1</v>
      </c>
      <c r="O51" s="11"/>
      <c r="P51" s="6"/>
      <c r="Q51" s="2"/>
      <c r="R51" s="7">
        <f t="shared" si="20"/>
        <v>0</v>
      </c>
      <c r="S51" s="2"/>
      <c r="T51" s="6">
        <v>125</v>
      </c>
      <c r="U51" s="2"/>
      <c r="V51" s="7">
        <f t="shared" si="21"/>
        <v>0</v>
      </c>
      <c r="W51" s="2"/>
      <c r="X51" s="6">
        <f t="shared" si="22"/>
        <v>-125</v>
      </c>
      <c r="Y51" s="2"/>
      <c r="Z51" s="7">
        <f t="shared" si="23"/>
        <v>-1</v>
      </c>
    </row>
    <row r="52" spans="1:26" s="26" customFormat="1" outlineLevel="1" collapsed="1" x14ac:dyDescent="0.25">
      <c r="A52" s="27"/>
      <c r="B52" s="13" t="str">
        <f>CONCATENATE("     ","Insurance                                         ")</f>
        <v xml:space="preserve">     Insurance                                         </v>
      </c>
      <c r="C52" s="13"/>
      <c r="D52" s="1">
        <f>SUM(OSRRefD22_8x_0)</f>
        <v>132.16999999999999</v>
      </c>
      <c r="E52" s="1"/>
      <c r="F52" s="5">
        <f t="shared" si="16"/>
        <v>0</v>
      </c>
      <c r="G52" s="1"/>
      <c r="H52" s="1">
        <f>SUM(OSRRefH22_8x_0)</f>
        <v>125</v>
      </c>
      <c r="I52" s="1"/>
      <c r="J52" s="5">
        <f t="shared" si="17"/>
        <v>0</v>
      </c>
      <c r="K52" s="1"/>
      <c r="L52" s="1">
        <f t="shared" si="18"/>
        <v>7.1699999999999875</v>
      </c>
      <c r="M52" s="1"/>
      <c r="N52" s="5">
        <f t="shared" si="19"/>
        <v>5.7359999999999897E-2</v>
      </c>
      <c r="O52" s="13"/>
      <c r="P52" s="1">
        <f>SUM(OSRRefP22_8x_0)</f>
        <v>660.85</v>
      </c>
      <c r="Q52" s="1"/>
      <c r="R52" s="5">
        <f t="shared" si="20"/>
        <v>0</v>
      </c>
      <c r="S52" s="1"/>
      <c r="T52" s="1">
        <f>SUM(OSRRefT22_8x_0)</f>
        <v>625</v>
      </c>
      <c r="U52" s="1"/>
      <c r="V52" s="5">
        <f t="shared" si="21"/>
        <v>0</v>
      </c>
      <c r="W52" s="1"/>
      <c r="X52" s="1">
        <f t="shared" si="22"/>
        <v>35.850000000000023</v>
      </c>
      <c r="Y52" s="1"/>
      <c r="Z52" s="5">
        <f t="shared" si="23"/>
        <v>5.7360000000000036E-2</v>
      </c>
    </row>
    <row r="53" spans="1:26" s="24" customFormat="1" hidden="1" outlineLevel="2" x14ac:dyDescent="0.25">
      <c r="A53" s="25"/>
      <c r="B53" s="11" t="str">
        <f>CONCATENATE("          ", "6314", " - ", "LIABILITY INSURANCE")</f>
        <v xml:space="preserve">          6314 - LIABILITY INSURANCE</v>
      </c>
      <c r="C53" s="11"/>
      <c r="D53" s="6">
        <v>132.16999999999999</v>
      </c>
      <c r="E53" s="2"/>
      <c r="F53" s="7">
        <f t="shared" si="16"/>
        <v>0</v>
      </c>
      <c r="G53" s="2"/>
      <c r="H53" s="6">
        <v>125</v>
      </c>
      <c r="I53" s="2"/>
      <c r="J53" s="7">
        <f t="shared" si="17"/>
        <v>0</v>
      </c>
      <c r="K53" s="2"/>
      <c r="L53" s="6">
        <f t="shared" si="18"/>
        <v>7.1699999999999875</v>
      </c>
      <c r="M53" s="2"/>
      <c r="N53" s="7">
        <f t="shared" si="19"/>
        <v>5.7359999999999897E-2</v>
      </c>
      <c r="O53" s="11"/>
      <c r="P53" s="6">
        <v>660.85</v>
      </c>
      <c r="Q53" s="2"/>
      <c r="R53" s="7">
        <f t="shared" si="20"/>
        <v>0</v>
      </c>
      <c r="S53" s="2"/>
      <c r="T53" s="6">
        <v>625</v>
      </c>
      <c r="U53" s="2"/>
      <c r="V53" s="7">
        <f t="shared" si="21"/>
        <v>0</v>
      </c>
      <c r="W53" s="2"/>
      <c r="X53" s="6">
        <f t="shared" si="22"/>
        <v>35.850000000000023</v>
      </c>
      <c r="Y53" s="2"/>
      <c r="Z53" s="7">
        <f t="shared" si="23"/>
        <v>5.7360000000000036E-2</v>
      </c>
    </row>
    <row r="54" spans="1:26" s="26" customFormat="1" outlineLevel="1" collapsed="1" x14ac:dyDescent="0.25">
      <c r="A54" s="27"/>
      <c r="B54" s="13" t="str">
        <f>CONCATENATE("     ","Interest                                          ")</f>
        <v xml:space="preserve">     Interest                                          </v>
      </c>
      <c r="C54" s="13"/>
      <c r="D54" s="1">
        <f>SUM(OSRRefD22_9x_0)</f>
        <v>0</v>
      </c>
      <c r="E54" s="1"/>
      <c r="F54" s="5">
        <f t="shared" si="16"/>
        <v>0</v>
      </c>
      <c r="G54" s="1"/>
      <c r="H54" s="1">
        <f>SUM(OSRRefH22_9x_0)</f>
        <v>0</v>
      </c>
      <c r="I54" s="1"/>
      <c r="J54" s="5">
        <f t="shared" si="17"/>
        <v>0</v>
      </c>
      <c r="K54" s="1"/>
      <c r="L54" s="1">
        <f t="shared" si="18"/>
        <v>0</v>
      </c>
      <c r="M54" s="1"/>
      <c r="N54" s="5">
        <f t="shared" si="19"/>
        <v>0</v>
      </c>
      <c r="O54" s="13"/>
      <c r="P54" s="1">
        <f>SUM(OSRRefP22_9x_0)</f>
        <v>0</v>
      </c>
      <c r="Q54" s="1"/>
      <c r="R54" s="5">
        <f t="shared" si="20"/>
        <v>0</v>
      </c>
      <c r="S54" s="1"/>
      <c r="T54" s="1">
        <f>SUM(OSRRefT22_9x_0)</f>
        <v>0</v>
      </c>
      <c r="U54" s="1"/>
      <c r="V54" s="5">
        <f t="shared" si="21"/>
        <v>0</v>
      </c>
      <c r="W54" s="1"/>
      <c r="X54" s="1">
        <f t="shared" si="22"/>
        <v>0</v>
      </c>
      <c r="Y54" s="1"/>
      <c r="Z54" s="5">
        <f t="shared" si="23"/>
        <v>0</v>
      </c>
    </row>
    <row r="55" spans="1:26" s="24" customFormat="1" hidden="1" outlineLevel="2" x14ac:dyDescent="0.25">
      <c r="A55" s="25"/>
      <c r="B55" s="11" t="str">
        <f>CONCATENATE("          ", "6401", " - ", "INTEREST EXPENSE")</f>
        <v xml:space="preserve">          6401 - INTEREST EXPENSE</v>
      </c>
      <c r="C55" s="11"/>
      <c r="D55" s="6"/>
      <c r="E55" s="2"/>
      <c r="F55" s="7">
        <f t="shared" si="16"/>
        <v>0</v>
      </c>
      <c r="G55" s="2"/>
      <c r="H55" s="6">
        <v>0</v>
      </c>
      <c r="I55" s="2"/>
      <c r="J55" s="7">
        <f t="shared" si="17"/>
        <v>0</v>
      </c>
      <c r="K55" s="2"/>
      <c r="L55" s="6">
        <f t="shared" si="18"/>
        <v>0</v>
      </c>
      <c r="M55" s="2"/>
      <c r="N55" s="7">
        <f t="shared" si="19"/>
        <v>0</v>
      </c>
      <c r="O55" s="11"/>
      <c r="P55" s="6"/>
      <c r="Q55" s="2"/>
      <c r="R55" s="7">
        <f t="shared" si="20"/>
        <v>0</v>
      </c>
      <c r="S55" s="2"/>
      <c r="T55" s="6">
        <v>0</v>
      </c>
      <c r="U55" s="2"/>
      <c r="V55" s="7">
        <f t="shared" si="21"/>
        <v>0</v>
      </c>
      <c r="W55" s="2"/>
      <c r="X55" s="6">
        <f t="shared" si="22"/>
        <v>0</v>
      </c>
      <c r="Y55" s="2"/>
      <c r="Z55" s="7">
        <f t="shared" si="23"/>
        <v>0</v>
      </c>
    </row>
    <row r="56" spans="1:26" s="24" customFormat="1" hidden="1" outlineLevel="2" x14ac:dyDescent="0.25">
      <c r="A56" s="25"/>
      <c r="B56" s="11" t="str">
        <f>CONCATENATE("          ", "6402", " - ", "INTEREST EXPENSE BOND ISSUANCE")</f>
        <v xml:space="preserve">          6402 - INTEREST EXPENSE BOND ISSUANCE</v>
      </c>
      <c r="C56" s="11"/>
      <c r="D56" s="6"/>
      <c r="E56" s="2"/>
      <c r="F56" s="7">
        <f t="shared" si="16"/>
        <v>0</v>
      </c>
      <c r="G56" s="2"/>
      <c r="H56" s="6">
        <v>0</v>
      </c>
      <c r="I56" s="2"/>
      <c r="J56" s="7">
        <f t="shared" si="17"/>
        <v>0</v>
      </c>
      <c r="K56" s="2"/>
      <c r="L56" s="6">
        <f t="shared" si="18"/>
        <v>0</v>
      </c>
      <c r="M56" s="2"/>
      <c r="N56" s="7">
        <f t="shared" si="19"/>
        <v>0</v>
      </c>
      <c r="O56" s="11"/>
      <c r="P56" s="6"/>
      <c r="Q56" s="2"/>
      <c r="R56" s="7">
        <f t="shared" si="20"/>
        <v>0</v>
      </c>
      <c r="S56" s="2"/>
      <c r="T56" s="6">
        <v>0</v>
      </c>
      <c r="U56" s="2"/>
      <c r="V56" s="7">
        <f t="shared" si="21"/>
        <v>0</v>
      </c>
      <c r="W56" s="2"/>
      <c r="X56" s="6">
        <f t="shared" si="22"/>
        <v>0</v>
      </c>
      <c r="Y56" s="2"/>
      <c r="Z56" s="7">
        <f t="shared" si="23"/>
        <v>0</v>
      </c>
    </row>
    <row r="57" spans="1:26" s="24" customFormat="1" hidden="1" outlineLevel="2" x14ac:dyDescent="0.25">
      <c r="A57" s="25"/>
      <c r="B57" s="11" t="str">
        <f>CONCATENATE("          ", "6403", " - ", "INTEREST EXPENSE LEASE EQUIP")</f>
        <v xml:space="preserve">          6403 - INTEREST EXPENSE LEASE EQUIP</v>
      </c>
      <c r="C57" s="11"/>
      <c r="D57" s="6"/>
      <c r="E57" s="2"/>
      <c r="F57" s="7">
        <f t="shared" si="16"/>
        <v>0</v>
      </c>
      <c r="G57" s="2"/>
      <c r="H57" s="6">
        <v>0</v>
      </c>
      <c r="I57" s="2"/>
      <c r="J57" s="7">
        <f t="shared" si="17"/>
        <v>0</v>
      </c>
      <c r="K57" s="2"/>
      <c r="L57" s="6">
        <f t="shared" si="18"/>
        <v>0</v>
      </c>
      <c r="M57" s="2"/>
      <c r="N57" s="7">
        <f t="shared" si="19"/>
        <v>0</v>
      </c>
      <c r="O57" s="11"/>
      <c r="P57" s="6"/>
      <c r="Q57" s="2"/>
      <c r="R57" s="7">
        <f t="shared" si="20"/>
        <v>0</v>
      </c>
      <c r="S57" s="2"/>
      <c r="T57" s="6">
        <v>0</v>
      </c>
      <c r="U57" s="2"/>
      <c r="V57" s="7">
        <f t="shared" si="21"/>
        <v>0</v>
      </c>
      <c r="W57" s="2"/>
      <c r="X57" s="6">
        <f t="shared" si="22"/>
        <v>0</v>
      </c>
      <c r="Y57" s="2"/>
      <c r="Z57" s="7">
        <f t="shared" si="23"/>
        <v>0</v>
      </c>
    </row>
    <row r="58" spans="1:26" s="26" customFormat="1" outlineLevel="1" collapsed="1" x14ac:dyDescent="0.25">
      <c r="A58" s="27"/>
      <c r="B58" s="13" t="str">
        <f>CONCATENATE("     ","Professional Services                             ")</f>
        <v xml:space="preserve">     Professional Services                             </v>
      </c>
      <c r="C58" s="13"/>
      <c r="D58" s="1">
        <f>SUM(OSRRefD22_10x_0)</f>
        <v>0</v>
      </c>
      <c r="E58" s="1"/>
      <c r="F58" s="5">
        <f t="shared" ref="F58:F62" si="24">IF(D$12=0,0,D58/D$12)</f>
        <v>0</v>
      </c>
      <c r="G58" s="1"/>
      <c r="H58" s="1">
        <f>SUM(OSRRefH22_10x_0)</f>
        <v>100</v>
      </c>
      <c r="I58" s="1"/>
      <c r="J58" s="5">
        <f t="shared" ref="J58:J62" si="25">IF(H$12=0,0,H58/H$12)</f>
        <v>0</v>
      </c>
      <c r="K58" s="1"/>
      <c r="L58" s="1">
        <f t="shared" ref="L58:L62" si="26">+D58-H58</f>
        <v>-100</v>
      </c>
      <c r="M58" s="1"/>
      <c r="N58" s="5">
        <f t="shared" ref="N58:N62" si="27">IF(H58=0,0,L58/H58)</f>
        <v>-1</v>
      </c>
      <c r="O58" s="13"/>
      <c r="P58" s="1">
        <f>SUM(OSRRefP22_10x_0)</f>
        <v>82.5</v>
      </c>
      <c r="Q58" s="1"/>
      <c r="R58" s="5">
        <f t="shared" ref="R58:R62" si="28">IF(P$12=0,0,P58/P$12)</f>
        <v>0</v>
      </c>
      <c r="S58" s="1"/>
      <c r="T58" s="1">
        <f>SUM(OSRRefT22_10x_0)</f>
        <v>500</v>
      </c>
      <c r="U58" s="1"/>
      <c r="V58" s="5">
        <f t="shared" ref="V58:V62" si="29">IF(T$12=0,0,T58/T$12)</f>
        <v>0</v>
      </c>
      <c r="W58" s="1"/>
      <c r="X58" s="1">
        <f t="shared" ref="X58:X62" si="30">+P58-T58</f>
        <v>-417.5</v>
      </c>
      <c r="Y58" s="1"/>
      <c r="Z58" s="5">
        <f t="shared" ref="Z58:Z62" si="31">IF(T58=0,0,X58/T58)</f>
        <v>-0.83499999999999996</v>
      </c>
    </row>
    <row r="59" spans="1:26" s="24" customFormat="1" hidden="1" outlineLevel="2" x14ac:dyDescent="0.25">
      <c r="A59" s="25"/>
      <c r="B59" s="11" t="str">
        <f>CONCATENATE("          ", "6332", " - ", "CONSULTANT FEES")</f>
        <v xml:space="preserve">          6332 - CONSULTANT FEES</v>
      </c>
      <c r="C59" s="11"/>
      <c r="D59" s="6"/>
      <c r="E59" s="2"/>
      <c r="F59" s="7">
        <f t="shared" si="24"/>
        <v>0</v>
      </c>
      <c r="G59" s="2"/>
      <c r="H59" s="6">
        <v>100</v>
      </c>
      <c r="I59" s="2"/>
      <c r="J59" s="7">
        <f t="shared" si="25"/>
        <v>0</v>
      </c>
      <c r="K59" s="2"/>
      <c r="L59" s="6">
        <f t="shared" si="26"/>
        <v>-100</v>
      </c>
      <c r="M59" s="2"/>
      <c r="N59" s="7">
        <f t="shared" si="27"/>
        <v>-1</v>
      </c>
      <c r="O59" s="11"/>
      <c r="P59" s="6">
        <v>82.5</v>
      </c>
      <c r="Q59" s="2"/>
      <c r="R59" s="7">
        <f t="shared" si="28"/>
        <v>0</v>
      </c>
      <c r="S59" s="2"/>
      <c r="T59" s="6">
        <v>500</v>
      </c>
      <c r="U59" s="2"/>
      <c r="V59" s="7">
        <f t="shared" si="29"/>
        <v>0</v>
      </c>
      <c r="W59" s="2"/>
      <c r="X59" s="6">
        <f t="shared" si="30"/>
        <v>-417.5</v>
      </c>
      <c r="Y59" s="2"/>
      <c r="Z59" s="7">
        <f t="shared" si="31"/>
        <v>-0.83499999999999996</v>
      </c>
    </row>
    <row r="60" spans="1:26" s="26" customFormat="1" outlineLevel="1" collapsed="1" x14ac:dyDescent="0.25">
      <c r="A60" s="27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SUM(OSRRefD22_11x_0)</f>
        <v>16.97</v>
      </c>
      <c r="E60" s="1"/>
      <c r="F60" s="5">
        <f t="shared" si="24"/>
        <v>0</v>
      </c>
      <c r="G60" s="1"/>
      <c r="H60" s="1">
        <f>SUM(OSRRefH22_11x_0)</f>
        <v>20</v>
      </c>
      <c r="I60" s="1"/>
      <c r="J60" s="5">
        <f t="shared" si="25"/>
        <v>0</v>
      </c>
      <c r="K60" s="1"/>
      <c r="L60" s="1">
        <f t="shared" si="26"/>
        <v>-3.0300000000000011</v>
      </c>
      <c r="M60" s="1"/>
      <c r="N60" s="5">
        <f t="shared" si="27"/>
        <v>-0.15150000000000005</v>
      </c>
      <c r="O60" s="13"/>
      <c r="P60" s="1">
        <f>SUM(OSRRefP22_11x_0)</f>
        <v>571.48</v>
      </c>
      <c r="Q60" s="1"/>
      <c r="R60" s="5">
        <f t="shared" si="28"/>
        <v>0</v>
      </c>
      <c r="S60" s="1"/>
      <c r="T60" s="1">
        <f>SUM(OSRRefT22_11x_0)</f>
        <v>100</v>
      </c>
      <c r="U60" s="1"/>
      <c r="V60" s="5">
        <f t="shared" si="29"/>
        <v>0</v>
      </c>
      <c r="W60" s="1"/>
      <c r="X60" s="1">
        <f t="shared" si="30"/>
        <v>471.48</v>
      </c>
      <c r="Y60" s="1"/>
      <c r="Z60" s="5">
        <f t="shared" si="31"/>
        <v>4.7148000000000003</v>
      </c>
    </row>
    <row r="61" spans="1:26" s="24" customFormat="1" hidden="1" outlineLevel="2" x14ac:dyDescent="0.25">
      <c r="A61" s="25"/>
      <c r="B61" s="11" t="str">
        <f>CONCATENATE("          ", "6373", " - ", "MAINTENANCE CONTRACTS")</f>
        <v xml:space="preserve">          6373 - MAINTENANCE CONTRACTS</v>
      </c>
      <c r="C61" s="11"/>
      <c r="D61" s="6">
        <v>16.97</v>
      </c>
      <c r="E61" s="2"/>
      <c r="F61" s="7">
        <f t="shared" si="24"/>
        <v>0</v>
      </c>
      <c r="G61" s="2"/>
      <c r="H61" s="6">
        <v>20</v>
      </c>
      <c r="I61" s="2"/>
      <c r="J61" s="7">
        <f t="shared" si="25"/>
        <v>0</v>
      </c>
      <c r="K61" s="2"/>
      <c r="L61" s="6">
        <f t="shared" si="26"/>
        <v>-3.0300000000000011</v>
      </c>
      <c r="M61" s="2"/>
      <c r="N61" s="7">
        <f t="shared" si="27"/>
        <v>-0.15150000000000005</v>
      </c>
      <c r="O61" s="11"/>
      <c r="P61" s="6">
        <v>106.9</v>
      </c>
      <c r="Q61" s="2"/>
      <c r="R61" s="7">
        <f t="shared" si="28"/>
        <v>0</v>
      </c>
      <c r="S61" s="2"/>
      <c r="T61" s="6">
        <v>100</v>
      </c>
      <c r="U61" s="2"/>
      <c r="V61" s="7">
        <f t="shared" si="29"/>
        <v>0</v>
      </c>
      <c r="W61" s="2"/>
      <c r="X61" s="6">
        <f t="shared" si="30"/>
        <v>6.9000000000000057</v>
      </c>
      <c r="Y61" s="2"/>
      <c r="Z61" s="7">
        <f t="shared" si="31"/>
        <v>6.9000000000000061E-2</v>
      </c>
    </row>
    <row r="62" spans="1:26" s="24" customFormat="1" hidden="1" outlineLevel="2" x14ac:dyDescent="0.25">
      <c r="A62" s="25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24"/>
        <v>0</v>
      </c>
      <c r="G62" s="2"/>
      <c r="H62" s="6"/>
      <c r="I62" s="2"/>
      <c r="J62" s="7">
        <f t="shared" si="25"/>
        <v>0</v>
      </c>
      <c r="K62" s="2"/>
      <c r="L62" s="6">
        <f t="shared" si="26"/>
        <v>0</v>
      </c>
      <c r="M62" s="2"/>
      <c r="N62" s="7">
        <f t="shared" si="27"/>
        <v>0</v>
      </c>
      <c r="O62" s="11"/>
      <c r="P62" s="6">
        <v>464.58</v>
      </c>
      <c r="Q62" s="2"/>
      <c r="R62" s="7">
        <f t="shared" si="28"/>
        <v>0</v>
      </c>
      <c r="S62" s="2"/>
      <c r="T62" s="6"/>
      <c r="U62" s="2"/>
      <c r="V62" s="7">
        <f t="shared" si="29"/>
        <v>0</v>
      </c>
      <c r="W62" s="2"/>
      <c r="X62" s="6">
        <f t="shared" si="30"/>
        <v>464.58</v>
      </c>
      <c r="Y62" s="2"/>
      <c r="Z62" s="7">
        <f t="shared" si="31"/>
        <v>0</v>
      </c>
    </row>
    <row r="63" spans="1:26" s="26" customFormat="1" outlineLevel="1" collapsed="1" x14ac:dyDescent="0.25">
      <c r="A63" s="27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SUM(OSRRefD22_12x_0)</f>
        <v>427.96</v>
      </c>
      <c r="E63" s="1"/>
      <c r="F63" s="5">
        <f t="shared" ref="F63:F69" si="32">IF(D$12=0,0,D63/D$12)</f>
        <v>0</v>
      </c>
      <c r="G63" s="1"/>
      <c r="H63" s="1">
        <f>SUM(OSRRefH22_12x_0)</f>
        <v>600</v>
      </c>
      <c r="I63" s="1"/>
      <c r="J63" s="5">
        <f t="shared" ref="J63:J69" si="33">IF(H$12=0,0,H63/H$12)</f>
        <v>0</v>
      </c>
      <c r="K63" s="1"/>
      <c r="L63" s="1">
        <f t="shared" ref="L63:L69" si="34">+D63-H63</f>
        <v>-172.04000000000002</v>
      </c>
      <c r="M63" s="1"/>
      <c r="N63" s="5">
        <f t="shared" ref="N63:N69" si="35">IF(H63=0,0,L63/H63)</f>
        <v>-0.28673333333333334</v>
      </c>
      <c r="O63" s="13"/>
      <c r="P63" s="1">
        <f>SUM(OSRRefP22_12x_0)</f>
        <v>7595.03</v>
      </c>
      <c r="Q63" s="1"/>
      <c r="R63" s="5">
        <f t="shared" ref="R63:R69" si="36">IF(P$12=0,0,P63/P$12)</f>
        <v>0</v>
      </c>
      <c r="S63" s="1"/>
      <c r="T63" s="1">
        <f>SUM(OSRRefT22_12x_0)</f>
        <v>3000</v>
      </c>
      <c r="U63" s="1"/>
      <c r="V63" s="5">
        <f t="shared" ref="V63:V69" si="37">IF(T$12=0,0,T63/T$12)</f>
        <v>0</v>
      </c>
      <c r="W63" s="1"/>
      <c r="X63" s="1">
        <f t="shared" ref="X63:X69" si="38">+P63-T63</f>
        <v>4595.03</v>
      </c>
      <c r="Y63" s="1"/>
      <c r="Z63" s="5">
        <f t="shared" ref="Z63:Z69" si="39">IF(T63=0,0,X63/T63)</f>
        <v>1.5316766666666666</v>
      </c>
    </row>
    <row r="64" spans="1:26" s="24" customFormat="1" hidden="1" outlineLevel="2" x14ac:dyDescent="0.25">
      <c r="A64" s="25"/>
      <c r="B64" s="11" t="str">
        <f>CONCATENATE("          ", "6281", " - ", "STORAGE FEE")</f>
        <v xml:space="preserve">          6281 - STORAGE FEE</v>
      </c>
      <c r="C64" s="11"/>
      <c r="D64" s="6">
        <v>427.96</v>
      </c>
      <c r="E64" s="2"/>
      <c r="F64" s="7">
        <f t="shared" si="32"/>
        <v>0</v>
      </c>
      <c r="G64" s="2"/>
      <c r="H64" s="6">
        <v>600</v>
      </c>
      <c r="I64" s="2"/>
      <c r="J64" s="7">
        <f t="shared" si="33"/>
        <v>0</v>
      </c>
      <c r="K64" s="2"/>
      <c r="L64" s="6">
        <f t="shared" si="34"/>
        <v>-172.04000000000002</v>
      </c>
      <c r="M64" s="2"/>
      <c r="N64" s="7">
        <f t="shared" si="35"/>
        <v>-0.28673333333333334</v>
      </c>
      <c r="O64" s="11"/>
      <c r="P64" s="6">
        <v>7595.03</v>
      </c>
      <c r="Q64" s="2"/>
      <c r="R64" s="7">
        <f t="shared" si="36"/>
        <v>0</v>
      </c>
      <c r="S64" s="2"/>
      <c r="T64" s="6">
        <v>3000</v>
      </c>
      <c r="U64" s="2"/>
      <c r="V64" s="7">
        <f t="shared" si="37"/>
        <v>0</v>
      </c>
      <c r="W64" s="2"/>
      <c r="X64" s="6">
        <f t="shared" si="38"/>
        <v>4595.03</v>
      </c>
      <c r="Y64" s="2"/>
      <c r="Z64" s="7">
        <f t="shared" si="39"/>
        <v>1.5316766666666666</v>
      </c>
    </row>
    <row r="65" spans="1:26" s="26" customFormat="1" outlineLevel="1" collapsed="1" x14ac:dyDescent="0.25">
      <c r="A65" s="27"/>
      <c r="B65" s="13" t="str">
        <f>CONCATENATE("     ","Subscriptions &amp; Dues                              ")</f>
        <v xml:space="preserve">     Subscriptions &amp; Dues                              </v>
      </c>
      <c r="C65" s="13"/>
      <c r="D65" s="1">
        <f>SUM(OSRRefD22_13x_0)</f>
        <v>0</v>
      </c>
      <c r="E65" s="1"/>
      <c r="F65" s="5">
        <f t="shared" si="32"/>
        <v>0</v>
      </c>
      <c r="G65" s="1"/>
      <c r="H65" s="1">
        <f>SUM(OSRRefH22_13x_0)</f>
        <v>0</v>
      </c>
      <c r="I65" s="1"/>
      <c r="J65" s="5">
        <f t="shared" si="33"/>
        <v>0</v>
      </c>
      <c r="K65" s="1"/>
      <c r="L65" s="1">
        <f t="shared" si="34"/>
        <v>0</v>
      </c>
      <c r="M65" s="1"/>
      <c r="N65" s="5">
        <f t="shared" si="35"/>
        <v>0</v>
      </c>
      <c r="O65" s="13"/>
      <c r="P65" s="1">
        <f>SUM(OSRRefP22_13x_0)</f>
        <v>39</v>
      </c>
      <c r="Q65" s="1"/>
      <c r="R65" s="5">
        <f t="shared" si="36"/>
        <v>0</v>
      </c>
      <c r="S65" s="1"/>
      <c r="T65" s="1">
        <f>SUM(OSRRefT22_13x_0)</f>
        <v>0</v>
      </c>
      <c r="U65" s="1"/>
      <c r="V65" s="5">
        <f t="shared" si="37"/>
        <v>0</v>
      </c>
      <c r="W65" s="1"/>
      <c r="X65" s="1">
        <f t="shared" si="38"/>
        <v>39</v>
      </c>
      <c r="Y65" s="1"/>
      <c r="Z65" s="5">
        <f t="shared" si="39"/>
        <v>0</v>
      </c>
    </row>
    <row r="66" spans="1:26" s="24" customFormat="1" hidden="1" outlineLevel="2" x14ac:dyDescent="0.25">
      <c r="A66" s="25"/>
      <c r="B66" s="11" t="str">
        <f>CONCATENATE("          ", "6258", " - ", "MEMBERSHIP DUES")</f>
        <v xml:space="preserve">          6258 - MEMBERSHIP DUES</v>
      </c>
      <c r="C66" s="11"/>
      <c r="D66" s="6"/>
      <c r="E66" s="2"/>
      <c r="F66" s="7">
        <f t="shared" si="32"/>
        <v>0</v>
      </c>
      <c r="G66" s="2"/>
      <c r="H66" s="6"/>
      <c r="I66" s="2"/>
      <c r="J66" s="7">
        <f t="shared" si="33"/>
        <v>0</v>
      </c>
      <c r="K66" s="2"/>
      <c r="L66" s="6">
        <f t="shared" si="34"/>
        <v>0</v>
      </c>
      <c r="M66" s="2"/>
      <c r="N66" s="7">
        <f t="shared" si="35"/>
        <v>0</v>
      </c>
      <c r="O66" s="11"/>
      <c r="P66" s="6">
        <v>39</v>
      </c>
      <c r="Q66" s="2"/>
      <c r="R66" s="7">
        <f t="shared" si="36"/>
        <v>0</v>
      </c>
      <c r="S66" s="2"/>
      <c r="T66" s="6"/>
      <c r="U66" s="2"/>
      <c r="V66" s="7">
        <f t="shared" si="37"/>
        <v>0</v>
      </c>
      <c r="W66" s="2"/>
      <c r="X66" s="6">
        <f t="shared" si="38"/>
        <v>39</v>
      </c>
      <c r="Y66" s="2"/>
      <c r="Z66" s="7">
        <f t="shared" si="39"/>
        <v>0</v>
      </c>
    </row>
    <row r="67" spans="1:26" s="26" customFormat="1" outlineLevel="1" collapsed="1" x14ac:dyDescent="0.25">
      <c r="A67" s="27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SUM(OSRRefD22_14x_0)</f>
        <v>277.06</v>
      </c>
      <c r="E67" s="1"/>
      <c r="F67" s="5">
        <f t="shared" si="32"/>
        <v>0</v>
      </c>
      <c r="G67" s="1"/>
      <c r="H67" s="1">
        <f>SUM(OSRRefH22_14x_0)</f>
        <v>300</v>
      </c>
      <c r="I67" s="1"/>
      <c r="J67" s="5">
        <f t="shared" si="33"/>
        <v>0</v>
      </c>
      <c r="K67" s="1"/>
      <c r="L67" s="1">
        <f t="shared" si="34"/>
        <v>-22.939999999999998</v>
      </c>
      <c r="M67" s="1"/>
      <c r="N67" s="5">
        <f t="shared" si="35"/>
        <v>-7.6466666666666655E-2</v>
      </c>
      <c r="O67" s="13"/>
      <c r="P67" s="1">
        <f>SUM(OSRRefP22_14x_0)</f>
        <v>2884.95</v>
      </c>
      <c r="Q67" s="1"/>
      <c r="R67" s="5">
        <f t="shared" si="36"/>
        <v>0</v>
      </c>
      <c r="S67" s="1"/>
      <c r="T67" s="1">
        <f>SUM(OSRRefT22_14x_0)</f>
        <v>1250</v>
      </c>
      <c r="U67" s="1"/>
      <c r="V67" s="5">
        <f t="shared" si="37"/>
        <v>0</v>
      </c>
      <c r="W67" s="1"/>
      <c r="X67" s="1">
        <f t="shared" si="38"/>
        <v>1634.9499999999998</v>
      </c>
      <c r="Y67" s="1"/>
      <c r="Z67" s="5">
        <f t="shared" si="39"/>
        <v>1.3079599999999998</v>
      </c>
    </row>
    <row r="68" spans="1:26" s="24" customFormat="1" hidden="1" outlineLevel="2" x14ac:dyDescent="0.25">
      <c r="A68" s="25"/>
      <c r="B68" s="11" t="str">
        <f>CONCATENATE("          ", "6241", " - ", "OFFICE EXPENSE")</f>
        <v xml:space="preserve">          6241 - OFFICE EXPENSE</v>
      </c>
      <c r="C68" s="11"/>
      <c r="D68" s="6">
        <v>277.06</v>
      </c>
      <c r="E68" s="2"/>
      <c r="F68" s="7">
        <f t="shared" si="32"/>
        <v>0</v>
      </c>
      <c r="G68" s="2"/>
      <c r="H68" s="6">
        <v>300</v>
      </c>
      <c r="I68" s="2"/>
      <c r="J68" s="7">
        <f t="shared" si="33"/>
        <v>0</v>
      </c>
      <c r="K68" s="2"/>
      <c r="L68" s="6">
        <f t="shared" si="34"/>
        <v>-22.939999999999998</v>
      </c>
      <c r="M68" s="2"/>
      <c r="N68" s="7">
        <f t="shared" si="35"/>
        <v>-7.6466666666666655E-2</v>
      </c>
      <c r="O68" s="11"/>
      <c r="P68" s="6">
        <v>2222.04</v>
      </c>
      <c r="Q68" s="2"/>
      <c r="R68" s="7">
        <f t="shared" si="36"/>
        <v>0</v>
      </c>
      <c r="S68" s="2"/>
      <c r="T68" s="6">
        <v>1250</v>
      </c>
      <c r="U68" s="2"/>
      <c r="V68" s="7">
        <f t="shared" si="37"/>
        <v>0</v>
      </c>
      <c r="W68" s="2"/>
      <c r="X68" s="6">
        <f t="shared" si="38"/>
        <v>972.04</v>
      </c>
      <c r="Y68" s="2"/>
      <c r="Z68" s="7">
        <f t="shared" si="39"/>
        <v>0.77763199999999999</v>
      </c>
    </row>
    <row r="69" spans="1:26" s="24" customFormat="1" hidden="1" outlineLevel="2" x14ac:dyDescent="0.25">
      <c r="A69" s="25"/>
      <c r="B69" s="11" t="str">
        <f>CONCATENATE("          ", "6245", " - ", "PRINTING")</f>
        <v xml:space="preserve">          6245 - PRINTING</v>
      </c>
      <c r="C69" s="11"/>
      <c r="D69" s="6"/>
      <c r="E69" s="2"/>
      <c r="F69" s="7">
        <f t="shared" si="32"/>
        <v>0</v>
      </c>
      <c r="G69" s="2"/>
      <c r="H69" s="6"/>
      <c r="I69" s="2"/>
      <c r="J69" s="7">
        <f t="shared" si="33"/>
        <v>0</v>
      </c>
      <c r="K69" s="2"/>
      <c r="L69" s="6">
        <f t="shared" si="34"/>
        <v>0</v>
      </c>
      <c r="M69" s="2"/>
      <c r="N69" s="7">
        <f t="shared" si="35"/>
        <v>0</v>
      </c>
      <c r="O69" s="11"/>
      <c r="P69" s="6">
        <v>662.91</v>
      </c>
      <c r="Q69" s="2"/>
      <c r="R69" s="7">
        <f t="shared" si="36"/>
        <v>0</v>
      </c>
      <c r="S69" s="2"/>
      <c r="T69" s="6"/>
      <c r="U69" s="2"/>
      <c r="V69" s="7">
        <f t="shared" si="37"/>
        <v>0</v>
      </c>
      <c r="W69" s="2"/>
      <c r="X69" s="6">
        <f t="shared" si="38"/>
        <v>662.91</v>
      </c>
      <c r="Y69" s="2"/>
      <c r="Z69" s="7">
        <f t="shared" si="39"/>
        <v>0</v>
      </c>
    </row>
    <row r="70" spans="1:26" s="26" customFormat="1" outlineLevel="1" collapsed="1" x14ac:dyDescent="0.25">
      <c r="A70" s="27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SUM(OSRRefD22_15x_0)</f>
        <v>435.38</v>
      </c>
      <c r="E70" s="1"/>
      <c r="F70" s="5">
        <f t="shared" ref="F70:F73" si="40">IF(D$12=0,0,D70/D$12)</f>
        <v>0</v>
      </c>
      <c r="G70" s="1"/>
      <c r="H70" s="1">
        <f>SUM(OSRRefH22_15x_0)</f>
        <v>375</v>
      </c>
      <c r="I70" s="1"/>
      <c r="J70" s="5">
        <f t="shared" ref="J70:J73" si="41">IF(H$12=0,0,H70/H$12)</f>
        <v>0</v>
      </c>
      <c r="K70" s="1"/>
      <c r="L70" s="1">
        <f t="shared" ref="L70:L73" si="42">+D70-H70</f>
        <v>60.379999999999995</v>
      </c>
      <c r="M70" s="1"/>
      <c r="N70" s="5">
        <f t="shared" ref="N70:N73" si="43">IF(H70=0,0,L70/H70)</f>
        <v>0.16101333333333331</v>
      </c>
      <c r="O70" s="13"/>
      <c r="P70" s="1">
        <f>SUM(OSRRefP22_15x_0)</f>
        <v>1995.61</v>
      </c>
      <c r="Q70" s="1"/>
      <c r="R70" s="5">
        <f t="shared" ref="R70:R73" si="44">IF(P$12=0,0,P70/P$12)</f>
        <v>0</v>
      </c>
      <c r="S70" s="1"/>
      <c r="T70" s="1">
        <f>SUM(OSRRefT22_15x_0)</f>
        <v>1875</v>
      </c>
      <c r="U70" s="1"/>
      <c r="V70" s="5">
        <f t="shared" ref="V70:V73" si="45">IF(T$12=0,0,T70/T$12)</f>
        <v>0</v>
      </c>
      <c r="W70" s="1"/>
      <c r="X70" s="1">
        <f t="shared" ref="X70:X73" si="46">+P70-T70</f>
        <v>120.6099999999999</v>
      </c>
      <c r="Y70" s="1"/>
      <c r="Z70" s="5">
        <f t="shared" ref="Z70:Z73" si="47">IF(T70=0,0,X70/T70)</f>
        <v>6.4325333333333276E-2</v>
      </c>
    </row>
    <row r="71" spans="1:26" s="24" customFormat="1" hidden="1" outlineLevel="2" x14ac:dyDescent="0.25">
      <c r="A71" s="25"/>
      <c r="B71" s="11" t="str">
        <f>CONCATENATE("          ", "6309", " - ", "TELEPHONE")</f>
        <v xml:space="preserve">          6309 - TELEPHONE</v>
      </c>
      <c r="C71" s="11"/>
      <c r="D71" s="6">
        <v>435.38</v>
      </c>
      <c r="E71" s="2"/>
      <c r="F71" s="7">
        <f t="shared" si="40"/>
        <v>0</v>
      </c>
      <c r="G71" s="2"/>
      <c r="H71" s="6">
        <v>375</v>
      </c>
      <c r="I71" s="2"/>
      <c r="J71" s="7">
        <f t="shared" si="41"/>
        <v>0</v>
      </c>
      <c r="K71" s="2"/>
      <c r="L71" s="6">
        <f t="shared" si="42"/>
        <v>60.379999999999995</v>
      </c>
      <c r="M71" s="2"/>
      <c r="N71" s="7">
        <f t="shared" si="43"/>
        <v>0.16101333333333331</v>
      </c>
      <c r="O71" s="11"/>
      <c r="P71" s="6">
        <v>1995.61</v>
      </c>
      <c r="Q71" s="2"/>
      <c r="R71" s="7">
        <f t="shared" si="44"/>
        <v>0</v>
      </c>
      <c r="S71" s="2"/>
      <c r="T71" s="6">
        <v>1875</v>
      </c>
      <c r="U71" s="2"/>
      <c r="V71" s="7">
        <f t="shared" si="45"/>
        <v>0</v>
      </c>
      <c r="W71" s="2"/>
      <c r="X71" s="6">
        <f t="shared" si="46"/>
        <v>120.6099999999999</v>
      </c>
      <c r="Y71" s="2"/>
      <c r="Z71" s="7">
        <f t="shared" si="47"/>
        <v>6.4325333333333276E-2</v>
      </c>
    </row>
    <row r="72" spans="1:26" s="26" customFormat="1" outlineLevel="1" collapsed="1" x14ac:dyDescent="0.25">
      <c r="A72" s="27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SUM(OSRRefD22_16x_0)</f>
        <v>7</v>
      </c>
      <c r="E72" s="1"/>
      <c r="F72" s="5">
        <f t="shared" si="40"/>
        <v>0</v>
      </c>
      <c r="G72" s="1"/>
      <c r="H72" s="1">
        <f>SUM(OSRRefH22_16x_0)</f>
        <v>583</v>
      </c>
      <c r="I72" s="1"/>
      <c r="J72" s="5">
        <f t="shared" si="41"/>
        <v>0</v>
      </c>
      <c r="K72" s="1"/>
      <c r="L72" s="1">
        <f t="shared" si="42"/>
        <v>-576</v>
      </c>
      <c r="M72" s="1"/>
      <c r="N72" s="5">
        <f t="shared" si="43"/>
        <v>-0.98799313893653518</v>
      </c>
      <c r="O72" s="13"/>
      <c r="P72" s="1">
        <f>SUM(OSRRefP22_16x_0)</f>
        <v>27.53</v>
      </c>
      <c r="Q72" s="1"/>
      <c r="R72" s="5">
        <f t="shared" si="44"/>
        <v>0</v>
      </c>
      <c r="S72" s="1"/>
      <c r="T72" s="1">
        <f>SUM(OSRRefT22_16x_0)</f>
        <v>2915</v>
      </c>
      <c r="U72" s="1"/>
      <c r="V72" s="5">
        <f t="shared" si="45"/>
        <v>0</v>
      </c>
      <c r="W72" s="1"/>
      <c r="X72" s="1">
        <f t="shared" si="46"/>
        <v>-2887.47</v>
      </c>
      <c r="Y72" s="1"/>
      <c r="Z72" s="5">
        <f t="shared" si="47"/>
        <v>-0.99055574614065178</v>
      </c>
    </row>
    <row r="73" spans="1:26" s="24" customFormat="1" hidden="1" outlineLevel="2" x14ac:dyDescent="0.25">
      <c r="A73" s="25"/>
      <c r="B73" s="11" t="str">
        <f>CONCATENATE("          ", "6376", " - ", "TRAINING")</f>
        <v xml:space="preserve">          6376 - TRAINING</v>
      </c>
      <c r="C73" s="11"/>
      <c r="D73" s="6">
        <v>7</v>
      </c>
      <c r="E73" s="2"/>
      <c r="F73" s="7">
        <f t="shared" si="40"/>
        <v>0</v>
      </c>
      <c r="G73" s="2"/>
      <c r="H73" s="6">
        <v>583</v>
      </c>
      <c r="I73" s="2"/>
      <c r="J73" s="7">
        <f t="shared" si="41"/>
        <v>0</v>
      </c>
      <c r="K73" s="2"/>
      <c r="L73" s="6">
        <f t="shared" si="42"/>
        <v>-576</v>
      </c>
      <c r="M73" s="2"/>
      <c r="N73" s="7">
        <f t="shared" si="43"/>
        <v>-0.98799313893653518</v>
      </c>
      <c r="O73" s="11"/>
      <c r="P73" s="6">
        <v>27.53</v>
      </c>
      <c r="Q73" s="2"/>
      <c r="R73" s="7">
        <f t="shared" si="44"/>
        <v>0</v>
      </c>
      <c r="S73" s="2"/>
      <c r="T73" s="6">
        <v>2915</v>
      </c>
      <c r="U73" s="2"/>
      <c r="V73" s="7">
        <f t="shared" si="45"/>
        <v>0</v>
      </c>
      <c r="W73" s="2"/>
      <c r="X73" s="6">
        <f t="shared" si="46"/>
        <v>-2887.47</v>
      </c>
      <c r="Y73" s="2"/>
      <c r="Z73" s="7">
        <f t="shared" si="47"/>
        <v>-0.99055574614065178</v>
      </c>
    </row>
    <row r="74" spans="1:26" s="59" customFormat="1" x14ac:dyDescent="0.25">
      <c r="A74" s="36"/>
      <c r="B74" s="36"/>
      <c r="C74" s="36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6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9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8" t="s">
        <v>3</v>
      </c>
      <c r="C77" s="28"/>
      <c r="D77" s="20">
        <f>+D16-D18+D75</f>
        <v>-44835.369999999988</v>
      </c>
      <c r="E77" s="14"/>
      <c r="F77" s="22">
        <f>IF(D$12=0,0,D77/D$12)</f>
        <v>0</v>
      </c>
      <c r="G77" s="14"/>
      <c r="H77" s="20">
        <f>+H16-H18+H75</f>
        <v>-49390.253413846098</v>
      </c>
      <c r="I77" s="14"/>
      <c r="J77" s="22">
        <f>IF(H$12=0,0,H77/H$12)</f>
        <v>0</v>
      </c>
      <c r="K77" s="16"/>
      <c r="L77" s="20">
        <f>+D77-H77</f>
        <v>4554.8834138461098</v>
      </c>
      <c r="M77" s="16"/>
      <c r="N77" s="22">
        <f>IF(H77=0,0,L77/H77)</f>
        <v>-9.2222313088379304E-2</v>
      </c>
      <c r="O77" s="29"/>
      <c r="P77" s="20">
        <f>+P16-P18+P75</f>
        <v>-259130.04999999996</v>
      </c>
      <c r="Q77" s="14"/>
      <c r="R77" s="22">
        <f>IF(P$12=0,0,P77/P$12)</f>
        <v>0</v>
      </c>
      <c r="S77" s="14"/>
      <c r="T77" s="20">
        <f>+T16-T18+T75</f>
        <v>-266794.58710115368</v>
      </c>
      <c r="U77" s="14"/>
      <c r="V77" s="22">
        <f>IF(T$12=0,0,T77/T$12)</f>
        <v>0</v>
      </c>
      <c r="W77" s="16"/>
      <c r="X77" s="20">
        <f>+P77-T77</f>
        <v>7664.5371011537209</v>
      </c>
      <c r="Y77" s="16"/>
      <c r="Z77" s="22">
        <f>IF(T77=0,0,X77/T77)</f>
        <v>-2.8728233149077177E-2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2"/>
      <c r="B79" s="10" t="s">
        <v>14</v>
      </c>
      <c r="C79" s="10"/>
      <c r="D79" s="4"/>
      <c r="E79" s="4"/>
      <c r="F79" s="12">
        <f>IF(D$12=0,0,D79/D$12)</f>
        <v>0</v>
      </c>
      <c r="G79" s="4"/>
      <c r="H79" s="4"/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/>
      <c r="Q79" s="4"/>
      <c r="R79" s="12">
        <f>IF(P$12=0,0,P79/P$12)</f>
        <v>0</v>
      </c>
      <c r="S79" s="4"/>
      <c r="T79" s="4"/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4</v>
      </c>
      <c r="C81" s="28"/>
      <c r="D81" s="30">
        <f>+D77-D79</f>
        <v>-44835.369999999988</v>
      </c>
      <c r="E81" s="14"/>
      <c r="F81" s="32">
        <f>IF(D$12=0,0,D81/D$12)</f>
        <v>0</v>
      </c>
      <c r="G81" s="14"/>
      <c r="H81" s="30">
        <f>+H77-H79</f>
        <v>-49390.253413846098</v>
      </c>
      <c r="I81" s="14"/>
      <c r="J81" s="32">
        <f>IF(H$12=0,0,H81/H$12)</f>
        <v>0</v>
      </c>
      <c r="K81" s="16"/>
      <c r="L81" s="30">
        <f>D81-H81</f>
        <v>4554.8834138461098</v>
      </c>
      <c r="M81" s="16"/>
      <c r="N81" s="32">
        <f>IF(H81=0,0,L81/H81)</f>
        <v>-9.2222313088379304E-2</v>
      </c>
      <c r="O81" s="29"/>
      <c r="P81" s="30">
        <f>+P77-P79</f>
        <v>-259130.04999999996</v>
      </c>
      <c r="Q81" s="14"/>
      <c r="R81" s="32">
        <f>IF(P$12=0,0,P81/P$12)</f>
        <v>0</v>
      </c>
      <c r="S81" s="14"/>
      <c r="T81" s="30">
        <f>+T77-T79</f>
        <v>-266794.58710115368</v>
      </c>
      <c r="U81" s="14"/>
      <c r="V81" s="32">
        <f>IF(T$12=0,0,T81/T$12)</f>
        <v>0</v>
      </c>
      <c r="W81" s="16"/>
      <c r="X81" s="30">
        <f>P81-T81</f>
        <v>7664.5371011537209</v>
      </c>
      <c r="Y81" s="16"/>
      <c r="Z81" s="32">
        <f>IF(T81=0,0,X81/T81)</f>
        <v>-2.8728233149077177E-2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5</v>
      </c>
      <c r="C84" s="28"/>
      <c r="D84" s="31">
        <f>SUM(D81:D83)</f>
        <v>-44835.369999999988</v>
      </c>
      <c r="E84" s="14"/>
      <c r="F84" s="35">
        <f>IF(D$12=0,0,D84/D$12)</f>
        <v>0</v>
      </c>
      <c r="G84" s="14"/>
      <c r="H84" s="31">
        <f>SUM(H81:H83)</f>
        <v>-49390.253413846098</v>
      </c>
      <c r="I84" s="14"/>
      <c r="J84" s="35">
        <f>IF(H$12=0,0,H84/H$12)</f>
        <v>0</v>
      </c>
      <c r="K84" s="16"/>
      <c r="L84" s="31">
        <f>+D84-H84</f>
        <v>4554.8834138461098</v>
      </c>
      <c r="M84" s="16"/>
      <c r="N84" s="35">
        <f>IF(H84=0,0,L84/H84)</f>
        <v>-9.2222313088379304E-2</v>
      </c>
      <c r="O84" s="29"/>
      <c r="P84" s="31">
        <f>SUM(P81:P83)</f>
        <v>-259130.04999999996</v>
      </c>
      <c r="Q84" s="14"/>
      <c r="R84" s="35">
        <f>IF(P$12=0,0,P84/P$12)</f>
        <v>0</v>
      </c>
      <c r="S84" s="14"/>
      <c r="T84" s="31">
        <f>SUM(T81:T83)</f>
        <v>-266794.58710115368</v>
      </c>
      <c r="U84" s="14"/>
      <c r="V84" s="35">
        <f>IF(T$12=0,0,T84/T$12)</f>
        <v>0</v>
      </c>
      <c r="W84" s="16"/>
      <c r="X84" s="31">
        <f>+P84-T84</f>
        <v>7664.5371011537209</v>
      </c>
      <c r="Y84" s="16"/>
      <c r="Z84" s="35">
        <f>IF(T84=0,0,X84/T84)</f>
        <v>-2.8728233149077177E-2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56">
        <v>43815.483475462963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62" t="s">
        <v>314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58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","203", " - ", "Human Resources")</f>
        <v>Department 203 - Human Resources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50493.69000000001</v>
      </c>
      <c r="E18" s="21"/>
      <c r="F18" s="33">
        <f t="shared" ref="F18:F29" si="0">IF(D$12=0,0,D18/D$12)</f>
        <v>0</v>
      </c>
      <c r="G18" s="21"/>
      <c r="H18" s="21">
        <f>SUM(OSRRefH22x_0)</f>
        <v>50536.270203673834</v>
      </c>
      <c r="I18" s="21"/>
      <c r="J18" s="33">
        <f t="shared" ref="J18:J29" si="1">IF(H$12=0,0,H18/H$12)</f>
        <v>0</v>
      </c>
      <c r="K18" s="4"/>
      <c r="L18" s="21">
        <f t="shared" ref="L18:L29" si="2">+D18-H18</f>
        <v>-42.580203673824144</v>
      </c>
      <c r="M18" s="4"/>
      <c r="N18" s="33">
        <f t="shared" ref="N18:N29" si="3">IF(H18=0,0,L18/H18)</f>
        <v>-8.4256719979957468E-4</v>
      </c>
      <c r="O18" s="10"/>
      <c r="P18" s="21">
        <f>SUM(OSRRefP22x_0)</f>
        <v>340081.28</v>
      </c>
      <c r="Q18" s="21"/>
      <c r="R18" s="33">
        <f t="shared" ref="R18:R29" si="4">IF(P$12=0,0,P18/P$12)</f>
        <v>0</v>
      </c>
      <c r="S18" s="21"/>
      <c r="T18" s="21">
        <f>SUM(OSRRefT22x_0)</f>
        <v>308021.98612020613</v>
      </c>
      <c r="U18" s="21"/>
      <c r="V18" s="33">
        <f t="shared" ref="V18:V29" si="5">IF(T$12=0,0,T18/T$12)</f>
        <v>0</v>
      </c>
      <c r="W18" s="4"/>
      <c r="X18" s="21">
        <f t="shared" ref="X18:X29" si="6">+P18-T18</f>
        <v>32059.293879793899</v>
      </c>
      <c r="Y18" s="4"/>
      <c r="Z18" s="33">
        <f t="shared" ref="Z18:Z29" si="7">IF(T18=0,0,X18/T18)</f>
        <v>0.10408118681269297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12336.43</v>
      </c>
      <c r="E19" s="1"/>
      <c r="F19" s="5">
        <f t="shared" si="0"/>
        <v>0</v>
      </c>
      <c r="G19" s="1"/>
      <c r="H19" s="1">
        <f>SUM(OSRRefH22_0x_0)</f>
        <v>10034.688480596915</v>
      </c>
      <c r="I19" s="1"/>
      <c r="J19" s="5">
        <f t="shared" si="1"/>
        <v>0</v>
      </c>
      <c r="K19" s="1"/>
      <c r="L19" s="1">
        <f t="shared" si="2"/>
        <v>2301.7415194030855</v>
      </c>
      <c r="M19" s="1"/>
      <c r="N19" s="5">
        <f t="shared" si="3"/>
        <v>0.22937847286975929</v>
      </c>
      <c r="O19" s="13"/>
      <c r="P19" s="1">
        <f>SUM(OSRRefP22_0x_0)</f>
        <v>69716.710000000006</v>
      </c>
      <c r="Q19" s="1"/>
      <c r="R19" s="5">
        <f t="shared" si="4"/>
        <v>0</v>
      </c>
      <c r="S19" s="1"/>
      <c r="T19" s="1">
        <f>SUM(OSRRefT22_0x_0)</f>
        <v>53727.286643283071</v>
      </c>
      <c r="U19" s="1"/>
      <c r="V19" s="5">
        <f t="shared" si="5"/>
        <v>0</v>
      </c>
      <c r="W19" s="1"/>
      <c r="X19" s="1">
        <f t="shared" si="6"/>
        <v>15989.423356716936</v>
      </c>
      <c r="Y19" s="1"/>
      <c r="Z19" s="5">
        <f t="shared" si="7"/>
        <v>0.29760340332980351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1665.77</v>
      </c>
      <c r="E20" s="2"/>
      <c r="F20" s="7">
        <f t="shared" si="0"/>
        <v>0</v>
      </c>
      <c r="G20" s="2"/>
      <c r="H20" s="6">
        <v>1285.4190258276901</v>
      </c>
      <c r="I20" s="2"/>
      <c r="J20" s="7">
        <f t="shared" si="1"/>
        <v>0</v>
      </c>
      <c r="K20" s="2"/>
      <c r="L20" s="6">
        <f t="shared" si="2"/>
        <v>380.35097417230986</v>
      </c>
      <c r="M20" s="2"/>
      <c r="N20" s="7">
        <f t="shared" si="3"/>
        <v>0.29589648708319005</v>
      </c>
      <c r="O20" s="11"/>
      <c r="P20" s="6">
        <v>10783.9</v>
      </c>
      <c r="Q20" s="2"/>
      <c r="R20" s="7">
        <f t="shared" si="4"/>
        <v>0</v>
      </c>
      <c r="S20" s="2"/>
      <c r="T20" s="6">
        <v>7069.8046420523096</v>
      </c>
      <c r="U20" s="2"/>
      <c r="V20" s="7">
        <f t="shared" si="5"/>
        <v>0</v>
      </c>
      <c r="W20" s="2"/>
      <c r="X20" s="6">
        <f t="shared" si="6"/>
        <v>3714.09535794769</v>
      </c>
      <c r="Y20" s="2"/>
      <c r="Z20" s="7">
        <f t="shared" si="7"/>
        <v>0.52534625014327363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76.23</v>
      </c>
      <c r="E21" s="2"/>
      <c r="F21" s="7">
        <f t="shared" si="0"/>
        <v>0</v>
      </c>
      <c r="G21" s="2"/>
      <c r="H21" s="6">
        <v>81.560139446153897</v>
      </c>
      <c r="I21" s="2"/>
      <c r="J21" s="7">
        <f t="shared" si="1"/>
        <v>0</v>
      </c>
      <c r="K21" s="2"/>
      <c r="L21" s="6">
        <f t="shared" si="2"/>
        <v>-5.3301394461538933</v>
      </c>
      <c r="M21" s="2"/>
      <c r="N21" s="7">
        <f t="shared" si="3"/>
        <v>-6.5352260091130154E-2</v>
      </c>
      <c r="O21" s="11"/>
      <c r="P21" s="6">
        <v>311.17</v>
      </c>
      <c r="Q21" s="2"/>
      <c r="R21" s="7">
        <f t="shared" si="4"/>
        <v>0</v>
      </c>
      <c r="S21" s="2"/>
      <c r="T21" s="6">
        <v>448.58076695384568</v>
      </c>
      <c r="U21" s="2"/>
      <c r="V21" s="7">
        <f t="shared" si="5"/>
        <v>0</v>
      </c>
      <c r="W21" s="2"/>
      <c r="X21" s="6">
        <f t="shared" si="6"/>
        <v>-137.41076695384567</v>
      </c>
      <c r="Y21" s="2"/>
      <c r="Z21" s="7">
        <f t="shared" si="7"/>
        <v>-0.30632335819244744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5861.63</v>
      </c>
      <c r="E22" s="2"/>
      <c r="F22" s="7">
        <f t="shared" si="0"/>
        <v>0</v>
      </c>
      <c r="G22" s="2"/>
      <c r="H22" s="6">
        <v>5626.8461538461497</v>
      </c>
      <c r="I22" s="2"/>
      <c r="J22" s="7">
        <f t="shared" si="1"/>
        <v>0</v>
      </c>
      <c r="K22" s="2"/>
      <c r="L22" s="6">
        <f t="shared" si="2"/>
        <v>234.78384615385039</v>
      </c>
      <c r="M22" s="2"/>
      <c r="N22" s="7">
        <f t="shared" si="3"/>
        <v>4.1725655853122497E-2</v>
      </c>
      <c r="O22" s="11"/>
      <c r="P22" s="6">
        <v>29308.9</v>
      </c>
      <c r="Q22" s="2"/>
      <c r="R22" s="7">
        <f t="shared" si="4"/>
        <v>0</v>
      </c>
      <c r="S22" s="2"/>
      <c r="T22" s="6">
        <v>29959.153846153833</v>
      </c>
      <c r="U22" s="2"/>
      <c r="V22" s="7">
        <f t="shared" si="5"/>
        <v>0</v>
      </c>
      <c r="W22" s="2"/>
      <c r="X22" s="6">
        <f t="shared" si="6"/>
        <v>-650.25384615383155</v>
      </c>
      <c r="Y22" s="2"/>
      <c r="Z22" s="7">
        <f t="shared" si="7"/>
        <v>-2.1704679961690954E-2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58.29</v>
      </c>
      <c r="E23" s="2"/>
      <c r="F23" s="7">
        <f t="shared" si="0"/>
        <v>0</v>
      </c>
      <c r="G23" s="2"/>
      <c r="H23" s="6">
        <v>62.369518399999997</v>
      </c>
      <c r="I23" s="2"/>
      <c r="J23" s="7">
        <f t="shared" si="1"/>
        <v>0</v>
      </c>
      <c r="K23" s="2"/>
      <c r="L23" s="6">
        <f t="shared" si="2"/>
        <v>-4.0795183999999978</v>
      </c>
      <c r="M23" s="2"/>
      <c r="N23" s="7">
        <f t="shared" si="3"/>
        <v>-6.5408848819970972E-2</v>
      </c>
      <c r="O23" s="11"/>
      <c r="P23" s="6">
        <v>336.65</v>
      </c>
      <c r="Q23" s="2"/>
      <c r="R23" s="7">
        <f t="shared" si="4"/>
        <v>0</v>
      </c>
      <c r="S23" s="2"/>
      <c r="T23" s="6">
        <v>343.03235119999999</v>
      </c>
      <c r="U23" s="2"/>
      <c r="V23" s="7">
        <f t="shared" si="5"/>
        <v>0</v>
      </c>
      <c r="W23" s="2"/>
      <c r="X23" s="6">
        <f t="shared" si="6"/>
        <v>-6.3823512000000164</v>
      </c>
      <c r="Y23" s="2"/>
      <c r="Z23" s="7">
        <f t="shared" si="7"/>
        <v>-1.8605683043226674E-2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919.4</v>
      </c>
      <c r="E24" s="2"/>
      <c r="F24" s="7">
        <f t="shared" si="0"/>
        <v>0</v>
      </c>
      <c r="G24" s="2"/>
      <c r="H24" s="6">
        <v>684.79153846153804</v>
      </c>
      <c r="I24" s="2"/>
      <c r="J24" s="7">
        <f t="shared" si="1"/>
        <v>0</v>
      </c>
      <c r="K24" s="2"/>
      <c r="L24" s="6">
        <f t="shared" si="2"/>
        <v>234.60846153846194</v>
      </c>
      <c r="M24" s="2"/>
      <c r="N24" s="7">
        <f t="shared" si="3"/>
        <v>0.34259836513975694</v>
      </c>
      <c r="O24" s="11"/>
      <c r="P24" s="6">
        <v>6120.89</v>
      </c>
      <c r="Q24" s="2"/>
      <c r="R24" s="7">
        <f t="shared" si="4"/>
        <v>0</v>
      </c>
      <c r="S24" s="2"/>
      <c r="T24" s="6">
        <v>3766.3534615384597</v>
      </c>
      <c r="U24" s="2"/>
      <c r="V24" s="7">
        <f t="shared" si="5"/>
        <v>0</v>
      </c>
      <c r="W24" s="2"/>
      <c r="X24" s="6">
        <f t="shared" si="6"/>
        <v>2354.5365384615407</v>
      </c>
      <c r="Y24" s="2"/>
      <c r="Z24" s="7">
        <f t="shared" si="7"/>
        <v>0.62515017841681075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500</v>
      </c>
      <c r="I25" s="2"/>
      <c r="J25" s="7">
        <f t="shared" si="1"/>
        <v>0</v>
      </c>
      <c r="K25" s="2"/>
      <c r="L25" s="6">
        <f t="shared" si="2"/>
        <v>-500</v>
      </c>
      <c r="M25" s="2"/>
      <c r="N25" s="7">
        <f t="shared" si="3"/>
        <v>-1</v>
      </c>
      <c r="O25" s="11"/>
      <c r="P25" s="6">
        <v>1971.94</v>
      </c>
      <c r="Q25" s="2"/>
      <c r="R25" s="7">
        <f t="shared" si="4"/>
        <v>0</v>
      </c>
      <c r="S25" s="2"/>
      <c r="T25" s="6">
        <v>2500</v>
      </c>
      <c r="U25" s="2"/>
      <c r="V25" s="7">
        <f t="shared" si="5"/>
        <v>0</v>
      </c>
      <c r="W25" s="2"/>
      <c r="X25" s="6">
        <f t="shared" si="6"/>
        <v>-528.05999999999995</v>
      </c>
      <c r="Y25" s="2"/>
      <c r="Z25" s="7">
        <f t="shared" si="7"/>
        <v>-0.21122399999999997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6">
        <v>333.85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333.85</v>
      </c>
      <c r="M26" s="2"/>
      <c r="N26" s="7">
        <f t="shared" si="3"/>
        <v>0</v>
      </c>
      <c r="O26" s="11"/>
      <c r="P26" s="6">
        <v>2313.37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2313.37</v>
      </c>
      <c r="Y26" s="2"/>
      <c r="Z26" s="7">
        <f t="shared" si="7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1479.67</v>
      </c>
      <c r="E27" s="2"/>
      <c r="F27" s="7">
        <f t="shared" si="0"/>
        <v>0</v>
      </c>
      <c r="G27" s="2"/>
      <c r="H27" s="6">
        <v>839.81381538461505</v>
      </c>
      <c r="I27" s="2"/>
      <c r="J27" s="7">
        <f t="shared" si="1"/>
        <v>0</v>
      </c>
      <c r="K27" s="2"/>
      <c r="L27" s="6">
        <f t="shared" si="2"/>
        <v>639.85618461538502</v>
      </c>
      <c r="M27" s="2"/>
      <c r="N27" s="7">
        <f t="shared" si="3"/>
        <v>0.76190242753073301</v>
      </c>
      <c r="O27" s="11"/>
      <c r="P27" s="6">
        <v>10085.870000000001</v>
      </c>
      <c r="Q27" s="2"/>
      <c r="R27" s="7">
        <f t="shared" si="4"/>
        <v>0</v>
      </c>
      <c r="S27" s="2"/>
      <c r="T27" s="6">
        <v>4618.9759846153847</v>
      </c>
      <c r="U27" s="2"/>
      <c r="V27" s="7">
        <f t="shared" si="5"/>
        <v>0</v>
      </c>
      <c r="W27" s="2"/>
      <c r="X27" s="6">
        <f t="shared" si="6"/>
        <v>5466.8940153846161</v>
      </c>
      <c r="Y27" s="2"/>
      <c r="Z27" s="7">
        <f t="shared" si="7"/>
        <v>1.183572729885028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1514.86</v>
      </c>
      <c r="E28" s="2"/>
      <c r="F28" s="7">
        <f t="shared" si="0"/>
        <v>0</v>
      </c>
      <c r="G28" s="2"/>
      <c r="H28" s="6">
        <v>503.88828923076903</v>
      </c>
      <c r="I28" s="2"/>
      <c r="J28" s="7">
        <f t="shared" si="1"/>
        <v>0</v>
      </c>
      <c r="K28" s="2"/>
      <c r="L28" s="6">
        <f t="shared" si="2"/>
        <v>1010.9717107692309</v>
      </c>
      <c r="M28" s="2"/>
      <c r="N28" s="7">
        <f t="shared" si="3"/>
        <v>2.0063409536914829</v>
      </c>
      <c r="O28" s="11"/>
      <c r="P28" s="6">
        <v>6551.09</v>
      </c>
      <c r="Q28" s="2"/>
      <c r="R28" s="7">
        <f t="shared" si="4"/>
        <v>0</v>
      </c>
      <c r="S28" s="2"/>
      <c r="T28" s="6">
        <v>2771.3855907692309</v>
      </c>
      <c r="U28" s="2"/>
      <c r="V28" s="7">
        <f t="shared" si="5"/>
        <v>0</v>
      </c>
      <c r="W28" s="2"/>
      <c r="X28" s="6">
        <f t="shared" si="6"/>
        <v>3779.7044092307692</v>
      </c>
      <c r="Y28" s="2"/>
      <c r="Z28" s="7">
        <f t="shared" si="7"/>
        <v>1.3638320202789491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426.73</v>
      </c>
      <c r="E29" s="2"/>
      <c r="F29" s="7">
        <f t="shared" si="0"/>
        <v>0</v>
      </c>
      <c r="G29" s="2"/>
      <c r="H29" s="6">
        <v>450</v>
      </c>
      <c r="I29" s="2"/>
      <c r="J29" s="7">
        <f t="shared" si="1"/>
        <v>0</v>
      </c>
      <c r="K29" s="2"/>
      <c r="L29" s="6">
        <f t="shared" si="2"/>
        <v>-23.269999999999982</v>
      </c>
      <c r="M29" s="2"/>
      <c r="N29" s="7">
        <f t="shared" si="3"/>
        <v>-5.1711111111111069E-2</v>
      </c>
      <c r="O29" s="11"/>
      <c r="P29" s="6">
        <v>1932.93</v>
      </c>
      <c r="Q29" s="2"/>
      <c r="R29" s="7">
        <f t="shared" si="4"/>
        <v>0</v>
      </c>
      <c r="S29" s="2"/>
      <c r="T29" s="6">
        <v>2250</v>
      </c>
      <c r="U29" s="2"/>
      <c r="V29" s="7">
        <f t="shared" si="5"/>
        <v>0</v>
      </c>
      <c r="W29" s="2"/>
      <c r="X29" s="6">
        <f t="shared" si="6"/>
        <v>-317.06999999999994</v>
      </c>
      <c r="Y29" s="2"/>
      <c r="Z29" s="7">
        <f t="shared" si="7"/>
        <v>-0.14091999999999996</v>
      </c>
    </row>
    <row r="30" spans="1:26" s="26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20425.559999999998</v>
      </c>
      <c r="E30" s="1"/>
      <c r="F30" s="5">
        <f t="shared" ref="F30:F40" si="8">IF(D$12=0,0,D30/D$12)</f>
        <v>0</v>
      </c>
      <c r="G30" s="1"/>
      <c r="H30" s="1">
        <f>SUM(OSRRefH22_1x_0)</f>
        <v>22909.581723076921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-2484.0217230769231</v>
      </c>
      <c r="M30" s="1"/>
      <c r="N30" s="5">
        <f t="shared" ref="N30:N40" si="11">IF(H30=0,0,L30/H30)</f>
        <v>-0.10842719666831618</v>
      </c>
      <c r="O30" s="13"/>
      <c r="P30" s="1">
        <f>SUM(OSRRefP22_1x_0)</f>
        <v>118335.07999999999</v>
      </c>
      <c r="Q30" s="1"/>
      <c r="R30" s="5">
        <f t="shared" ref="R30:R40" si="12">IF(P$12=0,0,P30/P$12)</f>
        <v>0</v>
      </c>
      <c r="S30" s="1"/>
      <c r="T30" s="1">
        <f>SUM(OSRRefT22_1x_0)</f>
        <v>126002.69947692307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-7667.6194769230788</v>
      </c>
      <c r="Y30" s="1"/>
      <c r="Z30" s="5">
        <f t="shared" ref="Z30:Z40" si="15">IF(T30=0,0,X30/T30)</f>
        <v>-6.0852819096366861E-2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>
        <v>7645.88</v>
      </c>
      <c r="E31" s="2"/>
      <c r="F31" s="7">
        <f t="shared" si="8"/>
        <v>0</v>
      </c>
      <c r="G31" s="2"/>
      <c r="H31" s="6">
        <v>7325.6769230769205</v>
      </c>
      <c r="I31" s="2"/>
      <c r="J31" s="7">
        <f t="shared" si="9"/>
        <v>0</v>
      </c>
      <c r="K31" s="2"/>
      <c r="L31" s="6">
        <f t="shared" si="10"/>
        <v>320.20307692307961</v>
      </c>
      <c r="M31" s="2"/>
      <c r="N31" s="7">
        <f t="shared" si="11"/>
        <v>4.370969130707833E-2</v>
      </c>
      <c r="O31" s="11"/>
      <c r="P31" s="6">
        <v>43626.52</v>
      </c>
      <c r="Q31" s="2"/>
      <c r="R31" s="7">
        <f t="shared" si="12"/>
        <v>0</v>
      </c>
      <c r="S31" s="2"/>
      <c r="T31" s="6">
        <v>40291.223076923059</v>
      </c>
      <c r="U31" s="2"/>
      <c r="V31" s="7">
        <f t="shared" si="13"/>
        <v>0</v>
      </c>
      <c r="W31" s="2"/>
      <c r="X31" s="6">
        <f t="shared" si="14"/>
        <v>3335.2969230769377</v>
      </c>
      <c r="Y31" s="2"/>
      <c r="Z31" s="7">
        <f t="shared" si="15"/>
        <v>8.2779738820766668E-2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>
        <v>9310.7199999999993</v>
      </c>
      <c r="E34" s="2"/>
      <c r="F34" s="7">
        <f t="shared" si="8"/>
        <v>0</v>
      </c>
      <c r="G34" s="2"/>
      <c r="H34" s="6">
        <v>8391.9048000000003</v>
      </c>
      <c r="I34" s="2"/>
      <c r="J34" s="7">
        <f t="shared" si="9"/>
        <v>0</v>
      </c>
      <c r="K34" s="2"/>
      <c r="L34" s="6">
        <f t="shared" si="10"/>
        <v>918.81519999999909</v>
      </c>
      <c r="M34" s="2"/>
      <c r="N34" s="7">
        <f t="shared" si="11"/>
        <v>0.10948827732173499</v>
      </c>
      <c r="O34" s="11"/>
      <c r="P34" s="6">
        <v>48871.28</v>
      </c>
      <c r="Q34" s="2"/>
      <c r="R34" s="7">
        <f t="shared" si="12"/>
        <v>0</v>
      </c>
      <c r="S34" s="2"/>
      <c r="T34" s="6">
        <v>46155.4764</v>
      </c>
      <c r="U34" s="2"/>
      <c r="V34" s="7">
        <f t="shared" si="13"/>
        <v>0</v>
      </c>
      <c r="W34" s="2"/>
      <c r="X34" s="6">
        <f t="shared" si="14"/>
        <v>2715.8035999999993</v>
      </c>
      <c r="Y34" s="2"/>
      <c r="Z34" s="7">
        <f t="shared" si="15"/>
        <v>5.8840332975091975E-2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>
        <v>3468.96</v>
      </c>
      <c r="E35" s="2"/>
      <c r="F35" s="7">
        <f t="shared" si="8"/>
        <v>0</v>
      </c>
      <c r="G35" s="2"/>
      <c r="H35" s="6">
        <v>7192</v>
      </c>
      <c r="I35" s="2"/>
      <c r="J35" s="7">
        <f t="shared" si="9"/>
        <v>0</v>
      </c>
      <c r="K35" s="2"/>
      <c r="L35" s="6">
        <f t="shared" si="10"/>
        <v>-3723.04</v>
      </c>
      <c r="M35" s="2"/>
      <c r="N35" s="7">
        <f t="shared" si="11"/>
        <v>-0.51766407119021129</v>
      </c>
      <c r="O35" s="11"/>
      <c r="P35" s="6">
        <v>25837.279999999999</v>
      </c>
      <c r="Q35" s="2"/>
      <c r="R35" s="7">
        <f t="shared" si="12"/>
        <v>0</v>
      </c>
      <c r="S35" s="2"/>
      <c r="T35" s="6">
        <v>39556</v>
      </c>
      <c r="U35" s="2"/>
      <c r="V35" s="7">
        <f t="shared" si="13"/>
        <v>0</v>
      </c>
      <c r="W35" s="2"/>
      <c r="X35" s="6">
        <f t="shared" si="14"/>
        <v>-13718.720000000001</v>
      </c>
      <c r="Y35" s="2"/>
      <c r="Z35" s="7">
        <f t="shared" si="15"/>
        <v>-0.34681767620588538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>
        <v>0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6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285</v>
      </c>
      <c r="E41" s="1"/>
      <c r="F41" s="5">
        <f t="shared" ref="F41:F57" si="16">IF(D$12=0,0,D41/D$12)</f>
        <v>0</v>
      </c>
      <c r="G41" s="1"/>
      <c r="H41" s="1">
        <f>SUM(OSRRefH22_2x_0)</f>
        <v>260</v>
      </c>
      <c r="I41" s="1"/>
      <c r="J41" s="5">
        <f t="shared" ref="J41:J57" si="17">IF(H$12=0,0,H41/H$12)</f>
        <v>0</v>
      </c>
      <c r="K41" s="1"/>
      <c r="L41" s="1">
        <f t="shared" ref="L41:L57" si="18">+D41-H41</f>
        <v>25</v>
      </c>
      <c r="M41" s="1"/>
      <c r="N41" s="5">
        <f t="shared" ref="N41:N57" si="19">IF(H41=0,0,L41/H41)</f>
        <v>9.6153846153846159E-2</v>
      </c>
      <c r="O41" s="13"/>
      <c r="P41" s="1">
        <f>SUM(OSRRefP22_2x_0)</f>
        <v>1335.24</v>
      </c>
      <c r="Q41" s="1"/>
      <c r="R41" s="5">
        <f t="shared" ref="R41:R57" si="20">IF(P$12=0,0,P41/P$12)</f>
        <v>0</v>
      </c>
      <c r="S41" s="1"/>
      <c r="T41" s="1">
        <f>SUM(OSRRefT22_2x_0)</f>
        <v>1300</v>
      </c>
      <c r="U41" s="1"/>
      <c r="V41" s="5">
        <f t="shared" ref="V41:V57" si="21">IF(T$12=0,0,T41/T$12)</f>
        <v>0</v>
      </c>
      <c r="W41" s="1"/>
      <c r="X41" s="1">
        <f t="shared" ref="X41:X57" si="22">+P41-T41</f>
        <v>35.240000000000009</v>
      </c>
      <c r="Y41" s="1"/>
      <c r="Z41" s="5">
        <f t="shared" ref="Z41:Z57" si="23">IF(T41=0,0,X41/T41)</f>
        <v>2.7107692307692315E-2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>
        <v>285</v>
      </c>
      <c r="E42" s="2"/>
      <c r="F42" s="7">
        <f t="shared" si="16"/>
        <v>0</v>
      </c>
      <c r="G42" s="2"/>
      <c r="H42" s="6">
        <v>260</v>
      </c>
      <c r="I42" s="2"/>
      <c r="J42" s="7">
        <f t="shared" si="17"/>
        <v>0</v>
      </c>
      <c r="K42" s="2"/>
      <c r="L42" s="6">
        <f t="shared" si="18"/>
        <v>25</v>
      </c>
      <c r="M42" s="2"/>
      <c r="N42" s="7">
        <f t="shared" si="19"/>
        <v>9.6153846153846159E-2</v>
      </c>
      <c r="O42" s="11"/>
      <c r="P42" s="6">
        <v>1335.24</v>
      </c>
      <c r="Q42" s="2"/>
      <c r="R42" s="7">
        <f t="shared" si="20"/>
        <v>0</v>
      </c>
      <c r="S42" s="2"/>
      <c r="T42" s="6">
        <v>1300</v>
      </c>
      <c r="U42" s="2"/>
      <c r="V42" s="7">
        <f t="shared" si="21"/>
        <v>0</v>
      </c>
      <c r="W42" s="2"/>
      <c r="X42" s="6">
        <f t="shared" si="22"/>
        <v>35.240000000000009</v>
      </c>
      <c r="Y42" s="2"/>
      <c r="Z42" s="7">
        <f t="shared" si="23"/>
        <v>2.7107692307692315E-2</v>
      </c>
    </row>
    <row r="43" spans="1:26" s="26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224.18</v>
      </c>
      <c r="E43" s="1"/>
      <c r="F43" s="5">
        <f t="shared" si="16"/>
        <v>0</v>
      </c>
      <c r="G43" s="1"/>
      <c r="H43" s="1">
        <f>SUM(OSRRefH22_3x_0)</f>
        <v>224</v>
      </c>
      <c r="I43" s="1"/>
      <c r="J43" s="5">
        <f t="shared" si="17"/>
        <v>0</v>
      </c>
      <c r="K43" s="1"/>
      <c r="L43" s="1">
        <f t="shared" si="18"/>
        <v>0.18000000000000682</v>
      </c>
      <c r="M43" s="1"/>
      <c r="N43" s="5">
        <f t="shared" si="19"/>
        <v>8.0357142857145902E-4</v>
      </c>
      <c r="O43" s="13"/>
      <c r="P43" s="1">
        <f>SUM(OSRRefP22_3x_0)</f>
        <v>1120.9000000000001</v>
      </c>
      <c r="Q43" s="1"/>
      <c r="R43" s="5">
        <f t="shared" si="20"/>
        <v>0</v>
      </c>
      <c r="S43" s="1"/>
      <c r="T43" s="1">
        <f>SUM(OSRRefT22_3x_0)</f>
        <v>1120</v>
      </c>
      <c r="U43" s="1"/>
      <c r="V43" s="5">
        <f t="shared" si="21"/>
        <v>0</v>
      </c>
      <c r="W43" s="1"/>
      <c r="X43" s="1">
        <f t="shared" si="22"/>
        <v>0.90000000000009095</v>
      </c>
      <c r="Y43" s="1"/>
      <c r="Z43" s="5">
        <f t="shared" si="23"/>
        <v>8.0357142857150976E-4</v>
      </c>
    </row>
    <row r="44" spans="1:26" s="24" customFormat="1" hidden="1" outlineLevel="2" x14ac:dyDescent="0.25">
      <c r="A44" s="25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224.18</v>
      </c>
      <c r="E44" s="2"/>
      <c r="F44" s="7">
        <f t="shared" si="16"/>
        <v>0</v>
      </c>
      <c r="G44" s="2"/>
      <c r="H44" s="6">
        <v>224</v>
      </c>
      <c r="I44" s="2"/>
      <c r="J44" s="7">
        <f t="shared" si="17"/>
        <v>0</v>
      </c>
      <c r="K44" s="2"/>
      <c r="L44" s="6">
        <f t="shared" si="18"/>
        <v>0.18000000000000682</v>
      </c>
      <c r="M44" s="2"/>
      <c r="N44" s="7">
        <f t="shared" si="19"/>
        <v>8.0357142857145902E-4</v>
      </c>
      <c r="O44" s="11"/>
      <c r="P44" s="6">
        <v>1120.9000000000001</v>
      </c>
      <c r="Q44" s="2"/>
      <c r="R44" s="7">
        <f t="shared" si="20"/>
        <v>0</v>
      </c>
      <c r="S44" s="2"/>
      <c r="T44" s="6">
        <v>1120</v>
      </c>
      <c r="U44" s="2"/>
      <c r="V44" s="7">
        <f t="shared" si="21"/>
        <v>0</v>
      </c>
      <c r="W44" s="2"/>
      <c r="X44" s="6">
        <f t="shared" si="22"/>
        <v>0.90000000000009095</v>
      </c>
      <c r="Y44" s="2"/>
      <c r="Z44" s="7">
        <f t="shared" si="23"/>
        <v>8.0357142857150976E-4</v>
      </c>
    </row>
    <row r="45" spans="1:26" s="26" customFormat="1" outlineLevel="1" collapsed="1" x14ac:dyDescent="0.25">
      <c r="A45" s="27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330</v>
      </c>
      <c r="E45" s="1"/>
      <c r="F45" s="5">
        <f t="shared" si="16"/>
        <v>0</v>
      </c>
      <c r="G45" s="1"/>
      <c r="H45" s="1">
        <f>SUM(OSRRefH22_4x_0)</f>
        <v>583</v>
      </c>
      <c r="I45" s="1"/>
      <c r="J45" s="5">
        <f t="shared" si="17"/>
        <v>0</v>
      </c>
      <c r="K45" s="1"/>
      <c r="L45" s="1">
        <f t="shared" si="18"/>
        <v>-253</v>
      </c>
      <c r="M45" s="1"/>
      <c r="N45" s="5">
        <f t="shared" si="19"/>
        <v>-0.43396226415094341</v>
      </c>
      <c r="O45" s="13"/>
      <c r="P45" s="1">
        <f>SUM(OSRRefP22_4x_0)</f>
        <v>12159.12</v>
      </c>
      <c r="Q45" s="1"/>
      <c r="R45" s="5">
        <f t="shared" si="20"/>
        <v>0</v>
      </c>
      <c r="S45" s="1"/>
      <c r="T45" s="1">
        <f>SUM(OSRRefT22_4x_0)</f>
        <v>12915</v>
      </c>
      <c r="U45" s="1"/>
      <c r="V45" s="5">
        <f t="shared" si="21"/>
        <v>0</v>
      </c>
      <c r="W45" s="1"/>
      <c r="X45" s="1">
        <f t="shared" si="22"/>
        <v>-755.8799999999992</v>
      </c>
      <c r="Y45" s="1"/>
      <c r="Z45" s="5">
        <f t="shared" si="23"/>
        <v>-5.8527293844366952E-2</v>
      </c>
    </row>
    <row r="46" spans="1:26" s="24" customFormat="1" hidden="1" outlineLevel="2" x14ac:dyDescent="0.25">
      <c r="A46" s="25"/>
      <c r="B46" s="11" t="str">
        <f>CONCATENATE("          ", "6277", " - ", "EMPLOYEE APPRECIATION")</f>
        <v xml:space="preserve">          6277 - EMPLOYEE APPRECIATION</v>
      </c>
      <c r="C46" s="11"/>
      <c r="D46" s="6">
        <v>330</v>
      </c>
      <c r="E46" s="2"/>
      <c r="F46" s="7">
        <f t="shared" si="16"/>
        <v>0</v>
      </c>
      <c r="G46" s="2"/>
      <c r="H46" s="6">
        <v>583</v>
      </c>
      <c r="I46" s="2"/>
      <c r="J46" s="7">
        <f t="shared" si="17"/>
        <v>0</v>
      </c>
      <c r="K46" s="2"/>
      <c r="L46" s="6">
        <f t="shared" si="18"/>
        <v>-253</v>
      </c>
      <c r="M46" s="2"/>
      <c r="N46" s="7">
        <f t="shared" si="19"/>
        <v>-0.43396226415094341</v>
      </c>
      <c r="O46" s="11"/>
      <c r="P46" s="6">
        <v>12159.12</v>
      </c>
      <c r="Q46" s="2"/>
      <c r="R46" s="7">
        <f t="shared" si="20"/>
        <v>0</v>
      </c>
      <c r="S46" s="2"/>
      <c r="T46" s="6">
        <v>12915</v>
      </c>
      <c r="U46" s="2"/>
      <c r="V46" s="7">
        <f t="shared" si="21"/>
        <v>0</v>
      </c>
      <c r="W46" s="2"/>
      <c r="X46" s="6">
        <f t="shared" si="22"/>
        <v>-755.8799999999992</v>
      </c>
      <c r="Y46" s="2"/>
      <c r="Z46" s="7">
        <f t="shared" si="23"/>
        <v>-5.8527293844366952E-2</v>
      </c>
    </row>
    <row r="47" spans="1:26" s="26" customFormat="1" outlineLevel="1" collapsed="1" x14ac:dyDescent="0.25">
      <c r="A47" s="27"/>
      <c r="B47" s="13" t="str">
        <f>CONCATENATE("     ","Equipment Rental                                  ")</f>
        <v xml:space="preserve">     Equipment Rental                                  </v>
      </c>
      <c r="C47" s="13"/>
      <c r="D47" s="1">
        <f>SUM(OSRRefD22_5x_0)</f>
        <v>0</v>
      </c>
      <c r="E47" s="1"/>
      <c r="F47" s="5">
        <f t="shared" si="16"/>
        <v>0</v>
      </c>
      <c r="G47" s="1"/>
      <c r="H47" s="1">
        <f>SUM(OSRRefH22_5x_0)</f>
        <v>90</v>
      </c>
      <c r="I47" s="1"/>
      <c r="J47" s="5">
        <f t="shared" si="17"/>
        <v>0</v>
      </c>
      <c r="K47" s="1"/>
      <c r="L47" s="1">
        <f t="shared" si="18"/>
        <v>-90</v>
      </c>
      <c r="M47" s="1"/>
      <c r="N47" s="5">
        <f t="shared" si="19"/>
        <v>-1</v>
      </c>
      <c r="O47" s="13"/>
      <c r="P47" s="1">
        <f>SUM(OSRRefP22_5x_0)</f>
        <v>273.77999999999997</v>
      </c>
      <c r="Q47" s="1"/>
      <c r="R47" s="5">
        <f t="shared" si="20"/>
        <v>0</v>
      </c>
      <c r="S47" s="1"/>
      <c r="T47" s="1">
        <f>SUM(OSRRefT22_5x_0)</f>
        <v>360</v>
      </c>
      <c r="U47" s="1"/>
      <c r="V47" s="5">
        <f t="shared" si="21"/>
        <v>0</v>
      </c>
      <c r="W47" s="1"/>
      <c r="X47" s="1">
        <f t="shared" si="22"/>
        <v>-86.220000000000027</v>
      </c>
      <c r="Y47" s="1"/>
      <c r="Z47" s="5">
        <f t="shared" si="23"/>
        <v>-0.23950000000000007</v>
      </c>
    </row>
    <row r="48" spans="1:26" s="24" customFormat="1" hidden="1" outlineLevel="2" x14ac:dyDescent="0.25">
      <c r="A48" s="25"/>
      <c r="B48" s="11" t="str">
        <f>CONCATENATE("          ", "6351", " - ", "EQUIPMENT RENTAL")</f>
        <v xml:space="preserve">          6351 - EQUIPMENT RENTAL</v>
      </c>
      <c r="C48" s="11"/>
      <c r="D48" s="6"/>
      <c r="E48" s="2"/>
      <c r="F48" s="7">
        <f t="shared" si="16"/>
        <v>0</v>
      </c>
      <c r="G48" s="2"/>
      <c r="H48" s="6">
        <v>90</v>
      </c>
      <c r="I48" s="2"/>
      <c r="J48" s="7">
        <f t="shared" si="17"/>
        <v>0</v>
      </c>
      <c r="K48" s="2"/>
      <c r="L48" s="6">
        <f t="shared" si="18"/>
        <v>-90</v>
      </c>
      <c r="M48" s="2"/>
      <c r="N48" s="7">
        <f t="shared" si="19"/>
        <v>-1</v>
      </c>
      <c r="O48" s="11"/>
      <c r="P48" s="6">
        <v>273.77999999999997</v>
      </c>
      <c r="Q48" s="2"/>
      <c r="R48" s="7">
        <f t="shared" si="20"/>
        <v>0</v>
      </c>
      <c r="S48" s="2"/>
      <c r="T48" s="6">
        <v>360</v>
      </c>
      <c r="U48" s="2"/>
      <c r="V48" s="7">
        <f t="shared" si="21"/>
        <v>0</v>
      </c>
      <c r="W48" s="2"/>
      <c r="X48" s="6">
        <f t="shared" si="22"/>
        <v>-86.220000000000027</v>
      </c>
      <c r="Y48" s="2"/>
      <c r="Z48" s="7">
        <f t="shared" si="23"/>
        <v>-0.23950000000000007</v>
      </c>
    </row>
    <row r="49" spans="1:26" s="26" customFormat="1" outlineLevel="1" collapsed="1" x14ac:dyDescent="0.25">
      <c r="A49" s="27"/>
      <c r="B49" s="13" t="str">
        <f>CONCATENATE("     ","Freight out/Postage                               ")</f>
        <v xml:space="preserve">     Freight out/Postage                               </v>
      </c>
      <c r="C49" s="13"/>
      <c r="D49" s="1">
        <f>SUM(OSRRefD22_6x_0)</f>
        <v>45.9</v>
      </c>
      <c r="E49" s="1"/>
      <c r="F49" s="5">
        <f t="shared" si="16"/>
        <v>0</v>
      </c>
      <c r="G49" s="1"/>
      <c r="H49" s="1">
        <f>SUM(OSRRefH22_6x_0)</f>
        <v>95</v>
      </c>
      <c r="I49" s="1"/>
      <c r="J49" s="5">
        <f t="shared" si="17"/>
        <v>0</v>
      </c>
      <c r="K49" s="1"/>
      <c r="L49" s="1">
        <f t="shared" si="18"/>
        <v>-49.1</v>
      </c>
      <c r="M49" s="1"/>
      <c r="N49" s="5">
        <f t="shared" si="19"/>
        <v>-0.51684210526315788</v>
      </c>
      <c r="O49" s="13"/>
      <c r="P49" s="1">
        <f>SUM(OSRRefP22_6x_0)</f>
        <v>283.5</v>
      </c>
      <c r="Q49" s="1"/>
      <c r="R49" s="5">
        <f t="shared" si="20"/>
        <v>0</v>
      </c>
      <c r="S49" s="1"/>
      <c r="T49" s="1">
        <f>SUM(OSRRefT22_6x_0)</f>
        <v>380</v>
      </c>
      <c r="U49" s="1"/>
      <c r="V49" s="5">
        <f t="shared" si="21"/>
        <v>0</v>
      </c>
      <c r="W49" s="1"/>
      <c r="X49" s="1">
        <f t="shared" si="22"/>
        <v>-96.5</v>
      </c>
      <c r="Y49" s="1"/>
      <c r="Z49" s="5">
        <f t="shared" si="23"/>
        <v>-0.25394736842105264</v>
      </c>
    </row>
    <row r="50" spans="1:26" s="24" customFormat="1" hidden="1" outlineLevel="2" x14ac:dyDescent="0.25">
      <c r="A50" s="25"/>
      <c r="B50" s="11" t="str">
        <f>CONCATENATE("          ", "6307", " - ", "POSTAGE")</f>
        <v xml:space="preserve">          6307 - POSTAGE</v>
      </c>
      <c r="C50" s="11"/>
      <c r="D50" s="6">
        <v>45.9</v>
      </c>
      <c r="E50" s="2"/>
      <c r="F50" s="7">
        <f t="shared" si="16"/>
        <v>0</v>
      </c>
      <c r="G50" s="2"/>
      <c r="H50" s="6">
        <v>95</v>
      </c>
      <c r="I50" s="2"/>
      <c r="J50" s="7">
        <f t="shared" si="17"/>
        <v>0</v>
      </c>
      <c r="K50" s="2"/>
      <c r="L50" s="6">
        <f t="shared" si="18"/>
        <v>-49.1</v>
      </c>
      <c r="M50" s="2"/>
      <c r="N50" s="7">
        <f t="shared" si="19"/>
        <v>-0.51684210526315788</v>
      </c>
      <c r="O50" s="11"/>
      <c r="P50" s="6">
        <v>283.5</v>
      </c>
      <c r="Q50" s="2"/>
      <c r="R50" s="7">
        <f t="shared" si="20"/>
        <v>0</v>
      </c>
      <c r="S50" s="2"/>
      <c r="T50" s="6">
        <v>380</v>
      </c>
      <c r="U50" s="2"/>
      <c r="V50" s="7">
        <f t="shared" si="21"/>
        <v>0</v>
      </c>
      <c r="W50" s="2"/>
      <c r="X50" s="6">
        <f t="shared" si="22"/>
        <v>-96.5</v>
      </c>
      <c r="Y50" s="2"/>
      <c r="Z50" s="7">
        <f t="shared" si="23"/>
        <v>-0.25394736842105264</v>
      </c>
    </row>
    <row r="51" spans="1:26" s="26" customFormat="1" outlineLevel="1" collapsed="1" x14ac:dyDescent="0.25">
      <c r="A51" s="27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SUM(OSRRefD22_7x_0)</f>
        <v>0</v>
      </c>
      <c r="E51" s="1"/>
      <c r="F51" s="5">
        <f t="shared" si="16"/>
        <v>0</v>
      </c>
      <c r="G51" s="1"/>
      <c r="H51" s="1">
        <f>SUM(OSRRefH22_7x_0)</f>
        <v>390</v>
      </c>
      <c r="I51" s="1"/>
      <c r="J51" s="5">
        <f t="shared" si="17"/>
        <v>0</v>
      </c>
      <c r="K51" s="1"/>
      <c r="L51" s="1">
        <f t="shared" si="18"/>
        <v>-390</v>
      </c>
      <c r="M51" s="1"/>
      <c r="N51" s="5">
        <f t="shared" si="19"/>
        <v>-1</v>
      </c>
      <c r="O51" s="13"/>
      <c r="P51" s="1">
        <f>SUM(OSRRefP22_7x_0)</f>
        <v>700</v>
      </c>
      <c r="Q51" s="1"/>
      <c r="R51" s="5">
        <f t="shared" si="20"/>
        <v>0</v>
      </c>
      <c r="S51" s="1"/>
      <c r="T51" s="1">
        <f>SUM(OSRRefT22_7x_0)</f>
        <v>1560</v>
      </c>
      <c r="U51" s="1"/>
      <c r="V51" s="5">
        <f t="shared" si="21"/>
        <v>0</v>
      </c>
      <c r="W51" s="1"/>
      <c r="X51" s="1">
        <f t="shared" si="22"/>
        <v>-860</v>
      </c>
      <c r="Y51" s="1"/>
      <c r="Z51" s="5">
        <f t="shared" si="23"/>
        <v>-0.55128205128205132</v>
      </c>
    </row>
    <row r="52" spans="1:26" s="24" customFormat="1" hidden="1" outlineLevel="2" x14ac:dyDescent="0.25">
      <c r="A52" s="25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16"/>
        <v>0</v>
      </c>
      <c r="G52" s="2"/>
      <c r="H52" s="6">
        <v>390</v>
      </c>
      <c r="I52" s="2"/>
      <c r="J52" s="7">
        <f t="shared" si="17"/>
        <v>0</v>
      </c>
      <c r="K52" s="2"/>
      <c r="L52" s="6">
        <f t="shared" si="18"/>
        <v>-390</v>
      </c>
      <c r="M52" s="2"/>
      <c r="N52" s="7">
        <f t="shared" si="19"/>
        <v>-1</v>
      </c>
      <c r="O52" s="11"/>
      <c r="P52" s="6">
        <v>700</v>
      </c>
      <c r="Q52" s="2"/>
      <c r="R52" s="7">
        <f t="shared" si="20"/>
        <v>0</v>
      </c>
      <c r="S52" s="2"/>
      <c r="T52" s="6">
        <v>1560</v>
      </c>
      <c r="U52" s="2"/>
      <c r="V52" s="7">
        <f t="shared" si="21"/>
        <v>0</v>
      </c>
      <c r="W52" s="2"/>
      <c r="X52" s="6">
        <f t="shared" si="22"/>
        <v>-860</v>
      </c>
      <c r="Y52" s="2"/>
      <c r="Z52" s="7">
        <f t="shared" si="23"/>
        <v>-0.55128205128205132</v>
      </c>
    </row>
    <row r="53" spans="1:26" s="26" customFormat="1" outlineLevel="1" collapsed="1" x14ac:dyDescent="0.25">
      <c r="A53" s="27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SUM(OSRRefD22_8x_0)</f>
        <v>65.47</v>
      </c>
      <c r="E53" s="1"/>
      <c r="F53" s="5">
        <f t="shared" si="16"/>
        <v>0</v>
      </c>
      <c r="G53" s="1"/>
      <c r="H53" s="1">
        <f>SUM(OSRRefH22_8x_0)</f>
        <v>65</v>
      </c>
      <c r="I53" s="1"/>
      <c r="J53" s="5">
        <f t="shared" si="17"/>
        <v>0</v>
      </c>
      <c r="K53" s="1"/>
      <c r="L53" s="1">
        <f t="shared" si="18"/>
        <v>0.46999999999999886</v>
      </c>
      <c r="M53" s="1"/>
      <c r="N53" s="5">
        <f t="shared" si="19"/>
        <v>7.2307692307692134E-3</v>
      </c>
      <c r="O53" s="13"/>
      <c r="P53" s="1">
        <f>SUM(OSRRefP22_8x_0)</f>
        <v>327.35000000000002</v>
      </c>
      <c r="Q53" s="1"/>
      <c r="R53" s="5">
        <f t="shared" si="20"/>
        <v>0</v>
      </c>
      <c r="S53" s="1"/>
      <c r="T53" s="1">
        <f>SUM(OSRRefT22_8x_0)</f>
        <v>325</v>
      </c>
      <c r="U53" s="1"/>
      <c r="V53" s="5">
        <f t="shared" si="21"/>
        <v>0</v>
      </c>
      <c r="W53" s="1"/>
      <c r="X53" s="1">
        <f t="shared" si="22"/>
        <v>2.3500000000000227</v>
      </c>
      <c r="Y53" s="1"/>
      <c r="Z53" s="5">
        <f t="shared" si="23"/>
        <v>7.230769230769301E-3</v>
      </c>
    </row>
    <row r="54" spans="1:26" s="24" customFormat="1" hidden="1" outlineLevel="2" x14ac:dyDescent="0.25">
      <c r="A54" s="25"/>
      <c r="B54" s="11" t="str">
        <f>CONCATENATE("          ", "6314", " - ", "LIABILITY INSURANCE")</f>
        <v xml:space="preserve">          6314 - LIABILITY INSURANCE</v>
      </c>
      <c r="C54" s="11"/>
      <c r="D54" s="6">
        <v>65.47</v>
      </c>
      <c r="E54" s="2"/>
      <c r="F54" s="7">
        <f t="shared" si="16"/>
        <v>0</v>
      </c>
      <c r="G54" s="2"/>
      <c r="H54" s="6">
        <v>65</v>
      </c>
      <c r="I54" s="2"/>
      <c r="J54" s="7">
        <f t="shared" si="17"/>
        <v>0</v>
      </c>
      <c r="K54" s="2"/>
      <c r="L54" s="6">
        <f t="shared" si="18"/>
        <v>0.46999999999999886</v>
      </c>
      <c r="M54" s="2"/>
      <c r="N54" s="7">
        <f t="shared" si="19"/>
        <v>7.2307692307692134E-3</v>
      </c>
      <c r="O54" s="11"/>
      <c r="P54" s="6">
        <v>327.35000000000002</v>
      </c>
      <c r="Q54" s="2"/>
      <c r="R54" s="7">
        <f t="shared" si="20"/>
        <v>0</v>
      </c>
      <c r="S54" s="2"/>
      <c r="T54" s="6">
        <v>325</v>
      </c>
      <c r="U54" s="2"/>
      <c r="V54" s="7">
        <f t="shared" si="21"/>
        <v>0</v>
      </c>
      <c r="W54" s="2"/>
      <c r="X54" s="6">
        <f t="shared" si="22"/>
        <v>2.3500000000000227</v>
      </c>
      <c r="Y54" s="2"/>
      <c r="Z54" s="7">
        <f t="shared" si="23"/>
        <v>7.230769230769301E-3</v>
      </c>
    </row>
    <row r="55" spans="1:26" s="26" customFormat="1" outlineLevel="1" collapsed="1" x14ac:dyDescent="0.25">
      <c r="A55" s="27"/>
      <c r="B55" s="13" t="str">
        <f>CONCATENATE("     ","Professional Services                             ")</f>
        <v xml:space="preserve">     Professional Services                             </v>
      </c>
      <c r="C55" s="13"/>
      <c r="D55" s="1">
        <f>SUM(OSRRefD22_9x_0)</f>
        <v>455.91</v>
      </c>
      <c r="E55" s="1"/>
      <c r="F55" s="5">
        <f t="shared" si="16"/>
        <v>0</v>
      </c>
      <c r="G55" s="1"/>
      <c r="H55" s="1">
        <f>SUM(OSRRefH22_9x_0)</f>
        <v>833</v>
      </c>
      <c r="I55" s="1"/>
      <c r="J55" s="5">
        <f t="shared" si="17"/>
        <v>0</v>
      </c>
      <c r="K55" s="1"/>
      <c r="L55" s="1">
        <f t="shared" si="18"/>
        <v>-377.09</v>
      </c>
      <c r="M55" s="1"/>
      <c r="N55" s="5">
        <f t="shared" si="19"/>
        <v>-0.45268907563025207</v>
      </c>
      <c r="O55" s="13"/>
      <c r="P55" s="1">
        <f>SUM(OSRRefP22_9x_0)</f>
        <v>54688.09</v>
      </c>
      <c r="Q55" s="1"/>
      <c r="R55" s="5">
        <f t="shared" si="20"/>
        <v>0</v>
      </c>
      <c r="S55" s="1"/>
      <c r="T55" s="1">
        <f>SUM(OSRRefT22_9x_0)</f>
        <v>36165</v>
      </c>
      <c r="U55" s="1"/>
      <c r="V55" s="5">
        <f t="shared" si="21"/>
        <v>0</v>
      </c>
      <c r="W55" s="1"/>
      <c r="X55" s="1">
        <f t="shared" si="22"/>
        <v>18523.089999999997</v>
      </c>
      <c r="Y55" s="1"/>
      <c r="Z55" s="5">
        <f t="shared" si="23"/>
        <v>0.51218277339969576</v>
      </c>
    </row>
    <row r="56" spans="1:26" s="24" customFormat="1" hidden="1" outlineLevel="2" x14ac:dyDescent="0.25">
      <c r="A56" s="25"/>
      <c r="B56" s="11" t="str">
        <f>CONCATENATE("          ", "6334", " - ", "LEGAL COUNCIL EXPENSE")</f>
        <v xml:space="preserve">          6334 - LEGAL COUNCIL EXPENSE</v>
      </c>
      <c r="C56" s="11"/>
      <c r="D56" s="6">
        <v>140</v>
      </c>
      <c r="E56" s="2"/>
      <c r="F56" s="7">
        <f t="shared" si="16"/>
        <v>0</v>
      </c>
      <c r="G56" s="2"/>
      <c r="H56" s="6">
        <v>833</v>
      </c>
      <c r="I56" s="2"/>
      <c r="J56" s="7">
        <f t="shared" si="17"/>
        <v>0</v>
      </c>
      <c r="K56" s="2"/>
      <c r="L56" s="6">
        <f t="shared" si="18"/>
        <v>-693</v>
      </c>
      <c r="M56" s="2"/>
      <c r="N56" s="7">
        <f t="shared" si="19"/>
        <v>-0.83193277310924374</v>
      </c>
      <c r="O56" s="11"/>
      <c r="P56" s="6">
        <v>38010</v>
      </c>
      <c r="Q56" s="2"/>
      <c r="R56" s="7">
        <f t="shared" si="20"/>
        <v>0</v>
      </c>
      <c r="S56" s="2"/>
      <c r="T56" s="6">
        <v>4165</v>
      </c>
      <c r="U56" s="2"/>
      <c r="V56" s="7">
        <f t="shared" si="21"/>
        <v>0</v>
      </c>
      <c r="W56" s="2"/>
      <c r="X56" s="6">
        <f t="shared" si="22"/>
        <v>33845</v>
      </c>
      <c r="Y56" s="2"/>
      <c r="Z56" s="7">
        <f t="shared" si="23"/>
        <v>8.1260504201680668</v>
      </c>
    </row>
    <row r="57" spans="1:26" s="24" customFormat="1" hidden="1" outlineLevel="2" x14ac:dyDescent="0.25">
      <c r="A57" s="25"/>
      <c r="B57" s="11" t="str">
        <f>CONCATENATE("          ", "6336", " - ", "PROFESSIONAL SERVICES")</f>
        <v xml:space="preserve">          6336 - PROFESSIONAL SERVICES</v>
      </c>
      <c r="C57" s="11"/>
      <c r="D57" s="6">
        <v>315.91000000000003</v>
      </c>
      <c r="E57" s="2"/>
      <c r="F57" s="7">
        <f t="shared" si="16"/>
        <v>0</v>
      </c>
      <c r="G57" s="2"/>
      <c r="H57" s="6"/>
      <c r="I57" s="2"/>
      <c r="J57" s="7">
        <f t="shared" si="17"/>
        <v>0</v>
      </c>
      <c r="K57" s="2"/>
      <c r="L57" s="6">
        <f t="shared" si="18"/>
        <v>315.91000000000003</v>
      </c>
      <c r="M57" s="2"/>
      <c r="N57" s="7">
        <f t="shared" si="19"/>
        <v>0</v>
      </c>
      <c r="O57" s="11"/>
      <c r="P57" s="6">
        <v>16678.09</v>
      </c>
      <c r="Q57" s="2"/>
      <c r="R57" s="7">
        <f t="shared" si="20"/>
        <v>0</v>
      </c>
      <c r="S57" s="2"/>
      <c r="T57" s="6">
        <v>32000</v>
      </c>
      <c r="U57" s="2"/>
      <c r="V57" s="7">
        <f t="shared" si="21"/>
        <v>0</v>
      </c>
      <c r="W57" s="2"/>
      <c r="X57" s="6">
        <f t="shared" si="22"/>
        <v>-15321.91</v>
      </c>
      <c r="Y57" s="2"/>
      <c r="Z57" s="7">
        <f t="shared" si="23"/>
        <v>-0.47880968749999997</v>
      </c>
    </row>
    <row r="58" spans="1:26" s="26" customFormat="1" outlineLevel="1" collapsed="1" x14ac:dyDescent="0.25">
      <c r="A58" s="27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SUM(OSRRefD22_10x_0)</f>
        <v>13504.189999999999</v>
      </c>
      <c r="E58" s="1"/>
      <c r="F58" s="5">
        <f t="shared" ref="F58:F60" si="24">IF(D$12=0,0,D58/D$12)</f>
        <v>0</v>
      </c>
      <c r="G58" s="1"/>
      <c r="H58" s="1">
        <f>SUM(OSRRefH22_10x_0)</f>
        <v>12920</v>
      </c>
      <c r="I58" s="1"/>
      <c r="J58" s="5">
        <f t="shared" ref="J58:J60" si="25">IF(H$12=0,0,H58/H$12)</f>
        <v>0</v>
      </c>
      <c r="K58" s="1"/>
      <c r="L58" s="1">
        <f t="shared" ref="L58:L60" si="26">+D58-H58</f>
        <v>584.18999999999869</v>
      </c>
      <c r="M58" s="1"/>
      <c r="N58" s="5">
        <f t="shared" ref="N58:N60" si="27">IF(H58=0,0,L58/H58)</f>
        <v>4.521594427244572E-2</v>
      </c>
      <c r="O58" s="13"/>
      <c r="P58" s="1">
        <f>SUM(OSRRefP22_10x_0)</f>
        <v>58065.46</v>
      </c>
      <c r="Q58" s="1"/>
      <c r="R58" s="5">
        <f t="shared" ref="R58:R60" si="28">IF(P$12=0,0,P58/P$12)</f>
        <v>0</v>
      </c>
      <c r="S58" s="1"/>
      <c r="T58" s="1">
        <f>SUM(OSRRefT22_10x_0)</f>
        <v>51680</v>
      </c>
      <c r="U58" s="1"/>
      <c r="V58" s="5">
        <f t="shared" ref="V58:V60" si="29">IF(T$12=0,0,T58/T$12)</f>
        <v>0</v>
      </c>
      <c r="W58" s="1"/>
      <c r="X58" s="1">
        <f t="shared" ref="X58:X60" si="30">+P58-T58</f>
        <v>6385.4599999999991</v>
      </c>
      <c r="Y58" s="1"/>
      <c r="Z58" s="5">
        <f t="shared" ref="Z58:Z60" si="31">IF(T58=0,0,X58/T58)</f>
        <v>0.12355766253869967</v>
      </c>
    </row>
    <row r="59" spans="1:26" s="24" customFormat="1" hidden="1" outlineLevel="2" x14ac:dyDescent="0.25">
      <c r="A59" s="25"/>
      <c r="B59" s="11" t="str">
        <f>CONCATENATE("          ", "6371", " - ", "COMPUTER SOFTWARE MAINTENANCE")</f>
        <v xml:space="preserve">          6371 - COMPUTER SOFTWARE MAINTENANCE</v>
      </c>
      <c r="C59" s="11"/>
      <c r="D59" s="6">
        <v>13274.73</v>
      </c>
      <c r="E59" s="2"/>
      <c r="F59" s="7">
        <f t="shared" si="24"/>
        <v>0</v>
      </c>
      <c r="G59" s="2"/>
      <c r="H59" s="6">
        <v>12920</v>
      </c>
      <c r="I59" s="2"/>
      <c r="J59" s="7">
        <f t="shared" si="25"/>
        <v>0</v>
      </c>
      <c r="K59" s="2"/>
      <c r="L59" s="6">
        <f t="shared" si="26"/>
        <v>354.72999999999956</v>
      </c>
      <c r="M59" s="2"/>
      <c r="N59" s="7">
        <f t="shared" si="27"/>
        <v>2.7455882352941142E-2</v>
      </c>
      <c r="O59" s="11"/>
      <c r="P59" s="6">
        <v>57782.54</v>
      </c>
      <c r="Q59" s="2"/>
      <c r="R59" s="7">
        <f t="shared" si="28"/>
        <v>0</v>
      </c>
      <c r="S59" s="2"/>
      <c r="T59" s="6">
        <v>51680</v>
      </c>
      <c r="U59" s="2"/>
      <c r="V59" s="7">
        <f t="shared" si="29"/>
        <v>0</v>
      </c>
      <c r="W59" s="2"/>
      <c r="X59" s="6">
        <f t="shared" si="30"/>
        <v>6102.5400000000009</v>
      </c>
      <c r="Y59" s="2"/>
      <c r="Z59" s="7">
        <f t="shared" si="31"/>
        <v>0.11808320433436534</v>
      </c>
    </row>
    <row r="60" spans="1:26" s="24" customFormat="1" hidden="1" outlineLevel="2" x14ac:dyDescent="0.25">
      <c r="A60" s="25"/>
      <c r="B60" s="11" t="str">
        <f>CONCATENATE("          ", "6373", " - ", "MAINTENANCE CONTRACTS")</f>
        <v xml:space="preserve">          6373 - MAINTENANCE CONTRACTS</v>
      </c>
      <c r="C60" s="11"/>
      <c r="D60" s="6">
        <v>229.46</v>
      </c>
      <c r="E60" s="2"/>
      <c r="F60" s="7">
        <f t="shared" si="24"/>
        <v>0</v>
      </c>
      <c r="G60" s="2"/>
      <c r="H60" s="6"/>
      <c r="I60" s="2"/>
      <c r="J60" s="7">
        <f t="shared" si="25"/>
        <v>0</v>
      </c>
      <c r="K60" s="2"/>
      <c r="L60" s="6">
        <f t="shared" si="26"/>
        <v>229.46</v>
      </c>
      <c r="M60" s="2"/>
      <c r="N60" s="7">
        <f t="shared" si="27"/>
        <v>0</v>
      </c>
      <c r="O60" s="11"/>
      <c r="P60" s="6">
        <v>282.92</v>
      </c>
      <c r="Q60" s="2"/>
      <c r="R60" s="7">
        <f t="shared" si="28"/>
        <v>0</v>
      </c>
      <c r="S60" s="2"/>
      <c r="T60" s="6"/>
      <c r="U60" s="2"/>
      <c r="V60" s="7">
        <f t="shared" si="29"/>
        <v>0</v>
      </c>
      <c r="W60" s="2"/>
      <c r="X60" s="6">
        <f t="shared" si="30"/>
        <v>282.92</v>
      </c>
      <c r="Y60" s="2"/>
      <c r="Z60" s="7">
        <f t="shared" si="31"/>
        <v>0</v>
      </c>
    </row>
    <row r="61" spans="1:26" s="26" customFormat="1" outlineLevel="1" collapsed="1" x14ac:dyDescent="0.25">
      <c r="A61" s="27"/>
      <c r="B61" s="13" t="str">
        <f>CONCATENATE("     ","Subscriptions &amp; Dues                              ")</f>
        <v xml:space="preserve">     Subscriptions &amp; Dues                              </v>
      </c>
      <c r="C61" s="13"/>
      <c r="D61" s="1">
        <f>SUM(OSRRefD22_11x_0)</f>
        <v>0</v>
      </c>
      <c r="E61" s="1"/>
      <c r="F61" s="5">
        <f t="shared" ref="F61:F66" si="32">IF(D$12=0,0,D61/D$12)</f>
        <v>0</v>
      </c>
      <c r="G61" s="1"/>
      <c r="H61" s="1">
        <f>SUM(OSRRefH22_11x_0)</f>
        <v>0</v>
      </c>
      <c r="I61" s="1"/>
      <c r="J61" s="5">
        <f t="shared" ref="J61:J66" si="33">IF(H$12=0,0,H61/H$12)</f>
        <v>0</v>
      </c>
      <c r="K61" s="1"/>
      <c r="L61" s="1">
        <f t="shared" ref="L61:L66" si="34">+D61-H61</f>
        <v>0</v>
      </c>
      <c r="M61" s="1"/>
      <c r="N61" s="5">
        <f t="shared" ref="N61:N66" si="35">IF(H61=0,0,L61/H61)</f>
        <v>0</v>
      </c>
      <c r="O61" s="13"/>
      <c r="P61" s="1">
        <f>SUM(OSRRefP22_11x_0)</f>
        <v>587</v>
      </c>
      <c r="Q61" s="1"/>
      <c r="R61" s="5">
        <f t="shared" ref="R61:R66" si="36">IF(P$12=0,0,P61/P$12)</f>
        <v>0</v>
      </c>
      <c r="S61" s="1"/>
      <c r="T61" s="1">
        <f>SUM(OSRRefT22_11x_0)</f>
        <v>627</v>
      </c>
      <c r="U61" s="1"/>
      <c r="V61" s="5">
        <f t="shared" ref="V61:V66" si="37">IF(T$12=0,0,T61/T$12)</f>
        <v>0</v>
      </c>
      <c r="W61" s="1"/>
      <c r="X61" s="1">
        <f t="shared" ref="X61:X66" si="38">+P61-T61</f>
        <v>-40</v>
      </c>
      <c r="Y61" s="1"/>
      <c r="Z61" s="5">
        <f t="shared" ref="Z61:Z66" si="39">IF(T61=0,0,X61/T61)</f>
        <v>-6.3795853269537475E-2</v>
      </c>
    </row>
    <row r="62" spans="1:26" s="24" customFormat="1" hidden="1" outlineLevel="2" x14ac:dyDescent="0.25">
      <c r="A62" s="25"/>
      <c r="B62" s="11" t="str">
        <f>CONCATENATE("          ", "6258", " - ", "MEMBERSHIP DUES")</f>
        <v xml:space="preserve">          6258 - MEMBERSHIP DUES</v>
      </c>
      <c r="C62" s="11"/>
      <c r="D62" s="6"/>
      <c r="E62" s="2"/>
      <c r="F62" s="7">
        <f t="shared" si="32"/>
        <v>0</v>
      </c>
      <c r="G62" s="2"/>
      <c r="H62" s="6"/>
      <c r="I62" s="2"/>
      <c r="J62" s="7">
        <f t="shared" si="33"/>
        <v>0</v>
      </c>
      <c r="K62" s="2"/>
      <c r="L62" s="6">
        <f t="shared" si="34"/>
        <v>0</v>
      </c>
      <c r="M62" s="2"/>
      <c r="N62" s="7">
        <f t="shared" si="35"/>
        <v>0</v>
      </c>
      <c r="O62" s="11"/>
      <c r="P62" s="6">
        <v>587</v>
      </c>
      <c r="Q62" s="2"/>
      <c r="R62" s="7">
        <f t="shared" si="36"/>
        <v>0</v>
      </c>
      <c r="S62" s="2"/>
      <c r="T62" s="6">
        <v>627</v>
      </c>
      <c r="U62" s="2"/>
      <c r="V62" s="7">
        <f t="shared" si="37"/>
        <v>0</v>
      </c>
      <c r="W62" s="2"/>
      <c r="X62" s="6">
        <f t="shared" si="38"/>
        <v>-40</v>
      </c>
      <c r="Y62" s="2"/>
      <c r="Z62" s="7">
        <f t="shared" si="39"/>
        <v>-6.3795853269537475E-2</v>
      </c>
    </row>
    <row r="63" spans="1:26" s="26" customFormat="1" outlineLevel="1" collapsed="1" x14ac:dyDescent="0.25">
      <c r="A63" s="27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SUM(OSRRefD22_12x_0)</f>
        <v>444.37</v>
      </c>
      <c r="E63" s="1"/>
      <c r="F63" s="5">
        <f t="shared" si="32"/>
        <v>0</v>
      </c>
      <c r="G63" s="1"/>
      <c r="H63" s="1">
        <f>SUM(OSRRefH22_12x_0)</f>
        <v>617</v>
      </c>
      <c r="I63" s="1"/>
      <c r="J63" s="5">
        <f t="shared" si="33"/>
        <v>0</v>
      </c>
      <c r="K63" s="1"/>
      <c r="L63" s="1">
        <f t="shared" si="34"/>
        <v>-172.63</v>
      </c>
      <c r="M63" s="1"/>
      <c r="N63" s="5">
        <f t="shared" si="35"/>
        <v>-0.27978930307941652</v>
      </c>
      <c r="O63" s="13"/>
      <c r="P63" s="1">
        <f>SUM(OSRRefP22_12x_0)</f>
        <v>12023.66</v>
      </c>
      <c r="Q63" s="1"/>
      <c r="R63" s="5">
        <f t="shared" si="36"/>
        <v>0</v>
      </c>
      <c r="S63" s="1"/>
      <c r="T63" s="1">
        <f>SUM(OSRRefT22_12x_0)</f>
        <v>12185</v>
      </c>
      <c r="U63" s="1"/>
      <c r="V63" s="5">
        <f t="shared" si="37"/>
        <v>0</v>
      </c>
      <c r="W63" s="1"/>
      <c r="X63" s="1">
        <f t="shared" si="38"/>
        <v>-161.34000000000015</v>
      </c>
      <c r="Y63" s="1"/>
      <c r="Z63" s="5">
        <f t="shared" si="39"/>
        <v>-1.3240869922035301E-2</v>
      </c>
    </row>
    <row r="64" spans="1:26" s="24" customFormat="1" hidden="1" outlineLevel="2" x14ac:dyDescent="0.25">
      <c r="A64" s="25"/>
      <c r="B64" s="11" t="str">
        <f>CONCATENATE("          ", "6241", " - ", "OFFICE EXPENSE")</f>
        <v xml:space="preserve">          6241 - OFFICE EXPENSE</v>
      </c>
      <c r="C64" s="11"/>
      <c r="D64" s="6">
        <v>312.51</v>
      </c>
      <c r="E64" s="2"/>
      <c r="F64" s="7">
        <f t="shared" si="32"/>
        <v>0</v>
      </c>
      <c r="G64" s="2"/>
      <c r="H64" s="6">
        <v>200</v>
      </c>
      <c r="I64" s="2"/>
      <c r="J64" s="7">
        <f t="shared" si="33"/>
        <v>0</v>
      </c>
      <c r="K64" s="2"/>
      <c r="L64" s="6">
        <f t="shared" si="34"/>
        <v>112.50999999999999</v>
      </c>
      <c r="M64" s="2"/>
      <c r="N64" s="7">
        <f t="shared" si="35"/>
        <v>0.56254999999999999</v>
      </c>
      <c r="O64" s="11"/>
      <c r="P64" s="6">
        <v>8581.9599999999991</v>
      </c>
      <c r="Q64" s="2"/>
      <c r="R64" s="7">
        <f t="shared" si="36"/>
        <v>0</v>
      </c>
      <c r="S64" s="2"/>
      <c r="T64" s="6">
        <v>10100</v>
      </c>
      <c r="U64" s="2"/>
      <c r="V64" s="7">
        <f t="shared" si="37"/>
        <v>0</v>
      </c>
      <c r="W64" s="2"/>
      <c r="X64" s="6">
        <f t="shared" si="38"/>
        <v>-1518.0400000000009</v>
      </c>
      <c r="Y64" s="2"/>
      <c r="Z64" s="7">
        <f t="shared" si="39"/>
        <v>-0.15030099009900999</v>
      </c>
    </row>
    <row r="65" spans="1:26" s="24" customFormat="1" hidden="1" outlineLevel="2" x14ac:dyDescent="0.25">
      <c r="A65" s="25"/>
      <c r="B65" s="11" t="str">
        <f>CONCATENATE("          ", "6244", " - ", "SAFETY SUPPLY EXPENSE")</f>
        <v xml:space="preserve">          6244 - SAFETY SUPPLY EXPENSE</v>
      </c>
      <c r="C65" s="11"/>
      <c r="D65" s="6">
        <v>100</v>
      </c>
      <c r="E65" s="2"/>
      <c r="F65" s="7">
        <f t="shared" si="32"/>
        <v>0</v>
      </c>
      <c r="G65" s="2"/>
      <c r="H65" s="6">
        <v>417</v>
      </c>
      <c r="I65" s="2"/>
      <c r="J65" s="7">
        <f t="shared" si="33"/>
        <v>0</v>
      </c>
      <c r="K65" s="2"/>
      <c r="L65" s="6">
        <f t="shared" si="34"/>
        <v>-317</v>
      </c>
      <c r="M65" s="2"/>
      <c r="N65" s="7">
        <f t="shared" si="35"/>
        <v>-0.76019184652278182</v>
      </c>
      <c r="O65" s="11"/>
      <c r="P65" s="6">
        <v>1507.33</v>
      </c>
      <c r="Q65" s="2"/>
      <c r="R65" s="7">
        <f t="shared" si="36"/>
        <v>0</v>
      </c>
      <c r="S65" s="2"/>
      <c r="T65" s="6">
        <v>2085</v>
      </c>
      <c r="U65" s="2"/>
      <c r="V65" s="7">
        <f t="shared" si="37"/>
        <v>0</v>
      </c>
      <c r="W65" s="2"/>
      <c r="X65" s="6">
        <f t="shared" si="38"/>
        <v>-577.67000000000007</v>
      </c>
      <c r="Y65" s="2"/>
      <c r="Z65" s="7">
        <f t="shared" si="39"/>
        <v>-0.27705995203836936</v>
      </c>
    </row>
    <row r="66" spans="1:26" s="24" customFormat="1" hidden="1" outlineLevel="2" x14ac:dyDescent="0.25">
      <c r="A66" s="25"/>
      <c r="B66" s="11" t="str">
        <f>CONCATENATE("          ", "6245", " - ", "PRINTING")</f>
        <v xml:space="preserve">          6245 - PRINTING</v>
      </c>
      <c r="C66" s="11"/>
      <c r="D66" s="6">
        <v>31.86</v>
      </c>
      <c r="E66" s="2"/>
      <c r="F66" s="7">
        <f t="shared" si="32"/>
        <v>0</v>
      </c>
      <c r="G66" s="2"/>
      <c r="H66" s="6"/>
      <c r="I66" s="2"/>
      <c r="J66" s="7">
        <f t="shared" si="33"/>
        <v>0</v>
      </c>
      <c r="K66" s="2"/>
      <c r="L66" s="6">
        <f t="shared" si="34"/>
        <v>31.86</v>
      </c>
      <c r="M66" s="2"/>
      <c r="N66" s="7">
        <f t="shared" si="35"/>
        <v>0</v>
      </c>
      <c r="O66" s="11"/>
      <c r="P66" s="6">
        <v>1934.37</v>
      </c>
      <c r="Q66" s="2"/>
      <c r="R66" s="7">
        <f t="shared" si="36"/>
        <v>0</v>
      </c>
      <c r="S66" s="2"/>
      <c r="T66" s="6"/>
      <c r="U66" s="2"/>
      <c r="V66" s="7">
        <f t="shared" si="37"/>
        <v>0</v>
      </c>
      <c r="W66" s="2"/>
      <c r="X66" s="6">
        <f t="shared" si="38"/>
        <v>1934.37</v>
      </c>
      <c r="Y66" s="2"/>
      <c r="Z66" s="7">
        <f t="shared" si="39"/>
        <v>0</v>
      </c>
    </row>
    <row r="67" spans="1:26" s="26" customFormat="1" outlineLevel="1" collapsed="1" x14ac:dyDescent="0.25">
      <c r="A67" s="27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SUM(OSRRefD22_13x_0)</f>
        <v>325.55</v>
      </c>
      <c r="E67" s="1"/>
      <c r="F67" s="5">
        <f t="shared" ref="F67:F72" si="40">IF(D$12=0,0,D67/D$12)</f>
        <v>0</v>
      </c>
      <c r="G67" s="1"/>
      <c r="H67" s="1">
        <f>SUM(OSRRefH22_13x_0)</f>
        <v>290</v>
      </c>
      <c r="I67" s="1"/>
      <c r="J67" s="5">
        <f t="shared" ref="J67:J72" si="41">IF(H$12=0,0,H67/H$12)</f>
        <v>0</v>
      </c>
      <c r="K67" s="1"/>
      <c r="L67" s="1">
        <f t="shared" ref="L67:L72" si="42">+D67-H67</f>
        <v>35.550000000000011</v>
      </c>
      <c r="M67" s="1"/>
      <c r="N67" s="5">
        <f t="shared" ref="N67:N72" si="43">IF(H67=0,0,L67/H67)</f>
        <v>0.12258620689655177</v>
      </c>
      <c r="O67" s="13"/>
      <c r="P67" s="1">
        <f>SUM(OSRRefP22_13x_0)</f>
        <v>1663.4</v>
      </c>
      <c r="Q67" s="1"/>
      <c r="R67" s="5">
        <f t="shared" ref="R67:R72" si="44">IF(P$12=0,0,P67/P$12)</f>
        <v>0</v>
      </c>
      <c r="S67" s="1"/>
      <c r="T67" s="1">
        <f>SUM(OSRRefT22_13x_0)</f>
        <v>1450</v>
      </c>
      <c r="U67" s="1"/>
      <c r="V67" s="5">
        <f t="shared" ref="V67:V72" si="45">IF(T$12=0,0,T67/T$12)</f>
        <v>0</v>
      </c>
      <c r="W67" s="1"/>
      <c r="X67" s="1">
        <f t="shared" ref="X67:X72" si="46">+P67-T67</f>
        <v>213.40000000000009</v>
      </c>
      <c r="Y67" s="1"/>
      <c r="Z67" s="5">
        <f t="shared" ref="Z67:Z72" si="47">IF(T67=0,0,X67/T67)</f>
        <v>0.1471724137931035</v>
      </c>
    </row>
    <row r="68" spans="1:26" s="24" customFormat="1" hidden="1" outlineLevel="2" x14ac:dyDescent="0.25">
      <c r="A68" s="25"/>
      <c r="B68" s="11" t="str">
        <f>CONCATENATE("          ", "6309", " - ", "TELEPHONE")</f>
        <v xml:space="preserve">          6309 - TELEPHONE</v>
      </c>
      <c r="C68" s="11"/>
      <c r="D68" s="6">
        <v>325.55</v>
      </c>
      <c r="E68" s="2"/>
      <c r="F68" s="7">
        <f t="shared" si="40"/>
        <v>0</v>
      </c>
      <c r="G68" s="2"/>
      <c r="H68" s="6">
        <v>290</v>
      </c>
      <c r="I68" s="2"/>
      <c r="J68" s="7">
        <f t="shared" si="41"/>
        <v>0</v>
      </c>
      <c r="K68" s="2"/>
      <c r="L68" s="6">
        <f t="shared" si="42"/>
        <v>35.550000000000011</v>
      </c>
      <c r="M68" s="2"/>
      <c r="N68" s="7">
        <f t="shared" si="43"/>
        <v>0.12258620689655177</v>
      </c>
      <c r="O68" s="11"/>
      <c r="P68" s="6">
        <v>1663.4</v>
      </c>
      <c r="Q68" s="2"/>
      <c r="R68" s="7">
        <f t="shared" si="44"/>
        <v>0</v>
      </c>
      <c r="S68" s="2"/>
      <c r="T68" s="6">
        <v>1450</v>
      </c>
      <c r="U68" s="2"/>
      <c r="V68" s="7">
        <f t="shared" si="45"/>
        <v>0</v>
      </c>
      <c r="W68" s="2"/>
      <c r="X68" s="6">
        <f t="shared" si="46"/>
        <v>213.40000000000009</v>
      </c>
      <c r="Y68" s="2"/>
      <c r="Z68" s="7">
        <f t="shared" si="47"/>
        <v>0.1471724137931035</v>
      </c>
    </row>
    <row r="69" spans="1:26" s="26" customFormat="1" outlineLevel="1" collapsed="1" x14ac:dyDescent="0.25">
      <c r="A69" s="27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SUM(OSRRefD22_14x_0)</f>
        <v>0</v>
      </c>
      <c r="E69" s="1"/>
      <c r="F69" s="5">
        <f t="shared" si="40"/>
        <v>0</v>
      </c>
      <c r="G69" s="1"/>
      <c r="H69" s="1">
        <f>SUM(OSRRefH22_14x_0)</f>
        <v>0</v>
      </c>
      <c r="I69" s="1"/>
      <c r="J69" s="5">
        <f t="shared" si="41"/>
        <v>0</v>
      </c>
      <c r="K69" s="1"/>
      <c r="L69" s="1">
        <f t="shared" si="42"/>
        <v>0</v>
      </c>
      <c r="M69" s="1"/>
      <c r="N69" s="5">
        <f t="shared" si="43"/>
        <v>0</v>
      </c>
      <c r="O69" s="13"/>
      <c r="P69" s="1">
        <f>SUM(OSRRefP22_14x_0)</f>
        <v>5314.98</v>
      </c>
      <c r="Q69" s="1"/>
      <c r="R69" s="5">
        <f t="shared" si="44"/>
        <v>0</v>
      </c>
      <c r="S69" s="1"/>
      <c r="T69" s="1">
        <f>SUM(OSRRefT22_14x_0)</f>
        <v>6000</v>
      </c>
      <c r="U69" s="1"/>
      <c r="V69" s="5">
        <f t="shared" si="45"/>
        <v>0</v>
      </c>
      <c r="W69" s="1"/>
      <c r="X69" s="1">
        <f t="shared" si="46"/>
        <v>-685.02000000000044</v>
      </c>
      <c r="Y69" s="1"/>
      <c r="Z69" s="5">
        <f t="shared" si="47"/>
        <v>-0.11417000000000008</v>
      </c>
    </row>
    <row r="70" spans="1:26" s="24" customFormat="1" hidden="1" outlineLevel="2" x14ac:dyDescent="0.25">
      <c r="A70" s="25"/>
      <c r="B70" s="11" t="str">
        <f>CONCATENATE("          ", "6376", " - ", "TRAINING")</f>
        <v xml:space="preserve">          6376 - TRAINING</v>
      </c>
      <c r="C70" s="11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1"/>
      <c r="P70" s="6">
        <v>5314.98</v>
      </c>
      <c r="Q70" s="2"/>
      <c r="R70" s="7">
        <f t="shared" si="44"/>
        <v>0</v>
      </c>
      <c r="S70" s="2"/>
      <c r="T70" s="6">
        <v>6000</v>
      </c>
      <c r="U70" s="2"/>
      <c r="V70" s="7">
        <f t="shared" si="45"/>
        <v>0</v>
      </c>
      <c r="W70" s="2"/>
      <c r="X70" s="6">
        <f t="shared" si="46"/>
        <v>-685.02000000000044</v>
      </c>
      <c r="Y70" s="2"/>
      <c r="Z70" s="7">
        <f t="shared" si="47"/>
        <v>-0.11417000000000008</v>
      </c>
    </row>
    <row r="71" spans="1:26" s="26" customFormat="1" outlineLevel="1" collapsed="1" x14ac:dyDescent="0.25">
      <c r="A71" s="27"/>
      <c r="B71" s="13" t="str">
        <f>CONCATENATE("     ","Travel                                            ")</f>
        <v xml:space="preserve">     Travel                                            </v>
      </c>
      <c r="C71" s="13"/>
      <c r="D71" s="1">
        <f>SUM(OSRRefD22_15x_0)</f>
        <v>2051.13</v>
      </c>
      <c r="E71" s="1"/>
      <c r="F71" s="5">
        <f t="shared" si="40"/>
        <v>0</v>
      </c>
      <c r="G71" s="1"/>
      <c r="H71" s="1">
        <f>SUM(OSRRefH22_15x_0)</f>
        <v>1225</v>
      </c>
      <c r="I71" s="1"/>
      <c r="J71" s="5">
        <f t="shared" si="41"/>
        <v>0</v>
      </c>
      <c r="K71" s="1"/>
      <c r="L71" s="1">
        <f t="shared" si="42"/>
        <v>826.13000000000011</v>
      </c>
      <c r="M71" s="1"/>
      <c r="N71" s="5">
        <f t="shared" si="43"/>
        <v>0.67439183673469394</v>
      </c>
      <c r="O71" s="13"/>
      <c r="P71" s="1">
        <f>SUM(OSRRefP22_15x_0)</f>
        <v>3487.01</v>
      </c>
      <c r="Q71" s="1"/>
      <c r="R71" s="5">
        <f t="shared" si="44"/>
        <v>0</v>
      </c>
      <c r="S71" s="1"/>
      <c r="T71" s="1">
        <f>SUM(OSRRefT22_15x_0)</f>
        <v>2225</v>
      </c>
      <c r="U71" s="1"/>
      <c r="V71" s="5">
        <f t="shared" si="45"/>
        <v>0</v>
      </c>
      <c r="W71" s="1"/>
      <c r="X71" s="1">
        <f t="shared" si="46"/>
        <v>1262.0100000000002</v>
      </c>
      <c r="Y71" s="1"/>
      <c r="Z71" s="5">
        <f t="shared" si="47"/>
        <v>0.5671955056179776</v>
      </c>
    </row>
    <row r="72" spans="1:26" s="24" customFormat="1" hidden="1" outlineLevel="2" x14ac:dyDescent="0.25">
      <c r="A72" s="25"/>
      <c r="B72" s="11" t="str">
        <f>CONCATENATE("          ", "6292", " - ", "TRAVEL/CONFERENCE")</f>
        <v xml:space="preserve">          6292 - TRAVEL/CONFERENCE</v>
      </c>
      <c r="C72" s="11"/>
      <c r="D72" s="6">
        <v>2051.13</v>
      </c>
      <c r="E72" s="2"/>
      <c r="F72" s="7">
        <f t="shared" si="40"/>
        <v>0</v>
      </c>
      <c r="G72" s="2"/>
      <c r="H72" s="6">
        <v>1225</v>
      </c>
      <c r="I72" s="2"/>
      <c r="J72" s="7">
        <f t="shared" si="41"/>
        <v>0</v>
      </c>
      <c r="K72" s="2"/>
      <c r="L72" s="6">
        <f t="shared" si="42"/>
        <v>826.13000000000011</v>
      </c>
      <c r="M72" s="2"/>
      <c r="N72" s="7">
        <f t="shared" si="43"/>
        <v>0.67439183673469394</v>
      </c>
      <c r="O72" s="11"/>
      <c r="P72" s="6">
        <v>3487.01</v>
      </c>
      <c r="Q72" s="2"/>
      <c r="R72" s="7">
        <f t="shared" si="44"/>
        <v>0</v>
      </c>
      <c r="S72" s="2"/>
      <c r="T72" s="6">
        <v>2225</v>
      </c>
      <c r="U72" s="2"/>
      <c r="V72" s="7">
        <f t="shared" si="45"/>
        <v>0</v>
      </c>
      <c r="W72" s="2"/>
      <c r="X72" s="6">
        <f t="shared" si="46"/>
        <v>1262.0100000000002</v>
      </c>
      <c r="Y72" s="2"/>
      <c r="Z72" s="7">
        <f t="shared" si="47"/>
        <v>0.5671955056179776</v>
      </c>
    </row>
    <row r="73" spans="1:26" s="59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9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8" t="s">
        <v>3</v>
      </c>
      <c r="C76" s="28"/>
      <c r="D76" s="20">
        <f>+D16-D18+D74</f>
        <v>-50493.69000000001</v>
      </c>
      <c r="E76" s="14"/>
      <c r="F76" s="22">
        <f>IF(D$12=0,0,D76/D$12)</f>
        <v>0</v>
      </c>
      <c r="G76" s="14"/>
      <c r="H76" s="20">
        <f>+H16-H18+H74</f>
        <v>-50536.270203673834</v>
      </c>
      <c r="I76" s="14"/>
      <c r="J76" s="22">
        <f>IF(H$12=0,0,H76/H$12)</f>
        <v>0</v>
      </c>
      <c r="K76" s="16"/>
      <c r="L76" s="20">
        <f>+D76-H76</f>
        <v>42.580203673824144</v>
      </c>
      <c r="M76" s="16"/>
      <c r="N76" s="22">
        <f>IF(H76=0,0,L76/H76)</f>
        <v>-8.4256719979957468E-4</v>
      </c>
      <c r="O76" s="29"/>
      <c r="P76" s="20">
        <f>+P16-P18+P74</f>
        <v>-340081.28</v>
      </c>
      <c r="Q76" s="14"/>
      <c r="R76" s="22">
        <f>IF(P$12=0,0,P76/P$12)</f>
        <v>0</v>
      </c>
      <c r="S76" s="14"/>
      <c r="T76" s="20">
        <f>+T16-T18+T74</f>
        <v>-308021.98612020613</v>
      </c>
      <c r="U76" s="14"/>
      <c r="V76" s="22">
        <f>IF(T$12=0,0,T76/T$12)</f>
        <v>0</v>
      </c>
      <c r="W76" s="16"/>
      <c r="X76" s="20">
        <f>+P76-T76</f>
        <v>-32059.293879793899</v>
      </c>
      <c r="Y76" s="16"/>
      <c r="Z76" s="22">
        <f>IF(T76=0,0,X76/T76)</f>
        <v>0.10408118681269297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/>
      <c r="E78" s="4"/>
      <c r="F78" s="12">
        <f>IF(D$12=0,0,D78/D$12)</f>
        <v>0</v>
      </c>
      <c r="G78" s="4"/>
      <c r="H78" s="4"/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/>
      <c r="Q78" s="4"/>
      <c r="R78" s="12">
        <f>IF(P$12=0,0,P78/P$12)</f>
        <v>0</v>
      </c>
      <c r="S78" s="4"/>
      <c r="T78" s="4"/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8" t="s">
        <v>4</v>
      </c>
      <c r="C80" s="28"/>
      <c r="D80" s="30">
        <f>+D76-D78</f>
        <v>-50493.69000000001</v>
      </c>
      <c r="E80" s="14"/>
      <c r="F80" s="32">
        <f>IF(D$12=0,0,D80/D$12)</f>
        <v>0</v>
      </c>
      <c r="G80" s="14"/>
      <c r="H80" s="30">
        <f>+H76-H78</f>
        <v>-50536.270203673834</v>
      </c>
      <c r="I80" s="14"/>
      <c r="J80" s="32">
        <f>IF(H$12=0,0,H80/H$12)</f>
        <v>0</v>
      </c>
      <c r="K80" s="16"/>
      <c r="L80" s="30">
        <f>D80-H80</f>
        <v>42.580203673824144</v>
      </c>
      <c r="M80" s="16"/>
      <c r="N80" s="32">
        <f>IF(H80=0,0,L80/H80)</f>
        <v>-8.4256719979957468E-4</v>
      </c>
      <c r="O80" s="29"/>
      <c r="P80" s="30">
        <f>+P76-P78</f>
        <v>-340081.28</v>
      </c>
      <c r="Q80" s="14"/>
      <c r="R80" s="32">
        <f>IF(P$12=0,0,P80/P$12)</f>
        <v>0</v>
      </c>
      <c r="S80" s="14"/>
      <c r="T80" s="30">
        <f>+T76-T78</f>
        <v>-308021.98612020613</v>
      </c>
      <c r="U80" s="14"/>
      <c r="V80" s="32">
        <f>IF(T$12=0,0,T80/T$12)</f>
        <v>0</v>
      </c>
      <c r="W80" s="16"/>
      <c r="X80" s="30">
        <f>P80-T80</f>
        <v>-32059.293879793899</v>
      </c>
      <c r="Y80" s="16"/>
      <c r="Z80" s="32">
        <f>IF(T80=0,0,X80/T80)</f>
        <v>0.10408118681269297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5</v>
      </c>
      <c r="C83" s="28"/>
      <c r="D83" s="31">
        <f>SUM(D80:D82)</f>
        <v>-50493.69000000001</v>
      </c>
      <c r="E83" s="14"/>
      <c r="F83" s="35">
        <f>IF(D$12=0,0,D83/D$12)</f>
        <v>0</v>
      </c>
      <c r="G83" s="14"/>
      <c r="H83" s="31">
        <f>SUM(H80:H82)</f>
        <v>-50536.270203673834</v>
      </c>
      <c r="I83" s="14"/>
      <c r="J83" s="35">
        <f>IF(H$12=0,0,H83/H$12)</f>
        <v>0</v>
      </c>
      <c r="K83" s="16"/>
      <c r="L83" s="31">
        <f>+D83-H83</f>
        <v>42.580203673824144</v>
      </c>
      <c r="M83" s="16"/>
      <c r="N83" s="35">
        <f>IF(H83=0,0,L83/H83)</f>
        <v>-8.4256719979957468E-4</v>
      </c>
      <c r="O83" s="29"/>
      <c r="P83" s="31">
        <f>SUM(P80:P82)</f>
        <v>-340081.28</v>
      </c>
      <c r="Q83" s="14"/>
      <c r="R83" s="35">
        <f>IF(P$12=0,0,P83/P$12)</f>
        <v>0</v>
      </c>
      <c r="S83" s="14"/>
      <c r="T83" s="31">
        <f>SUM(T80:T82)</f>
        <v>-308021.98612020613</v>
      </c>
      <c r="U83" s="14"/>
      <c r="V83" s="35">
        <f>IF(T$12=0,0,T83/T$12)</f>
        <v>0</v>
      </c>
      <c r="W83" s="16"/>
      <c r="X83" s="31">
        <f>+P83-T83</f>
        <v>-32059.293879793899</v>
      </c>
      <c r="Y83" s="16"/>
      <c r="Z83" s="35">
        <f>IF(T83=0,0,X83/T83)</f>
        <v>0.10408118681269297</v>
      </c>
    </row>
    <row r="84" spans="1:26" ht="15.75" thickTop="1" x14ac:dyDescent="0.25">
      <c r="A84" s="9"/>
      <c r="C84" s="9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56">
        <v>43815.483492013889</v>
      </c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62" t="s">
        <v>314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58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","204", " - ", "Information Technology")</f>
        <v>Department 204 - Information Technology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53277.119999999995</v>
      </c>
      <c r="E18" s="21"/>
      <c r="F18" s="33">
        <f t="shared" ref="F18:F29" si="0">IF(D$12=0,0,D18/D$12)</f>
        <v>0</v>
      </c>
      <c r="G18" s="21"/>
      <c r="H18" s="21">
        <f>SUM(OSRRefH22x_0)</f>
        <v>64650.765232076883</v>
      </c>
      <c r="I18" s="21"/>
      <c r="J18" s="33">
        <f t="shared" ref="J18:J29" si="1">IF(H$12=0,0,H18/H$12)</f>
        <v>0</v>
      </c>
      <c r="K18" s="4"/>
      <c r="L18" s="21">
        <f t="shared" ref="L18:L29" si="2">+D18-H18</f>
        <v>-11373.645232076888</v>
      </c>
      <c r="M18" s="4"/>
      <c r="N18" s="33">
        <f t="shared" ref="N18:N29" si="3">IF(H18=0,0,L18/H18)</f>
        <v>-0.17592437137053069</v>
      </c>
      <c r="O18" s="10"/>
      <c r="P18" s="21">
        <f>SUM(OSRRefP22x_0)</f>
        <v>306106.23000000004</v>
      </c>
      <c r="Q18" s="21"/>
      <c r="R18" s="33">
        <f t="shared" ref="R18:R29" si="4">IF(P$12=0,0,P18/P$12)</f>
        <v>0</v>
      </c>
      <c r="S18" s="21"/>
      <c r="T18" s="21">
        <f>SUM(OSRRefT22x_0)</f>
        <v>332669.07881253836</v>
      </c>
      <c r="U18" s="21"/>
      <c r="V18" s="33">
        <f t="shared" ref="V18:V29" si="5">IF(T$12=0,0,T18/T$12)</f>
        <v>0</v>
      </c>
      <c r="W18" s="4"/>
      <c r="X18" s="21">
        <f t="shared" ref="X18:X29" si="6">+P18-T18</f>
        <v>-26562.848812538316</v>
      </c>
      <c r="Y18" s="4"/>
      <c r="Z18" s="33">
        <f t="shared" ref="Z18:Z29" si="7">IF(T18=0,0,X18/T18)</f>
        <v>-7.9847663952881801E-2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12019.230000000001</v>
      </c>
      <c r="E19" s="1"/>
      <c r="F19" s="5">
        <f t="shared" si="0"/>
        <v>0</v>
      </c>
      <c r="G19" s="1"/>
      <c r="H19" s="1">
        <f>SUM(OSRRefH22_0x_0)</f>
        <v>13849.540693615387</v>
      </c>
      <c r="I19" s="1"/>
      <c r="J19" s="5">
        <f t="shared" si="1"/>
        <v>0</v>
      </c>
      <c r="K19" s="1"/>
      <c r="L19" s="1">
        <f t="shared" si="2"/>
        <v>-1830.3106936153854</v>
      </c>
      <c r="M19" s="1"/>
      <c r="N19" s="5">
        <f t="shared" si="3"/>
        <v>-0.13215677935508399</v>
      </c>
      <c r="O19" s="13"/>
      <c r="P19" s="1">
        <f>SUM(OSRRefP22_0x_0)</f>
        <v>65924.899999999994</v>
      </c>
      <c r="Q19" s="1"/>
      <c r="R19" s="5">
        <f t="shared" si="4"/>
        <v>0</v>
      </c>
      <c r="S19" s="1"/>
      <c r="T19" s="1">
        <f>SUM(OSRRefT22_0x_0)</f>
        <v>74265.88335100004</v>
      </c>
      <c r="U19" s="1"/>
      <c r="V19" s="5">
        <f t="shared" si="5"/>
        <v>0</v>
      </c>
      <c r="W19" s="1"/>
      <c r="X19" s="1">
        <f t="shared" si="6"/>
        <v>-8340.9833510000462</v>
      </c>
      <c r="Y19" s="1"/>
      <c r="Z19" s="5">
        <f t="shared" si="7"/>
        <v>-0.11231245054446294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1809.12</v>
      </c>
      <c r="E20" s="2"/>
      <c r="F20" s="7">
        <f t="shared" si="0"/>
        <v>0</v>
      </c>
      <c r="G20" s="2"/>
      <c r="H20" s="6">
        <v>2309.1979705384601</v>
      </c>
      <c r="I20" s="2"/>
      <c r="J20" s="7">
        <f t="shared" si="1"/>
        <v>0</v>
      </c>
      <c r="K20" s="2"/>
      <c r="L20" s="6">
        <f t="shared" si="2"/>
        <v>-500.07797053846025</v>
      </c>
      <c r="M20" s="2"/>
      <c r="N20" s="7">
        <f t="shared" si="3"/>
        <v>-0.21655915903210834</v>
      </c>
      <c r="O20" s="11"/>
      <c r="P20" s="6">
        <v>11353.33</v>
      </c>
      <c r="Q20" s="2"/>
      <c r="R20" s="7">
        <f t="shared" si="4"/>
        <v>0</v>
      </c>
      <c r="S20" s="2"/>
      <c r="T20" s="6">
        <v>12546.95868946154</v>
      </c>
      <c r="U20" s="2"/>
      <c r="V20" s="7">
        <f t="shared" si="5"/>
        <v>0</v>
      </c>
      <c r="W20" s="2"/>
      <c r="X20" s="6">
        <f t="shared" si="6"/>
        <v>-1193.6286894615405</v>
      </c>
      <c r="Y20" s="2"/>
      <c r="Z20" s="7">
        <f t="shared" si="7"/>
        <v>-9.5132909815355882E-2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87.15</v>
      </c>
      <c r="E21" s="2"/>
      <c r="F21" s="7">
        <f t="shared" si="0"/>
        <v>0</v>
      </c>
      <c r="G21" s="2"/>
      <c r="H21" s="6">
        <v>102.590789230769</v>
      </c>
      <c r="I21" s="2"/>
      <c r="J21" s="7">
        <f t="shared" si="1"/>
        <v>0</v>
      </c>
      <c r="K21" s="2"/>
      <c r="L21" s="6">
        <f t="shared" si="2"/>
        <v>-15.440789230768999</v>
      </c>
      <c r="M21" s="2"/>
      <c r="N21" s="7">
        <f t="shared" si="3"/>
        <v>-0.15050853343214168</v>
      </c>
      <c r="O21" s="11"/>
      <c r="P21" s="6">
        <v>333.11</v>
      </c>
      <c r="Q21" s="2"/>
      <c r="R21" s="7">
        <f t="shared" si="4"/>
        <v>0</v>
      </c>
      <c r="S21" s="2"/>
      <c r="T21" s="6">
        <v>570.75201076923099</v>
      </c>
      <c r="U21" s="2"/>
      <c r="V21" s="7">
        <f t="shared" si="5"/>
        <v>0</v>
      </c>
      <c r="W21" s="2"/>
      <c r="X21" s="6">
        <f t="shared" si="6"/>
        <v>-237.64201076923098</v>
      </c>
      <c r="Y21" s="2"/>
      <c r="Z21" s="7">
        <f t="shared" si="7"/>
        <v>-0.41636648892213096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5268.48</v>
      </c>
      <c r="E22" s="2"/>
      <c r="F22" s="7">
        <f t="shared" si="0"/>
        <v>0</v>
      </c>
      <c r="G22" s="2"/>
      <c r="H22" s="6">
        <v>7007.1923076923094</v>
      </c>
      <c r="I22" s="2"/>
      <c r="J22" s="7">
        <f t="shared" si="1"/>
        <v>0</v>
      </c>
      <c r="K22" s="2"/>
      <c r="L22" s="6">
        <f t="shared" si="2"/>
        <v>-1738.7123076923099</v>
      </c>
      <c r="M22" s="2"/>
      <c r="N22" s="7">
        <f t="shared" si="3"/>
        <v>-0.24813252317673623</v>
      </c>
      <c r="O22" s="11"/>
      <c r="P22" s="6">
        <v>25707.3</v>
      </c>
      <c r="Q22" s="2"/>
      <c r="R22" s="7">
        <f t="shared" si="4"/>
        <v>0</v>
      </c>
      <c r="S22" s="2"/>
      <c r="T22" s="6">
        <v>36629.423076923085</v>
      </c>
      <c r="U22" s="2"/>
      <c r="V22" s="7">
        <f t="shared" si="5"/>
        <v>0</v>
      </c>
      <c r="W22" s="2"/>
      <c r="X22" s="6">
        <f t="shared" si="6"/>
        <v>-10922.123076923086</v>
      </c>
      <c r="Y22" s="2"/>
      <c r="Z22" s="7">
        <f t="shared" si="7"/>
        <v>-0.29817895449748799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66.64</v>
      </c>
      <c r="E23" s="2"/>
      <c r="F23" s="7">
        <f t="shared" si="0"/>
        <v>0</v>
      </c>
      <c r="G23" s="2"/>
      <c r="H23" s="6">
        <v>78.451779999999999</v>
      </c>
      <c r="I23" s="2"/>
      <c r="J23" s="7">
        <f t="shared" si="1"/>
        <v>0</v>
      </c>
      <c r="K23" s="2"/>
      <c r="L23" s="6">
        <f t="shared" si="2"/>
        <v>-11.811779999999999</v>
      </c>
      <c r="M23" s="2"/>
      <c r="N23" s="7">
        <f t="shared" si="3"/>
        <v>-0.15056101977545952</v>
      </c>
      <c r="O23" s="11"/>
      <c r="P23" s="6">
        <v>380.61</v>
      </c>
      <c r="Q23" s="2"/>
      <c r="R23" s="7">
        <f t="shared" si="4"/>
        <v>0</v>
      </c>
      <c r="S23" s="2"/>
      <c r="T23" s="6">
        <v>436.45742000000001</v>
      </c>
      <c r="U23" s="2"/>
      <c r="V23" s="7">
        <f t="shared" si="5"/>
        <v>0</v>
      </c>
      <c r="W23" s="2"/>
      <c r="X23" s="6">
        <f t="shared" si="6"/>
        <v>-55.84742</v>
      </c>
      <c r="Y23" s="2"/>
      <c r="Z23" s="7">
        <f t="shared" si="7"/>
        <v>-0.12795617038656371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1339.05</v>
      </c>
      <c r="E24" s="2"/>
      <c r="F24" s="7">
        <f t="shared" si="0"/>
        <v>0</v>
      </c>
      <c r="G24" s="2"/>
      <c r="H24" s="6">
        <v>1608.0676923076899</v>
      </c>
      <c r="I24" s="2"/>
      <c r="J24" s="7">
        <f t="shared" si="1"/>
        <v>0</v>
      </c>
      <c r="K24" s="2"/>
      <c r="L24" s="6">
        <f t="shared" si="2"/>
        <v>-269.01769230768991</v>
      </c>
      <c r="M24" s="2"/>
      <c r="N24" s="7">
        <f t="shared" si="3"/>
        <v>-0.16729251734523107</v>
      </c>
      <c r="O24" s="11"/>
      <c r="P24" s="6">
        <v>8436.01</v>
      </c>
      <c r="Q24" s="2"/>
      <c r="R24" s="7">
        <f t="shared" si="4"/>
        <v>0</v>
      </c>
      <c r="S24" s="2"/>
      <c r="T24" s="6">
        <v>8844.3723076923088</v>
      </c>
      <c r="U24" s="2"/>
      <c r="V24" s="7">
        <f t="shared" si="5"/>
        <v>0</v>
      </c>
      <c r="W24" s="2"/>
      <c r="X24" s="6">
        <f t="shared" si="6"/>
        <v>-408.3623076923086</v>
      </c>
      <c r="Y24" s="2"/>
      <c r="Z24" s="7">
        <f t="shared" si="7"/>
        <v>-4.6171994290328477E-2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6">
        <v>510.05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510.05</v>
      </c>
      <c r="M26" s="2"/>
      <c r="N26" s="7">
        <f t="shared" si="3"/>
        <v>0</v>
      </c>
      <c r="O26" s="11"/>
      <c r="P26" s="6">
        <v>2024.27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2024.27</v>
      </c>
      <c r="Y26" s="2"/>
      <c r="Z26" s="7">
        <f t="shared" si="7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1408.62</v>
      </c>
      <c r="E27" s="2"/>
      <c r="F27" s="7">
        <f t="shared" si="0"/>
        <v>0</v>
      </c>
      <c r="G27" s="2"/>
      <c r="H27" s="6">
        <v>1313.44807692308</v>
      </c>
      <c r="I27" s="2"/>
      <c r="J27" s="7">
        <f t="shared" si="1"/>
        <v>0</v>
      </c>
      <c r="K27" s="2"/>
      <c r="L27" s="6">
        <f t="shared" si="2"/>
        <v>95.171923076919938</v>
      </c>
      <c r="M27" s="2"/>
      <c r="N27" s="7">
        <f t="shared" si="3"/>
        <v>7.2459600610838254E-2</v>
      </c>
      <c r="O27" s="11"/>
      <c r="P27" s="6">
        <v>8762.18</v>
      </c>
      <c r="Q27" s="2"/>
      <c r="R27" s="7">
        <f t="shared" si="4"/>
        <v>0</v>
      </c>
      <c r="S27" s="2"/>
      <c r="T27" s="6">
        <v>7287.0519230769396</v>
      </c>
      <c r="U27" s="2"/>
      <c r="V27" s="7">
        <f t="shared" si="5"/>
        <v>0</v>
      </c>
      <c r="W27" s="2"/>
      <c r="X27" s="6">
        <f t="shared" si="6"/>
        <v>1475.1280769230607</v>
      </c>
      <c r="Y27" s="2"/>
      <c r="Z27" s="7">
        <f t="shared" si="7"/>
        <v>0.20243139372337443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941.7</v>
      </c>
      <c r="E28" s="2"/>
      <c r="F28" s="7">
        <f t="shared" si="0"/>
        <v>0</v>
      </c>
      <c r="G28" s="2"/>
      <c r="H28" s="6">
        <v>1430.59207692308</v>
      </c>
      <c r="I28" s="2"/>
      <c r="J28" s="7">
        <f t="shared" si="1"/>
        <v>0</v>
      </c>
      <c r="K28" s="2"/>
      <c r="L28" s="6">
        <f t="shared" si="2"/>
        <v>-488.89207692307991</v>
      </c>
      <c r="M28" s="2"/>
      <c r="N28" s="7">
        <f t="shared" si="3"/>
        <v>-0.34174107686559391</v>
      </c>
      <c r="O28" s="11"/>
      <c r="P28" s="6">
        <v>5864.96</v>
      </c>
      <c r="Q28" s="2"/>
      <c r="R28" s="7">
        <f t="shared" si="4"/>
        <v>0</v>
      </c>
      <c r="S28" s="2"/>
      <c r="T28" s="6">
        <v>7950.8679230769394</v>
      </c>
      <c r="U28" s="2"/>
      <c r="V28" s="7">
        <f t="shared" si="5"/>
        <v>0</v>
      </c>
      <c r="W28" s="2"/>
      <c r="X28" s="6">
        <f t="shared" si="6"/>
        <v>-2085.9079230769394</v>
      </c>
      <c r="Y28" s="2"/>
      <c r="Z28" s="7">
        <f t="shared" si="7"/>
        <v>-0.26234971367373755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588.41999999999996</v>
      </c>
      <c r="E29" s="2"/>
      <c r="F29" s="7">
        <f t="shared" si="0"/>
        <v>0</v>
      </c>
      <c r="G29" s="2"/>
      <c r="H29" s="6"/>
      <c r="I29" s="2"/>
      <c r="J29" s="7">
        <f t="shared" si="1"/>
        <v>0</v>
      </c>
      <c r="K29" s="2"/>
      <c r="L29" s="6">
        <f t="shared" si="2"/>
        <v>588.41999999999996</v>
      </c>
      <c r="M29" s="2"/>
      <c r="N29" s="7">
        <f t="shared" si="3"/>
        <v>0</v>
      </c>
      <c r="O29" s="11"/>
      <c r="P29" s="6">
        <v>3063.13</v>
      </c>
      <c r="Q29" s="2"/>
      <c r="R29" s="7">
        <f t="shared" si="4"/>
        <v>0</v>
      </c>
      <c r="S29" s="2"/>
      <c r="T29" s="6"/>
      <c r="U29" s="2"/>
      <c r="V29" s="7">
        <f t="shared" si="5"/>
        <v>0</v>
      </c>
      <c r="W29" s="2"/>
      <c r="X29" s="6">
        <f t="shared" si="6"/>
        <v>3063.13</v>
      </c>
      <c r="Y29" s="2"/>
      <c r="Z29" s="7">
        <f t="shared" si="7"/>
        <v>0</v>
      </c>
    </row>
    <row r="30" spans="1:26" s="26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23404.21</v>
      </c>
      <c r="E30" s="1"/>
      <c r="F30" s="5">
        <f t="shared" ref="F30:F40" si="8">IF(D$12=0,0,D30/D$12)</f>
        <v>0</v>
      </c>
      <c r="G30" s="1"/>
      <c r="H30" s="1">
        <f>SUM(OSRRefH22_1x_0)</f>
        <v>27920.224538461502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-4516.0145384615025</v>
      </c>
      <c r="M30" s="1"/>
      <c r="N30" s="5">
        <f t="shared" ref="N30:N40" si="11">IF(H30=0,0,L30/H30)</f>
        <v>-0.16174707091773088</v>
      </c>
      <c r="O30" s="13"/>
      <c r="P30" s="1">
        <f>SUM(OSRRefP22_1x_0)</f>
        <v>132990.35999999999</v>
      </c>
      <c r="Q30" s="1"/>
      <c r="R30" s="5">
        <f t="shared" ref="R30:R40" si="12">IF(P$12=0,0,P30/P$12)</f>
        <v>0</v>
      </c>
      <c r="S30" s="1"/>
      <c r="T30" s="1">
        <f>SUM(OSRRefT22_1x_0)</f>
        <v>155098.1954615383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-22107.835461538314</v>
      </c>
      <c r="Y30" s="1"/>
      <c r="Z30" s="5">
        <f t="shared" ref="Z30:Z40" si="15">IF(T30=0,0,X30/T30)</f>
        <v>-0.14254089414612614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>
        <v>10507.07</v>
      </c>
      <c r="E32" s="2"/>
      <c r="F32" s="7">
        <f t="shared" si="8"/>
        <v>0</v>
      </c>
      <c r="G32" s="2"/>
      <c r="H32" s="6">
        <v>18698.461538461499</v>
      </c>
      <c r="I32" s="2"/>
      <c r="J32" s="7">
        <f t="shared" si="9"/>
        <v>0</v>
      </c>
      <c r="K32" s="2"/>
      <c r="L32" s="6">
        <f t="shared" si="10"/>
        <v>-8191.3915384614993</v>
      </c>
      <c r="M32" s="2"/>
      <c r="N32" s="7">
        <f t="shared" si="11"/>
        <v>-0.4380783692611474</v>
      </c>
      <c r="O32" s="11"/>
      <c r="P32" s="6">
        <v>62613.799999999996</v>
      </c>
      <c r="Q32" s="2"/>
      <c r="R32" s="7">
        <f t="shared" si="12"/>
        <v>0</v>
      </c>
      <c r="S32" s="2"/>
      <c r="T32" s="6">
        <v>102841.53846153829</v>
      </c>
      <c r="U32" s="2"/>
      <c r="V32" s="7">
        <f t="shared" si="13"/>
        <v>0</v>
      </c>
      <c r="W32" s="2"/>
      <c r="X32" s="6">
        <f t="shared" si="14"/>
        <v>-40227.738461538298</v>
      </c>
      <c r="Y32" s="2"/>
      <c r="Z32" s="7">
        <f t="shared" si="15"/>
        <v>-0.39116235582748571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>
        <v>8028.64</v>
      </c>
      <c r="E34" s="2"/>
      <c r="F34" s="7">
        <f t="shared" si="8"/>
        <v>0</v>
      </c>
      <c r="G34" s="2"/>
      <c r="H34" s="6">
        <v>7541.7630000000008</v>
      </c>
      <c r="I34" s="2"/>
      <c r="J34" s="7">
        <f t="shared" si="9"/>
        <v>0</v>
      </c>
      <c r="K34" s="2"/>
      <c r="L34" s="6">
        <f t="shared" si="10"/>
        <v>486.8769999999995</v>
      </c>
      <c r="M34" s="2"/>
      <c r="N34" s="7">
        <f t="shared" si="11"/>
        <v>6.4557451619733933E-2</v>
      </c>
      <c r="O34" s="11"/>
      <c r="P34" s="6">
        <v>40354.049999999996</v>
      </c>
      <c r="Q34" s="2"/>
      <c r="R34" s="7">
        <f t="shared" si="12"/>
        <v>0</v>
      </c>
      <c r="S34" s="2"/>
      <c r="T34" s="6">
        <v>42736.656999999999</v>
      </c>
      <c r="U34" s="2"/>
      <c r="V34" s="7">
        <f t="shared" si="13"/>
        <v>0</v>
      </c>
      <c r="W34" s="2"/>
      <c r="X34" s="6">
        <f t="shared" si="14"/>
        <v>-2382.6070000000036</v>
      </c>
      <c r="Y34" s="2"/>
      <c r="Z34" s="7">
        <f t="shared" si="15"/>
        <v>-5.5750897876733867E-2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>
        <v>2519</v>
      </c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2519</v>
      </c>
      <c r="M35" s="2"/>
      <c r="N35" s="7">
        <f t="shared" si="11"/>
        <v>0</v>
      </c>
      <c r="O35" s="11"/>
      <c r="P35" s="6">
        <v>13021.5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13021.5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>
        <v>2349.5</v>
      </c>
      <c r="E37" s="2"/>
      <c r="F37" s="7">
        <f t="shared" si="8"/>
        <v>0</v>
      </c>
      <c r="G37" s="2"/>
      <c r="H37" s="6">
        <v>1680</v>
      </c>
      <c r="I37" s="2"/>
      <c r="J37" s="7">
        <f t="shared" si="9"/>
        <v>0</v>
      </c>
      <c r="K37" s="2"/>
      <c r="L37" s="6">
        <f t="shared" si="10"/>
        <v>669.5</v>
      </c>
      <c r="M37" s="2"/>
      <c r="N37" s="7">
        <f t="shared" si="11"/>
        <v>0.39851190476190479</v>
      </c>
      <c r="O37" s="11"/>
      <c r="P37" s="6">
        <v>14481.01</v>
      </c>
      <c r="Q37" s="2"/>
      <c r="R37" s="7">
        <f t="shared" si="12"/>
        <v>0</v>
      </c>
      <c r="S37" s="2"/>
      <c r="T37" s="6">
        <v>5600</v>
      </c>
      <c r="U37" s="2"/>
      <c r="V37" s="7">
        <f t="shared" si="13"/>
        <v>0</v>
      </c>
      <c r="W37" s="2"/>
      <c r="X37" s="6">
        <f t="shared" si="14"/>
        <v>8881.01</v>
      </c>
      <c r="Y37" s="2"/>
      <c r="Z37" s="7">
        <f t="shared" si="15"/>
        <v>1.585894642857143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>
        <v>2520</v>
      </c>
      <c r="Q38" s="2"/>
      <c r="R38" s="7">
        <f t="shared" si="12"/>
        <v>0</v>
      </c>
      <c r="S38" s="2"/>
      <c r="T38" s="6">
        <v>3920</v>
      </c>
      <c r="U38" s="2"/>
      <c r="V38" s="7">
        <f t="shared" si="13"/>
        <v>0</v>
      </c>
      <c r="W38" s="2"/>
      <c r="X38" s="6">
        <f t="shared" si="14"/>
        <v>-1400</v>
      </c>
      <c r="Y38" s="2"/>
      <c r="Z38" s="7">
        <f t="shared" si="15"/>
        <v>-0.35714285714285715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6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55" si="16">IF(D$12=0,0,D41/D$12)</f>
        <v>0</v>
      </c>
      <c r="G41" s="1"/>
      <c r="H41" s="1">
        <f>SUM(OSRRefH22_2x_0)</f>
        <v>0</v>
      </c>
      <c r="I41" s="1"/>
      <c r="J41" s="5">
        <f t="shared" ref="J41:J55" si="17">IF(H$12=0,0,H41/H$12)</f>
        <v>0</v>
      </c>
      <c r="K41" s="1"/>
      <c r="L41" s="1">
        <f t="shared" ref="L41:L55" si="18">+D41-H41</f>
        <v>0</v>
      </c>
      <c r="M41" s="1"/>
      <c r="N41" s="5">
        <f t="shared" ref="N41:N55" si="19">IF(H41=0,0,L41/H41)</f>
        <v>0</v>
      </c>
      <c r="O41" s="13"/>
      <c r="P41" s="1">
        <f>SUM(OSRRefP22_2x_0)</f>
        <v>9.99</v>
      </c>
      <c r="Q41" s="1"/>
      <c r="R41" s="5">
        <f t="shared" ref="R41:R55" si="20">IF(P$12=0,0,P41/P$12)</f>
        <v>0</v>
      </c>
      <c r="S41" s="1"/>
      <c r="T41" s="1">
        <f>SUM(OSRRefT22_2x_0)</f>
        <v>0</v>
      </c>
      <c r="U41" s="1"/>
      <c r="V41" s="5">
        <f t="shared" ref="V41:V55" si="21">IF(T$12=0,0,T41/T$12)</f>
        <v>0</v>
      </c>
      <c r="W41" s="1"/>
      <c r="X41" s="1">
        <f t="shared" ref="X41:X55" si="22">+P41-T41</f>
        <v>9.99</v>
      </c>
      <c r="Y41" s="1"/>
      <c r="Z41" s="5">
        <f t="shared" ref="Z41:Z55" si="23">IF(T41=0,0,X41/T41)</f>
        <v>0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9.99</v>
      </c>
      <c r="Q42" s="2"/>
      <c r="R42" s="7">
        <f t="shared" si="20"/>
        <v>0</v>
      </c>
      <c r="S42" s="2"/>
      <c r="T42" s="6"/>
      <c r="U42" s="2"/>
      <c r="V42" s="7">
        <f t="shared" si="21"/>
        <v>0</v>
      </c>
      <c r="W42" s="2"/>
      <c r="X42" s="6">
        <f t="shared" si="22"/>
        <v>9.99</v>
      </c>
      <c r="Y42" s="2"/>
      <c r="Z42" s="7">
        <f t="shared" si="23"/>
        <v>0</v>
      </c>
    </row>
    <row r="43" spans="1:26" s="26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6175.97</v>
      </c>
      <c r="E43" s="1"/>
      <c r="F43" s="5">
        <f t="shared" si="16"/>
        <v>0</v>
      </c>
      <c r="G43" s="1"/>
      <c r="H43" s="1">
        <f>SUM(OSRRefH22_3x_0)</f>
        <v>6176</v>
      </c>
      <c r="I43" s="1"/>
      <c r="J43" s="5">
        <f t="shared" si="17"/>
        <v>0</v>
      </c>
      <c r="K43" s="1"/>
      <c r="L43" s="1">
        <f t="shared" si="18"/>
        <v>-2.9999999999745341E-2</v>
      </c>
      <c r="M43" s="1"/>
      <c r="N43" s="5">
        <f t="shared" si="19"/>
        <v>-4.8575129533266417E-6</v>
      </c>
      <c r="O43" s="13"/>
      <c r="P43" s="1">
        <f>SUM(OSRRefP22_3x_0)</f>
        <v>30879.85</v>
      </c>
      <c r="Q43" s="1"/>
      <c r="R43" s="5">
        <f t="shared" si="20"/>
        <v>0</v>
      </c>
      <c r="S43" s="1"/>
      <c r="T43" s="1">
        <f>SUM(OSRRefT22_3x_0)</f>
        <v>30880</v>
      </c>
      <c r="U43" s="1"/>
      <c r="V43" s="5">
        <f t="shared" si="21"/>
        <v>0</v>
      </c>
      <c r="W43" s="1"/>
      <c r="X43" s="1">
        <f t="shared" si="22"/>
        <v>-0.15000000000145519</v>
      </c>
      <c r="Y43" s="1"/>
      <c r="Z43" s="5">
        <f t="shared" si="23"/>
        <v>-4.8575129534149999E-6</v>
      </c>
    </row>
    <row r="44" spans="1:26" s="24" customFormat="1" hidden="1" outlineLevel="2" x14ac:dyDescent="0.25">
      <c r="A44" s="25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6175.97</v>
      </c>
      <c r="E44" s="2"/>
      <c r="F44" s="7">
        <f t="shared" si="16"/>
        <v>0</v>
      </c>
      <c r="G44" s="2"/>
      <c r="H44" s="6">
        <v>6176</v>
      </c>
      <c r="I44" s="2"/>
      <c r="J44" s="7">
        <f t="shared" si="17"/>
        <v>0</v>
      </c>
      <c r="K44" s="2"/>
      <c r="L44" s="6">
        <f t="shared" si="18"/>
        <v>-2.9999999999745341E-2</v>
      </c>
      <c r="M44" s="2"/>
      <c r="N44" s="7">
        <f t="shared" si="19"/>
        <v>-4.8575129533266417E-6</v>
      </c>
      <c r="O44" s="11"/>
      <c r="P44" s="6">
        <v>30879.85</v>
      </c>
      <c r="Q44" s="2"/>
      <c r="R44" s="7">
        <f t="shared" si="20"/>
        <v>0</v>
      </c>
      <c r="S44" s="2"/>
      <c r="T44" s="6">
        <v>30880</v>
      </c>
      <c r="U44" s="2"/>
      <c r="V44" s="7">
        <f t="shared" si="21"/>
        <v>0</v>
      </c>
      <c r="W44" s="2"/>
      <c r="X44" s="6">
        <f t="shared" si="22"/>
        <v>-0.15000000000145519</v>
      </c>
      <c r="Y44" s="2"/>
      <c r="Z44" s="7">
        <f t="shared" si="23"/>
        <v>-4.8575129534149999E-6</v>
      </c>
    </row>
    <row r="45" spans="1:26" s="26" customFormat="1" outlineLevel="1" collapsed="1" x14ac:dyDescent="0.25">
      <c r="A45" s="27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100</v>
      </c>
      <c r="I45" s="1"/>
      <c r="J45" s="5">
        <f t="shared" si="17"/>
        <v>0</v>
      </c>
      <c r="K45" s="1"/>
      <c r="L45" s="1">
        <f t="shared" si="18"/>
        <v>-100</v>
      </c>
      <c r="M45" s="1"/>
      <c r="N45" s="5">
        <f t="shared" si="19"/>
        <v>-1</v>
      </c>
      <c r="O45" s="13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500</v>
      </c>
      <c r="U45" s="1"/>
      <c r="V45" s="5">
        <f t="shared" si="21"/>
        <v>0</v>
      </c>
      <c r="W45" s="1"/>
      <c r="X45" s="1">
        <f t="shared" si="22"/>
        <v>-500</v>
      </c>
      <c r="Y45" s="1"/>
      <c r="Z45" s="5">
        <f t="shared" si="23"/>
        <v>-1</v>
      </c>
    </row>
    <row r="46" spans="1:26" s="24" customFormat="1" hidden="1" outlineLevel="2" x14ac:dyDescent="0.25">
      <c r="A46" s="25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16"/>
        <v>0</v>
      </c>
      <c r="G46" s="2"/>
      <c r="H46" s="6">
        <v>100</v>
      </c>
      <c r="I46" s="2"/>
      <c r="J46" s="7">
        <f t="shared" si="17"/>
        <v>0</v>
      </c>
      <c r="K46" s="2"/>
      <c r="L46" s="6">
        <f t="shared" si="18"/>
        <v>-100</v>
      </c>
      <c r="M46" s="2"/>
      <c r="N46" s="7">
        <f t="shared" si="19"/>
        <v>-1</v>
      </c>
      <c r="O46" s="11"/>
      <c r="P46" s="6"/>
      <c r="Q46" s="2"/>
      <c r="R46" s="7">
        <f t="shared" si="20"/>
        <v>0</v>
      </c>
      <c r="S46" s="2"/>
      <c r="T46" s="6">
        <v>500</v>
      </c>
      <c r="U46" s="2"/>
      <c r="V46" s="7">
        <f t="shared" si="21"/>
        <v>0</v>
      </c>
      <c r="W46" s="2"/>
      <c r="X46" s="6">
        <f t="shared" si="22"/>
        <v>-500</v>
      </c>
      <c r="Y46" s="2"/>
      <c r="Z46" s="7">
        <f t="shared" si="23"/>
        <v>-1</v>
      </c>
    </row>
    <row r="47" spans="1:26" s="26" customFormat="1" outlineLevel="1" collapsed="1" x14ac:dyDescent="0.25">
      <c r="A47" s="27"/>
      <c r="B47" s="13" t="str">
        <f>CONCATENATE("     ","Insurance                                         ")</f>
        <v xml:space="preserve">     Insurance                                         </v>
      </c>
      <c r="C47" s="13"/>
      <c r="D47" s="1">
        <f>SUM(OSRRefD22_5x_0)</f>
        <v>56.34</v>
      </c>
      <c r="E47" s="1"/>
      <c r="F47" s="5">
        <f t="shared" si="16"/>
        <v>0</v>
      </c>
      <c r="G47" s="1"/>
      <c r="H47" s="1">
        <f>SUM(OSRRefH22_5x_0)</f>
        <v>55</v>
      </c>
      <c r="I47" s="1"/>
      <c r="J47" s="5">
        <f t="shared" si="17"/>
        <v>0</v>
      </c>
      <c r="K47" s="1"/>
      <c r="L47" s="1">
        <f t="shared" si="18"/>
        <v>1.3400000000000034</v>
      </c>
      <c r="M47" s="1"/>
      <c r="N47" s="5">
        <f t="shared" si="19"/>
        <v>2.4363636363636424E-2</v>
      </c>
      <c r="O47" s="13"/>
      <c r="P47" s="1">
        <f>SUM(OSRRefP22_5x_0)</f>
        <v>281.7</v>
      </c>
      <c r="Q47" s="1"/>
      <c r="R47" s="5">
        <f t="shared" si="20"/>
        <v>0</v>
      </c>
      <c r="S47" s="1"/>
      <c r="T47" s="1">
        <f>SUM(OSRRefT22_5x_0)</f>
        <v>275</v>
      </c>
      <c r="U47" s="1"/>
      <c r="V47" s="5">
        <f t="shared" si="21"/>
        <v>0</v>
      </c>
      <c r="W47" s="1"/>
      <c r="X47" s="1">
        <f t="shared" si="22"/>
        <v>6.6999999999999886</v>
      </c>
      <c r="Y47" s="1"/>
      <c r="Z47" s="5">
        <f t="shared" si="23"/>
        <v>2.4363636363636323E-2</v>
      </c>
    </row>
    <row r="48" spans="1:26" s="24" customFormat="1" hidden="1" outlineLevel="2" x14ac:dyDescent="0.25">
      <c r="A48" s="25"/>
      <c r="B48" s="11" t="str">
        <f>CONCATENATE("          ", "6314", " - ", "LIABILITY INSURANCE")</f>
        <v xml:space="preserve">          6314 - LIABILITY INSURANCE</v>
      </c>
      <c r="C48" s="11"/>
      <c r="D48" s="6">
        <v>56.34</v>
      </c>
      <c r="E48" s="2"/>
      <c r="F48" s="7">
        <f t="shared" si="16"/>
        <v>0</v>
      </c>
      <c r="G48" s="2"/>
      <c r="H48" s="6">
        <v>55</v>
      </c>
      <c r="I48" s="2"/>
      <c r="J48" s="7">
        <f t="shared" si="17"/>
        <v>0</v>
      </c>
      <c r="K48" s="2"/>
      <c r="L48" s="6">
        <f t="shared" si="18"/>
        <v>1.3400000000000034</v>
      </c>
      <c r="M48" s="2"/>
      <c r="N48" s="7">
        <f t="shared" si="19"/>
        <v>2.4363636363636424E-2</v>
      </c>
      <c r="O48" s="11"/>
      <c r="P48" s="6">
        <v>281.7</v>
      </c>
      <c r="Q48" s="2"/>
      <c r="R48" s="7">
        <f t="shared" si="20"/>
        <v>0</v>
      </c>
      <c r="S48" s="2"/>
      <c r="T48" s="6">
        <v>275</v>
      </c>
      <c r="U48" s="2"/>
      <c r="V48" s="7">
        <f t="shared" si="21"/>
        <v>0</v>
      </c>
      <c r="W48" s="2"/>
      <c r="X48" s="6">
        <f t="shared" si="22"/>
        <v>6.6999999999999886</v>
      </c>
      <c r="Y48" s="2"/>
      <c r="Z48" s="7">
        <f t="shared" si="23"/>
        <v>2.4363636363636323E-2</v>
      </c>
    </row>
    <row r="49" spans="1:26" s="26" customFormat="1" outlineLevel="1" collapsed="1" x14ac:dyDescent="0.25">
      <c r="A49" s="27"/>
      <c r="B49" s="13" t="str">
        <f>CONCATENATE("     ","Professional Services                             ")</f>
        <v xml:space="preserve">     Professional Services                             </v>
      </c>
      <c r="C49" s="13"/>
      <c r="D49" s="1">
        <f>SUM(OSRRefD22_6x_0)</f>
        <v>0</v>
      </c>
      <c r="E49" s="1"/>
      <c r="F49" s="5">
        <f t="shared" si="16"/>
        <v>0</v>
      </c>
      <c r="G49" s="1"/>
      <c r="H49" s="1">
        <f>SUM(OSRRefH22_6x_0)</f>
        <v>500</v>
      </c>
      <c r="I49" s="1"/>
      <c r="J49" s="5">
        <f t="shared" si="17"/>
        <v>0</v>
      </c>
      <c r="K49" s="1"/>
      <c r="L49" s="1">
        <f t="shared" si="18"/>
        <v>-500</v>
      </c>
      <c r="M49" s="1"/>
      <c r="N49" s="5">
        <f t="shared" si="19"/>
        <v>-1</v>
      </c>
      <c r="O49" s="13"/>
      <c r="P49" s="1">
        <f>SUM(OSRRefP22_6x_0)</f>
        <v>0</v>
      </c>
      <c r="Q49" s="1"/>
      <c r="R49" s="5">
        <f t="shared" si="20"/>
        <v>0</v>
      </c>
      <c r="S49" s="1"/>
      <c r="T49" s="1">
        <f>SUM(OSRRefT22_6x_0)</f>
        <v>2500</v>
      </c>
      <c r="U49" s="1"/>
      <c r="V49" s="5">
        <f t="shared" si="21"/>
        <v>0</v>
      </c>
      <c r="W49" s="1"/>
      <c r="X49" s="1">
        <f t="shared" si="22"/>
        <v>-2500</v>
      </c>
      <c r="Y49" s="1"/>
      <c r="Z49" s="5">
        <f t="shared" si="23"/>
        <v>-1</v>
      </c>
    </row>
    <row r="50" spans="1:26" s="24" customFormat="1" hidden="1" outlineLevel="2" x14ac:dyDescent="0.25">
      <c r="A50" s="25"/>
      <c r="B50" s="11" t="str">
        <f>CONCATENATE("          ", "6332", " - ", "CONSULTANT FEES")</f>
        <v xml:space="preserve">          6332 - CONSULTANT FEES</v>
      </c>
      <c r="C50" s="11"/>
      <c r="D50" s="6"/>
      <c r="E50" s="2"/>
      <c r="F50" s="7">
        <f t="shared" si="16"/>
        <v>0</v>
      </c>
      <c r="G50" s="2"/>
      <c r="H50" s="6">
        <v>500</v>
      </c>
      <c r="I50" s="2"/>
      <c r="J50" s="7">
        <f t="shared" si="17"/>
        <v>0</v>
      </c>
      <c r="K50" s="2"/>
      <c r="L50" s="6">
        <f t="shared" si="18"/>
        <v>-500</v>
      </c>
      <c r="M50" s="2"/>
      <c r="N50" s="7">
        <f t="shared" si="19"/>
        <v>-1</v>
      </c>
      <c r="O50" s="11"/>
      <c r="P50" s="6"/>
      <c r="Q50" s="2"/>
      <c r="R50" s="7">
        <f t="shared" si="20"/>
        <v>0</v>
      </c>
      <c r="S50" s="2"/>
      <c r="T50" s="6">
        <v>2500</v>
      </c>
      <c r="U50" s="2"/>
      <c r="V50" s="7">
        <f t="shared" si="21"/>
        <v>0</v>
      </c>
      <c r="W50" s="2"/>
      <c r="X50" s="6">
        <f t="shared" si="22"/>
        <v>-2500</v>
      </c>
      <c r="Y50" s="2"/>
      <c r="Z50" s="7">
        <f t="shared" si="23"/>
        <v>-1</v>
      </c>
    </row>
    <row r="51" spans="1:26" s="26" customFormat="1" outlineLevel="1" collapsed="1" x14ac:dyDescent="0.25">
      <c r="A51" s="27"/>
      <c r="B51" s="13" t="str">
        <f>CONCATENATE("     ","Repair and Maintenance                            ")</f>
        <v xml:space="preserve">     Repair and Maintenance                            </v>
      </c>
      <c r="C51" s="13"/>
      <c r="D51" s="1">
        <f>SUM(OSRRefD22_7x_0)</f>
        <v>9497.9500000000007</v>
      </c>
      <c r="E51" s="1"/>
      <c r="F51" s="5">
        <f t="shared" si="16"/>
        <v>0</v>
      </c>
      <c r="G51" s="1"/>
      <c r="H51" s="1">
        <f>SUM(OSRRefH22_7x_0)</f>
        <v>13100</v>
      </c>
      <c r="I51" s="1"/>
      <c r="J51" s="5">
        <f t="shared" si="17"/>
        <v>0</v>
      </c>
      <c r="K51" s="1"/>
      <c r="L51" s="1">
        <f t="shared" si="18"/>
        <v>-3602.0499999999993</v>
      </c>
      <c r="M51" s="1"/>
      <c r="N51" s="5">
        <f t="shared" si="19"/>
        <v>-0.27496564885496177</v>
      </c>
      <c r="O51" s="13"/>
      <c r="P51" s="1">
        <f>SUM(OSRRefP22_7x_0)</f>
        <v>47662.26</v>
      </c>
      <c r="Q51" s="1"/>
      <c r="R51" s="5">
        <f t="shared" si="20"/>
        <v>0</v>
      </c>
      <c r="S51" s="1"/>
      <c r="T51" s="1">
        <f>SUM(OSRRefT22_7x_0)</f>
        <v>53400</v>
      </c>
      <c r="U51" s="1"/>
      <c r="V51" s="5">
        <f t="shared" si="21"/>
        <v>0</v>
      </c>
      <c r="W51" s="1"/>
      <c r="X51" s="1">
        <f t="shared" si="22"/>
        <v>-5737.739999999998</v>
      </c>
      <c r="Y51" s="1"/>
      <c r="Z51" s="5">
        <f t="shared" si="23"/>
        <v>-0.10744831460674154</v>
      </c>
    </row>
    <row r="52" spans="1:26" s="24" customFormat="1" hidden="1" outlineLevel="2" x14ac:dyDescent="0.25">
      <c r="A52" s="25"/>
      <c r="B52" s="11" t="str">
        <f>CONCATENATE("          ", "6371", " - ", "COMPUTER SOFTWARE MAINTENANCE")</f>
        <v xml:space="preserve">          6371 - COMPUTER SOFTWARE MAINTENANCE</v>
      </c>
      <c r="C52" s="11"/>
      <c r="D52" s="6">
        <v>90.95</v>
      </c>
      <c r="E52" s="2"/>
      <c r="F52" s="7">
        <f t="shared" si="16"/>
        <v>0</v>
      </c>
      <c r="G52" s="2"/>
      <c r="H52" s="6">
        <v>500</v>
      </c>
      <c r="I52" s="2"/>
      <c r="J52" s="7">
        <f t="shared" si="17"/>
        <v>0</v>
      </c>
      <c r="K52" s="2"/>
      <c r="L52" s="6">
        <f t="shared" si="18"/>
        <v>-409.05</v>
      </c>
      <c r="M52" s="2"/>
      <c r="N52" s="7">
        <f t="shared" si="19"/>
        <v>-0.81810000000000005</v>
      </c>
      <c r="O52" s="11"/>
      <c r="P52" s="6">
        <v>454.75</v>
      </c>
      <c r="Q52" s="2"/>
      <c r="R52" s="7">
        <f t="shared" si="20"/>
        <v>0</v>
      </c>
      <c r="S52" s="2"/>
      <c r="T52" s="6">
        <v>3000</v>
      </c>
      <c r="U52" s="2"/>
      <c r="V52" s="7">
        <f t="shared" si="21"/>
        <v>0</v>
      </c>
      <c r="W52" s="2"/>
      <c r="X52" s="6">
        <f t="shared" si="22"/>
        <v>-2545.25</v>
      </c>
      <c r="Y52" s="2"/>
      <c r="Z52" s="7">
        <f t="shared" si="23"/>
        <v>-0.84841666666666671</v>
      </c>
    </row>
    <row r="53" spans="1:26" s="24" customFormat="1" hidden="1" outlineLevel="2" x14ac:dyDescent="0.25">
      <c r="A53" s="25"/>
      <c r="B53" s="11" t="str">
        <f>CONCATENATE("          ", "6372", " - ", "COMPUTER HARDWARE MAINTENANCE")</f>
        <v xml:space="preserve">          6372 - COMPUTER HARDWARE MAINTENANCE</v>
      </c>
      <c r="C53" s="11"/>
      <c r="D53" s="6"/>
      <c r="E53" s="2"/>
      <c r="F53" s="7">
        <f t="shared" si="16"/>
        <v>0</v>
      </c>
      <c r="G53" s="2"/>
      <c r="H53" s="6">
        <v>1000</v>
      </c>
      <c r="I53" s="2"/>
      <c r="J53" s="7">
        <f t="shared" si="17"/>
        <v>0</v>
      </c>
      <c r="K53" s="2"/>
      <c r="L53" s="6">
        <f t="shared" si="18"/>
        <v>-1000</v>
      </c>
      <c r="M53" s="2"/>
      <c r="N53" s="7">
        <f t="shared" si="19"/>
        <v>-1</v>
      </c>
      <c r="O53" s="11"/>
      <c r="P53" s="6"/>
      <c r="Q53" s="2"/>
      <c r="R53" s="7">
        <f t="shared" si="20"/>
        <v>0</v>
      </c>
      <c r="S53" s="2"/>
      <c r="T53" s="6">
        <v>4000</v>
      </c>
      <c r="U53" s="2"/>
      <c r="V53" s="7">
        <f t="shared" si="21"/>
        <v>0</v>
      </c>
      <c r="W53" s="2"/>
      <c r="X53" s="6">
        <f t="shared" si="22"/>
        <v>-4000</v>
      </c>
      <c r="Y53" s="2"/>
      <c r="Z53" s="7">
        <f t="shared" si="23"/>
        <v>-1</v>
      </c>
    </row>
    <row r="54" spans="1:26" s="24" customFormat="1" hidden="1" outlineLevel="2" x14ac:dyDescent="0.25">
      <c r="A54" s="25"/>
      <c r="B54" s="11" t="str">
        <f>CONCATENATE("          ", "6373", " - ", "MAINTENANCE CONTRACTS")</f>
        <v xml:space="preserve">          6373 - MAINTENANCE CONTRACTS</v>
      </c>
      <c r="C54" s="11"/>
      <c r="D54" s="6">
        <v>9407</v>
      </c>
      <c r="E54" s="2"/>
      <c r="F54" s="7">
        <f t="shared" si="16"/>
        <v>0</v>
      </c>
      <c r="G54" s="2"/>
      <c r="H54" s="6">
        <v>11600</v>
      </c>
      <c r="I54" s="2"/>
      <c r="J54" s="7">
        <f t="shared" si="17"/>
        <v>0</v>
      </c>
      <c r="K54" s="2"/>
      <c r="L54" s="6">
        <f t="shared" si="18"/>
        <v>-2193</v>
      </c>
      <c r="M54" s="2"/>
      <c r="N54" s="7">
        <f t="shared" si="19"/>
        <v>-0.18905172413793103</v>
      </c>
      <c r="O54" s="11"/>
      <c r="P54" s="6">
        <v>47144.15</v>
      </c>
      <c r="Q54" s="2"/>
      <c r="R54" s="7">
        <f t="shared" si="20"/>
        <v>0</v>
      </c>
      <c r="S54" s="2"/>
      <c r="T54" s="6">
        <v>46400</v>
      </c>
      <c r="U54" s="2"/>
      <c r="V54" s="7">
        <f t="shared" si="21"/>
        <v>0</v>
      </c>
      <c r="W54" s="2"/>
      <c r="X54" s="6">
        <f t="shared" si="22"/>
        <v>744.15000000000146</v>
      </c>
      <c r="Y54" s="2"/>
      <c r="Z54" s="7">
        <f t="shared" si="23"/>
        <v>1.603771551724141E-2</v>
      </c>
    </row>
    <row r="55" spans="1:26" s="24" customFormat="1" hidden="1" outlineLevel="2" x14ac:dyDescent="0.25">
      <c r="A55" s="25"/>
      <c r="B55" s="11" t="str">
        <f>CONCATENATE("          ", "6375", " - ", "OUTSIDE REPAIRS &amp; MAINTENANCE")</f>
        <v xml:space="preserve">          6375 - OUTSIDE REPAIRS &amp; MAINTENANCE</v>
      </c>
      <c r="C55" s="11"/>
      <c r="D55" s="6"/>
      <c r="E55" s="2"/>
      <c r="F55" s="7">
        <f t="shared" si="16"/>
        <v>0</v>
      </c>
      <c r="G55" s="2"/>
      <c r="H55" s="6"/>
      <c r="I55" s="2"/>
      <c r="J55" s="7">
        <f t="shared" si="17"/>
        <v>0</v>
      </c>
      <c r="K55" s="2"/>
      <c r="L55" s="6">
        <f t="shared" si="18"/>
        <v>0</v>
      </c>
      <c r="M55" s="2"/>
      <c r="N55" s="7">
        <f t="shared" si="19"/>
        <v>0</v>
      </c>
      <c r="O55" s="11"/>
      <c r="P55" s="6">
        <v>63.36</v>
      </c>
      <c r="Q55" s="2"/>
      <c r="R55" s="7">
        <f t="shared" si="20"/>
        <v>0</v>
      </c>
      <c r="S55" s="2"/>
      <c r="T55" s="6"/>
      <c r="U55" s="2"/>
      <c r="V55" s="7">
        <f t="shared" si="21"/>
        <v>0</v>
      </c>
      <c r="W55" s="2"/>
      <c r="X55" s="6">
        <f t="shared" si="22"/>
        <v>63.36</v>
      </c>
      <c r="Y55" s="2"/>
      <c r="Z55" s="7">
        <f t="shared" si="23"/>
        <v>0</v>
      </c>
    </row>
    <row r="56" spans="1:26" s="26" customFormat="1" outlineLevel="1" collapsed="1" x14ac:dyDescent="0.25">
      <c r="A56" s="27"/>
      <c r="B56" s="13" t="str">
        <f>CONCATENATE("     ","Subscriptions &amp; Dues                              ")</f>
        <v xml:space="preserve">     Subscriptions &amp; Dues                              </v>
      </c>
      <c r="C56" s="13"/>
      <c r="D56" s="1">
        <f>SUM(OSRRefD22_8x_0)</f>
        <v>0</v>
      </c>
      <c r="E56" s="1"/>
      <c r="F56" s="5">
        <f t="shared" ref="F56:F62" si="24">IF(D$12=0,0,D56/D$12)</f>
        <v>0</v>
      </c>
      <c r="G56" s="1"/>
      <c r="H56" s="1">
        <f>SUM(OSRRefH22_8x_0)</f>
        <v>100</v>
      </c>
      <c r="I56" s="1"/>
      <c r="J56" s="5">
        <f t="shared" ref="J56:J62" si="25">IF(H$12=0,0,H56/H$12)</f>
        <v>0</v>
      </c>
      <c r="K56" s="1"/>
      <c r="L56" s="1">
        <f t="shared" ref="L56:L62" si="26">+D56-H56</f>
        <v>-100</v>
      </c>
      <c r="M56" s="1"/>
      <c r="N56" s="5">
        <f t="shared" ref="N56:N62" si="27">IF(H56=0,0,L56/H56)</f>
        <v>-1</v>
      </c>
      <c r="O56" s="13"/>
      <c r="P56" s="1">
        <f>SUM(OSRRefP22_8x_0)</f>
        <v>0</v>
      </c>
      <c r="Q56" s="1"/>
      <c r="R56" s="5">
        <f t="shared" ref="R56:R62" si="28">IF(P$12=0,0,P56/P$12)</f>
        <v>0</v>
      </c>
      <c r="S56" s="1"/>
      <c r="T56" s="1">
        <f>SUM(OSRRefT22_8x_0)</f>
        <v>500</v>
      </c>
      <c r="U56" s="1"/>
      <c r="V56" s="5">
        <f t="shared" ref="V56:V62" si="29">IF(T$12=0,0,T56/T$12)</f>
        <v>0</v>
      </c>
      <c r="W56" s="1"/>
      <c r="X56" s="1">
        <f t="shared" ref="X56:X62" si="30">+P56-T56</f>
        <v>-500</v>
      </c>
      <c r="Y56" s="1"/>
      <c r="Z56" s="5">
        <f t="shared" ref="Z56:Z62" si="31">IF(T56=0,0,X56/T56)</f>
        <v>-1</v>
      </c>
    </row>
    <row r="57" spans="1:26" s="24" customFormat="1" hidden="1" outlineLevel="2" x14ac:dyDescent="0.25">
      <c r="A57" s="25"/>
      <c r="B57" s="11" t="str">
        <f>CONCATENATE("          ", "6275", " - ", "SUBSCRIPTIONS")</f>
        <v xml:space="preserve">          6275 - SUBSCRIPTIONS</v>
      </c>
      <c r="C57" s="11"/>
      <c r="D57" s="6"/>
      <c r="E57" s="2"/>
      <c r="F57" s="7">
        <f t="shared" si="24"/>
        <v>0</v>
      </c>
      <c r="G57" s="2"/>
      <c r="H57" s="6">
        <v>100</v>
      </c>
      <c r="I57" s="2"/>
      <c r="J57" s="7">
        <f t="shared" si="25"/>
        <v>0</v>
      </c>
      <c r="K57" s="2"/>
      <c r="L57" s="6">
        <f t="shared" si="26"/>
        <v>-100</v>
      </c>
      <c r="M57" s="2"/>
      <c r="N57" s="7">
        <f t="shared" si="27"/>
        <v>-1</v>
      </c>
      <c r="O57" s="11"/>
      <c r="P57" s="6"/>
      <c r="Q57" s="2"/>
      <c r="R57" s="7">
        <f t="shared" si="28"/>
        <v>0</v>
      </c>
      <c r="S57" s="2"/>
      <c r="T57" s="6">
        <v>500</v>
      </c>
      <c r="U57" s="2"/>
      <c r="V57" s="7">
        <f t="shared" si="29"/>
        <v>0</v>
      </c>
      <c r="W57" s="2"/>
      <c r="X57" s="6">
        <f t="shared" si="30"/>
        <v>-500</v>
      </c>
      <c r="Y57" s="2"/>
      <c r="Z57" s="7">
        <f t="shared" si="31"/>
        <v>-1</v>
      </c>
    </row>
    <row r="58" spans="1:26" s="26" customFormat="1" outlineLevel="1" collapsed="1" x14ac:dyDescent="0.25">
      <c r="A58" s="27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SUM(OSRRefD22_9x_0)</f>
        <v>397.73</v>
      </c>
      <c r="E58" s="1"/>
      <c r="F58" s="5">
        <f t="shared" si="24"/>
        <v>0</v>
      </c>
      <c r="G58" s="1"/>
      <c r="H58" s="1">
        <f>SUM(OSRRefH22_9x_0)</f>
        <v>400</v>
      </c>
      <c r="I58" s="1"/>
      <c r="J58" s="5">
        <f t="shared" si="25"/>
        <v>0</v>
      </c>
      <c r="K58" s="1"/>
      <c r="L58" s="1">
        <f t="shared" si="26"/>
        <v>-2.2699999999999818</v>
      </c>
      <c r="M58" s="1"/>
      <c r="N58" s="5">
        <f t="shared" si="27"/>
        <v>-5.6749999999999544E-3</v>
      </c>
      <c r="O58" s="13"/>
      <c r="P58" s="1">
        <f>SUM(OSRRefP22_9x_0)</f>
        <v>18752.670000000002</v>
      </c>
      <c r="Q58" s="1"/>
      <c r="R58" s="5">
        <f t="shared" si="28"/>
        <v>0</v>
      </c>
      <c r="S58" s="1"/>
      <c r="T58" s="1">
        <f>SUM(OSRRefT22_9x_0)</f>
        <v>1900</v>
      </c>
      <c r="U58" s="1"/>
      <c r="V58" s="5">
        <f t="shared" si="29"/>
        <v>0</v>
      </c>
      <c r="W58" s="1"/>
      <c r="X58" s="1">
        <f t="shared" si="30"/>
        <v>16852.670000000002</v>
      </c>
      <c r="Y58" s="1"/>
      <c r="Z58" s="5">
        <f t="shared" si="31"/>
        <v>8.8698263157894743</v>
      </c>
    </row>
    <row r="59" spans="1:26" s="24" customFormat="1" hidden="1" outlineLevel="2" x14ac:dyDescent="0.25">
      <c r="A59" s="25"/>
      <c r="B59" s="11" t="str">
        <f>CONCATENATE("          ", "6241", " - ", "OFFICE EXPENSE")</f>
        <v xml:space="preserve">          6241 - OFFICE EXPENSE</v>
      </c>
      <c r="C59" s="11"/>
      <c r="D59" s="6">
        <v>397.73</v>
      </c>
      <c r="E59" s="2"/>
      <c r="F59" s="7">
        <f t="shared" si="24"/>
        <v>0</v>
      </c>
      <c r="G59" s="2"/>
      <c r="H59" s="6">
        <v>400</v>
      </c>
      <c r="I59" s="2"/>
      <c r="J59" s="7">
        <f t="shared" si="25"/>
        <v>0</v>
      </c>
      <c r="K59" s="2"/>
      <c r="L59" s="6">
        <f t="shared" si="26"/>
        <v>-2.2699999999999818</v>
      </c>
      <c r="M59" s="2"/>
      <c r="N59" s="7">
        <f t="shared" si="27"/>
        <v>-5.6749999999999544E-3</v>
      </c>
      <c r="O59" s="11"/>
      <c r="P59" s="6">
        <v>18752.670000000002</v>
      </c>
      <c r="Q59" s="2"/>
      <c r="R59" s="7">
        <f t="shared" si="28"/>
        <v>0</v>
      </c>
      <c r="S59" s="2"/>
      <c r="T59" s="6">
        <v>1900</v>
      </c>
      <c r="U59" s="2"/>
      <c r="V59" s="7">
        <f t="shared" si="29"/>
        <v>0</v>
      </c>
      <c r="W59" s="2"/>
      <c r="X59" s="6">
        <f t="shared" si="30"/>
        <v>16852.670000000002</v>
      </c>
      <c r="Y59" s="2"/>
      <c r="Z59" s="7">
        <f t="shared" si="31"/>
        <v>8.8698263157894743</v>
      </c>
    </row>
    <row r="60" spans="1:26" s="26" customFormat="1" outlineLevel="1" collapsed="1" x14ac:dyDescent="0.25">
      <c r="A60" s="27"/>
      <c r="B60" s="13" t="str">
        <f>CONCATENATE("     ","Telephone/Data Lines                              ")</f>
        <v xml:space="preserve">     Telephone/Data Lines                              </v>
      </c>
      <c r="C60" s="13"/>
      <c r="D60" s="1">
        <f>SUM(OSRRefD22_10x_0)</f>
        <v>826.54</v>
      </c>
      <c r="E60" s="1"/>
      <c r="F60" s="5">
        <f t="shared" si="24"/>
        <v>0</v>
      </c>
      <c r="G60" s="1"/>
      <c r="H60" s="1">
        <f>SUM(OSRRefH22_10x_0)</f>
        <v>450</v>
      </c>
      <c r="I60" s="1"/>
      <c r="J60" s="5">
        <f t="shared" si="25"/>
        <v>0</v>
      </c>
      <c r="K60" s="1"/>
      <c r="L60" s="1">
        <f t="shared" si="26"/>
        <v>376.53999999999996</v>
      </c>
      <c r="M60" s="1"/>
      <c r="N60" s="5">
        <f t="shared" si="27"/>
        <v>0.83675555555555547</v>
      </c>
      <c r="O60" s="13"/>
      <c r="P60" s="1">
        <f>SUM(OSRRefP22_10x_0)</f>
        <v>7787.2300000000005</v>
      </c>
      <c r="Q60" s="1"/>
      <c r="R60" s="5">
        <f t="shared" si="28"/>
        <v>0</v>
      </c>
      <c r="S60" s="1"/>
      <c r="T60" s="1">
        <f>SUM(OSRRefT22_10x_0)</f>
        <v>2350</v>
      </c>
      <c r="U60" s="1"/>
      <c r="V60" s="5">
        <f t="shared" si="29"/>
        <v>0</v>
      </c>
      <c r="W60" s="1"/>
      <c r="X60" s="1">
        <f t="shared" si="30"/>
        <v>5437.2300000000005</v>
      </c>
      <c r="Y60" s="1"/>
      <c r="Z60" s="5">
        <f t="shared" si="31"/>
        <v>2.3137148936170213</v>
      </c>
    </row>
    <row r="61" spans="1:26" s="24" customFormat="1" hidden="1" outlineLevel="2" x14ac:dyDescent="0.25">
      <c r="A61" s="25"/>
      <c r="B61" s="11" t="str">
        <f>CONCATENATE("          ", "6303", " - ", "DATA PHONE LINES")</f>
        <v xml:space="preserve">          6303 - DATA PHONE LINES</v>
      </c>
      <c r="C61" s="11"/>
      <c r="D61" s="6">
        <v>141.68</v>
      </c>
      <c r="E61" s="2"/>
      <c r="F61" s="7">
        <f t="shared" si="24"/>
        <v>0</v>
      </c>
      <c r="G61" s="2"/>
      <c r="H61" s="6">
        <v>200</v>
      </c>
      <c r="I61" s="2"/>
      <c r="J61" s="7">
        <f t="shared" si="25"/>
        <v>0</v>
      </c>
      <c r="K61" s="2"/>
      <c r="L61" s="6">
        <f t="shared" si="26"/>
        <v>-58.319999999999993</v>
      </c>
      <c r="M61" s="2"/>
      <c r="N61" s="7">
        <f t="shared" si="27"/>
        <v>-0.29159999999999997</v>
      </c>
      <c r="O61" s="11"/>
      <c r="P61" s="6">
        <v>882.09</v>
      </c>
      <c r="Q61" s="2"/>
      <c r="R61" s="7">
        <f t="shared" si="28"/>
        <v>0</v>
      </c>
      <c r="S61" s="2"/>
      <c r="T61" s="6">
        <v>1100</v>
      </c>
      <c r="U61" s="2"/>
      <c r="V61" s="7">
        <f t="shared" si="29"/>
        <v>0</v>
      </c>
      <c r="W61" s="2"/>
      <c r="X61" s="6">
        <f t="shared" si="30"/>
        <v>-217.90999999999997</v>
      </c>
      <c r="Y61" s="2"/>
      <c r="Z61" s="7">
        <f t="shared" si="31"/>
        <v>-0.19809999999999997</v>
      </c>
    </row>
    <row r="62" spans="1:26" s="24" customFormat="1" hidden="1" outlineLevel="2" x14ac:dyDescent="0.25">
      <c r="A62" s="25"/>
      <c r="B62" s="11" t="str">
        <f>CONCATENATE("          ", "6309", " - ", "TELEPHONE")</f>
        <v xml:space="preserve">          6309 - TELEPHONE</v>
      </c>
      <c r="C62" s="11"/>
      <c r="D62" s="6">
        <v>684.86</v>
      </c>
      <c r="E62" s="2"/>
      <c r="F62" s="7">
        <f t="shared" si="24"/>
        <v>0</v>
      </c>
      <c r="G62" s="2"/>
      <c r="H62" s="6">
        <v>250</v>
      </c>
      <c r="I62" s="2"/>
      <c r="J62" s="7">
        <f t="shared" si="25"/>
        <v>0</v>
      </c>
      <c r="K62" s="2"/>
      <c r="L62" s="6">
        <f t="shared" si="26"/>
        <v>434.86</v>
      </c>
      <c r="M62" s="2"/>
      <c r="N62" s="7">
        <f t="shared" si="27"/>
        <v>1.7394400000000001</v>
      </c>
      <c r="O62" s="11"/>
      <c r="P62" s="6">
        <v>6905.14</v>
      </c>
      <c r="Q62" s="2"/>
      <c r="R62" s="7">
        <f t="shared" si="28"/>
        <v>0</v>
      </c>
      <c r="S62" s="2"/>
      <c r="T62" s="6">
        <v>1250</v>
      </c>
      <c r="U62" s="2"/>
      <c r="V62" s="7">
        <f t="shared" si="29"/>
        <v>0</v>
      </c>
      <c r="W62" s="2"/>
      <c r="X62" s="6">
        <f t="shared" si="30"/>
        <v>5655.14</v>
      </c>
      <c r="Y62" s="2"/>
      <c r="Z62" s="7">
        <f t="shared" si="31"/>
        <v>4.5241120000000006</v>
      </c>
    </row>
    <row r="63" spans="1:26" s="26" customFormat="1" outlineLevel="1" collapsed="1" x14ac:dyDescent="0.25">
      <c r="A63" s="27"/>
      <c r="B63" s="13" t="str">
        <f>CONCATENATE("     ","Training                                          ")</f>
        <v xml:space="preserve">     Training                                          </v>
      </c>
      <c r="C63" s="13"/>
      <c r="D63" s="1">
        <f>SUM(OSRRefD22_11x_0)</f>
        <v>134.84</v>
      </c>
      <c r="E63" s="1"/>
      <c r="F63" s="5">
        <f t="shared" ref="F63:F67" si="32">IF(D$12=0,0,D63/D$12)</f>
        <v>0</v>
      </c>
      <c r="G63" s="1"/>
      <c r="H63" s="1">
        <f>SUM(OSRRefH22_11x_0)</f>
        <v>1000</v>
      </c>
      <c r="I63" s="1"/>
      <c r="J63" s="5">
        <f t="shared" ref="J63:J67" si="33">IF(H$12=0,0,H63/H$12)</f>
        <v>0</v>
      </c>
      <c r="K63" s="1"/>
      <c r="L63" s="1">
        <f t="shared" ref="L63:L67" si="34">+D63-H63</f>
        <v>-865.16</v>
      </c>
      <c r="M63" s="1"/>
      <c r="N63" s="5">
        <f t="shared" ref="N63:N67" si="35">IF(H63=0,0,L63/H63)</f>
        <v>-0.86515999999999993</v>
      </c>
      <c r="O63" s="13"/>
      <c r="P63" s="1">
        <f>SUM(OSRRefP22_11x_0)</f>
        <v>434.06</v>
      </c>
      <c r="Q63" s="1"/>
      <c r="R63" s="5">
        <f t="shared" ref="R63:R67" si="36">IF(P$12=0,0,P63/P$12)</f>
        <v>0</v>
      </c>
      <c r="S63" s="1"/>
      <c r="T63" s="1">
        <f>SUM(OSRRefT22_11x_0)</f>
        <v>5000</v>
      </c>
      <c r="U63" s="1"/>
      <c r="V63" s="5">
        <f t="shared" ref="V63:V67" si="37">IF(T$12=0,0,T63/T$12)</f>
        <v>0</v>
      </c>
      <c r="W63" s="1"/>
      <c r="X63" s="1">
        <f t="shared" ref="X63:X67" si="38">+P63-T63</f>
        <v>-4565.9399999999996</v>
      </c>
      <c r="Y63" s="1"/>
      <c r="Z63" s="5">
        <f t="shared" ref="Z63:Z67" si="39">IF(T63=0,0,X63/T63)</f>
        <v>-0.91318799999999989</v>
      </c>
    </row>
    <row r="64" spans="1:26" s="24" customFormat="1" hidden="1" outlineLevel="2" x14ac:dyDescent="0.25">
      <c r="A64" s="25"/>
      <c r="B64" s="11" t="str">
        <f>CONCATENATE("          ", "6376", " - ", "TRAINING")</f>
        <v xml:space="preserve">          6376 - TRAINING</v>
      </c>
      <c r="C64" s="11"/>
      <c r="D64" s="6">
        <v>134.84</v>
      </c>
      <c r="E64" s="2"/>
      <c r="F64" s="7">
        <f t="shared" si="32"/>
        <v>0</v>
      </c>
      <c r="G64" s="2"/>
      <c r="H64" s="6">
        <v>1000</v>
      </c>
      <c r="I64" s="2"/>
      <c r="J64" s="7">
        <f t="shared" si="33"/>
        <v>0</v>
      </c>
      <c r="K64" s="2"/>
      <c r="L64" s="6">
        <f t="shared" si="34"/>
        <v>-865.16</v>
      </c>
      <c r="M64" s="2"/>
      <c r="N64" s="7">
        <f t="shared" si="35"/>
        <v>-0.86515999999999993</v>
      </c>
      <c r="O64" s="11"/>
      <c r="P64" s="6">
        <v>434.06</v>
      </c>
      <c r="Q64" s="2"/>
      <c r="R64" s="7">
        <f t="shared" si="36"/>
        <v>0</v>
      </c>
      <c r="S64" s="2"/>
      <c r="T64" s="6">
        <v>5000</v>
      </c>
      <c r="U64" s="2"/>
      <c r="V64" s="7">
        <f t="shared" si="37"/>
        <v>0</v>
      </c>
      <c r="W64" s="2"/>
      <c r="X64" s="6">
        <f t="shared" si="38"/>
        <v>-4565.9399999999996</v>
      </c>
      <c r="Y64" s="2"/>
      <c r="Z64" s="7">
        <f t="shared" si="39"/>
        <v>-0.91318799999999989</v>
      </c>
    </row>
    <row r="65" spans="1:26" s="26" customFormat="1" outlineLevel="1" collapsed="1" x14ac:dyDescent="0.25">
      <c r="A65" s="27"/>
      <c r="B65" s="13" t="str">
        <f>CONCATENATE("     ","Travel                                            ")</f>
        <v xml:space="preserve">     Travel                                            </v>
      </c>
      <c r="C65" s="13"/>
      <c r="D65" s="1">
        <f>SUM(OSRRefD22_12x_0)</f>
        <v>764.31</v>
      </c>
      <c r="E65" s="1"/>
      <c r="F65" s="5">
        <f t="shared" si="32"/>
        <v>0</v>
      </c>
      <c r="G65" s="1"/>
      <c r="H65" s="1">
        <f>SUM(OSRRefH22_12x_0)</f>
        <v>1000</v>
      </c>
      <c r="I65" s="1"/>
      <c r="J65" s="5">
        <f t="shared" si="33"/>
        <v>0</v>
      </c>
      <c r="K65" s="1"/>
      <c r="L65" s="1">
        <f t="shared" si="34"/>
        <v>-235.69000000000005</v>
      </c>
      <c r="M65" s="1"/>
      <c r="N65" s="5">
        <f t="shared" si="35"/>
        <v>-0.23569000000000007</v>
      </c>
      <c r="O65" s="13"/>
      <c r="P65" s="1">
        <f>SUM(OSRRefP22_12x_0)</f>
        <v>1383.21</v>
      </c>
      <c r="Q65" s="1"/>
      <c r="R65" s="5">
        <f t="shared" si="36"/>
        <v>0</v>
      </c>
      <c r="S65" s="1"/>
      <c r="T65" s="1">
        <f>SUM(OSRRefT22_12x_0)</f>
        <v>6000</v>
      </c>
      <c r="U65" s="1"/>
      <c r="V65" s="5">
        <f t="shared" si="37"/>
        <v>0</v>
      </c>
      <c r="W65" s="1"/>
      <c r="X65" s="1">
        <f t="shared" si="38"/>
        <v>-4616.79</v>
      </c>
      <c r="Y65" s="1"/>
      <c r="Z65" s="5">
        <f t="shared" si="39"/>
        <v>-0.76946499999999995</v>
      </c>
    </row>
    <row r="66" spans="1:26" s="24" customFormat="1" hidden="1" outlineLevel="2" x14ac:dyDescent="0.25">
      <c r="A66" s="25"/>
      <c r="B66" s="11" t="str">
        <f>CONCATENATE("          ", "6292", " - ", "TRAVEL/CONFERENCE")</f>
        <v xml:space="preserve">          6292 - TRAVEL/CONFERENCE</v>
      </c>
      <c r="C66" s="11"/>
      <c r="D66" s="6">
        <v>764.31</v>
      </c>
      <c r="E66" s="2"/>
      <c r="F66" s="7">
        <f t="shared" si="32"/>
        <v>0</v>
      </c>
      <c r="G66" s="2"/>
      <c r="H66" s="6">
        <v>1000</v>
      </c>
      <c r="I66" s="2"/>
      <c r="J66" s="7">
        <f t="shared" si="33"/>
        <v>0</v>
      </c>
      <c r="K66" s="2"/>
      <c r="L66" s="6">
        <f t="shared" si="34"/>
        <v>-235.69000000000005</v>
      </c>
      <c r="M66" s="2"/>
      <c r="N66" s="7">
        <f t="shared" si="35"/>
        <v>-0.23569000000000007</v>
      </c>
      <c r="O66" s="11"/>
      <c r="P66" s="6">
        <v>1359.31</v>
      </c>
      <c r="Q66" s="2"/>
      <c r="R66" s="7">
        <f t="shared" si="36"/>
        <v>0</v>
      </c>
      <c r="S66" s="2"/>
      <c r="T66" s="6">
        <v>6000</v>
      </c>
      <c r="U66" s="2"/>
      <c r="V66" s="7">
        <f t="shared" si="37"/>
        <v>0</v>
      </c>
      <c r="W66" s="2"/>
      <c r="X66" s="6">
        <f t="shared" si="38"/>
        <v>-4640.6900000000005</v>
      </c>
      <c r="Y66" s="2"/>
      <c r="Z66" s="7">
        <f t="shared" si="39"/>
        <v>-0.7734483333333334</v>
      </c>
    </row>
    <row r="67" spans="1:26" s="24" customFormat="1" hidden="1" outlineLevel="2" x14ac:dyDescent="0.25">
      <c r="A67" s="25"/>
      <c r="B67" s="11" t="str">
        <f>CONCATENATE("          ", "6294", " - ", "TRAVEL OPERATIONAL")</f>
        <v xml:space="preserve">          6294 - TRAVEL OPERATIONAL</v>
      </c>
      <c r="C67" s="11"/>
      <c r="D67" s="6"/>
      <c r="E67" s="2"/>
      <c r="F67" s="7">
        <f t="shared" si="32"/>
        <v>0</v>
      </c>
      <c r="G67" s="2"/>
      <c r="H67" s="6"/>
      <c r="I67" s="2"/>
      <c r="J67" s="7">
        <f t="shared" si="33"/>
        <v>0</v>
      </c>
      <c r="K67" s="2"/>
      <c r="L67" s="6">
        <f t="shared" si="34"/>
        <v>0</v>
      </c>
      <c r="M67" s="2"/>
      <c r="N67" s="7">
        <f t="shared" si="35"/>
        <v>0</v>
      </c>
      <c r="O67" s="11"/>
      <c r="P67" s="6">
        <v>23.9</v>
      </c>
      <c r="Q67" s="2"/>
      <c r="R67" s="7">
        <f t="shared" si="36"/>
        <v>0</v>
      </c>
      <c r="S67" s="2"/>
      <c r="T67" s="6"/>
      <c r="U67" s="2"/>
      <c r="V67" s="7">
        <f t="shared" si="37"/>
        <v>0</v>
      </c>
      <c r="W67" s="2"/>
      <c r="X67" s="6">
        <f t="shared" si="38"/>
        <v>23.9</v>
      </c>
      <c r="Y67" s="2"/>
      <c r="Z67" s="7">
        <f t="shared" si="39"/>
        <v>0</v>
      </c>
    </row>
    <row r="68" spans="1:26" s="59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9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8" t="s">
        <v>3</v>
      </c>
      <c r="C71" s="28"/>
      <c r="D71" s="20">
        <f>+D16-D18+D69</f>
        <v>-53277.119999999995</v>
      </c>
      <c r="E71" s="14"/>
      <c r="F71" s="22">
        <f>IF(D$12=0,0,D71/D$12)</f>
        <v>0</v>
      </c>
      <c r="G71" s="14"/>
      <c r="H71" s="20">
        <f>+H16-H18+H69</f>
        <v>-64650.765232076883</v>
      </c>
      <c r="I71" s="14"/>
      <c r="J71" s="22">
        <f>IF(H$12=0,0,H71/H$12)</f>
        <v>0</v>
      </c>
      <c r="K71" s="16"/>
      <c r="L71" s="20">
        <f>+D71-H71</f>
        <v>11373.645232076888</v>
      </c>
      <c r="M71" s="16"/>
      <c r="N71" s="22">
        <f>IF(H71=0,0,L71/H71)</f>
        <v>-0.17592437137053069</v>
      </c>
      <c r="O71" s="29"/>
      <c r="P71" s="20">
        <f>+P16-P18+P69</f>
        <v>-306106.23000000004</v>
      </c>
      <c r="Q71" s="14"/>
      <c r="R71" s="22">
        <f>IF(P$12=0,0,P71/P$12)</f>
        <v>0</v>
      </c>
      <c r="S71" s="14"/>
      <c r="T71" s="20">
        <f>+T16-T18+T69</f>
        <v>-332669.07881253836</v>
      </c>
      <c r="U71" s="14"/>
      <c r="V71" s="22">
        <f>IF(T$12=0,0,T71/T$12)</f>
        <v>0</v>
      </c>
      <c r="W71" s="16"/>
      <c r="X71" s="20">
        <f>+P71-T71</f>
        <v>26562.848812538316</v>
      </c>
      <c r="Y71" s="16"/>
      <c r="Z71" s="22">
        <f>IF(T71=0,0,X71/T71)</f>
        <v>-7.9847663952881801E-2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14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4</v>
      </c>
      <c r="C75" s="28"/>
      <c r="D75" s="30">
        <f>+D71-D73</f>
        <v>-53277.119999999995</v>
      </c>
      <c r="E75" s="14"/>
      <c r="F75" s="32">
        <f>IF(D$12=0,0,D75/D$12)</f>
        <v>0</v>
      </c>
      <c r="G75" s="14"/>
      <c r="H75" s="30">
        <f>+H71-H73</f>
        <v>-64650.765232076883</v>
      </c>
      <c r="I75" s="14"/>
      <c r="J75" s="32">
        <f>IF(H$12=0,0,H75/H$12)</f>
        <v>0</v>
      </c>
      <c r="K75" s="16"/>
      <c r="L75" s="30">
        <f>D75-H75</f>
        <v>11373.645232076888</v>
      </c>
      <c r="M75" s="16"/>
      <c r="N75" s="32">
        <f>IF(H75=0,0,L75/H75)</f>
        <v>-0.17592437137053069</v>
      </c>
      <c r="O75" s="29"/>
      <c r="P75" s="30">
        <f>+P71-P73</f>
        <v>-306106.23000000004</v>
      </c>
      <c r="Q75" s="14"/>
      <c r="R75" s="32">
        <f>IF(P$12=0,0,P75/P$12)</f>
        <v>0</v>
      </c>
      <c r="S75" s="14"/>
      <c r="T75" s="30">
        <f>+T71-T73</f>
        <v>-332669.07881253836</v>
      </c>
      <c r="U75" s="14"/>
      <c r="V75" s="32">
        <f>IF(T$12=0,0,T75/T$12)</f>
        <v>0</v>
      </c>
      <c r="W75" s="16"/>
      <c r="X75" s="30">
        <f>P75-T75</f>
        <v>26562.848812538316</v>
      </c>
      <c r="Y75" s="16"/>
      <c r="Z75" s="32">
        <f>IF(T75=0,0,X75/T75)</f>
        <v>-7.9847663952881801E-2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5</v>
      </c>
      <c r="C78" s="28"/>
      <c r="D78" s="31">
        <f>SUM(D75:D77)</f>
        <v>-53277.119999999995</v>
      </c>
      <c r="E78" s="14"/>
      <c r="F78" s="35">
        <f>IF(D$12=0,0,D78/D$12)</f>
        <v>0</v>
      </c>
      <c r="G78" s="14"/>
      <c r="H78" s="31">
        <f>SUM(H75:H77)</f>
        <v>-64650.765232076883</v>
      </c>
      <c r="I78" s="14"/>
      <c r="J78" s="35">
        <f>IF(H$12=0,0,H78/H$12)</f>
        <v>0</v>
      </c>
      <c r="K78" s="16"/>
      <c r="L78" s="31">
        <f>+D78-H78</f>
        <v>11373.645232076888</v>
      </c>
      <c r="M78" s="16"/>
      <c r="N78" s="35">
        <f>IF(H78=0,0,L78/H78)</f>
        <v>-0.17592437137053069</v>
      </c>
      <c r="O78" s="29"/>
      <c r="P78" s="31">
        <f>SUM(P75:P77)</f>
        <v>-306106.23000000004</v>
      </c>
      <c r="Q78" s="14"/>
      <c r="R78" s="35">
        <f>IF(P$12=0,0,P78/P$12)</f>
        <v>0</v>
      </c>
      <c r="S78" s="14"/>
      <c r="T78" s="31">
        <f>SUM(T75:T77)</f>
        <v>-332669.07881253836</v>
      </c>
      <c r="U78" s="14"/>
      <c r="V78" s="35">
        <f>IF(T$12=0,0,T78/T$12)</f>
        <v>0</v>
      </c>
      <c r="W78" s="16"/>
      <c r="X78" s="31">
        <f>+P78-T78</f>
        <v>26562.848812538316</v>
      </c>
      <c r="Y78" s="16"/>
      <c r="Z78" s="35">
        <f>IF(T78=0,0,X78/T78)</f>
        <v>-7.9847663952881801E-2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56">
        <v>43815.483508368059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62" t="s">
        <v>314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8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","205", " - ", "Maintenance")</f>
        <v>Department 205 - Maintenance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8179.55</v>
      </c>
      <c r="E18" s="21"/>
      <c r="F18" s="33">
        <f t="shared" ref="F18:F28" si="0">IF(D$12=0,0,D18/D$12)</f>
        <v>0</v>
      </c>
      <c r="G18" s="21"/>
      <c r="H18" s="21">
        <f>SUM(OSRRefH22x_0)</f>
        <v>7260.5090453384582</v>
      </c>
      <c r="I18" s="21"/>
      <c r="J18" s="33">
        <f t="shared" ref="J18:J28" si="1">IF(H$12=0,0,H18/H$12)</f>
        <v>0</v>
      </c>
      <c r="K18" s="4"/>
      <c r="L18" s="21">
        <f t="shared" ref="L18:L28" si="2">+D18-H18</f>
        <v>919.04095466154195</v>
      </c>
      <c r="M18" s="4"/>
      <c r="N18" s="33">
        <f t="shared" ref="N18:N28" si="3">IF(H18=0,0,L18/H18)</f>
        <v>0.12658078778258716</v>
      </c>
      <c r="O18" s="10"/>
      <c r="P18" s="21">
        <f>SUM(OSRRefP22x_0)</f>
        <v>42592.570000000007</v>
      </c>
      <c r="Q18" s="21"/>
      <c r="R18" s="33">
        <f t="shared" ref="R18:R28" si="4">IF(P$12=0,0,P18/P$12)</f>
        <v>0</v>
      </c>
      <c r="S18" s="21"/>
      <c r="T18" s="21">
        <f>SUM(OSRRefT22x_0)</f>
        <v>44196.29974936154</v>
      </c>
      <c r="U18" s="21"/>
      <c r="V18" s="33">
        <f t="shared" ref="V18:V28" si="5">IF(T$12=0,0,T18/T$12)</f>
        <v>0</v>
      </c>
      <c r="W18" s="4"/>
      <c r="X18" s="21">
        <f t="shared" ref="X18:X28" si="6">+P18-T18</f>
        <v>-1603.7297493615333</v>
      </c>
      <c r="Y18" s="4"/>
      <c r="Z18" s="33">
        <f t="shared" ref="Z18:Z28" si="7">IF(T18=0,0,X18/T18)</f>
        <v>-3.6286516257160215E-2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2495.6999999999998</v>
      </c>
      <c r="E19" s="1"/>
      <c r="F19" s="5">
        <f t="shared" si="0"/>
        <v>0</v>
      </c>
      <c r="G19" s="1"/>
      <c r="H19" s="1">
        <f>SUM(OSRRefH22_0x_0)</f>
        <v>2294.782322261538</v>
      </c>
      <c r="I19" s="1"/>
      <c r="J19" s="5">
        <f t="shared" si="1"/>
        <v>0</v>
      </c>
      <c r="K19" s="1"/>
      <c r="L19" s="1">
        <f t="shared" si="2"/>
        <v>200.91767773846186</v>
      </c>
      <c r="M19" s="1"/>
      <c r="N19" s="5">
        <f t="shared" si="3"/>
        <v>8.7554133474609858E-2</v>
      </c>
      <c r="O19" s="13"/>
      <c r="P19" s="1">
        <f>SUM(OSRRefP22_0x_0)</f>
        <v>13706.720000000001</v>
      </c>
      <c r="Q19" s="1"/>
      <c r="R19" s="5">
        <f t="shared" si="4"/>
        <v>0</v>
      </c>
      <c r="S19" s="1"/>
      <c r="T19" s="1">
        <f>SUM(OSRRefT22_0x_0)</f>
        <v>12214.802772438463</v>
      </c>
      <c r="U19" s="1"/>
      <c r="V19" s="5">
        <f t="shared" si="5"/>
        <v>0</v>
      </c>
      <c r="W19" s="1"/>
      <c r="X19" s="1">
        <f t="shared" si="6"/>
        <v>1491.9172275615383</v>
      </c>
      <c r="Y19" s="1"/>
      <c r="Z19" s="5">
        <f t="shared" si="7"/>
        <v>0.12214009962796184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320.27999999999997</v>
      </c>
      <c r="E20" s="2"/>
      <c r="F20" s="7">
        <f t="shared" si="0"/>
        <v>0</v>
      </c>
      <c r="G20" s="2"/>
      <c r="H20" s="6">
        <v>321.40351195384602</v>
      </c>
      <c r="I20" s="2"/>
      <c r="J20" s="7">
        <f t="shared" si="1"/>
        <v>0</v>
      </c>
      <c r="K20" s="2"/>
      <c r="L20" s="6">
        <f t="shared" si="2"/>
        <v>-1.1235119538460481</v>
      </c>
      <c r="M20" s="2"/>
      <c r="N20" s="7">
        <f t="shared" si="3"/>
        <v>-3.4956430532326788E-3</v>
      </c>
      <c r="O20" s="11"/>
      <c r="P20" s="6">
        <v>1800.67</v>
      </c>
      <c r="Q20" s="2"/>
      <c r="R20" s="7">
        <f t="shared" si="4"/>
        <v>0</v>
      </c>
      <c r="S20" s="2"/>
      <c r="T20" s="6">
        <v>1767.7193157461541</v>
      </c>
      <c r="U20" s="2"/>
      <c r="V20" s="7">
        <f t="shared" si="5"/>
        <v>0</v>
      </c>
      <c r="W20" s="2"/>
      <c r="X20" s="6">
        <f t="shared" si="6"/>
        <v>32.950684253846021</v>
      </c>
      <c r="Y20" s="2"/>
      <c r="Z20" s="7">
        <f t="shared" si="7"/>
        <v>1.8640224135321813E-2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283.45</v>
      </c>
      <c r="E21" s="2"/>
      <c r="F21" s="7">
        <f t="shared" si="0"/>
        <v>0</v>
      </c>
      <c r="G21" s="2"/>
      <c r="H21" s="6">
        <v>284.32010661538499</v>
      </c>
      <c r="I21" s="2"/>
      <c r="J21" s="7">
        <f t="shared" si="1"/>
        <v>0</v>
      </c>
      <c r="K21" s="2"/>
      <c r="L21" s="6">
        <f t="shared" si="2"/>
        <v>-0.87010661538499789</v>
      </c>
      <c r="M21" s="2"/>
      <c r="N21" s="7">
        <f t="shared" si="3"/>
        <v>-3.0603063066589153E-3</v>
      </c>
      <c r="O21" s="11"/>
      <c r="P21" s="6">
        <v>1094.06</v>
      </c>
      <c r="Q21" s="2"/>
      <c r="R21" s="7">
        <f t="shared" si="4"/>
        <v>0</v>
      </c>
      <c r="S21" s="2"/>
      <c r="T21" s="6">
        <v>1563.760586384617</v>
      </c>
      <c r="U21" s="2"/>
      <c r="V21" s="7">
        <f t="shared" si="5"/>
        <v>0</v>
      </c>
      <c r="W21" s="2"/>
      <c r="X21" s="6">
        <f t="shared" si="6"/>
        <v>-469.70058638461705</v>
      </c>
      <c r="Y21" s="2"/>
      <c r="Z21" s="7">
        <f t="shared" si="7"/>
        <v>-0.30036604738232681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695.14</v>
      </c>
      <c r="E22" s="2"/>
      <c r="F22" s="7">
        <f t="shared" si="0"/>
        <v>0</v>
      </c>
      <c r="G22" s="2"/>
      <c r="H22" s="6">
        <v>663</v>
      </c>
      <c r="I22" s="2"/>
      <c r="J22" s="7">
        <f t="shared" si="1"/>
        <v>0</v>
      </c>
      <c r="K22" s="2"/>
      <c r="L22" s="6">
        <f t="shared" si="2"/>
        <v>32.139999999999986</v>
      </c>
      <c r="M22" s="2"/>
      <c r="N22" s="7">
        <f t="shared" si="3"/>
        <v>4.847662141779787E-2</v>
      </c>
      <c r="O22" s="11"/>
      <c r="P22" s="6">
        <v>3475.7</v>
      </c>
      <c r="Q22" s="2"/>
      <c r="R22" s="7">
        <f t="shared" si="4"/>
        <v>0</v>
      </c>
      <c r="S22" s="2"/>
      <c r="T22" s="6">
        <v>3315</v>
      </c>
      <c r="U22" s="2"/>
      <c r="V22" s="7">
        <f t="shared" si="5"/>
        <v>0</v>
      </c>
      <c r="W22" s="2"/>
      <c r="X22" s="6">
        <f t="shared" si="6"/>
        <v>160.69999999999982</v>
      </c>
      <c r="Y22" s="2"/>
      <c r="Z22" s="7">
        <f t="shared" si="7"/>
        <v>4.8476621417797836E-2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10.89</v>
      </c>
      <c r="E23" s="2"/>
      <c r="F23" s="7">
        <f t="shared" si="0"/>
        <v>0</v>
      </c>
      <c r="G23" s="2"/>
      <c r="H23" s="6">
        <v>10.919236</v>
      </c>
      <c r="I23" s="2"/>
      <c r="J23" s="7">
        <f t="shared" si="1"/>
        <v>0</v>
      </c>
      <c r="K23" s="2"/>
      <c r="L23" s="6">
        <f t="shared" si="2"/>
        <v>-2.9235999999999152E-2</v>
      </c>
      <c r="M23" s="2"/>
      <c r="N23" s="7">
        <f t="shared" si="3"/>
        <v>-2.6774767025824109E-3</v>
      </c>
      <c r="O23" s="11"/>
      <c r="P23" s="6">
        <v>55.05</v>
      </c>
      <c r="Q23" s="2"/>
      <c r="R23" s="7">
        <f t="shared" si="4"/>
        <v>0</v>
      </c>
      <c r="S23" s="2"/>
      <c r="T23" s="6">
        <v>60.055798000000003</v>
      </c>
      <c r="U23" s="2"/>
      <c r="V23" s="7">
        <f t="shared" si="5"/>
        <v>0</v>
      </c>
      <c r="W23" s="2"/>
      <c r="X23" s="6">
        <f t="shared" si="6"/>
        <v>-5.0057980000000057</v>
      </c>
      <c r="Y23" s="2"/>
      <c r="Z23" s="7">
        <f t="shared" si="7"/>
        <v>-8.3352451665033328E-2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429.26</v>
      </c>
      <c r="E24" s="2"/>
      <c r="F24" s="7">
        <f t="shared" si="0"/>
        <v>0</v>
      </c>
      <c r="G24" s="2"/>
      <c r="H24" s="6">
        <v>361.174729230769</v>
      </c>
      <c r="I24" s="2"/>
      <c r="J24" s="7">
        <f t="shared" si="1"/>
        <v>0</v>
      </c>
      <c r="K24" s="2"/>
      <c r="L24" s="6">
        <f t="shared" si="2"/>
        <v>68.085270769230988</v>
      </c>
      <c r="M24" s="2"/>
      <c r="N24" s="7">
        <f t="shared" si="3"/>
        <v>0.18851061621680784</v>
      </c>
      <c r="O24" s="11"/>
      <c r="P24" s="6">
        <v>2146.3000000000002</v>
      </c>
      <c r="Q24" s="2"/>
      <c r="R24" s="7">
        <f t="shared" si="4"/>
        <v>0</v>
      </c>
      <c r="S24" s="2"/>
      <c r="T24" s="6">
        <v>1986.4610107692311</v>
      </c>
      <c r="U24" s="2"/>
      <c r="V24" s="7">
        <f t="shared" si="5"/>
        <v>0</v>
      </c>
      <c r="W24" s="2"/>
      <c r="X24" s="6">
        <f t="shared" si="6"/>
        <v>159.83898923076913</v>
      </c>
      <c r="Y24" s="2"/>
      <c r="Z24" s="7">
        <f t="shared" si="7"/>
        <v>8.0464196560733683E-2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387.96</v>
      </c>
      <c r="E26" s="2"/>
      <c r="F26" s="7">
        <f t="shared" si="0"/>
        <v>0</v>
      </c>
      <c r="G26" s="2"/>
      <c r="H26" s="6">
        <v>419.97061538461503</v>
      </c>
      <c r="I26" s="2"/>
      <c r="J26" s="7">
        <f t="shared" si="1"/>
        <v>0</v>
      </c>
      <c r="K26" s="2"/>
      <c r="L26" s="6">
        <f t="shared" si="2"/>
        <v>-32.010615384615051</v>
      </c>
      <c r="M26" s="2"/>
      <c r="N26" s="7">
        <f t="shared" si="3"/>
        <v>-7.622108359962107E-2</v>
      </c>
      <c r="O26" s="11"/>
      <c r="P26" s="6">
        <v>2449.0100000000002</v>
      </c>
      <c r="Q26" s="2"/>
      <c r="R26" s="7">
        <f t="shared" si="4"/>
        <v>0</v>
      </c>
      <c r="S26" s="2"/>
      <c r="T26" s="6">
        <v>2309.8383846153829</v>
      </c>
      <c r="U26" s="2"/>
      <c r="V26" s="7">
        <f t="shared" si="5"/>
        <v>0</v>
      </c>
      <c r="W26" s="2"/>
      <c r="X26" s="6">
        <f t="shared" si="6"/>
        <v>139.17161538461733</v>
      </c>
      <c r="Y26" s="2"/>
      <c r="Z26" s="7">
        <f t="shared" si="7"/>
        <v>6.0251667957189635E-2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193.72</v>
      </c>
      <c r="E27" s="2"/>
      <c r="F27" s="7">
        <f t="shared" si="0"/>
        <v>0</v>
      </c>
      <c r="G27" s="2"/>
      <c r="H27" s="6">
        <v>83.994123076923103</v>
      </c>
      <c r="I27" s="2"/>
      <c r="J27" s="7">
        <f t="shared" si="1"/>
        <v>0</v>
      </c>
      <c r="K27" s="2"/>
      <c r="L27" s="6">
        <f t="shared" si="2"/>
        <v>109.7258769230769</v>
      </c>
      <c r="M27" s="2"/>
      <c r="N27" s="7">
        <f t="shared" si="3"/>
        <v>1.3063518363372668</v>
      </c>
      <c r="O27" s="11"/>
      <c r="P27" s="6">
        <v>1910.5</v>
      </c>
      <c r="Q27" s="2"/>
      <c r="R27" s="7">
        <f t="shared" si="4"/>
        <v>0</v>
      </c>
      <c r="S27" s="2"/>
      <c r="T27" s="6">
        <v>461.96767692307731</v>
      </c>
      <c r="U27" s="2"/>
      <c r="V27" s="7">
        <f t="shared" si="5"/>
        <v>0</v>
      </c>
      <c r="W27" s="2"/>
      <c r="X27" s="6">
        <f t="shared" si="6"/>
        <v>1448.5323230769227</v>
      </c>
      <c r="Y27" s="2"/>
      <c r="Z27" s="7">
        <f t="shared" si="7"/>
        <v>3.1355707237459369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175</v>
      </c>
      <c r="E28" s="2"/>
      <c r="F28" s="7">
        <f t="shared" si="0"/>
        <v>0</v>
      </c>
      <c r="G28" s="2"/>
      <c r="H28" s="6">
        <v>150</v>
      </c>
      <c r="I28" s="2"/>
      <c r="J28" s="7">
        <f t="shared" si="1"/>
        <v>0</v>
      </c>
      <c r="K28" s="2"/>
      <c r="L28" s="6">
        <f t="shared" si="2"/>
        <v>25</v>
      </c>
      <c r="M28" s="2"/>
      <c r="N28" s="7">
        <f t="shared" si="3"/>
        <v>0.16666666666666666</v>
      </c>
      <c r="O28" s="11"/>
      <c r="P28" s="6">
        <v>775.43</v>
      </c>
      <c r="Q28" s="2"/>
      <c r="R28" s="7">
        <f t="shared" si="4"/>
        <v>0</v>
      </c>
      <c r="S28" s="2"/>
      <c r="T28" s="6">
        <v>750</v>
      </c>
      <c r="U28" s="2"/>
      <c r="V28" s="7">
        <f t="shared" si="5"/>
        <v>0</v>
      </c>
      <c r="W28" s="2"/>
      <c r="X28" s="6">
        <f t="shared" si="6"/>
        <v>25.42999999999995</v>
      </c>
      <c r="Y28" s="2"/>
      <c r="Z28" s="7">
        <f t="shared" si="7"/>
        <v>3.3906666666666599E-2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4252.24</v>
      </c>
      <c r="E29" s="1"/>
      <c r="F29" s="5">
        <f t="shared" ref="F29:F39" si="8">IF(D$12=0,0,D29/D$12)</f>
        <v>0</v>
      </c>
      <c r="G29" s="1"/>
      <c r="H29" s="1">
        <f>SUM(OSRRefH22_1x_0)</f>
        <v>3905.7267230769203</v>
      </c>
      <c r="I29" s="1"/>
      <c r="J29" s="5">
        <f t="shared" ref="J29:J39" si="9">IF(H$12=0,0,H29/H$12)</f>
        <v>0</v>
      </c>
      <c r="K29" s="1"/>
      <c r="L29" s="1">
        <f t="shared" ref="L29:L39" si="10">+D29-H29</f>
        <v>346.5132769230795</v>
      </c>
      <c r="M29" s="1"/>
      <c r="N29" s="5">
        <f t="shared" ref="N29:N39" si="11">IF(H29=0,0,L29/H29)</f>
        <v>8.871928362926973E-2</v>
      </c>
      <c r="O29" s="13"/>
      <c r="P29" s="1">
        <f>SUM(OSRRefP22_1x_0)</f>
        <v>21799.329999999998</v>
      </c>
      <c r="Q29" s="1"/>
      <c r="R29" s="5">
        <f t="shared" ref="R29:R39" si="12">IF(P$12=0,0,P29/P$12)</f>
        <v>0</v>
      </c>
      <c r="S29" s="1"/>
      <c r="T29" s="1">
        <f>SUM(OSRRefT22_1x_0)</f>
        <v>21481.496976923081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317.83302307691702</v>
      </c>
      <c r="Y29" s="1"/>
      <c r="Z29" s="5">
        <f t="shared" ref="Z29:Z39" si="15">IF(T29=0,0,X29/T29)</f>
        <v>1.4795664539503713E-2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>
        <v>4252.24</v>
      </c>
      <c r="E31" s="2"/>
      <c r="F31" s="7">
        <f t="shared" si="8"/>
        <v>0</v>
      </c>
      <c r="G31" s="2"/>
      <c r="H31" s="6">
        <v>3905.7267230769203</v>
      </c>
      <c r="I31" s="2"/>
      <c r="J31" s="7">
        <f t="shared" si="9"/>
        <v>0</v>
      </c>
      <c r="K31" s="2"/>
      <c r="L31" s="6">
        <f t="shared" si="10"/>
        <v>346.5132769230795</v>
      </c>
      <c r="M31" s="2"/>
      <c r="N31" s="7">
        <f t="shared" si="11"/>
        <v>8.871928362926973E-2</v>
      </c>
      <c r="O31" s="11"/>
      <c r="P31" s="6">
        <v>21799.329999999998</v>
      </c>
      <c r="Q31" s="2"/>
      <c r="R31" s="7">
        <f t="shared" si="12"/>
        <v>0</v>
      </c>
      <c r="S31" s="2"/>
      <c r="T31" s="6">
        <v>21481.496976923081</v>
      </c>
      <c r="U31" s="2"/>
      <c r="V31" s="7">
        <f t="shared" si="13"/>
        <v>0</v>
      </c>
      <c r="W31" s="2"/>
      <c r="X31" s="6">
        <f t="shared" si="14"/>
        <v>317.83302307691702</v>
      </c>
      <c r="Y31" s="2"/>
      <c r="Z31" s="7">
        <f t="shared" si="15"/>
        <v>1.4795664539503713E-2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7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SUM(OSRRefD22_2x_0)</f>
        <v>-182</v>
      </c>
      <c r="E40" s="1"/>
      <c r="F40" s="5">
        <f t="shared" ref="F40:F48" si="16">IF(D$12=0,0,D40/D$12)</f>
        <v>0</v>
      </c>
      <c r="G40" s="1"/>
      <c r="H40" s="1">
        <f>SUM(OSRRefH22_2x_0)</f>
        <v>-500</v>
      </c>
      <c r="I40" s="1"/>
      <c r="J40" s="5">
        <f t="shared" ref="J40:J48" si="17">IF(H$12=0,0,H40/H$12)</f>
        <v>0</v>
      </c>
      <c r="K40" s="1"/>
      <c r="L40" s="1">
        <f t="shared" ref="L40:L48" si="18">+D40-H40</f>
        <v>318</v>
      </c>
      <c r="M40" s="1"/>
      <c r="N40" s="5">
        <f t="shared" ref="N40:N48" si="19">IF(H40=0,0,L40/H40)</f>
        <v>-0.63600000000000001</v>
      </c>
      <c r="O40" s="13"/>
      <c r="P40" s="1">
        <f>SUM(OSRRefP22_2x_0)</f>
        <v>-509.65</v>
      </c>
      <c r="Q40" s="1"/>
      <c r="R40" s="5">
        <f t="shared" ref="R40:R48" si="20">IF(P$12=0,0,P40/P$12)</f>
        <v>0</v>
      </c>
      <c r="S40" s="1"/>
      <c r="T40" s="1">
        <f>SUM(OSRRefT22_2x_0)</f>
        <v>-2500</v>
      </c>
      <c r="U40" s="1"/>
      <c r="V40" s="5">
        <f t="shared" ref="V40:V48" si="21">IF(T$12=0,0,T40/T$12)</f>
        <v>0</v>
      </c>
      <c r="W40" s="1"/>
      <c r="X40" s="1">
        <f t="shared" ref="X40:X48" si="22">+P40-T40</f>
        <v>1990.35</v>
      </c>
      <c r="Y40" s="1"/>
      <c r="Z40" s="5">
        <f t="shared" ref="Z40:Z48" si="23">IF(T40=0,0,X40/T40)</f>
        <v>-0.79613999999999996</v>
      </c>
    </row>
    <row r="41" spans="1:26" s="24" customFormat="1" hidden="1" outlineLevel="2" x14ac:dyDescent="0.25">
      <c r="A41" s="25"/>
      <c r="B41" s="11" t="str">
        <f>CONCATENATE("          ", "6279", " - ", "GENERAL EXPENSE")</f>
        <v xml:space="preserve">          6279 - GENERAL EXPENSE</v>
      </c>
      <c r="C41" s="11"/>
      <c r="D41" s="6">
        <v>-182</v>
      </c>
      <c r="E41" s="2"/>
      <c r="F41" s="7">
        <f t="shared" si="16"/>
        <v>0</v>
      </c>
      <c r="G41" s="2"/>
      <c r="H41" s="6">
        <v>-500</v>
      </c>
      <c r="I41" s="2"/>
      <c r="J41" s="7">
        <f t="shared" si="17"/>
        <v>0</v>
      </c>
      <c r="K41" s="2"/>
      <c r="L41" s="6">
        <f t="shared" si="18"/>
        <v>318</v>
      </c>
      <c r="M41" s="2"/>
      <c r="N41" s="7">
        <f t="shared" si="19"/>
        <v>-0.63600000000000001</v>
      </c>
      <c r="O41" s="11"/>
      <c r="P41" s="6">
        <v>-509.65</v>
      </c>
      <c r="Q41" s="2"/>
      <c r="R41" s="7">
        <f t="shared" si="20"/>
        <v>0</v>
      </c>
      <c r="S41" s="2"/>
      <c r="T41" s="6">
        <v>-2500</v>
      </c>
      <c r="U41" s="2"/>
      <c r="V41" s="7">
        <f t="shared" si="21"/>
        <v>0</v>
      </c>
      <c r="W41" s="2"/>
      <c r="X41" s="6">
        <f t="shared" si="22"/>
        <v>1990.35</v>
      </c>
      <c r="Y41" s="2"/>
      <c r="Z41" s="7">
        <f t="shared" si="23"/>
        <v>-0.79613999999999996</v>
      </c>
    </row>
    <row r="42" spans="1:26" s="26" customFormat="1" outlineLevel="1" collapsed="1" x14ac:dyDescent="0.25">
      <c r="A42" s="27"/>
      <c r="B42" s="13" t="str">
        <f>CONCATENATE("     ","Insurance                                         ")</f>
        <v xml:space="preserve">     Insurance                                         </v>
      </c>
      <c r="C42" s="13"/>
      <c r="D42" s="1">
        <f>SUM(OSRRefD22_3x_0)</f>
        <v>24.56</v>
      </c>
      <c r="E42" s="1"/>
      <c r="F42" s="5">
        <f t="shared" si="16"/>
        <v>0</v>
      </c>
      <c r="G42" s="1"/>
      <c r="H42" s="1">
        <f>SUM(OSRRefH22_3x_0)</f>
        <v>25</v>
      </c>
      <c r="I42" s="1"/>
      <c r="J42" s="5">
        <f t="shared" si="17"/>
        <v>0</v>
      </c>
      <c r="K42" s="1"/>
      <c r="L42" s="1">
        <f t="shared" si="18"/>
        <v>-0.44000000000000128</v>
      </c>
      <c r="M42" s="1"/>
      <c r="N42" s="5">
        <f t="shared" si="19"/>
        <v>-1.760000000000005E-2</v>
      </c>
      <c r="O42" s="13"/>
      <c r="P42" s="1">
        <f>SUM(OSRRefP22_3x_0)</f>
        <v>122.8</v>
      </c>
      <c r="Q42" s="1"/>
      <c r="R42" s="5">
        <f t="shared" si="20"/>
        <v>0</v>
      </c>
      <c r="S42" s="1"/>
      <c r="T42" s="1">
        <f>SUM(OSRRefT22_3x_0)</f>
        <v>125</v>
      </c>
      <c r="U42" s="1"/>
      <c r="V42" s="5">
        <f t="shared" si="21"/>
        <v>0</v>
      </c>
      <c r="W42" s="1"/>
      <c r="X42" s="1">
        <f t="shared" si="22"/>
        <v>-2.2000000000000028</v>
      </c>
      <c r="Y42" s="1"/>
      <c r="Z42" s="5">
        <f t="shared" si="23"/>
        <v>-1.7600000000000022E-2</v>
      </c>
    </row>
    <row r="43" spans="1:26" s="24" customFormat="1" hidden="1" outlineLevel="2" x14ac:dyDescent="0.25">
      <c r="A43" s="25"/>
      <c r="B43" s="11" t="str">
        <f>CONCATENATE("          ", "6314", " - ", "LIABILITY INSURANCE")</f>
        <v xml:space="preserve">          6314 - LIABILITY INSURANCE</v>
      </c>
      <c r="C43" s="11"/>
      <c r="D43" s="6">
        <v>24.56</v>
      </c>
      <c r="E43" s="2"/>
      <c r="F43" s="7">
        <f t="shared" si="16"/>
        <v>0</v>
      </c>
      <c r="G43" s="2"/>
      <c r="H43" s="6">
        <v>25</v>
      </c>
      <c r="I43" s="2"/>
      <c r="J43" s="7">
        <f t="shared" si="17"/>
        <v>0</v>
      </c>
      <c r="K43" s="2"/>
      <c r="L43" s="6">
        <f t="shared" si="18"/>
        <v>-0.44000000000000128</v>
      </c>
      <c r="M43" s="2"/>
      <c r="N43" s="7">
        <f t="shared" si="19"/>
        <v>-1.760000000000005E-2</v>
      </c>
      <c r="O43" s="11"/>
      <c r="P43" s="6">
        <v>122.8</v>
      </c>
      <c r="Q43" s="2"/>
      <c r="R43" s="7">
        <f t="shared" si="20"/>
        <v>0</v>
      </c>
      <c r="S43" s="2"/>
      <c r="T43" s="6">
        <v>125</v>
      </c>
      <c r="U43" s="2"/>
      <c r="V43" s="7">
        <f t="shared" si="21"/>
        <v>0</v>
      </c>
      <c r="W43" s="2"/>
      <c r="X43" s="6">
        <f t="shared" si="22"/>
        <v>-2.2000000000000028</v>
      </c>
      <c r="Y43" s="2"/>
      <c r="Z43" s="7">
        <f t="shared" si="23"/>
        <v>-1.7600000000000022E-2</v>
      </c>
    </row>
    <row r="44" spans="1:26" s="26" customFormat="1" outlineLevel="1" collapsed="1" x14ac:dyDescent="0.25">
      <c r="A44" s="27"/>
      <c r="B44" s="13" t="str">
        <f>CONCATENATE("     ","Professional Services                             ")</f>
        <v xml:space="preserve">     Professional Services  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4500</v>
      </c>
      <c r="U44" s="1"/>
      <c r="V44" s="5">
        <f t="shared" si="21"/>
        <v>0</v>
      </c>
      <c r="W44" s="1"/>
      <c r="X44" s="1">
        <f t="shared" si="22"/>
        <v>-4500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"6336", " - ", "PROFESSIONAL SERVICES")</f>
        <v xml:space="preserve">          6336 - PROFESSIONAL SERVICES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4500</v>
      </c>
      <c r="U45" s="2"/>
      <c r="V45" s="7">
        <f t="shared" si="21"/>
        <v>0</v>
      </c>
      <c r="W45" s="2"/>
      <c r="X45" s="6">
        <f t="shared" si="22"/>
        <v>-4500</v>
      </c>
      <c r="Y45" s="2"/>
      <c r="Z45" s="7">
        <f t="shared" si="23"/>
        <v>-1</v>
      </c>
    </row>
    <row r="46" spans="1:26" s="26" customFormat="1" outlineLevel="1" collapsed="1" x14ac:dyDescent="0.25">
      <c r="A46" s="27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SUM(OSRRefD22_5x_0)</f>
        <v>1664.35</v>
      </c>
      <c r="E46" s="1"/>
      <c r="F46" s="5">
        <f t="shared" si="16"/>
        <v>0</v>
      </c>
      <c r="G46" s="1"/>
      <c r="H46" s="1">
        <f>SUM(OSRRefH22_5x_0)</f>
        <v>1500</v>
      </c>
      <c r="I46" s="1"/>
      <c r="J46" s="5">
        <f t="shared" si="17"/>
        <v>0</v>
      </c>
      <c r="K46" s="1"/>
      <c r="L46" s="1">
        <f t="shared" si="18"/>
        <v>164.34999999999991</v>
      </c>
      <c r="M46" s="1"/>
      <c r="N46" s="5">
        <f t="shared" si="19"/>
        <v>0.1095666666666666</v>
      </c>
      <c r="O46" s="13"/>
      <c r="P46" s="1">
        <f>SUM(OSRRefP22_5x_0)</f>
        <v>6118.91</v>
      </c>
      <c r="Q46" s="1"/>
      <c r="R46" s="5">
        <f t="shared" si="20"/>
        <v>0</v>
      </c>
      <c r="S46" s="1"/>
      <c r="T46" s="1">
        <f>SUM(OSRRefT22_5x_0)</f>
        <v>7500</v>
      </c>
      <c r="U46" s="1"/>
      <c r="V46" s="5">
        <f t="shared" si="21"/>
        <v>0</v>
      </c>
      <c r="W46" s="1"/>
      <c r="X46" s="1">
        <f t="shared" si="22"/>
        <v>-1381.0900000000001</v>
      </c>
      <c r="Y46" s="1"/>
      <c r="Z46" s="5">
        <f t="shared" si="23"/>
        <v>-0.18414533333333336</v>
      </c>
    </row>
    <row r="47" spans="1:26" s="24" customFormat="1" hidden="1" outlineLevel="2" x14ac:dyDescent="0.25">
      <c r="A47" s="25"/>
      <c r="B47" s="11" t="str">
        <f>CONCATENATE("          ", "6373", " - ", "MAINTENANCE CONTRACTS")</f>
        <v xml:space="preserve">          6373 - MAINTENANCE CONTRACTS</v>
      </c>
      <c r="C47" s="11"/>
      <c r="D47" s="6">
        <v>1405.95</v>
      </c>
      <c r="E47" s="2"/>
      <c r="F47" s="7">
        <f t="shared" si="16"/>
        <v>0</v>
      </c>
      <c r="G47" s="2"/>
      <c r="H47" s="6">
        <v>1500</v>
      </c>
      <c r="I47" s="2"/>
      <c r="J47" s="7">
        <f t="shared" si="17"/>
        <v>0</v>
      </c>
      <c r="K47" s="2"/>
      <c r="L47" s="6">
        <f t="shared" si="18"/>
        <v>-94.049999999999955</v>
      </c>
      <c r="M47" s="2"/>
      <c r="N47" s="7">
        <f t="shared" si="19"/>
        <v>-6.2699999999999964E-2</v>
      </c>
      <c r="O47" s="11"/>
      <c r="P47" s="6">
        <v>5623.8</v>
      </c>
      <c r="Q47" s="2"/>
      <c r="R47" s="7">
        <f t="shared" si="20"/>
        <v>0</v>
      </c>
      <c r="S47" s="2"/>
      <c r="T47" s="6">
        <v>7500</v>
      </c>
      <c r="U47" s="2"/>
      <c r="V47" s="7">
        <f t="shared" si="21"/>
        <v>0</v>
      </c>
      <c r="W47" s="2"/>
      <c r="X47" s="6">
        <f t="shared" si="22"/>
        <v>-1876.1999999999998</v>
      </c>
      <c r="Y47" s="2"/>
      <c r="Z47" s="7">
        <f t="shared" si="23"/>
        <v>-0.25015999999999999</v>
      </c>
    </row>
    <row r="48" spans="1:26" s="24" customFormat="1" hidden="1" outlineLevel="2" x14ac:dyDescent="0.25">
      <c r="A48" s="25"/>
      <c r="B48" s="11" t="str">
        <f>CONCATENATE("          ", "6375", " - ", "OUTSIDE REPAIRS &amp; MAINTENANCE")</f>
        <v xml:space="preserve">          6375 - OUTSIDE REPAIRS &amp; MAINTENANCE</v>
      </c>
      <c r="C48" s="11"/>
      <c r="D48" s="6">
        <v>258.39999999999998</v>
      </c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258.39999999999998</v>
      </c>
      <c r="M48" s="2"/>
      <c r="N48" s="7">
        <f t="shared" si="19"/>
        <v>0</v>
      </c>
      <c r="O48" s="11"/>
      <c r="P48" s="6">
        <v>495.11</v>
      </c>
      <c r="Q48" s="2"/>
      <c r="R48" s="7">
        <f t="shared" si="20"/>
        <v>0</v>
      </c>
      <c r="S48" s="2"/>
      <c r="T48" s="6"/>
      <c r="U48" s="2"/>
      <c r="V48" s="7">
        <f t="shared" si="21"/>
        <v>0</v>
      </c>
      <c r="W48" s="2"/>
      <c r="X48" s="6">
        <f t="shared" si="22"/>
        <v>495.11</v>
      </c>
      <c r="Y48" s="2"/>
      <c r="Z48" s="7">
        <f t="shared" si="23"/>
        <v>0</v>
      </c>
    </row>
    <row r="49" spans="1:26" s="26" customFormat="1" outlineLevel="1" collapsed="1" x14ac:dyDescent="0.25">
      <c r="A49" s="27"/>
      <c r="B49" s="13" t="str">
        <f>CONCATENATE("     ","Services                                          ")</f>
        <v xml:space="preserve">     Services                                          </v>
      </c>
      <c r="C49" s="13"/>
      <c r="D49" s="1">
        <f>SUM(OSRRefD22_6x_0)</f>
        <v>0</v>
      </c>
      <c r="E49" s="1"/>
      <c r="F49" s="5">
        <f t="shared" ref="F49:F53" si="24">IF(D$12=0,0,D49/D$12)</f>
        <v>0</v>
      </c>
      <c r="G49" s="1"/>
      <c r="H49" s="1">
        <f>SUM(OSRRefH22_6x_0)</f>
        <v>10</v>
      </c>
      <c r="I49" s="1"/>
      <c r="J49" s="5">
        <f t="shared" ref="J49:J53" si="25">IF(H$12=0,0,H49/H$12)</f>
        <v>0</v>
      </c>
      <c r="K49" s="1"/>
      <c r="L49" s="1">
        <f t="shared" ref="L49:L53" si="26">+D49-H49</f>
        <v>-10</v>
      </c>
      <c r="M49" s="1"/>
      <c r="N49" s="5">
        <f t="shared" ref="N49:N53" si="27">IF(H49=0,0,L49/H49)</f>
        <v>-1</v>
      </c>
      <c r="O49" s="13"/>
      <c r="P49" s="1">
        <f>SUM(OSRRefP22_6x_0)</f>
        <v>39.78</v>
      </c>
      <c r="Q49" s="1"/>
      <c r="R49" s="5">
        <f t="shared" ref="R49:R53" si="28">IF(P$12=0,0,P49/P$12)</f>
        <v>0</v>
      </c>
      <c r="S49" s="1"/>
      <c r="T49" s="1">
        <f>SUM(OSRRefT22_6x_0)</f>
        <v>50</v>
      </c>
      <c r="U49" s="1"/>
      <c r="V49" s="5">
        <f t="shared" ref="V49:V53" si="29">IF(T$12=0,0,T49/T$12)</f>
        <v>0</v>
      </c>
      <c r="W49" s="1"/>
      <c r="X49" s="1">
        <f t="shared" ref="X49:X53" si="30">+P49-T49</f>
        <v>-10.219999999999999</v>
      </c>
      <c r="Y49" s="1"/>
      <c r="Z49" s="5">
        <f t="shared" ref="Z49:Z53" si="31">IF(T49=0,0,X49/T49)</f>
        <v>-0.20439999999999997</v>
      </c>
    </row>
    <row r="50" spans="1:26" s="24" customFormat="1" hidden="1" outlineLevel="2" x14ac:dyDescent="0.25">
      <c r="A50" s="25"/>
      <c r="B50" s="11" t="str">
        <f>CONCATENATE("          ", "6286", " - ", "LAUNDRY EXPENSE")</f>
        <v xml:space="preserve">          6286 - LAUNDRY EXPENSE</v>
      </c>
      <c r="C50" s="11"/>
      <c r="D50" s="6"/>
      <c r="E50" s="2"/>
      <c r="F50" s="7">
        <f t="shared" si="24"/>
        <v>0</v>
      </c>
      <c r="G50" s="2"/>
      <c r="H50" s="6">
        <v>10</v>
      </c>
      <c r="I50" s="2"/>
      <c r="J50" s="7">
        <f t="shared" si="25"/>
        <v>0</v>
      </c>
      <c r="K50" s="2"/>
      <c r="L50" s="6">
        <f t="shared" si="26"/>
        <v>-10</v>
      </c>
      <c r="M50" s="2"/>
      <c r="N50" s="7">
        <f t="shared" si="27"/>
        <v>-1</v>
      </c>
      <c r="O50" s="11"/>
      <c r="P50" s="6">
        <v>39.78</v>
      </c>
      <c r="Q50" s="2"/>
      <c r="R50" s="7">
        <f t="shared" si="28"/>
        <v>0</v>
      </c>
      <c r="S50" s="2"/>
      <c r="T50" s="6">
        <v>50</v>
      </c>
      <c r="U50" s="2"/>
      <c r="V50" s="7">
        <f t="shared" si="29"/>
        <v>0</v>
      </c>
      <c r="W50" s="2"/>
      <c r="X50" s="6">
        <f t="shared" si="30"/>
        <v>-10.219999999999999</v>
      </c>
      <c r="Y50" s="2"/>
      <c r="Z50" s="7">
        <f t="shared" si="31"/>
        <v>-0.20439999999999997</v>
      </c>
    </row>
    <row r="51" spans="1:26" s="26" customFormat="1" outlineLevel="1" collapsed="1" x14ac:dyDescent="0.25">
      <c r="A51" s="27"/>
      <c r="B51" s="13" t="str">
        <f>CONCATENATE("     ","Supplies                                          ")</f>
        <v xml:space="preserve">     Supplies                                          </v>
      </c>
      <c r="C51" s="13"/>
      <c r="D51" s="1">
        <f>SUM(OSRRefD22_7x_0)</f>
        <v>0</v>
      </c>
      <c r="E51" s="1"/>
      <c r="F51" s="5">
        <f t="shared" si="24"/>
        <v>0</v>
      </c>
      <c r="G51" s="1"/>
      <c r="H51" s="1">
        <f>SUM(OSRRefH22_7x_0)</f>
        <v>10</v>
      </c>
      <c r="I51" s="1"/>
      <c r="J51" s="5">
        <f t="shared" si="25"/>
        <v>0</v>
      </c>
      <c r="K51" s="1"/>
      <c r="L51" s="1">
        <f t="shared" si="26"/>
        <v>-10</v>
      </c>
      <c r="M51" s="1"/>
      <c r="N51" s="5">
        <f t="shared" si="27"/>
        <v>-1</v>
      </c>
      <c r="O51" s="13"/>
      <c r="P51" s="1">
        <f>SUM(OSRRefP22_7x_0)</f>
        <v>744.92</v>
      </c>
      <c r="Q51" s="1"/>
      <c r="R51" s="5">
        <f t="shared" si="28"/>
        <v>0</v>
      </c>
      <c r="S51" s="1"/>
      <c r="T51" s="1">
        <f>SUM(OSRRefT22_7x_0)</f>
        <v>450</v>
      </c>
      <c r="U51" s="1"/>
      <c r="V51" s="5">
        <f t="shared" si="29"/>
        <v>0</v>
      </c>
      <c r="W51" s="1"/>
      <c r="X51" s="1">
        <f t="shared" si="30"/>
        <v>294.91999999999996</v>
      </c>
      <c r="Y51" s="1"/>
      <c r="Z51" s="5">
        <f t="shared" si="31"/>
        <v>0.65537777777777773</v>
      </c>
    </row>
    <row r="52" spans="1:26" s="24" customFormat="1" hidden="1" outlineLevel="2" x14ac:dyDescent="0.25">
      <c r="A52" s="25"/>
      <c r="B52" s="11" t="str">
        <f>CONCATENATE("          ", "6234", " - ", "EXPENDABLE SUPPLIES &amp; EQUIPMEN")</f>
        <v xml:space="preserve">          6234 - EXPENDABLE SUPPLIES &amp; EQUIPMEN</v>
      </c>
      <c r="C52" s="11"/>
      <c r="D52" s="6"/>
      <c r="E52" s="2"/>
      <c r="F52" s="7">
        <f t="shared" si="24"/>
        <v>0</v>
      </c>
      <c r="G52" s="2"/>
      <c r="H52" s="6">
        <v>0</v>
      </c>
      <c r="I52" s="2"/>
      <c r="J52" s="7">
        <f t="shared" si="25"/>
        <v>0</v>
      </c>
      <c r="K52" s="2"/>
      <c r="L52" s="6">
        <f t="shared" si="26"/>
        <v>0</v>
      </c>
      <c r="M52" s="2"/>
      <c r="N52" s="7">
        <f t="shared" si="27"/>
        <v>0</v>
      </c>
      <c r="O52" s="11"/>
      <c r="P52" s="6">
        <v>693.5</v>
      </c>
      <c r="Q52" s="2"/>
      <c r="R52" s="7">
        <f t="shared" si="28"/>
        <v>0</v>
      </c>
      <c r="S52" s="2"/>
      <c r="T52" s="6">
        <v>400</v>
      </c>
      <c r="U52" s="2"/>
      <c r="V52" s="7">
        <f t="shared" si="29"/>
        <v>0</v>
      </c>
      <c r="W52" s="2"/>
      <c r="X52" s="6">
        <f t="shared" si="30"/>
        <v>293.5</v>
      </c>
      <c r="Y52" s="2"/>
      <c r="Z52" s="7">
        <f t="shared" si="31"/>
        <v>0.73375000000000001</v>
      </c>
    </row>
    <row r="53" spans="1:26" s="24" customFormat="1" hidden="1" outlineLevel="2" x14ac:dyDescent="0.25">
      <c r="A53" s="25"/>
      <c r="B53" s="11" t="str">
        <f>CONCATENATE("          ", "6241", " - ", "OFFICE EXPENSE")</f>
        <v xml:space="preserve">          6241 - OFFICE EXPENSE</v>
      </c>
      <c r="C53" s="11"/>
      <c r="D53" s="6"/>
      <c r="E53" s="2"/>
      <c r="F53" s="7">
        <f t="shared" si="24"/>
        <v>0</v>
      </c>
      <c r="G53" s="2"/>
      <c r="H53" s="6">
        <v>10</v>
      </c>
      <c r="I53" s="2"/>
      <c r="J53" s="7">
        <f t="shared" si="25"/>
        <v>0</v>
      </c>
      <c r="K53" s="2"/>
      <c r="L53" s="6">
        <f t="shared" si="26"/>
        <v>-10</v>
      </c>
      <c r="M53" s="2"/>
      <c r="N53" s="7">
        <f t="shared" si="27"/>
        <v>-1</v>
      </c>
      <c r="O53" s="11"/>
      <c r="P53" s="6">
        <v>51.42</v>
      </c>
      <c r="Q53" s="2"/>
      <c r="R53" s="7">
        <f t="shared" si="28"/>
        <v>0</v>
      </c>
      <c r="S53" s="2"/>
      <c r="T53" s="6">
        <v>50</v>
      </c>
      <c r="U53" s="2"/>
      <c r="V53" s="7">
        <f t="shared" si="29"/>
        <v>0</v>
      </c>
      <c r="W53" s="2"/>
      <c r="X53" s="6">
        <f t="shared" si="30"/>
        <v>1.4200000000000017</v>
      </c>
      <c r="Y53" s="2"/>
      <c r="Z53" s="7">
        <f t="shared" si="31"/>
        <v>2.8400000000000033E-2</v>
      </c>
    </row>
    <row r="54" spans="1:26" s="26" customFormat="1" outlineLevel="1" collapsed="1" x14ac:dyDescent="0.25">
      <c r="A54" s="27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-75.3</v>
      </c>
      <c r="E54" s="1"/>
      <c r="F54" s="5">
        <f t="shared" ref="F54:F57" si="32">IF(D$12=0,0,D54/D$12)</f>
        <v>0</v>
      </c>
      <c r="G54" s="1"/>
      <c r="H54" s="1">
        <f>SUM(OSRRefH22_8x_0)</f>
        <v>15</v>
      </c>
      <c r="I54" s="1"/>
      <c r="J54" s="5">
        <f t="shared" ref="J54:J57" si="33">IF(H$12=0,0,H54/H$12)</f>
        <v>0</v>
      </c>
      <c r="K54" s="1"/>
      <c r="L54" s="1">
        <f t="shared" ref="L54:L57" si="34">+D54-H54</f>
        <v>-90.3</v>
      </c>
      <c r="M54" s="1"/>
      <c r="N54" s="5">
        <f t="shared" ref="N54:N57" si="35">IF(H54=0,0,L54/H54)</f>
        <v>-6.02</v>
      </c>
      <c r="O54" s="13"/>
      <c r="P54" s="1">
        <f>SUM(OSRRefP22_8x_0)</f>
        <v>312.89999999999998</v>
      </c>
      <c r="Q54" s="1"/>
      <c r="R54" s="5">
        <f t="shared" ref="R54:R57" si="36">IF(P$12=0,0,P54/P$12)</f>
        <v>0</v>
      </c>
      <c r="S54" s="1"/>
      <c r="T54" s="1">
        <f>SUM(OSRRefT22_8x_0)</f>
        <v>375</v>
      </c>
      <c r="U54" s="1"/>
      <c r="V54" s="5">
        <f t="shared" ref="V54:V57" si="37">IF(T$12=0,0,T54/T$12)</f>
        <v>0</v>
      </c>
      <c r="W54" s="1"/>
      <c r="X54" s="1">
        <f t="shared" ref="X54:X57" si="38">+P54-T54</f>
        <v>-62.100000000000023</v>
      </c>
      <c r="Y54" s="1"/>
      <c r="Z54" s="5">
        <f t="shared" ref="Z54:Z57" si="39">IF(T54=0,0,X54/T54)</f>
        <v>-0.16560000000000005</v>
      </c>
    </row>
    <row r="55" spans="1:26" s="24" customFormat="1" hidden="1" outlineLevel="2" x14ac:dyDescent="0.25">
      <c r="A55" s="25"/>
      <c r="B55" s="11" t="str">
        <f>CONCATENATE("          ", "6309", " - ", "TELEPHONE")</f>
        <v xml:space="preserve">          6309 - TELEPHONE</v>
      </c>
      <c r="C55" s="11"/>
      <c r="D55" s="6">
        <v>-75.3</v>
      </c>
      <c r="E55" s="2"/>
      <c r="F55" s="7">
        <f t="shared" si="32"/>
        <v>0</v>
      </c>
      <c r="G55" s="2"/>
      <c r="H55" s="6">
        <v>15</v>
      </c>
      <c r="I55" s="2"/>
      <c r="J55" s="7">
        <f t="shared" si="33"/>
        <v>0</v>
      </c>
      <c r="K55" s="2"/>
      <c r="L55" s="6">
        <f t="shared" si="34"/>
        <v>-90.3</v>
      </c>
      <c r="M55" s="2"/>
      <c r="N55" s="7">
        <f t="shared" si="35"/>
        <v>-6.02</v>
      </c>
      <c r="O55" s="11"/>
      <c r="P55" s="6">
        <v>312.89999999999998</v>
      </c>
      <c r="Q55" s="2"/>
      <c r="R55" s="7">
        <f t="shared" si="36"/>
        <v>0</v>
      </c>
      <c r="S55" s="2"/>
      <c r="T55" s="6">
        <v>375</v>
      </c>
      <c r="U55" s="2"/>
      <c r="V55" s="7">
        <f t="shared" si="37"/>
        <v>0</v>
      </c>
      <c r="W55" s="2"/>
      <c r="X55" s="6">
        <f t="shared" si="38"/>
        <v>-62.100000000000023</v>
      </c>
      <c r="Y55" s="2"/>
      <c r="Z55" s="7">
        <f t="shared" si="39"/>
        <v>-0.16560000000000005</v>
      </c>
    </row>
    <row r="56" spans="1:26" s="26" customFormat="1" outlineLevel="1" collapsed="1" x14ac:dyDescent="0.25">
      <c r="A56" s="27"/>
      <c r="B56" s="13" t="str">
        <f>CONCATENATE("     ","Travel                                            ")</f>
        <v xml:space="preserve">     Travel                                            </v>
      </c>
      <c r="C56" s="13"/>
      <c r="D56" s="1">
        <f>SUM(OSRRefD22_9x_0)</f>
        <v>0</v>
      </c>
      <c r="E56" s="1"/>
      <c r="F56" s="5">
        <f t="shared" si="32"/>
        <v>0</v>
      </c>
      <c r="G56" s="1"/>
      <c r="H56" s="1">
        <f>SUM(OSRRefH22_9x_0)</f>
        <v>0</v>
      </c>
      <c r="I56" s="1"/>
      <c r="J56" s="5">
        <f t="shared" si="33"/>
        <v>0</v>
      </c>
      <c r="K56" s="1"/>
      <c r="L56" s="1">
        <f t="shared" si="34"/>
        <v>0</v>
      </c>
      <c r="M56" s="1"/>
      <c r="N56" s="5">
        <f t="shared" si="35"/>
        <v>0</v>
      </c>
      <c r="O56" s="13"/>
      <c r="P56" s="1">
        <f>SUM(OSRRefP22_9x_0)</f>
        <v>256.86</v>
      </c>
      <c r="Q56" s="1"/>
      <c r="R56" s="5">
        <f t="shared" si="36"/>
        <v>0</v>
      </c>
      <c r="S56" s="1"/>
      <c r="T56" s="1">
        <f>SUM(OSRRefT22_9x_0)</f>
        <v>0</v>
      </c>
      <c r="U56" s="1"/>
      <c r="V56" s="5">
        <f t="shared" si="37"/>
        <v>0</v>
      </c>
      <c r="W56" s="1"/>
      <c r="X56" s="1">
        <f t="shared" si="38"/>
        <v>256.86</v>
      </c>
      <c r="Y56" s="1"/>
      <c r="Z56" s="5">
        <f t="shared" si="39"/>
        <v>0</v>
      </c>
    </row>
    <row r="57" spans="1:26" s="24" customFormat="1" hidden="1" outlineLevel="2" x14ac:dyDescent="0.25">
      <c r="A57" s="25"/>
      <c r="B57" s="11" t="str">
        <f>CONCATENATE("          ", "6292", " - ", "TRAVEL/CONFERENCE")</f>
        <v xml:space="preserve">          6292 - TRAVEL/CONFERENCE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>
        <v>256.86</v>
      </c>
      <c r="Q57" s="2"/>
      <c r="R57" s="7">
        <f t="shared" si="36"/>
        <v>0</v>
      </c>
      <c r="S57" s="2"/>
      <c r="T57" s="6"/>
      <c r="U57" s="2"/>
      <c r="V57" s="7">
        <f t="shared" si="37"/>
        <v>0</v>
      </c>
      <c r="W57" s="2"/>
      <c r="X57" s="6">
        <f t="shared" si="38"/>
        <v>256.86</v>
      </c>
      <c r="Y57" s="2"/>
      <c r="Z57" s="7">
        <f t="shared" si="39"/>
        <v>0</v>
      </c>
    </row>
    <row r="58" spans="1:26" s="59" customFormat="1" x14ac:dyDescent="0.25">
      <c r="A58" s="36"/>
      <c r="B58" s="36"/>
      <c r="C58" s="36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6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9" t="s">
        <v>0</v>
      </c>
      <c r="C59" s="10"/>
      <c r="D59" s="4">
        <f>SUM(0)</f>
        <v>0</v>
      </c>
      <c r="E59" s="4"/>
      <c r="F59" s="12">
        <f>IF(D$12=0,0,D59/D$12)</f>
        <v>0</v>
      </c>
      <c r="G59" s="4"/>
      <c r="H59" s="4">
        <f>SUM(0)</f>
        <v>0</v>
      </c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>
        <f>SUM(0)</f>
        <v>0</v>
      </c>
      <c r="Q59" s="4"/>
      <c r="R59" s="12">
        <f>IF(P$12=0,0,P59/P$12)</f>
        <v>0</v>
      </c>
      <c r="S59" s="4"/>
      <c r="T59" s="4">
        <f>SUM(0)</f>
        <v>0</v>
      </c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8" t="s">
        <v>3</v>
      </c>
      <c r="C61" s="28"/>
      <c r="D61" s="20">
        <f>+D16-D18+D59</f>
        <v>-8179.55</v>
      </c>
      <c r="E61" s="14"/>
      <c r="F61" s="22">
        <f>IF(D$12=0,0,D61/D$12)</f>
        <v>0</v>
      </c>
      <c r="G61" s="14"/>
      <c r="H61" s="20">
        <f>+H16-H18+H59</f>
        <v>-7260.5090453384582</v>
      </c>
      <c r="I61" s="14"/>
      <c r="J61" s="22">
        <f>IF(H$12=0,0,H61/H$12)</f>
        <v>0</v>
      </c>
      <c r="K61" s="16"/>
      <c r="L61" s="20">
        <f>+D61-H61</f>
        <v>-919.04095466154195</v>
      </c>
      <c r="M61" s="16"/>
      <c r="N61" s="22">
        <f>IF(H61=0,0,L61/H61)</f>
        <v>0.12658078778258716</v>
      </c>
      <c r="O61" s="29"/>
      <c r="P61" s="20">
        <f>+P16-P18+P59</f>
        <v>-42592.570000000007</v>
      </c>
      <c r="Q61" s="14"/>
      <c r="R61" s="22">
        <f>IF(P$12=0,0,P61/P$12)</f>
        <v>0</v>
      </c>
      <c r="S61" s="14"/>
      <c r="T61" s="20">
        <f>+T16-T18+T59</f>
        <v>-44196.29974936154</v>
      </c>
      <c r="U61" s="14"/>
      <c r="V61" s="22">
        <f>IF(T$12=0,0,T61/T$12)</f>
        <v>0</v>
      </c>
      <c r="W61" s="16"/>
      <c r="X61" s="20">
        <f>+P61-T61</f>
        <v>1603.7297493615333</v>
      </c>
      <c r="Y61" s="16"/>
      <c r="Z61" s="22">
        <f>IF(T61=0,0,X61/T61)</f>
        <v>-3.6286516257160215E-2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2"/>
      <c r="B63" s="10" t="s">
        <v>14</v>
      </c>
      <c r="C63" s="10"/>
      <c r="D63" s="4"/>
      <c r="E63" s="4"/>
      <c r="F63" s="12">
        <f>IF(D$12=0,0,D63/D$12)</f>
        <v>0</v>
      </c>
      <c r="G63" s="4"/>
      <c r="H63" s="4"/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/>
      <c r="Q63" s="4"/>
      <c r="R63" s="12">
        <f>IF(P$12=0,0,P63/P$12)</f>
        <v>0</v>
      </c>
      <c r="S63" s="4"/>
      <c r="T63" s="4"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8" t="s">
        <v>4</v>
      </c>
      <c r="C65" s="28"/>
      <c r="D65" s="30">
        <f>+D61-D63</f>
        <v>-8179.55</v>
      </c>
      <c r="E65" s="14"/>
      <c r="F65" s="32">
        <f>IF(D$12=0,0,D65/D$12)</f>
        <v>0</v>
      </c>
      <c r="G65" s="14"/>
      <c r="H65" s="30">
        <f>+H61-H63</f>
        <v>-7260.5090453384582</v>
      </c>
      <c r="I65" s="14"/>
      <c r="J65" s="32">
        <f>IF(H$12=0,0,H65/H$12)</f>
        <v>0</v>
      </c>
      <c r="K65" s="16"/>
      <c r="L65" s="30">
        <f>D65-H65</f>
        <v>-919.04095466154195</v>
      </c>
      <c r="M65" s="16"/>
      <c r="N65" s="32">
        <f>IF(H65=0,0,L65/H65)</f>
        <v>0.12658078778258716</v>
      </c>
      <c r="O65" s="29"/>
      <c r="P65" s="30">
        <f>+P61-P63</f>
        <v>-42592.570000000007</v>
      </c>
      <c r="Q65" s="14"/>
      <c r="R65" s="32">
        <f>IF(P$12=0,0,P65/P$12)</f>
        <v>0</v>
      </c>
      <c r="S65" s="14"/>
      <c r="T65" s="30">
        <f>+T61-T63</f>
        <v>-44196.29974936154</v>
      </c>
      <c r="U65" s="14"/>
      <c r="V65" s="32">
        <f>IF(T$12=0,0,T65/T$12)</f>
        <v>0</v>
      </c>
      <c r="W65" s="16"/>
      <c r="X65" s="30">
        <f>P65-T65</f>
        <v>1603.7297493615333</v>
      </c>
      <c r="Y65" s="16"/>
      <c r="Z65" s="32">
        <f>IF(T65=0,0,X65/T65)</f>
        <v>-3.6286516257160215E-2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8" t="s">
        <v>5</v>
      </c>
      <c r="C68" s="28"/>
      <c r="D68" s="31">
        <f>SUM(D65:D67)</f>
        <v>-8179.55</v>
      </c>
      <c r="E68" s="14"/>
      <c r="F68" s="35">
        <f>IF(D$12=0,0,D68/D$12)</f>
        <v>0</v>
      </c>
      <c r="G68" s="14"/>
      <c r="H68" s="31">
        <f>SUM(H65:H67)</f>
        <v>-7260.5090453384582</v>
      </c>
      <c r="I68" s="14"/>
      <c r="J68" s="35">
        <f>IF(H$12=0,0,H68/H$12)</f>
        <v>0</v>
      </c>
      <c r="K68" s="16"/>
      <c r="L68" s="31">
        <f>+D68-H68</f>
        <v>-919.04095466154195</v>
      </c>
      <c r="M68" s="16"/>
      <c r="N68" s="35">
        <f>IF(H68=0,0,L68/H68)</f>
        <v>0.12658078778258716</v>
      </c>
      <c r="O68" s="29"/>
      <c r="P68" s="31">
        <f>SUM(P65:P67)</f>
        <v>-42592.570000000007</v>
      </c>
      <c r="Q68" s="14"/>
      <c r="R68" s="35">
        <f>IF(P$12=0,0,P68/P$12)</f>
        <v>0</v>
      </c>
      <c r="S68" s="14"/>
      <c r="T68" s="31">
        <f>SUM(T65:T67)</f>
        <v>-44196.29974936154</v>
      </c>
      <c r="U68" s="14"/>
      <c r="V68" s="35">
        <f>IF(T$12=0,0,T68/T$12)</f>
        <v>0</v>
      </c>
      <c r="W68" s="16"/>
      <c r="X68" s="31">
        <f>+P68-T68</f>
        <v>1603.7297493615333</v>
      </c>
      <c r="Y68" s="16"/>
      <c r="Z68" s="35">
        <f>IF(T68=0,0,X68/T68)</f>
        <v>-3.6286516257160215E-2</v>
      </c>
    </row>
    <row r="69" spans="1:26" ht="15.75" thickTop="1" x14ac:dyDescent="0.25">
      <c r="A69" s="9"/>
      <c r="C69" s="9"/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25">
      <c r="A70" s="9"/>
      <c r="B70" s="56">
        <v>43815.483523993054</v>
      </c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62" t="s">
        <v>314</v>
      </c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8"/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","206", " - ", "Graphics")</f>
        <v>Department 206 - Graphics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6521.0400000000009</v>
      </c>
      <c r="E18" s="21"/>
      <c r="F18" s="33">
        <f t="shared" ref="F18:F28" si="0">IF(D$12=0,0,D18/D$12)</f>
        <v>0</v>
      </c>
      <c r="G18" s="21"/>
      <c r="H18" s="21">
        <f>SUM(OSRRefH22x_0)</f>
        <v>13924.922189516001</v>
      </c>
      <c r="I18" s="21"/>
      <c r="J18" s="33">
        <f t="shared" ref="J18:J28" si="1">IF(H$12=0,0,H18/H$12)</f>
        <v>0</v>
      </c>
      <c r="K18" s="4"/>
      <c r="L18" s="21">
        <f t="shared" ref="L18:L28" si="2">+D18-H18</f>
        <v>-7403.8821895159999</v>
      </c>
      <c r="M18" s="4"/>
      <c r="N18" s="33">
        <f t="shared" ref="N18:N28" si="3">IF(H18=0,0,L18/H18)</f>
        <v>-0.53170007621948101</v>
      </c>
      <c r="O18" s="10"/>
      <c r="P18" s="21">
        <f>SUM(OSRRefP22x_0)</f>
        <v>36604.44999999999</v>
      </c>
      <c r="Q18" s="21"/>
      <c r="R18" s="33">
        <f t="shared" ref="R18:R28" si="4">IF(P$12=0,0,P18/P$12)</f>
        <v>0</v>
      </c>
      <c r="S18" s="21"/>
      <c r="T18" s="21">
        <f>SUM(OSRRefT22x_0)</f>
        <v>77258.671342337999</v>
      </c>
      <c r="U18" s="21"/>
      <c r="V18" s="33">
        <f t="shared" ref="V18:V28" si="5">IF(T$12=0,0,T18/T$12)</f>
        <v>0</v>
      </c>
      <c r="W18" s="4"/>
      <c r="X18" s="21">
        <f t="shared" ref="X18:X28" si="6">+P18-T18</f>
        <v>-40654.221342338009</v>
      </c>
      <c r="Y18" s="4"/>
      <c r="Z18" s="33">
        <f t="shared" ref="Z18:Z28" si="7">IF(T18=0,0,X18/T18)</f>
        <v>-0.52620917025865765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1723.3100000000002</v>
      </c>
      <c r="E19" s="1"/>
      <c r="F19" s="5">
        <f t="shared" si="0"/>
        <v>0</v>
      </c>
      <c r="G19" s="1"/>
      <c r="H19" s="1">
        <f>SUM(OSRRefH22_0x_0)</f>
        <v>5617.5827095159993</v>
      </c>
      <c r="I19" s="1"/>
      <c r="J19" s="5">
        <f t="shared" si="1"/>
        <v>0</v>
      </c>
      <c r="K19" s="1"/>
      <c r="L19" s="1">
        <f t="shared" si="2"/>
        <v>-3894.2727095159989</v>
      </c>
      <c r="M19" s="1"/>
      <c r="N19" s="5">
        <f t="shared" si="3"/>
        <v>-0.69322926085613834</v>
      </c>
      <c r="O19" s="13"/>
      <c r="P19" s="1">
        <f>SUM(OSRRefP22_0x_0)</f>
        <v>9532.8799999999992</v>
      </c>
      <c r="Q19" s="1"/>
      <c r="R19" s="5">
        <f t="shared" si="4"/>
        <v>0</v>
      </c>
      <c r="S19" s="1"/>
      <c r="T19" s="1">
        <f>SUM(OSRRefT22_0x_0)</f>
        <v>29177.804202338</v>
      </c>
      <c r="U19" s="1"/>
      <c r="V19" s="5">
        <f t="shared" si="5"/>
        <v>0</v>
      </c>
      <c r="W19" s="1"/>
      <c r="X19" s="1">
        <f t="shared" si="6"/>
        <v>-19644.924202337999</v>
      </c>
      <c r="Y19" s="1"/>
      <c r="Z19" s="5">
        <f t="shared" si="7"/>
        <v>-0.67328315955879448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385.04</v>
      </c>
      <c r="E20" s="2"/>
      <c r="F20" s="7">
        <f t="shared" si="0"/>
        <v>0</v>
      </c>
      <c r="G20" s="2"/>
      <c r="H20" s="6">
        <v>1179.662287116</v>
      </c>
      <c r="I20" s="2"/>
      <c r="J20" s="7">
        <f t="shared" si="1"/>
        <v>0</v>
      </c>
      <c r="K20" s="2"/>
      <c r="L20" s="6">
        <f t="shared" si="2"/>
        <v>-794.62228711600005</v>
      </c>
      <c r="M20" s="2"/>
      <c r="N20" s="7">
        <f t="shared" si="3"/>
        <v>-0.67360150086569837</v>
      </c>
      <c r="O20" s="11"/>
      <c r="P20" s="6">
        <v>2798.21</v>
      </c>
      <c r="Q20" s="2"/>
      <c r="R20" s="7">
        <f t="shared" si="4"/>
        <v>0</v>
      </c>
      <c r="S20" s="2"/>
      <c r="T20" s="6">
        <v>5784.8318791379997</v>
      </c>
      <c r="U20" s="2"/>
      <c r="V20" s="7">
        <f t="shared" si="5"/>
        <v>0</v>
      </c>
      <c r="W20" s="2"/>
      <c r="X20" s="6">
        <f t="shared" si="6"/>
        <v>-2986.6218791379997</v>
      </c>
      <c r="Y20" s="2"/>
      <c r="Z20" s="7">
        <f t="shared" si="7"/>
        <v>-0.51628499177456433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32.57</v>
      </c>
      <c r="E21" s="2"/>
      <c r="F21" s="7">
        <f t="shared" si="0"/>
        <v>0</v>
      </c>
      <c r="G21" s="2"/>
      <c r="H21" s="6">
        <v>52.408882480000003</v>
      </c>
      <c r="I21" s="2"/>
      <c r="J21" s="7">
        <f t="shared" si="1"/>
        <v>0</v>
      </c>
      <c r="K21" s="2"/>
      <c r="L21" s="6">
        <f t="shared" si="2"/>
        <v>-19.838882480000002</v>
      </c>
      <c r="M21" s="2"/>
      <c r="N21" s="7">
        <f t="shared" si="3"/>
        <v>-0.3785404599605956</v>
      </c>
      <c r="O21" s="11"/>
      <c r="P21" s="6">
        <v>62.87</v>
      </c>
      <c r="Q21" s="2"/>
      <c r="R21" s="7">
        <f t="shared" si="4"/>
        <v>0</v>
      </c>
      <c r="S21" s="2"/>
      <c r="T21" s="6">
        <v>285.69035364000001</v>
      </c>
      <c r="U21" s="2"/>
      <c r="V21" s="7">
        <f t="shared" si="5"/>
        <v>0</v>
      </c>
      <c r="W21" s="2"/>
      <c r="X21" s="6">
        <f t="shared" si="6"/>
        <v>-222.82035364000001</v>
      </c>
      <c r="Y21" s="2"/>
      <c r="Z21" s="7">
        <f t="shared" si="7"/>
        <v>-0.77993656698950764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700.91</v>
      </c>
      <c r="E22" s="2"/>
      <c r="F22" s="7">
        <f t="shared" si="0"/>
        <v>0</v>
      </c>
      <c r="G22" s="2"/>
      <c r="H22" s="6">
        <v>2589</v>
      </c>
      <c r="I22" s="2"/>
      <c r="J22" s="7">
        <f t="shared" si="1"/>
        <v>0</v>
      </c>
      <c r="K22" s="2"/>
      <c r="L22" s="6">
        <f t="shared" si="2"/>
        <v>-1888.0900000000001</v>
      </c>
      <c r="M22" s="2"/>
      <c r="N22" s="7">
        <f t="shared" si="3"/>
        <v>-0.72927385090768637</v>
      </c>
      <c r="O22" s="11"/>
      <c r="P22" s="6">
        <v>3504.55</v>
      </c>
      <c r="Q22" s="2"/>
      <c r="R22" s="7">
        <f t="shared" si="4"/>
        <v>0</v>
      </c>
      <c r="S22" s="2"/>
      <c r="T22" s="6">
        <v>13251</v>
      </c>
      <c r="U22" s="2"/>
      <c r="V22" s="7">
        <f t="shared" si="5"/>
        <v>0</v>
      </c>
      <c r="W22" s="2"/>
      <c r="X22" s="6">
        <f t="shared" si="6"/>
        <v>-9746.4500000000007</v>
      </c>
      <c r="Y22" s="2"/>
      <c r="Z22" s="7">
        <f t="shared" si="7"/>
        <v>-0.7355256207078712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24.91</v>
      </c>
      <c r="E23" s="2"/>
      <c r="F23" s="7">
        <f t="shared" si="0"/>
        <v>0</v>
      </c>
      <c r="G23" s="2"/>
      <c r="H23" s="6">
        <v>40.077380720000001</v>
      </c>
      <c r="I23" s="2"/>
      <c r="J23" s="7">
        <f t="shared" si="1"/>
        <v>0</v>
      </c>
      <c r="K23" s="2"/>
      <c r="L23" s="6">
        <f t="shared" si="2"/>
        <v>-15.167380720000001</v>
      </c>
      <c r="M23" s="2"/>
      <c r="N23" s="7">
        <f t="shared" si="3"/>
        <v>-0.37845239502967198</v>
      </c>
      <c r="O23" s="11"/>
      <c r="P23" s="6">
        <v>124.24</v>
      </c>
      <c r="Q23" s="2"/>
      <c r="R23" s="7">
        <f t="shared" si="4"/>
        <v>0</v>
      </c>
      <c r="S23" s="2"/>
      <c r="T23" s="6">
        <v>218.46909396000001</v>
      </c>
      <c r="U23" s="2"/>
      <c r="V23" s="7">
        <f t="shared" si="5"/>
        <v>0</v>
      </c>
      <c r="W23" s="2"/>
      <c r="X23" s="6">
        <f t="shared" si="6"/>
        <v>-94.229093960000014</v>
      </c>
      <c r="Y23" s="2"/>
      <c r="Z23" s="7">
        <f t="shared" si="7"/>
        <v>-0.43131544261932364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599.79643920000001</v>
      </c>
      <c r="I24" s="2"/>
      <c r="J24" s="7">
        <f t="shared" si="1"/>
        <v>0</v>
      </c>
      <c r="K24" s="2"/>
      <c r="L24" s="6">
        <f t="shared" si="2"/>
        <v>-599.79643920000001</v>
      </c>
      <c r="M24" s="2"/>
      <c r="N24" s="7">
        <f t="shared" si="3"/>
        <v>-1</v>
      </c>
      <c r="O24" s="11"/>
      <c r="P24" s="6"/>
      <c r="Q24" s="2"/>
      <c r="R24" s="7">
        <f t="shared" si="4"/>
        <v>0</v>
      </c>
      <c r="S24" s="2"/>
      <c r="T24" s="6">
        <v>3298.8804156000001</v>
      </c>
      <c r="U24" s="2"/>
      <c r="V24" s="7">
        <f t="shared" si="5"/>
        <v>0</v>
      </c>
      <c r="W24" s="2"/>
      <c r="X24" s="6">
        <f t="shared" si="6"/>
        <v>-3298.8804156000001</v>
      </c>
      <c r="Y24" s="2"/>
      <c r="Z24" s="7">
        <f t="shared" si="7"/>
        <v>-1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184.8</v>
      </c>
      <c r="E26" s="2"/>
      <c r="F26" s="7">
        <f t="shared" si="0"/>
        <v>0</v>
      </c>
      <c r="G26" s="2"/>
      <c r="H26" s="6">
        <v>554.71885999999995</v>
      </c>
      <c r="I26" s="2"/>
      <c r="J26" s="7">
        <f t="shared" si="1"/>
        <v>0</v>
      </c>
      <c r="K26" s="2"/>
      <c r="L26" s="6">
        <f t="shared" si="2"/>
        <v>-369.91885999999994</v>
      </c>
      <c r="M26" s="2"/>
      <c r="N26" s="7">
        <f t="shared" si="3"/>
        <v>-0.66685827123310715</v>
      </c>
      <c r="O26" s="11"/>
      <c r="P26" s="6">
        <v>1016.4</v>
      </c>
      <c r="Q26" s="2"/>
      <c r="R26" s="7">
        <f t="shared" si="4"/>
        <v>0</v>
      </c>
      <c r="S26" s="2"/>
      <c r="T26" s="6">
        <v>3050.9537299999997</v>
      </c>
      <c r="U26" s="2"/>
      <c r="V26" s="7">
        <f t="shared" si="5"/>
        <v>0</v>
      </c>
      <c r="W26" s="2"/>
      <c r="X26" s="6">
        <f t="shared" si="6"/>
        <v>-2034.5537299999996</v>
      </c>
      <c r="Y26" s="2"/>
      <c r="Z26" s="7">
        <f t="shared" si="7"/>
        <v>-0.66685827123310715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221.4</v>
      </c>
      <c r="E27" s="2"/>
      <c r="F27" s="7">
        <f t="shared" si="0"/>
        <v>0</v>
      </c>
      <c r="G27" s="2"/>
      <c r="H27" s="6">
        <v>601.91886</v>
      </c>
      <c r="I27" s="2"/>
      <c r="J27" s="7">
        <f t="shared" si="1"/>
        <v>0</v>
      </c>
      <c r="K27" s="2"/>
      <c r="L27" s="6">
        <f t="shared" si="2"/>
        <v>-380.51886000000002</v>
      </c>
      <c r="M27" s="2"/>
      <c r="N27" s="7">
        <f t="shared" si="3"/>
        <v>-0.6321763368570974</v>
      </c>
      <c r="O27" s="11"/>
      <c r="P27" s="6">
        <v>1217.7</v>
      </c>
      <c r="Q27" s="2"/>
      <c r="R27" s="7">
        <f t="shared" si="4"/>
        <v>0</v>
      </c>
      <c r="S27" s="2"/>
      <c r="T27" s="6">
        <v>3287.9787299999998</v>
      </c>
      <c r="U27" s="2"/>
      <c r="V27" s="7">
        <f t="shared" si="5"/>
        <v>0</v>
      </c>
      <c r="W27" s="2"/>
      <c r="X27" s="6">
        <f t="shared" si="6"/>
        <v>-2070.27873</v>
      </c>
      <c r="Y27" s="2"/>
      <c r="Z27" s="7">
        <f t="shared" si="7"/>
        <v>-0.62965088889124299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173.68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173.68</v>
      </c>
      <c r="M28" s="2"/>
      <c r="N28" s="7">
        <f t="shared" si="3"/>
        <v>0</v>
      </c>
      <c r="O28" s="11"/>
      <c r="P28" s="6">
        <v>808.91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808.91</v>
      </c>
      <c r="Y28" s="2"/>
      <c r="Z28" s="7">
        <f t="shared" si="7"/>
        <v>0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10056.89</v>
      </c>
      <c r="E29" s="1"/>
      <c r="F29" s="5">
        <f t="shared" ref="F29:F39" si="8">IF(D$12=0,0,D29/D$12)</f>
        <v>0</v>
      </c>
      <c r="G29" s="1"/>
      <c r="H29" s="1">
        <f>SUM(OSRRefH22_1x_0)</f>
        <v>14593.339480000001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-4536.4494800000011</v>
      </c>
      <c r="M29" s="1"/>
      <c r="N29" s="5">
        <f t="shared" ref="N29:N39" si="11">IF(H29=0,0,L29/H29)</f>
        <v>-0.31085753101386776</v>
      </c>
      <c r="O29" s="13"/>
      <c r="P29" s="1">
        <f>SUM(OSRRefP22_1x_0)</f>
        <v>54220.86</v>
      </c>
      <c r="Q29" s="1"/>
      <c r="R29" s="5">
        <f t="shared" ref="R29:R39" si="12">IF(P$12=0,0,P29/P$12)</f>
        <v>0</v>
      </c>
      <c r="S29" s="1"/>
      <c r="T29" s="1">
        <f>SUM(OSRRefT22_1x_0)</f>
        <v>79510.867140000002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-25290.007140000002</v>
      </c>
      <c r="Y29" s="1"/>
      <c r="Z29" s="5">
        <f t="shared" ref="Z29:Z39" si="15">IF(T29=0,0,X29/T29)</f>
        <v>-0.31806981925464639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6276.93948</v>
      </c>
      <c r="I30" s="2"/>
      <c r="J30" s="7">
        <f t="shared" si="9"/>
        <v>0</v>
      </c>
      <c r="K30" s="2"/>
      <c r="L30" s="6">
        <f t="shared" si="10"/>
        <v>-6276.93948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34523.167139999998</v>
      </c>
      <c r="U30" s="2"/>
      <c r="V30" s="7">
        <f t="shared" si="13"/>
        <v>0</v>
      </c>
      <c r="W30" s="2"/>
      <c r="X30" s="6">
        <f t="shared" si="14"/>
        <v>-34523.167139999998</v>
      </c>
      <c r="Y30" s="2"/>
      <c r="Z30" s="7">
        <f t="shared" si="15"/>
        <v>-1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>
        <v>5283.75</v>
      </c>
      <c r="E33" s="2"/>
      <c r="F33" s="7">
        <f t="shared" si="8"/>
        <v>0</v>
      </c>
      <c r="G33" s="2"/>
      <c r="H33" s="6">
        <v>3996.4</v>
      </c>
      <c r="I33" s="2"/>
      <c r="J33" s="7">
        <f t="shared" si="9"/>
        <v>0</v>
      </c>
      <c r="K33" s="2"/>
      <c r="L33" s="6">
        <f t="shared" si="10"/>
        <v>1287.3499999999999</v>
      </c>
      <c r="M33" s="2"/>
      <c r="N33" s="7">
        <f t="shared" si="11"/>
        <v>0.32212741467320588</v>
      </c>
      <c r="O33" s="11"/>
      <c r="P33" s="6">
        <v>27131.25</v>
      </c>
      <c r="Q33" s="2"/>
      <c r="R33" s="7">
        <f t="shared" si="12"/>
        <v>0</v>
      </c>
      <c r="S33" s="2"/>
      <c r="T33" s="6">
        <v>21980.2</v>
      </c>
      <c r="U33" s="2"/>
      <c r="V33" s="7">
        <f t="shared" si="13"/>
        <v>0</v>
      </c>
      <c r="W33" s="2"/>
      <c r="X33" s="6">
        <f t="shared" si="14"/>
        <v>5151.0499999999993</v>
      </c>
      <c r="Y33" s="2"/>
      <c r="Z33" s="7">
        <f t="shared" si="15"/>
        <v>0.23434955095949989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>
        <v>2361.4299999999998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2361.4299999999998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>
        <v>3726.89</v>
      </c>
      <c r="E36" s="2"/>
      <c r="F36" s="7">
        <f t="shared" si="8"/>
        <v>0</v>
      </c>
      <c r="G36" s="2"/>
      <c r="H36" s="6">
        <v>4320</v>
      </c>
      <c r="I36" s="2"/>
      <c r="J36" s="7">
        <f t="shared" si="9"/>
        <v>0</v>
      </c>
      <c r="K36" s="2"/>
      <c r="L36" s="6">
        <f t="shared" si="10"/>
        <v>-593.11000000000013</v>
      </c>
      <c r="M36" s="2"/>
      <c r="N36" s="7">
        <f t="shared" si="11"/>
        <v>-0.1372939814814815</v>
      </c>
      <c r="O36" s="11"/>
      <c r="P36" s="6">
        <v>20868.48</v>
      </c>
      <c r="Q36" s="2"/>
      <c r="R36" s="7">
        <f t="shared" si="12"/>
        <v>0</v>
      </c>
      <c r="S36" s="2"/>
      <c r="T36" s="6">
        <v>14570</v>
      </c>
      <c r="U36" s="2"/>
      <c r="V36" s="7">
        <f t="shared" si="13"/>
        <v>0</v>
      </c>
      <c r="W36" s="2"/>
      <c r="X36" s="6">
        <f t="shared" si="14"/>
        <v>6298.48</v>
      </c>
      <c r="Y36" s="2"/>
      <c r="Z36" s="7">
        <f t="shared" si="15"/>
        <v>0.43229100892244332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>
        <v>1046.25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1046.25</v>
      </c>
      <c r="M37" s="2"/>
      <c r="N37" s="7">
        <f t="shared" si="11"/>
        <v>0</v>
      </c>
      <c r="O37" s="11"/>
      <c r="P37" s="6">
        <v>3859.7</v>
      </c>
      <c r="Q37" s="2"/>
      <c r="R37" s="7">
        <f t="shared" si="12"/>
        <v>0</v>
      </c>
      <c r="S37" s="2"/>
      <c r="T37" s="6">
        <v>8437.5</v>
      </c>
      <c r="U37" s="2"/>
      <c r="V37" s="7">
        <f t="shared" si="13"/>
        <v>0</v>
      </c>
      <c r="W37" s="2"/>
      <c r="X37" s="6">
        <f t="shared" si="14"/>
        <v>-4577.8</v>
      </c>
      <c r="Y37" s="2"/>
      <c r="Z37" s="7">
        <f t="shared" si="15"/>
        <v>-0.54255407407407408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-5900.04</v>
      </c>
      <c r="E40" s="1"/>
      <c r="F40" s="5">
        <f t="shared" ref="F40:F52" si="16">IF(D$12=0,0,D40/D$12)</f>
        <v>0</v>
      </c>
      <c r="G40" s="1"/>
      <c r="H40" s="1">
        <f>SUM(OSRRefH22_2x_0)</f>
        <v>-9000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3099.96</v>
      </c>
      <c r="M40" s="1"/>
      <c r="N40" s="5">
        <f t="shared" ref="N40:N52" si="19">IF(H40=0,0,L40/H40)</f>
        <v>-0.34444000000000002</v>
      </c>
      <c r="O40" s="13"/>
      <c r="P40" s="1">
        <f>SUM(OSRRefP22_2x_0)</f>
        <v>-30621.929999999997</v>
      </c>
      <c r="Q40" s="1"/>
      <c r="R40" s="5">
        <f t="shared" ref="R40:R52" si="20">IF(P$12=0,0,P40/P$12)</f>
        <v>0</v>
      </c>
      <c r="S40" s="1"/>
      <c r="T40" s="1">
        <f>SUM(OSRRefT22_2x_0)</f>
        <v>-45000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14378.070000000003</v>
      </c>
      <c r="Y40" s="1"/>
      <c r="Z40" s="5">
        <f t="shared" ref="Z40:Z52" si="23">IF(T40=0,0,X40/T40)</f>
        <v>-0.31951266666666672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6">
        <v>-5900.04</v>
      </c>
      <c r="E41" s="2"/>
      <c r="F41" s="7">
        <f t="shared" si="16"/>
        <v>0</v>
      </c>
      <c r="G41" s="2"/>
      <c r="H41" s="6">
        <v>-9000</v>
      </c>
      <c r="I41" s="2"/>
      <c r="J41" s="7">
        <f t="shared" si="17"/>
        <v>0</v>
      </c>
      <c r="K41" s="2"/>
      <c r="L41" s="6">
        <f t="shared" si="18"/>
        <v>3099.96</v>
      </c>
      <c r="M41" s="2"/>
      <c r="N41" s="7">
        <f t="shared" si="19"/>
        <v>-0.34444000000000002</v>
      </c>
      <c r="O41" s="11"/>
      <c r="P41" s="6">
        <v>-30621.929999999997</v>
      </c>
      <c r="Q41" s="2"/>
      <c r="R41" s="7">
        <f t="shared" si="20"/>
        <v>0</v>
      </c>
      <c r="S41" s="2"/>
      <c r="T41" s="6">
        <v>-45000</v>
      </c>
      <c r="U41" s="2"/>
      <c r="V41" s="7">
        <f t="shared" si="21"/>
        <v>0</v>
      </c>
      <c r="W41" s="2"/>
      <c r="X41" s="6">
        <f t="shared" si="22"/>
        <v>14378.070000000003</v>
      </c>
      <c r="Y41" s="2"/>
      <c r="Z41" s="7">
        <f t="shared" si="23"/>
        <v>-0.31951266666666672</v>
      </c>
    </row>
    <row r="42" spans="1:26" s="26" customFormat="1" outlineLevel="1" collapsed="1" x14ac:dyDescent="0.25">
      <c r="A42" s="27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295.67</v>
      </c>
      <c r="E42" s="1"/>
      <c r="F42" s="5">
        <f t="shared" si="16"/>
        <v>0</v>
      </c>
      <c r="G42" s="1"/>
      <c r="H42" s="1">
        <f>SUM(OSRRefH22_3x_0)</f>
        <v>289</v>
      </c>
      <c r="I42" s="1"/>
      <c r="J42" s="5">
        <f t="shared" si="17"/>
        <v>0</v>
      </c>
      <c r="K42" s="1"/>
      <c r="L42" s="1">
        <f t="shared" si="18"/>
        <v>6.6700000000000159</v>
      </c>
      <c r="M42" s="1"/>
      <c r="N42" s="5">
        <f t="shared" si="19"/>
        <v>2.3079584775086561E-2</v>
      </c>
      <c r="O42" s="13"/>
      <c r="P42" s="1">
        <f>SUM(OSRRefP22_3x_0)</f>
        <v>1478.35</v>
      </c>
      <c r="Q42" s="1"/>
      <c r="R42" s="5">
        <f t="shared" si="20"/>
        <v>0</v>
      </c>
      <c r="S42" s="1"/>
      <c r="T42" s="1">
        <f>SUM(OSRRefT22_3x_0)</f>
        <v>1445</v>
      </c>
      <c r="U42" s="1"/>
      <c r="V42" s="5">
        <f t="shared" si="21"/>
        <v>0</v>
      </c>
      <c r="W42" s="1"/>
      <c r="X42" s="1">
        <f t="shared" si="22"/>
        <v>33.349999999999909</v>
      </c>
      <c r="Y42" s="1"/>
      <c r="Z42" s="5">
        <f t="shared" si="23"/>
        <v>2.3079584775086443E-2</v>
      </c>
    </row>
    <row r="43" spans="1:26" s="24" customFormat="1" hidden="1" outlineLevel="2" x14ac:dyDescent="0.25">
      <c r="A43" s="25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295.67</v>
      </c>
      <c r="E43" s="2"/>
      <c r="F43" s="7">
        <f t="shared" si="16"/>
        <v>0</v>
      </c>
      <c r="G43" s="2"/>
      <c r="H43" s="6">
        <v>289</v>
      </c>
      <c r="I43" s="2"/>
      <c r="J43" s="7">
        <f t="shared" si="17"/>
        <v>0</v>
      </c>
      <c r="K43" s="2"/>
      <c r="L43" s="6">
        <f t="shared" si="18"/>
        <v>6.6700000000000159</v>
      </c>
      <c r="M43" s="2"/>
      <c r="N43" s="7">
        <f t="shared" si="19"/>
        <v>2.3079584775086561E-2</v>
      </c>
      <c r="O43" s="11"/>
      <c r="P43" s="6">
        <v>1478.35</v>
      </c>
      <c r="Q43" s="2"/>
      <c r="R43" s="7">
        <f t="shared" si="20"/>
        <v>0</v>
      </c>
      <c r="S43" s="2"/>
      <c r="T43" s="6">
        <v>1445</v>
      </c>
      <c r="U43" s="2"/>
      <c r="V43" s="7">
        <f t="shared" si="21"/>
        <v>0</v>
      </c>
      <c r="W43" s="2"/>
      <c r="X43" s="6">
        <f t="shared" si="22"/>
        <v>33.349999999999909</v>
      </c>
      <c r="Y43" s="2"/>
      <c r="Z43" s="7">
        <f t="shared" si="23"/>
        <v>2.3079584775086443E-2</v>
      </c>
    </row>
    <row r="44" spans="1:26" s="26" customFormat="1" outlineLevel="1" collapsed="1" x14ac:dyDescent="0.25">
      <c r="A44" s="27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200</v>
      </c>
      <c r="I44" s="1"/>
      <c r="J44" s="5">
        <f t="shared" si="17"/>
        <v>0</v>
      </c>
      <c r="K44" s="1"/>
      <c r="L44" s="1">
        <f t="shared" si="18"/>
        <v>-200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1000</v>
      </c>
      <c r="U44" s="1"/>
      <c r="V44" s="5">
        <f t="shared" si="21"/>
        <v>0</v>
      </c>
      <c r="W44" s="1"/>
      <c r="X44" s="1">
        <f t="shared" si="22"/>
        <v>-1000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>
        <v>200</v>
      </c>
      <c r="I45" s="2"/>
      <c r="J45" s="7">
        <f t="shared" si="17"/>
        <v>0</v>
      </c>
      <c r="K45" s="2"/>
      <c r="L45" s="6">
        <f t="shared" si="18"/>
        <v>-200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1000</v>
      </c>
      <c r="U45" s="2"/>
      <c r="V45" s="7">
        <f t="shared" si="21"/>
        <v>0</v>
      </c>
      <c r="W45" s="2"/>
      <c r="X45" s="6">
        <f t="shared" si="22"/>
        <v>-1000</v>
      </c>
      <c r="Y45" s="2"/>
      <c r="Z45" s="7">
        <f t="shared" si="23"/>
        <v>-1</v>
      </c>
    </row>
    <row r="46" spans="1:26" s="26" customFormat="1" outlineLevel="1" collapsed="1" x14ac:dyDescent="0.25">
      <c r="A46" s="27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SUM(OSRRefD22_5x_0)</f>
        <v>173.21</v>
      </c>
      <c r="E46" s="1"/>
      <c r="F46" s="5">
        <f t="shared" si="16"/>
        <v>0</v>
      </c>
      <c r="G46" s="1"/>
      <c r="H46" s="1">
        <f>SUM(OSRRefH22_5x_0)</f>
        <v>0</v>
      </c>
      <c r="I46" s="1"/>
      <c r="J46" s="5">
        <f t="shared" si="17"/>
        <v>0</v>
      </c>
      <c r="K46" s="1"/>
      <c r="L46" s="1">
        <f t="shared" si="18"/>
        <v>173.21</v>
      </c>
      <c r="M46" s="1"/>
      <c r="N46" s="5">
        <f t="shared" si="19"/>
        <v>0</v>
      </c>
      <c r="O46" s="13"/>
      <c r="P46" s="1">
        <f>SUM(OSRRefP22_5x_0)</f>
        <v>680.38</v>
      </c>
      <c r="Q46" s="1"/>
      <c r="R46" s="5">
        <f t="shared" si="20"/>
        <v>0</v>
      </c>
      <c r="S46" s="1"/>
      <c r="T46" s="1">
        <f>SUM(OSRRefT22_5x_0)</f>
        <v>0</v>
      </c>
      <c r="U46" s="1"/>
      <c r="V46" s="5">
        <f t="shared" si="21"/>
        <v>0</v>
      </c>
      <c r="W46" s="1"/>
      <c r="X46" s="1">
        <f t="shared" si="22"/>
        <v>680.38</v>
      </c>
      <c r="Y46" s="1"/>
      <c r="Z46" s="5">
        <f t="shared" si="23"/>
        <v>0</v>
      </c>
    </row>
    <row r="47" spans="1:26" s="24" customFormat="1" hidden="1" outlineLevel="2" x14ac:dyDescent="0.25">
      <c r="A47" s="25"/>
      <c r="B47" s="11" t="str">
        <f>CONCATENATE("          ", "6279", " - ", "GENERAL EXPENSE")</f>
        <v xml:space="preserve">          6279 - GENERAL EXPENSE</v>
      </c>
      <c r="C47" s="11"/>
      <c r="D47" s="6">
        <v>173.21</v>
      </c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173.21</v>
      </c>
      <c r="M47" s="2"/>
      <c r="N47" s="7">
        <f t="shared" si="19"/>
        <v>0</v>
      </c>
      <c r="O47" s="11"/>
      <c r="P47" s="6">
        <v>680.38</v>
      </c>
      <c r="Q47" s="2"/>
      <c r="R47" s="7">
        <f t="shared" si="20"/>
        <v>0</v>
      </c>
      <c r="S47" s="2"/>
      <c r="T47" s="6"/>
      <c r="U47" s="2"/>
      <c r="V47" s="7">
        <f t="shared" si="21"/>
        <v>0</v>
      </c>
      <c r="W47" s="2"/>
      <c r="X47" s="6">
        <f t="shared" si="22"/>
        <v>680.38</v>
      </c>
      <c r="Y47" s="2"/>
      <c r="Z47" s="7">
        <f t="shared" si="23"/>
        <v>0</v>
      </c>
    </row>
    <row r="48" spans="1:26" s="26" customFormat="1" outlineLevel="1" collapsed="1" x14ac:dyDescent="0.25">
      <c r="A48" s="27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400</v>
      </c>
      <c r="I48" s="1"/>
      <c r="J48" s="5">
        <f t="shared" si="17"/>
        <v>0</v>
      </c>
      <c r="K48" s="1"/>
      <c r="L48" s="1">
        <f t="shared" si="18"/>
        <v>-400</v>
      </c>
      <c r="M48" s="1"/>
      <c r="N48" s="5">
        <f t="shared" si="19"/>
        <v>-1</v>
      </c>
      <c r="O48" s="13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2000</v>
      </c>
      <c r="U48" s="1"/>
      <c r="V48" s="5">
        <f t="shared" si="21"/>
        <v>0</v>
      </c>
      <c r="W48" s="1"/>
      <c r="X48" s="1">
        <f t="shared" si="22"/>
        <v>-2000</v>
      </c>
      <c r="Y48" s="1"/>
      <c r="Z48" s="5">
        <f t="shared" si="23"/>
        <v>-1</v>
      </c>
    </row>
    <row r="49" spans="1:26" s="24" customFormat="1" hidden="1" outlineLevel="2" x14ac:dyDescent="0.25">
      <c r="A49" s="25"/>
      <c r="B49" s="11" t="str">
        <f>CONCATENATE("          ", "6371", " - ", "COMPUTER SOFTWARE MAINTENANCE")</f>
        <v xml:space="preserve">          6371 - COMPUTER SOFTWARE MAINTENANCE</v>
      </c>
      <c r="C49" s="11"/>
      <c r="D49" s="6"/>
      <c r="E49" s="2"/>
      <c r="F49" s="7">
        <f t="shared" si="16"/>
        <v>0</v>
      </c>
      <c r="G49" s="2"/>
      <c r="H49" s="6">
        <v>400</v>
      </c>
      <c r="I49" s="2"/>
      <c r="J49" s="7">
        <f t="shared" si="17"/>
        <v>0</v>
      </c>
      <c r="K49" s="2"/>
      <c r="L49" s="6">
        <f t="shared" si="18"/>
        <v>-400</v>
      </c>
      <c r="M49" s="2"/>
      <c r="N49" s="7">
        <f t="shared" si="19"/>
        <v>-1</v>
      </c>
      <c r="O49" s="11"/>
      <c r="P49" s="6"/>
      <c r="Q49" s="2"/>
      <c r="R49" s="7">
        <f t="shared" si="20"/>
        <v>0</v>
      </c>
      <c r="S49" s="2"/>
      <c r="T49" s="6">
        <v>2000</v>
      </c>
      <c r="U49" s="2"/>
      <c r="V49" s="7">
        <f t="shared" si="21"/>
        <v>0</v>
      </c>
      <c r="W49" s="2"/>
      <c r="X49" s="6">
        <f t="shared" si="22"/>
        <v>-2000</v>
      </c>
      <c r="Y49" s="2"/>
      <c r="Z49" s="7">
        <f t="shared" si="23"/>
        <v>-1</v>
      </c>
    </row>
    <row r="50" spans="1:26" s="26" customFormat="1" outlineLevel="1" collapsed="1" x14ac:dyDescent="0.25">
      <c r="A50" s="27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100</v>
      </c>
      <c r="E50" s="1"/>
      <c r="F50" s="5">
        <f t="shared" si="16"/>
        <v>0</v>
      </c>
      <c r="G50" s="1"/>
      <c r="H50" s="1">
        <f>SUM(OSRRefH22_7x_0)</f>
        <v>975</v>
      </c>
      <c r="I50" s="1"/>
      <c r="J50" s="5">
        <f t="shared" si="17"/>
        <v>0</v>
      </c>
      <c r="K50" s="1"/>
      <c r="L50" s="1">
        <f t="shared" si="18"/>
        <v>-875</v>
      </c>
      <c r="M50" s="1"/>
      <c r="N50" s="5">
        <f t="shared" si="19"/>
        <v>-0.89743589743589747</v>
      </c>
      <c r="O50" s="13"/>
      <c r="P50" s="1">
        <f>SUM(OSRRefP22_7x_0)</f>
        <v>826.1400000000001</v>
      </c>
      <c r="Q50" s="1"/>
      <c r="R50" s="5">
        <f t="shared" si="20"/>
        <v>0</v>
      </c>
      <c r="S50" s="1"/>
      <c r="T50" s="1">
        <f>SUM(OSRRefT22_7x_0)</f>
        <v>4875</v>
      </c>
      <c r="U50" s="1"/>
      <c r="V50" s="5">
        <f t="shared" si="21"/>
        <v>0</v>
      </c>
      <c r="W50" s="1"/>
      <c r="X50" s="1">
        <f t="shared" si="22"/>
        <v>-4048.8599999999997</v>
      </c>
      <c r="Y50" s="1"/>
      <c r="Z50" s="5">
        <f t="shared" si="23"/>
        <v>-0.83053538461538456</v>
      </c>
    </row>
    <row r="51" spans="1:26" s="24" customFormat="1" hidden="1" outlineLevel="2" x14ac:dyDescent="0.25">
      <c r="A51" s="25"/>
      <c r="B51" s="11" t="str">
        <f>CONCATENATE("          ", "6241", " - ", "OFFICE EXPENSE")</f>
        <v xml:space="preserve">          6241 - OFFICE EXPENSE</v>
      </c>
      <c r="C51" s="11"/>
      <c r="D51" s="6">
        <v>100</v>
      </c>
      <c r="E51" s="2"/>
      <c r="F51" s="7">
        <f t="shared" si="16"/>
        <v>0</v>
      </c>
      <c r="G51" s="2"/>
      <c r="H51" s="6">
        <v>975</v>
      </c>
      <c r="I51" s="2"/>
      <c r="J51" s="7">
        <f t="shared" si="17"/>
        <v>0</v>
      </c>
      <c r="K51" s="2"/>
      <c r="L51" s="6">
        <f t="shared" si="18"/>
        <v>-875</v>
      </c>
      <c r="M51" s="2"/>
      <c r="N51" s="7">
        <f t="shared" si="19"/>
        <v>-0.89743589743589747</v>
      </c>
      <c r="O51" s="11"/>
      <c r="P51" s="6">
        <v>479.72</v>
      </c>
      <c r="Q51" s="2"/>
      <c r="R51" s="7">
        <f t="shared" si="20"/>
        <v>0</v>
      </c>
      <c r="S51" s="2"/>
      <c r="T51" s="6">
        <v>4875</v>
      </c>
      <c r="U51" s="2"/>
      <c r="V51" s="7">
        <f t="shared" si="21"/>
        <v>0</v>
      </c>
      <c r="W51" s="2"/>
      <c r="X51" s="6">
        <f t="shared" si="22"/>
        <v>-4395.28</v>
      </c>
      <c r="Y51" s="2"/>
      <c r="Z51" s="7">
        <f t="shared" si="23"/>
        <v>-0.90159589743589741</v>
      </c>
    </row>
    <row r="52" spans="1:26" s="24" customFormat="1" hidden="1" outlineLevel="2" x14ac:dyDescent="0.25">
      <c r="A52" s="25"/>
      <c r="B52" s="11" t="str">
        <f>CONCATENATE("          ", "6245", " - ", "PRINTING")</f>
        <v xml:space="preserve">          6245 - PRINTING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>
        <v>346.42</v>
      </c>
      <c r="Q52" s="2"/>
      <c r="R52" s="7">
        <f t="shared" si="20"/>
        <v>0</v>
      </c>
      <c r="S52" s="2"/>
      <c r="T52" s="6"/>
      <c r="U52" s="2"/>
      <c r="V52" s="7">
        <f t="shared" si="21"/>
        <v>0</v>
      </c>
      <c r="W52" s="2"/>
      <c r="X52" s="6">
        <f t="shared" si="22"/>
        <v>346.42</v>
      </c>
      <c r="Y52" s="2"/>
      <c r="Z52" s="7">
        <f t="shared" si="23"/>
        <v>0</v>
      </c>
    </row>
    <row r="53" spans="1:26" s="26" customFormat="1" outlineLevel="1" collapsed="1" x14ac:dyDescent="0.25">
      <c r="A53" s="27"/>
      <c r="B53" s="13" t="str">
        <f>CONCATENATE("     ","Telephone/Data Lines                              ")</f>
        <v xml:space="preserve">     Telephone/Data Lines                              </v>
      </c>
      <c r="C53" s="13"/>
      <c r="D53" s="1">
        <f>SUM(OSRRefD22_8x_0)</f>
        <v>72</v>
      </c>
      <c r="E53" s="1"/>
      <c r="F53" s="5">
        <f t="shared" ref="F53:F58" si="24">IF(D$12=0,0,D53/D$12)</f>
        <v>0</v>
      </c>
      <c r="G53" s="1"/>
      <c r="H53" s="1">
        <f>SUM(OSRRefH22_8x_0)</f>
        <v>150</v>
      </c>
      <c r="I53" s="1"/>
      <c r="J53" s="5">
        <f t="shared" ref="J53:J58" si="25">IF(H$12=0,0,H53/H$12)</f>
        <v>0</v>
      </c>
      <c r="K53" s="1"/>
      <c r="L53" s="1">
        <f t="shared" ref="L53:L58" si="26">+D53-H53</f>
        <v>-78</v>
      </c>
      <c r="M53" s="1"/>
      <c r="N53" s="5">
        <f t="shared" ref="N53:N58" si="27">IF(H53=0,0,L53/H53)</f>
        <v>-0.52</v>
      </c>
      <c r="O53" s="13"/>
      <c r="P53" s="1">
        <f>SUM(OSRRefP22_8x_0)</f>
        <v>369.45</v>
      </c>
      <c r="Q53" s="1"/>
      <c r="R53" s="5">
        <f t="shared" ref="R53:R58" si="28">IF(P$12=0,0,P53/P$12)</f>
        <v>0</v>
      </c>
      <c r="S53" s="1"/>
      <c r="T53" s="1">
        <f>SUM(OSRRefT22_8x_0)</f>
        <v>750</v>
      </c>
      <c r="U53" s="1"/>
      <c r="V53" s="5">
        <f t="shared" ref="V53:V58" si="29">IF(T$12=0,0,T53/T$12)</f>
        <v>0</v>
      </c>
      <c r="W53" s="1"/>
      <c r="X53" s="1">
        <f t="shared" ref="X53:X58" si="30">+P53-T53</f>
        <v>-380.55</v>
      </c>
      <c r="Y53" s="1"/>
      <c r="Z53" s="5">
        <f t="shared" ref="Z53:Z58" si="31">IF(T53=0,0,X53/T53)</f>
        <v>-0.50739999999999996</v>
      </c>
    </row>
    <row r="54" spans="1:26" s="24" customFormat="1" hidden="1" outlineLevel="2" x14ac:dyDescent="0.25">
      <c r="A54" s="25"/>
      <c r="B54" s="11" t="str">
        <f>CONCATENATE("          ", "6309", " - ", "TELEPHONE")</f>
        <v xml:space="preserve">          6309 - TELEPHONE</v>
      </c>
      <c r="C54" s="11"/>
      <c r="D54" s="6">
        <v>72</v>
      </c>
      <c r="E54" s="2"/>
      <c r="F54" s="7">
        <f t="shared" si="24"/>
        <v>0</v>
      </c>
      <c r="G54" s="2"/>
      <c r="H54" s="6">
        <v>150</v>
      </c>
      <c r="I54" s="2"/>
      <c r="J54" s="7">
        <f t="shared" si="25"/>
        <v>0</v>
      </c>
      <c r="K54" s="2"/>
      <c r="L54" s="6">
        <f t="shared" si="26"/>
        <v>-78</v>
      </c>
      <c r="M54" s="2"/>
      <c r="N54" s="7">
        <f t="shared" si="27"/>
        <v>-0.52</v>
      </c>
      <c r="O54" s="11"/>
      <c r="P54" s="6">
        <v>369.45</v>
      </c>
      <c r="Q54" s="2"/>
      <c r="R54" s="7">
        <f t="shared" si="28"/>
        <v>0</v>
      </c>
      <c r="S54" s="2"/>
      <c r="T54" s="6">
        <v>750</v>
      </c>
      <c r="U54" s="2"/>
      <c r="V54" s="7">
        <f t="shared" si="29"/>
        <v>0</v>
      </c>
      <c r="W54" s="2"/>
      <c r="X54" s="6">
        <f t="shared" si="30"/>
        <v>-380.55</v>
      </c>
      <c r="Y54" s="2"/>
      <c r="Z54" s="7">
        <f t="shared" si="31"/>
        <v>-0.50739999999999996</v>
      </c>
    </row>
    <row r="55" spans="1:26" s="26" customFormat="1" outlineLevel="1" collapsed="1" x14ac:dyDescent="0.25">
      <c r="A55" s="27"/>
      <c r="B55" s="13" t="str">
        <f>CONCATENATE("     ","Training                                          ")</f>
        <v xml:space="preserve">     Training                                          </v>
      </c>
      <c r="C55" s="13"/>
      <c r="D55" s="1">
        <f>SUM(OSRRefD22_9x_0)</f>
        <v>0</v>
      </c>
      <c r="E55" s="1"/>
      <c r="F55" s="5">
        <f t="shared" si="24"/>
        <v>0</v>
      </c>
      <c r="G55" s="1"/>
      <c r="H55" s="1">
        <f>SUM(OSRRefH22_9x_0)</f>
        <v>200</v>
      </c>
      <c r="I55" s="1"/>
      <c r="J55" s="5">
        <f t="shared" si="25"/>
        <v>0</v>
      </c>
      <c r="K55" s="1"/>
      <c r="L55" s="1">
        <f t="shared" si="26"/>
        <v>-200</v>
      </c>
      <c r="M55" s="1"/>
      <c r="N55" s="5">
        <f t="shared" si="27"/>
        <v>-1</v>
      </c>
      <c r="O55" s="13"/>
      <c r="P55" s="1">
        <f>SUM(OSRRefP22_9x_0)</f>
        <v>0</v>
      </c>
      <c r="Q55" s="1"/>
      <c r="R55" s="5">
        <f t="shared" si="28"/>
        <v>0</v>
      </c>
      <c r="S55" s="1"/>
      <c r="T55" s="1">
        <f>SUM(OSRRefT22_9x_0)</f>
        <v>1000</v>
      </c>
      <c r="U55" s="1"/>
      <c r="V55" s="5">
        <f t="shared" si="29"/>
        <v>0</v>
      </c>
      <c r="W55" s="1"/>
      <c r="X55" s="1">
        <f t="shared" si="30"/>
        <v>-1000</v>
      </c>
      <c r="Y55" s="1"/>
      <c r="Z55" s="5">
        <f t="shared" si="31"/>
        <v>-1</v>
      </c>
    </row>
    <row r="56" spans="1:26" s="24" customFormat="1" hidden="1" outlineLevel="2" x14ac:dyDescent="0.25">
      <c r="A56" s="25"/>
      <c r="B56" s="11" t="str">
        <f>CONCATENATE("          ", "6376", " - ", "TRAINING")</f>
        <v xml:space="preserve">          6376 - TRAINING</v>
      </c>
      <c r="C56" s="11"/>
      <c r="D56" s="6"/>
      <c r="E56" s="2"/>
      <c r="F56" s="7">
        <f t="shared" si="24"/>
        <v>0</v>
      </c>
      <c r="G56" s="2"/>
      <c r="H56" s="6">
        <v>200</v>
      </c>
      <c r="I56" s="2"/>
      <c r="J56" s="7">
        <f t="shared" si="25"/>
        <v>0</v>
      </c>
      <c r="K56" s="2"/>
      <c r="L56" s="6">
        <f t="shared" si="26"/>
        <v>-200</v>
      </c>
      <c r="M56" s="2"/>
      <c r="N56" s="7">
        <f t="shared" si="27"/>
        <v>-1</v>
      </c>
      <c r="O56" s="11"/>
      <c r="P56" s="6"/>
      <c r="Q56" s="2"/>
      <c r="R56" s="7">
        <f t="shared" si="28"/>
        <v>0</v>
      </c>
      <c r="S56" s="2"/>
      <c r="T56" s="6">
        <v>1000</v>
      </c>
      <c r="U56" s="2"/>
      <c r="V56" s="7">
        <f t="shared" si="29"/>
        <v>0</v>
      </c>
      <c r="W56" s="2"/>
      <c r="X56" s="6">
        <f t="shared" si="30"/>
        <v>-1000</v>
      </c>
      <c r="Y56" s="2"/>
      <c r="Z56" s="7">
        <f t="shared" si="31"/>
        <v>-1</v>
      </c>
    </row>
    <row r="57" spans="1:26" s="26" customFormat="1" outlineLevel="1" collapsed="1" x14ac:dyDescent="0.25">
      <c r="A57" s="27"/>
      <c r="B57" s="13" t="str">
        <f>CONCATENATE("     ","Travel                                            ")</f>
        <v xml:space="preserve">     Travel                                            </v>
      </c>
      <c r="C57" s="13"/>
      <c r="D57" s="1">
        <f>SUM(OSRRefD22_10x_0)</f>
        <v>0</v>
      </c>
      <c r="E57" s="1"/>
      <c r="F57" s="5">
        <f t="shared" si="24"/>
        <v>0</v>
      </c>
      <c r="G57" s="1"/>
      <c r="H57" s="1">
        <f>SUM(OSRRefH22_10x_0)</f>
        <v>500</v>
      </c>
      <c r="I57" s="1"/>
      <c r="J57" s="5">
        <f t="shared" si="25"/>
        <v>0</v>
      </c>
      <c r="K57" s="1"/>
      <c r="L57" s="1">
        <f t="shared" si="26"/>
        <v>-500</v>
      </c>
      <c r="M57" s="1"/>
      <c r="N57" s="5">
        <f t="shared" si="27"/>
        <v>-1</v>
      </c>
      <c r="O57" s="13"/>
      <c r="P57" s="1">
        <f>SUM(OSRRefP22_10x_0)</f>
        <v>118.32</v>
      </c>
      <c r="Q57" s="1"/>
      <c r="R57" s="5">
        <f t="shared" si="28"/>
        <v>0</v>
      </c>
      <c r="S57" s="1"/>
      <c r="T57" s="1">
        <f>SUM(OSRRefT22_10x_0)</f>
        <v>2500</v>
      </c>
      <c r="U57" s="1"/>
      <c r="V57" s="5">
        <f t="shared" si="29"/>
        <v>0</v>
      </c>
      <c r="W57" s="1"/>
      <c r="X57" s="1">
        <f t="shared" si="30"/>
        <v>-2381.6799999999998</v>
      </c>
      <c r="Y57" s="1"/>
      <c r="Z57" s="5">
        <f t="shared" si="31"/>
        <v>-0.95267199999999996</v>
      </c>
    </row>
    <row r="58" spans="1:26" s="24" customFormat="1" hidden="1" outlineLevel="2" x14ac:dyDescent="0.25">
      <c r="A58" s="25"/>
      <c r="B58" s="11" t="str">
        <f>CONCATENATE("          ", "6292", " - ", "TRAVEL/CONFERENCE")</f>
        <v xml:space="preserve">          6292 - TRAVEL/CONFERENCE</v>
      </c>
      <c r="C58" s="11"/>
      <c r="D58" s="6"/>
      <c r="E58" s="2"/>
      <c r="F58" s="7">
        <f t="shared" si="24"/>
        <v>0</v>
      </c>
      <c r="G58" s="2"/>
      <c r="H58" s="6">
        <v>500</v>
      </c>
      <c r="I58" s="2"/>
      <c r="J58" s="7">
        <f t="shared" si="25"/>
        <v>0</v>
      </c>
      <c r="K58" s="2"/>
      <c r="L58" s="6">
        <f t="shared" si="26"/>
        <v>-500</v>
      </c>
      <c r="M58" s="2"/>
      <c r="N58" s="7">
        <f t="shared" si="27"/>
        <v>-1</v>
      </c>
      <c r="O58" s="11"/>
      <c r="P58" s="6">
        <v>118.32</v>
      </c>
      <c r="Q58" s="2"/>
      <c r="R58" s="7">
        <f t="shared" si="28"/>
        <v>0</v>
      </c>
      <c r="S58" s="2"/>
      <c r="T58" s="6">
        <v>2500</v>
      </c>
      <c r="U58" s="2"/>
      <c r="V58" s="7">
        <f t="shared" si="29"/>
        <v>0</v>
      </c>
      <c r="W58" s="2"/>
      <c r="X58" s="6">
        <f t="shared" si="30"/>
        <v>-2381.6799999999998</v>
      </c>
      <c r="Y58" s="2"/>
      <c r="Z58" s="7">
        <f t="shared" si="31"/>
        <v>-0.95267199999999996</v>
      </c>
    </row>
    <row r="59" spans="1:26" s="59" customFormat="1" x14ac:dyDescent="0.25">
      <c r="A59" s="36"/>
      <c r="B59" s="36"/>
      <c r="C59" s="36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6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9" t="s">
        <v>0</v>
      </c>
      <c r="C60" s="10"/>
      <c r="D60" s="4">
        <f>SUM(0)</f>
        <v>0</v>
      </c>
      <c r="E60" s="4"/>
      <c r="F60" s="12">
        <f>IF(D$12=0,0,D60/D$12)</f>
        <v>0</v>
      </c>
      <c r="G60" s="4"/>
      <c r="H60" s="4">
        <f>SUM(0)</f>
        <v>0</v>
      </c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>
        <f>SUM(0)</f>
        <v>0</v>
      </c>
      <c r="Q60" s="4"/>
      <c r="R60" s="12">
        <f>IF(P$12=0,0,P60/P$12)</f>
        <v>0</v>
      </c>
      <c r="S60" s="4"/>
      <c r="T60" s="4">
        <f>SUM(0)</f>
        <v>0</v>
      </c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8" t="s">
        <v>3</v>
      </c>
      <c r="C62" s="28"/>
      <c r="D62" s="20">
        <f>+D16-D18+D60</f>
        <v>-6521.0400000000009</v>
      </c>
      <c r="E62" s="14"/>
      <c r="F62" s="22">
        <f>IF(D$12=0,0,D62/D$12)</f>
        <v>0</v>
      </c>
      <c r="G62" s="14"/>
      <c r="H62" s="20">
        <f>+H16-H18+H60</f>
        <v>-13924.922189516001</v>
      </c>
      <c r="I62" s="14"/>
      <c r="J62" s="22">
        <f>IF(H$12=0,0,H62/H$12)</f>
        <v>0</v>
      </c>
      <c r="K62" s="16"/>
      <c r="L62" s="20">
        <f>+D62-H62</f>
        <v>7403.8821895159999</v>
      </c>
      <c r="M62" s="16"/>
      <c r="N62" s="22">
        <f>IF(H62=0,0,L62/H62)</f>
        <v>-0.53170007621948101</v>
      </c>
      <c r="O62" s="29"/>
      <c r="P62" s="20">
        <f>+P16-P18+P60</f>
        <v>-36604.44999999999</v>
      </c>
      <c r="Q62" s="14"/>
      <c r="R62" s="22">
        <f>IF(P$12=0,0,P62/P$12)</f>
        <v>0</v>
      </c>
      <c r="S62" s="14"/>
      <c r="T62" s="20">
        <f>+T16-T18+T60</f>
        <v>-77258.671342337999</v>
      </c>
      <c r="U62" s="14"/>
      <c r="V62" s="22">
        <f>IF(T$12=0,0,T62/T$12)</f>
        <v>0</v>
      </c>
      <c r="W62" s="16"/>
      <c r="X62" s="20">
        <f>+P62-T62</f>
        <v>40654.221342338009</v>
      </c>
      <c r="Y62" s="16"/>
      <c r="Z62" s="22">
        <f>IF(T62=0,0,X62/T62)</f>
        <v>-0.52620917025865765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2"/>
      <c r="B64" s="10" t="s">
        <v>14</v>
      </c>
      <c r="C64" s="10"/>
      <c r="D64" s="4"/>
      <c r="E64" s="4"/>
      <c r="F64" s="12">
        <f>IF(D$12=0,0,D64/D$12)</f>
        <v>0</v>
      </c>
      <c r="G64" s="4"/>
      <c r="H64" s="4"/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/>
      <c r="Q64" s="4"/>
      <c r="R64" s="12">
        <f>IF(P$12=0,0,P64/P$12)</f>
        <v>0</v>
      </c>
      <c r="S64" s="4"/>
      <c r="T64" s="4">
        <v>0</v>
      </c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8" t="s">
        <v>4</v>
      </c>
      <c r="C66" s="28"/>
      <c r="D66" s="30">
        <f>+D62-D64</f>
        <v>-6521.0400000000009</v>
      </c>
      <c r="E66" s="14"/>
      <c r="F66" s="32">
        <f>IF(D$12=0,0,D66/D$12)</f>
        <v>0</v>
      </c>
      <c r="G66" s="14"/>
      <c r="H66" s="30">
        <f>+H62-H64</f>
        <v>-13924.922189516001</v>
      </c>
      <c r="I66" s="14"/>
      <c r="J66" s="32">
        <f>IF(H$12=0,0,H66/H$12)</f>
        <v>0</v>
      </c>
      <c r="K66" s="16"/>
      <c r="L66" s="30">
        <f>D66-H66</f>
        <v>7403.8821895159999</v>
      </c>
      <c r="M66" s="16"/>
      <c r="N66" s="32">
        <f>IF(H66=0,0,L66/H66)</f>
        <v>-0.53170007621948101</v>
      </c>
      <c r="O66" s="29"/>
      <c r="P66" s="30">
        <f>+P62-P64</f>
        <v>-36604.44999999999</v>
      </c>
      <c r="Q66" s="14"/>
      <c r="R66" s="32">
        <f>IF(P$12=0,0,P66/P$12)</f>
        <v>0</v>
      </c>
      <c r="S66" s="14"/>
      <c r="T66" s="30">
        <f>+T62-T64</f>
        <v>-77258.671342337999</v>
      </c>
      <c r="U66" s="14"/>
      <c r="V66" s="32">
        <f>IF(T$12=0,0,T66/T$12)</f>
        <v>0</v>
      </c>
      <c r="W66" s="16"/>
      <c r="X66" s="30">
        <f>P66-T66</f>
        <v>40654.221342338009</v>
      </c>
      <c r="Y66" s="16"/>
      <c r="Z66" s="32">
        <f>IF(T66=0,0,X66/T66)</f>
        <v>-0.52620917025865765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8" t="s">
        <v>5</v>
      </c>
      <c r="C69" s="28"/>
      <c r="D69" s="31">
        <f>SUM(D66:D68)</f>
        <v>-6521.0400000000009</v>
      </c>
      <c r="E69" s="14"/>
      <c r="F69" s="35">
        <f>IF(D$12=0,0,D69/D$12)</f>
        <v>0</v>
      </c>
      <c r="G69" s="14"/>
      <c r="H69" s="31">
        <f>SUM(H66:H68)</f>
        <v>-13924.922189516001</v>
      </c>
      <c r="I69" s="14"/>
      <c r="J69" s="35">
        <f>IF(H$12=0,0,H69/H$12)</f>
        <v>0</v>
      </c>
      <c r="K69" s="16"/>
      <c r="L69" s="31">
        <f>+D69-H69</f>
        <v>7403.8821895159999</v>
      </c>
      <c r="M69" s="16"/>
      <c r="N69" s="35">
        <f>IF(H69=0,0,L69/H69)</f>
        <v>-0.53170007621948101</v>
      </c>
      <c r="O69" s="29"/>
      <c r="P69" s="31">
        <f>SUM(P66:P68)</f>
        <v>-36604.44999999999</v>
      </c>
      <c r="Q69" s="14"/>
      <c r="R69" s="35">
        <f>IF(P$12=0,0,P69/P$12)</f>
        <v>0</v>
      </c>
      <c r="S69" s="14"/>
      <c r="T69" s="31">
        <f>SUM(T66:T68)</f>
        <v>-77258.671342337999</v>
      </c>
      <c r="U69" s="14"/>
      <c r="V69" s="35">
        <f>IF(T$12=0,0,T69/T$12)</f>
        <v>0</v>
      </c>
      <c r="W69" s="16"/>
      <c r="X69" s="31">
        <f>+P69-T69</f>
        <v>40654.221342338009</v>
      </c>
      <c r="Y69" s="16"/>
      <c r="Z69" s="35">
        <f>IF(T69=0,0,X69/T69)</f>
        <v>-0.52620917025865765</v>
      </c>
    </row>
    <row r="70" spans="1:26" ht="15.75" thickTop="1" x14ac:dyDescent="0.25">
      <c r="A70" s="9"/>
      <c r="C70" s="9"/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56">
        <v>43815.483539895831</v>
      </c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62" t="s">
        <v>314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58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9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308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751115.94000000006</v>
      </c>
      <c r="E12" s="4"/>
      <c r="F12" s="12"/>
      <c r="G12" s="4"/>
      <c r="H12" s="4">
        <f>SUM(OSRRefH13x_0)</f>
        <v>656858.56143999996</v>
      </c>
      <c r="I12" s="4"/>
      <c r="J12" s="12"/>
      <c r="K12" s="4"/>
      <c r="L12" s="4">
        <f t="shared" ref="L12:L106" si="0">+D12-H12</f>
        <v>94257.378560000099</v>
      </c>
      <c r="M12" s="4"/>
      <c r="N12" s="12">
        <f t="shared" ref="N12:N106" si="1">IF(H12=0,0,L12/H12)</f>
        <v>0.14349722161398659</v>
      </c>
      <c r="O12" s="10"/>
      <c r="P12" s="4">
        <f>SUM(OSRRefP13x_0)</f>
        <v>6490004.4499999974</v>
      </c>
      <c r="Q12" s="4"/>
      <c r="R12" s="12"/>
      <c r="S12" s="4"/>
      <c r="T12" s="4">
        <f>SUM(OSRRefT13x_0)</f>
        <v>6660913.1453</v>
      </c>
      <c r="U12" s="4"/>
      <c r="V12" s="12"/>
      <c r="W12" s="4"/>
      <c r="X12" s="4">
        <f t="shared" ref="X12:X106" si="2">+P12-T12</f>
        <v>-170908.69530000258</v>
      </c>
      <c r="Y12" s="4"/>
      <c r="Z12" s="12">
        <f t="shared" ref="Z12:Z106" si="3">IF(T12=0,0,X12/T12)</f>
        <v>-2.5658448259544907E-2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421625.56143999996</v>
      </c>
      <c r="I13" s="2"/>
      <c r="J13" s="19"/>
      <c r="K13" s="2"/>
      <c r="L13" s="2">
        <f t="shared" si="0"/>
        <v>-421625.56143999996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2356977.1453</v>
      </c>
      <c r="U13" s="2"/>
      <c r="V13" s="19"/>
      <c r="W13" s="2"/>
      <c r="X13" s="2">
        <f t="shared" si="2"/>
        <v>-2356977.1453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--8184.69</f>
        <v>8184.69</v>
      </c>
      <c r="E14" s="2"/>
      <c r="F14" s="19"/>
      <c r="G14" s="2"/>
      <c r="H14" s="2"/>
      <c r="I14" s="2"/>
      <c r="J14" s="19"/>
      <c r="K14" s="2"/>
      <c r="L14" s="2">
        <f t="shared" si="0"/>
        <v>8184.69</v>
      </c>
      <c r="M14" s="2"/>
      <c r="N14" s="19">
        <f t="shared" si="1"/>
        <v>0</v>
      </c>
      <c r="O14" s="11"/>
      <c r="P14" s="2">
        <f>--1503344.43</f>
        <v>1503344.43</v>
      </c>
      <c r="Q14" s="2"/>
      <c r="R14" s="19"/>
      <c r="S14" s="2"/>
      <c r="T14" s="2"/>
      <c r="U14" s="2"/>
      <c r="V14" s="19"/>
      <c r="W14" s="2"/>
      <c r="X14" s="2">
        <f t="shared" si="2"/>
        <v>1503344.43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--4182.93</f>
        <v>4182.93</v>
      </c>
      <c r="E15" s="2"/>
      <c r="F15" s="19"/>
      <c r="G15" s="2"/>
      <c r="H15" s="2"/>
      <c r="I15" s="2"/>
      <c r="J15" s="19"/>
      <c r="K15" s="2"/>
      <c r="L15" s="2">
        <f t="shared" si="0"/>
        <v>4182.93</v>
      </c>
      <c r="M15" s="2"/>
      <c r="N15" s="19">
        <f t="shared" si="1"/>
        <v>0</v>
      </c>
      <c r="O15" s="11"/>
      <c r="P15" s="2">
        <f>--670479.29</f>
        <v>670479.29</v>
      </c>
      <c r="Q15" s="2"/>
      <c r="R15" s="19"/>
      <c r="S15" s="2"/>
      <c r="T15" s="2"/>
      <c r="U15" s="2"/>
      <c r="V15" s="19"/>
      <c r="W15" s="2"/>
      <c r="X15" s="2">
        <f t="shared" si="2"/>
        <v>670479.29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--15844.66</f>
        <v>15844.66</v>
      </c>
      <c r="Q16" s="2"/>
      <c r="R16" s="19"/>
      <c r="S16" s="2"/>
      <c r="T16" s="2"/>
      <c r="U16" s="2"/>
      <c r="V16" s="19"/>
      <c r="W16" s="2"/>
      <c r="X16" s="2">
        <f t="shared" si="2"/>
        <v>15844.66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--119.4</f>
        <v>119.4</v>
      </c>
      <c r="E17" s="2"/>
      <c r="F17" s="19"/>
      <c r="G17" s="2"/>
      <c r="H17" s="2"/>
      <c r="I17" s="2"/>
      <c r="J17" s="19"/>
      <c r="K17" s="2"/>
      <c r="L17" s="2">
        <f t="shared" si="0"/>
        <v>119.4</v>
      </c>
      <c r="M17" s="2"/>
      <c r="N17" s="19">
        <f t="shared" si="1"/>
        <v>0</v>
      </c>
      <c r="O17" s="11"/>
      <c r="P17" s="2">
        <f>--30279.88</f>
        <v>30279.88</v>
      </c>
      <c r="Q17" s="2"/>
      <c r="R17" s="19"/>
      <c r="S17" s="2"/>
      <c r="T17" s="2"/>
      <c r="U17" s="2"/>
      <c r="V17" s="19"/>
      <c r="W17" s="2"/>
      <c r="X17" s="2">
        <f t="shared" si="2"/>
        <v>30279.88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--9.6</f>
        <v>9.6</v>
      </c>
      <c r="Q18" s="2"/>
      <c r="R18" s="19"/>
      <c r="S18" s="2"/>
      <c r="T18" s="2"/>
      <c r="U18" s="2"/>
      <c r="V18" s="19"/>
      <c r="W18" s="2"/>
      <c r="X18" s="2">
        <f t="shared" si="2"/>
        <v>9.6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--285.33</f>
        <v>285.33</v>
      </c>
      <c r="E19" s="2"/>
      <c r="F19" s="19"/>
      <c r="G19" s="2"/>
      <c r="H19" s="2"/>
      <c r="I19" s="2"/>
      <c r="J19" s="19"/>
      <c r="K19" s="2"/>
      <c r="L19" s="2">
        <f t="shared" si="0"/>
        <v>285.33</v>
      </c>
      <c r="M19" s="2"/>
      <c r="N19" s="19">
        <f t="shared" si="1"/>
        <v>0</v>
      </c>
      <c r="O19" s="11"/>
      <c r="P19" s="2">
        <f>--1112.72</f>
        <v>1112.72</v>
      </c>
      <c r="Q19" s="2"/>
      <c r="R19" s="19"/>
      <c r="S19" s="2"/>
      <c r="T19" s="2"/>
      <c r="U19" s="2"/>
      <c r="V19" s="19"/>
      <c r="W19" s="2"/>
      <c r="X19" s="2">
        <f t="shared" si="2"/>
        <v>1112.72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--189.13</f>
        <v>189.13</v>
      </c>
      <c r="E20" s="2"/>
      <c r="F20" s="19"/>
      <c r="G20" s="2"/>
      <c r="H20" s="2"/>
      <c r="I20" s="2"/>
      <c r="J20" s="19"/>
      <c r="K20" s="2"/>
      <c r="L20" s="2">
        <f t="shared" si="0"/>
        <v>189.13</v>
      </c>
      <c r="M20" s="2"/>
      <c r="N20" s="19">
        <f t="shared" si="1"/>
        <v>0</v>
      </c>
      <c r="O20" s="11"/>
      <c r="P20" s="2">
        <f>--883.35</f>
        <v>883.35</v>
      </c>
      <c r="Q20" s="2"/>
      <c r="R20" s="19"/>
      <c r="S20" s="2"/>
      <c r="T20" s="2"/>
      <c r="U20" s="2"/>
      <c r="V20" s="19"/>
      <c r="W20" s="2"/>
      <c r="X20" s="2">
        <f t="shared" si="2"/>
        <v>883.35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--5.49</f>
        <v>5.49</v>
      </c>
      <c r="E21" s="2"/>
      <c r="F21" s="19"/>
      <c r="G21" s="2"/>
      <c r="H21" s="2"/>
      <c r="I21" s="2"/>
      <c r="J21" s="19"/>
      <c r="K21" s="2"/>
      <c r="L21" s="2">
        <f t="shared" si="0"/>
        <v>5.49</v>
      </c>
      <c r="M21" s="2"/>
      <c r="N21" s="19">
        <f t="shared" si="1"/>
        <v>0</v>
      </c>
      <c r="O21" s="11"/>
      <c r="P21" s="2">
        <f>--231.16</f>
        <v>231.16</v>
      </c>
      <c r="Q21" s="2"/>
      <c r="R21" s="19"/>
      <c r="S21" s="2"/>
      <c r="T21" s="2"/>
      <c r="U21" s="2"/>
      <c r="V21" s="19"/>
      <c r="W21" s="2"/>
      <c r="X21" s="2">
        <f t="shared" si="2"/>
        <v>231.16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--277.82</f>
        <v>277.82</v>
      </c>
      <c r="E22" s="2"/>
      <c r="F22" s="19"/>
      <c r="G22" s="2"/>
      <c r="H22" s="2"/>
      <c r="I22" s="2"/>
      <c r="J22" s="19"/>
      <c r="K22" s="2"/>
      <c r="L22" s="2">
        <f t="shared" si="0"/>
        <v>277.82</v>
      </c>
      <c r="M22" s="2"/>
      <c r="N22" s="19">
        <f t="shared" si="1"/>
        <v>0</v>
      </c>
      <c r="O22" s="11"/>
      <c r="P22" s="2">
        <f>--2732.65</f>
        <v>2732.65</v>
      </c>
      <c r="Q22" s="2"/>
      <c r="R22" s="19"/>
      <c r="S22" s="2"/>
      <c r="T22" s="2"/>
      <c r="U22" s="2"/>
      <c r="V22" s="19"/>
      <c r="W22" s="2"/>
      <c r="X22" s="2">
        <f t="shared" si="2"/>
        <v>2732.65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--3.98</f>
        <v>3.98</v>
      </c>
      <c r="E23" s="2"/>
      <c r="F23" s="19"/>
      <c r="G23" s="2"/>
      <c r="H23" s="2"/>
      <c r="I23" s="2"/>
      <c r="J23" s="19"/>
      <c r="K23" s="2"/>
      <c r="L23" s="2">
        <f t="shared" si="0"/>
        <v>3.98</v>
      </c>
      <c r="M23" s="2"/>
      <c r="N23" s="19">
        <f t="shared" si="1"/>
        <v>0</v>
      </c>
      <c r="O23" s="11"/>
      <c r="P23" s="2">
        <f>--33.88</f>
        <v>33.880000000000003</v>
      </c>
      <c r="Q23" s="2"/>
      <c r="R23" s="19"/>
      <c r="S23" s="2"/>
      <c r="T23" s="2"/>
      <c r="U23" s="2"/>
      <c r="V23" s="19"/>
      <c r="W23" s="2"/>
      <c r="X23" s="2">
        <f t="shared" si="2"/>
        <v>33.880000000000003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--3212.68</f>
        <v>3212.68</v>
      </c>
      <c r="E24" s="2"/>
      <c r="F24" s="19"/>
      <c r="G24" s="2"/>
      <c r="H24" s="2"/>
      <c r="I24" s="2"/>
      <c r="J24" s="19"/>
      <c r="K24" s="2"/>
      <c r="L24" s="2">
        <f t="shared" si="0"/>
        <v>3212.68</v>
      </c>
      <c r="M24" s="2"/>
      <c r="N24" s="19">
        <f t="shared" si="1"/>
        <v>0</v>
      </c>
      <c r="O24" s="11"/>
      <c r="P24" s="2">
        <f>--29544.72</f>
        <v>29544.720000000001</v>
      </c>
      <c r="Q24" s="2"/>
      <c r="R24" s="19"/>
      <c r="S24" s="2"/>
      <c r="T24" s="2"/>
      <c r="U24" s="2"/>
      <c r="V24" s="19"/>
      <c r="W24" s="2"/>
      <c r="X24" s="2">
        <f t="shared" si="2"/>
        <v>29544.720000000001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--6609.41</f>
        <v>6609.41</v>
      </c>
      <c r="E25" s="2"/>
      <c r="F25" s="19"/>
      <c r="G25" s="2"/>
      <c r="H25" s="2"/>
      <c r="I25" s="2"/>
      <c r="J25" s="19"/>
      <c r="K25" s="2"/>
      <c r="L25" s="2">
        <f t="shared" si="0"/>
        <v>6609.41</v>
      </c>
      <c r="M25" s="2"/>
      <c r="N25" s="19">
        <f t="shared" si="1"/>
        <v>0</v>
      </c>
      <c r="O25" s="11"/>
      <c r="P25" s="2">
        <f>--43673.95</f>
        <v>43673.95</v>
      </c>
      <c r="Q25" s="2"/>
      <c r="R25" s="19"/>
      <c r="S25" s="2"/>
      <c r="T25" s="2"/>
      <c r="U25" s="2"/>
      <c r="V25" s="19"/>
      <c r="W25" s="2"/>
      <c r="X25" s="2">
        <f t="shared" si="2"/>
        <v>43673.95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--10515.54</f>
        <v>10515.54</v>
      </c>
      <c r="E26" s="2"/>
      <c r="F26" s="19"/>
      <c r="G26" s="2"/>
      <c r="H26" s="2"/>
      <c r="I26" s="2"/>
      <c r="J26" s="19"/>
      <c r="K26" s="2"/>
      <c r="L26" s="2">
        <f t="shared" si="0"/>
        <v>10515.54</v>
      </c>
      <c r="M26" s="2"/>
      <c r="N26" s="19">
        <f t="shared" si="1"/>
        <v>0</v>
      </c>
      <c r="O26" s="11"/>
      <c r="P26" s="2">
        <f>--154789.08</f>
        <v>154789.07999999999</v>
      </c>
      <c r="Q26" s="2"/>
      <c r="R26" s="19"/>
      <c r="S26" s="2"/>
      <c r="T26" s="2"/>
      <c r="U26" s="2"/>
      <c r="V26" s="19"/>
      <c r="W26" s="2"/>
      <c r="X26" s="2">
        <f t="shared" si="2"/>
        <v>154789.07999999999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--29388.04</f>
        <v>29388.04</v>
      </c>
      <c r="E27" s="2"/>
      <c r="F27" s="19"/>
      <c r="G27" s="2"/>
      <c r="H27" s="2"/>
      <c r="I27" s="2"/>
      <c r="J27" s="19"/>
      <c r="K27" s="2"/>
      <c r="L27" s="2">
        <f t="shared" si="0"/>
        <v>29388.04</v>
      </c>
      <c r="M27" s="2"/>
      <c r="N27" s="19">
        <f t="shared" si="1"/>
        <v>0</v>
      </c>
      <c r="O27" s="11"/>
      <c r="P27" s="2">
        <f>--175952.71</f>
        <v>175952.71</v>
      </c>
      <c r="Q27" s="2"/>
      <c r="R27" s="19"/>
      <c r="S27" s="2"/>
      <c r="T27" s="2"/>
      <c r="U27" s="2"/>
      <c r="V27" s="19"/>
      <c r="W27" s="2"/>
      <c r="X27" s="2">
        <f t="shared" si="2"/>
        <v>175952.71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--58.77</f>
        <v>58.77</v>
      </c>
      <c r="E28" s="2"/>
      <c r="F28" s="19"/>
      <c r="G28" s="2"/>
      <c r="H28" s="2"/>
      <c r="I28" s="2"/>
      <c r="J28" s="19"/>
      <c r="K28" s="2"/>
      <c r="L28" s="2">
        <f t="shared" si="0"/>
        <v>58.77</v>
      </c>
      <c r="M28" s="2"/>
      <c r="N28" s="19">
        <f t="shared" si="1"/>
        <v>0</v>
      </c>
      <c r="O28" s="11"/>
      <c r="P28" s="2">
        <f>--280.05</f>
        <v>280.05</v>
      </c>
      <c r="Q28" s="2"/>
      <c r="R28" s="19"/>
      <c r="S28" s="2"/>
      <c r="T28" s="2"/>
      <c r="U28" s="2"/>
      <c r="V28" s="19"/>
      <c r="W28" s="2"/>
      <c r="X28" s="2">
        <f t="shared" si="2"/>
        <v>280.05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--30308.52</f>
        <v>30308.52</v>
      </c>
      <c r="E29" s="2"/>
      <c r="F29" s="19"/>
      <c r="G29" s="2"/>
      <c r="H29" s="2"/>
      <c r="I29" s="2"/>
      <c r="J29" s="19"/>
      <c r="K29" s="2"/>
      <c r="L29" s="2">
        <f t="shared" si="0"/>
        <v>30308.52</v>
      </c>
      <c r="M29" s="2"/>
      <c r="N29" s="19">
        <f t="shared" si="1"/>
        <v>0</v>
      </c>
      <c r="O29" s="11"/>
      <c r="P29" s="2">
        <f>--162176.81</f>
        <v>162176.81</v>
      </c>
      <c r="Q29" s="2"/>
      <c r="R29" s="19"/>
      <c r="S29" s="2"/>
      <c r="T29" s="2"/>
      <c r="U29" s="2"/>
      <c r="V29" s="19"/>
      <c r="W29" s="2"/>
      <c r="X29" s="2">
        <f t="shared" si="2"/>
        <v>162176.81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--23.21</f>
        <v>23.21</v>
      </c>
      <c r="E30" s="2"/>
      <c r="F30" s="19"/>
      <c r="G30" s="2"/>
      <c r="H30" s="2"/>
      <c r="I30" s="2"/>
      <c r="J30" s="19"/>
      <c r="K30" s="2"/>
      <c r="L30" s="2">
        <f t="shared" si="0"/>
        <v>23.21</v>
      </c>
      <c r="M30" s="2"/>
      <c r="N30" s="19">
        <f t="shared" si="1"/>
        <v>0</v>
      </c>
      <c r="O30" s="11"/>
      <c r="P30" s="2">
        <f>--108.61</f>
        <v>108.61</v>
      </c>
      <c r="Q30" s="2"/>
      <c r="R30" s="19"/>
      <c r="S30" s="2"/>
      <c r="T30" s="2"/>
      <c r="U30" s="2"/>
      <c r="V30" s="19"/>
      <c r="W30" s="2"/>
      <c r="X30" s="2">
        <f t="shared" si="2"/>
        <v>108.61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--1247.1</f>
        <v>1247.0999999999999</v>
      </c>
      <c r="E31" s="2"/>
      <c r="F31" s="19"/>
      <c r="G31" s="2"/>
      <c r="H31" s="2"/>
      <c r="I31" s="2"/>
      <c r="J31" s="19"/>
      <c r="K31" s="2"/>
      <c r="L31" s="2">
        <f t="shared" si="0"/>
        <v>1247.0999999999999</v>
      </c>
      <c r="M31" s="2"/>
      <c r="N31" s="19">
        <f t="shared" si="1"/>
        <v>0</v>
      </c>
      <c r="O31" s="11"/>
      <c r="P31" s="2">
        <f>--6643.42</f>
        <v>6643.42</v>
      </c>
      <c r="Q31" s="2"/>
      <c r="R31" s="19"/>
      <c r="S31" s="2"/>
      <c r="T31" s="2"/>
      <c r="U31" s="2"/>
      <c r="V31" s="19"/>
      <c r="W31" s="2"/>
      <c r="X31" s="2">
        <f t="shared" si="2"/>
        <v>6643.42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--269.24</f>
        <v>269.24</v>
      </c>
      <c r="E32" s="2"/>
      <c r="F32" s="19"/>
      <c r="G32" s="2"/>
      <c r="H32" s="2"/>
      <c r="I32" s="2"/>
      <c r="J32" s="19"/>
      <c r="K32" s="2"/>
      <c r="L32" s="2">
        <f t="shared" si="0"/>
        <v>269.24</v>
      </c>
      <c r="M32" s="2"/>
      <c r="N32" s="19">
        <f t="shared" si="1"/>
        <v>0</v>
      </c>
      <c r="O32" s="11"/>
      <c r="P32" s="2">
        <f>--1133.6</f>
        <v>1133.5999999999999</v>
      </c>
      <c r="Q32" s="2"/>
      <c r="R32" s="19"/>
      <c r="S32" s="2"/>
      <c r="T32" s="2"/>
      <c r="U32" s="2"/>
      <c r="V32" s="19"/>
      <c r="W32" s="2"/>
      <c r="X32" s="2">
        <f t="shared" si="2"/>
        <v>1133.5999999999999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--74.6</f>
        <v>74.599999999999994</v>
      </c>
      <c r="E33" s="2"/>
      <c r="F33" s="19"/>
      <c r="G33" s="2"/>
      <c r="H33" s="2"/>
      <c r="I33" s="2"/>
      <c r="J33" s="19"/>
      <c r="K33" s="2"/>
      <c r="L33" s="2">
        <f t="shared" si="0"/>
        <v>74.599999999999994</v>
      </c>
      <c r="M33" s="2"/>
      <c r="N33" s="19">
        <f t="shared" si="1"/>
        <v>0</v>
      </c>
      <c r="O33" s="11"/>
      <c r="P33" s="2">
        <f>--377.17</f>
        <v>377.17</v>
      </c>
      <c r="Q33" s="2"/>
      <c r="R33" s="19"/>
      <c r="S33" s="2"/>
      <c r="T33" s="2"/>
      <c r="U33" s="2"/>
      <c r="V33" s="19"/>
      <c r="W33" s="2"/>
      <c r="X33" s="2">
        <f t="shared" si="2"/>
        <v>377.17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--249896.49</f>
        <v>249896.49</v>
      </c>
      <c r="E34" s="2"/>
      <c r="F34" s="19"/>
      <c r="G34" s="2"/>
      <c r="H34" s="2"/>
      <c r="I34" s="2"/>
      <c r="J34" s="19"/>
      <c r="K34" s="2"/>
      <c r="L34" s="2">
        <f t="shared" si="0"/>
        <v>249896.49</v>
      </c>
      <c r="M34" s="2"/>
      <c r="N34" s="19">
        <f t="shared" si="1"/>
        <v>0</v>
      </c>
      <c r="O34" s="11"/>
      <c r="P34" s="2">
        <f>--1098136.94</f>
        <v>1098136.94</v>
      </c>
      <c r="Q34" s="2"/>
      <c r="R34" s="19"/>
      <c r="S34" s="2"/>
      <c r="T34" s="2"/>
      <c r="U34" s="2"/>
      <c r="V34" s="19"/>
      <c r="W34" s="2"/>
      <c r="X34" s="2">
        <f t="shared" si="2"/>
        <v>1098136.94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--29333.75</f>
        <v>29333.75</v>
      </c>
      <c r="E35" s="2"/>
      <c r="F35" s="19"/>
      <c r="G35" s="2"/>
      <c r="H35" s="2"/>
      <c r="I35" s="2"/>
      <c r="J35" s="19"/>
      <c r="K35" s="2"/>
      <c r="L35" s="2">
        <f t="shared" si="0"/>
        <v>29333.75</v>
      </c>
      <c r="M35" s="2"/>
      <c r="N35" s="19">
        <f t="shared" si="1"/>
        <v>0</v>
      </c>
      <c r="O35" s="11"/>
      <c r="P35" s="2">
        <f>--258147.65</f>
        <v>258147.65</v>
      </c>
      <c r="Q35" s="2"/>
      <c r="R35" s="19"/>
      <c r="S35" s="2"/>
      <c r="T35" s="2"/>
      <c r="U35" s="2"/>
      <c r="V35" s="19"/>
      <c r="W35" s="2"/>
      <c r="X35" s="2">
        <f t="shared" si="2"/>
        <v>258147.65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--30667.82</f>
        <v>30667.82</v>
      </c>
      <c r="E36" s="2"/>
      <c r="F36" s="19"/>
      <c r="G36" s="2"/>
      <c r="H36" s="2"/>
      <c r="I36" s="2"/>
      <c r="J36" s="19"/>
      <c r="K36" s="2"/>
      <c r="L36" s="2">
        <f t="shared" si="0"/>
        <v>30667.82</v>
      </c>
      <c r="M36" s="2"/>
      <c r="N36" s="19">
        <f t="shared" si="1"/>
        <v>0</v>
      </c>
      <c r="O36" s="11"/>
      <c r="P36" s="2">
        <f>--154978.19</f>
        <v>154978.19</v>
      </c>
      <c r="Q36" s="2"/>
      <c r="R36" s="19"/>
      <c r="S36" s="2"/>
      <c r="T36" s="2"/>
      <c r="U36" s="2"/>
      <c r="V36" s="19"/>
      <c r="W36" s="2"/>
      <c r="X36" s="2">
        <f t="shared" si="2"/>
        <v>154978.19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--4302.17</f>
        <v>4302.17</v>
      </c>
      <c r="E37" s="2"/>
      <c r="F37" s="19"/>
      <c r="G37" s="2"/>
      <c r="H37" s="2"/>
      <c r="I37" s="2"/>
      <c r="J37" s="19"/>
      <c r="K37" s="2"/>
      <c r="L37" s="2">
        <f t="shared" si="0"/>
        <v>4302.17</v>
      </c>
      <c r="M37" s="2"/>
      <c r="N37" s="19">
        <f t="shared" si="1"/>
        <v>0</v>
      </c>
      <c r="O37" s="11"/>
      <c r="P37" s="2">
        <f>--4823.02</f>
        <v>4823.0200000000004</v>
      </c>
      <c r="Q37" s="2"/>
      <c r="R37" s="19"/>
      <c r="S37" s="2"/>
      <c r="T37" s="2"/>
      <c r="U37" s="2"/>
      <c r="V37" s="19"/>
      <c r="W37" s="2"/>
      <c r="X37" s="2">
        <f t="shared" si="2"/>
        <v>4823.0200000000004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--8230.63</f>
        <v>8230.6299999999992</v>
      </c>
      <c r="E38" s="2"/>
      <c r="F38" s="19"/>
      <c r="G38" s="2"/>
      <c r="H38" s="2"/>
      <c r="I38" s="2"/>
      <c r="J38" s="19"/>
      <c r="K38" s="2"/>
      <c r="L38" s="2">
        <f t="shared" si="0"/>
        <v>8230.6299999999992</v>
      </c>
      <c r="M38" s="2"/>
      <c r="N38" s="19">
        <f t="shared" si="1"/>
        <v>0</v>
      </c>
      <c r="O38" s="11"/>
      <c r="P38" s="2">
        <f>--41297.78</f>
        <v>41297.78</v>
      </c>
      <c r="Q38" s="2"/>
      <c r="R38" s="19"/>
      <c r="S38" s="2"/>
      <c r="T38" s="2"/>
      <c r="U38" s="2"/>
      <c r="V38" s="19"/>
      <c r="W38" s="2"/>
      <c r="X38" s="2">
        <f t="shared" si="2"/>
        <v>41297.78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--18665.34</f>
        <v>18665.34</v>
      </c>
      <c r="E39" s="2"/>
      <c r="F39" s="19"/>
      <c r="G39" s="2"/>
      <c r="H39" s="2"/>
      <c r="I39" s="2"/>
      <c r="J39" s="19"/>
      <c r="K39" s="2"/>
      <c r="L39" s="2">
        <f t="shared" si="0"/>
        <v>18665.34</v>
      </c>
      <c r="M39" s="2"/>
      <c r="N39" s="19">
        <f t="shared" si="1"/>
        <v>0</v>
      </c>
      <c r="O39" s="11"/>
      <c r="P39" s="2">
        <f>--54518.44</f>
        <v>54518.44</v>
      </c>
      <c r="Q39" s="2"/>
      <c r="R39" s="19"/>
      <c r="S39" s="2"/>
      <c r="T39" s="2"/>
      <c r="U39" s="2"/>
      <c r="V39" s="19"/>
      <c r="W39" s="2"/>
      <c r="X39" s="2">
        <f t="shared" si="2"/>
        <v>54518.44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--304.55</f>
        <v>304.55</v>
      </c>
      <c r="E40" s="2"/>
      <c r="F40" s="19"/>
      <c r="G40" s="2"/>
      <c r="H40" s="2"/>
      <c r="I40" s="2"/>
      <c r="J40" s="19"/>
      <c r="K40" s="2"/>
      <c r="L40" s="2">
        <f t="shared" si="0"/>
        <v>304.55</v>
      </c>
      <c r="M40" s="2"/>
      <c r="N40" s="19">
        <f t="shared" si="1"/>
        <v>0</v>
      </c>
      <c r="O40" s="11"/>
      <c r="P40" s="2">
        <f>--1678.55</f>
        <v>1678.55</v>
      </c>
      <c r="Q40" s="2"/>
      <c r="R40" s="19"/>
      <c r="S40" s="2"/>
      <c r="T40" s="2"/>
      <c r="U40" s="2"/>
      <c r="V40" s="19"/>
      <c r="W40" s="2"/>
      <c r="X40" s="2">
        <f t="shared" si="2"/>
        <v>1678.55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--17577.92</f>
        <v>17577.919999999998</v>
      </c>
      <c r="E41" s="2"/>
      <c r="F41" s="19"/>
      <c r="G41" s="2"/>
      <c r="H41" s="2"/>
      <c r="I41" s="2"/>
      <c r="J41" s="19"/>
      <c r="K41" s="2"/>
      <c r="L41" s="2">
        <f t="shared" si="0"/>
        <v>17577.919999999998</v>
      </c>
      <c r="M41" s="2"/>
      <c r="N41" s="19">
        <f t="shared" si="1"/>
        <v>0</v>
      </c>
      <c r="O41" s="11"/>
      <c r="P41" s="2">
        <f>--91997.19</f>
        <v>91997.19</v>
      </c>
      <c r="Q41" s="2"/>
      <c r="R41" s="19"/>
      <c r="S41" s="2"/>
      <c r="T41" s="2"/>
      <c r="U41" s="2"/>
      <c r="V41" s="19"/>
      <c r="W41" s="2"/>
      <c r="X41" s="2">
        <f t="shared" si="2"/>
        <v>91997.19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"4081", " - ", "TAXABLE SALES-ELECTRONICS")</f>
        <v xml:space="preserve">          4081 - TAXABLE SALES-ELECTRONICS</v>
      </c>
      <c r="C42" s="11"/>
      <c r="D42" s="2">
        <f>--430.76</f>
        <v>430.76</v>
      </c>
      <c r="E42" s="2"/>
      <c r="F42" s="19"/>
      <c r="G42" s="2"/>
      <c r="H42" s="2"/>
      <c r="I42" s="2"/>
      <c r="J42" s="19"/>
      <c r="K42" s="2"/>
      <c r="L42" s="2">
        <f t="shared" si="0"/>
        <v>430.76</v>
      </c>
      <c r="M42" s="2"/>
      <c r="N42" s="19">
        <f t="shared" si="1"/>
        <v>0</v>
      </c>
      <c r="O42" s="11"/>
      <c r="P42" s="2">
        <f>--2223.67</f>
        <v>2223.67</v>
      </c>
      <c r="Q42" s="2"/>
      <c r="R42" s="19"/>
      <c r="S42" s="2"/>
      <c r="T42" s="2"/>
      <c r="U42" s="2"/>
      <c r="V42" s="19"/>
      <c r="W42" s="2"/>
      <c r="X42" s="2">
        <f t="shared" si="2"/>
        <v>2223.67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>0</f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--162</f>
        <v>162</v>
      </c>
      <c r="Q43" s="2"/>
      <c r="R43" s="19"/>
      <c r="S43" s="2"/>
      <c r="T43" s="2"/>
      <c r="U43" s="2"/>
      <c r="V43" s="19"/>
      <c r="W43" s="2"/>
      <c r="X43" s="2">
        <f t="shared" si="2"/>
        <v>162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>--139.91</f>
        <v>139.91</v>
      </c>
      <c r="E44" s="2"/>
      <c r="F44" s="19"/>
      <c r="G44" s="2"/>
      <c r="H44" s="2"/>
      <c r="I44" s="2"/>
      <c r="J44" s="19"/>
      <c r="K44" s="2"/>
      <c r="L44" s="2">
        <f t="shared" si="0"/>
        <v>139.91</v>
      </c>
      <c r="M44" s="2"/>
      <c r="N44" s="19">
        <f t="shared" si="1"/>
        <v>0</v>
      </c>
      <c r="O44" s="11"/>
      <c r="P44" s="2">
        <f>--569.6</f>
        <v>569.6</v>
      </c>
      <c r="Q44" s="2"/>
      <c r="R44" s="19"/>
      <c r="S44" s="2"/>
      <c r="T44" s="2"/>
      <c r="U44" s="2"/>
      <c r="V44" s="19"/>
      <c r="W44" s="2"/>
      <c r="X44" s="2">
        <f t="shared" si="2"/>
        <v>569.6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>--105</f>
        <v>105</v>
      </c>
      <c r="E45" s="2"/>
      <c r="F45" s="19"/>
      <c r="G45" s="2"/>
      <c r="H45" s="2"/>
      <c r="I45" s="2"/>
      <c r="J45" s="19"/>
      <c r="K45" s="2"/>
      <c r="L45" s="2">
        <f t="shared" si="0"/>
        <v>105</v>
      </c>
      <c r="M45" s="2"/>
      <c r="N45" s="19">
        <f t="shared" si="1"/>
        <v>0</v>
      </c>
      <c r="O45" s="11"/>
      <c r="P45" s="2">
        <f>--639.79</f>
        <v>639.79</v>
      </c>
      <c r="Q45" s="2"/>
      <c r="R45" s="19"/>
      <c r="S45" s="2"/>
      <c r="T45" s="2"/>
      <c r="U45" s="2"/>
      <c r="V45" s="19"/>
      <c r="W45" s="2"/>
      <c r="X45" s="2">
        <f t="shared" si="2"/>
        <v>639.79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"4092", " - ", "TAXABLE SALES-GRAD MERCH")</f>
        <v xml:space="preserve">          4092 - TAXABLE SALES-GRAD MERCH</v>
      </c>
      <c r="C46" s="11"/>
      <c r="D46" s="2">
        <f>--2389.54</f>
        <v>2389.54</v>
      </c>
      <c r="E46" s="2"/>
      <c r="F46" s="19"/>
      <c r="G46" s="2"/>
      <c r="H46" s="2"/>
      <c r="I46" s="2"/>
      <c r="J46" s="19"/>
      <c r="K46" s="2"/>
      <c r="L46" s="2">
        <f t="shared" si="0"/>
        <v>2389.54</v>
      </c>
      <c r="M46" s="2"/>
      <c r="N46" s="19">
        <f t="shared" si="1"/>
        <v>0</v>
      </c>
      <c r="O46" s="11"/>
      <c r="P46" s="2">
        <f>--7440.62</f>
        <v>7440.62</v>
      </c>
      <c r="Q46" s="2"/>
      <c r="R46" s="19"/>
      <c r="S46" s="2"/>
      <c r="T46" s="2"/>
      <c r="U46" s="2"/>
      <c r="V46" s="19"/>
      <c r="W46" s="2"/>
      <c r="X46" s="2">
        <f t="shared" si="2"/>
        <v>7440.62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>--31.83</f>
        <v>31.83</v>
      </c>
      <c r="E47" s="2"/>
      <c r="F47" s="19"/>
      <c r="G47" s="2"/>
      <c r="H47" s="2"/>
      <c r="I47" s="2"/>
      <c r="J47" s="19"/>
      <c r="K47" s="2"/>
      <c r="L47" s="2">
        <f t="shared" si="0"/>
        <v>31.83</v>
      </c>
      <c r="M47" s="2"/>
      <c r="N47" s="19">
        <f t="shared" si="1"/>
        <v>0</v>
      </c>
      <c r="O47" s="11"/>
      <c r="P47" s="2">
        <f>--276.44</f>
        <v>276.44</v>
      </c>
      <c r="Q47" s="2"/>
      <c r="R47" s="19"/>
      <c r="S47" s="2"/>
      <c r="T47" s="2"/>
      <c r="U47" s="2"/>
      <c r="V47" s="19"/>
      <c r="W47" s="2"/>
      <c r="X47" s="2">
        <f t="shared" si="2"/>
        <v>276.44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"4100", " - ", "NON-TAXABLE SALES")</f>
        <v xml:space="preserve">          4100 - NON-TAXABLE SALES</v>
      </c>
      <c r="C48" s="11"/>
      <c r="D48" s="2">
        <f>--458.89</f>
        <v>458.89</v>
      </c>
      <c r="E48" s="2"/>
      <c r="F48" s="19"/>
      <c r="G48" s="2"/>
      <c r="H48" s="2">
        <v>235233</v>
      </c>
      <c r="I48" s="2"/>
      <c r="J48" s="19"/>
      <c r="K48" s="2"/>
      <c r="L48" s="2">
        <f t="shared" si="0"/>
        <v>-234774.11</v>
      </c>
      <c r="M48" s="2"/>
      <c r="N48" s="19">
        <f t="shared" si="1"/>
        <v>-0.99804921078250064</v>
      </c>
      <c r="O48" s="11"/>
      <c r="P48" s="2">
        <f>--335840.56</f>
        <v>335840.56</v>
      </c>
      <c r="Q48" s="2"/>
      <c r="R48" s="19"/>
      <c r="S48" s="2"/>
      <c r="T48" s="2">
        <v>4303936</v>
      </c>
      <c r="U48" s="2"/>
      <c r="V48" s="19"/>
      <c r="W48" s="2"/>
      <c r="X48" s="2">
        <f t="shared" si="2"/>
        <v>-3968095.44</v>
      </c>
      <c r="Y48" s="2"/>
      <c r="Z48" s="19">
        <f t="shared" si="3"/>
        <v>-0.92196896979880738</v>
      </c>
    </row>
    <row r="49" spans="1:26" s="24" customFormat="1" hidden="1" outlineLevel="1" x14ac:dyDescent="0.25">
      <c r="A49" s="44"/>
      <c r="B49" s="11" t="str">
        <f>CONCATENATE("          ", "4101", " - ", "NON-TAXABLE SALES-NEW TEXT")</f>
        <v xml:space="preserve">          4101 - NON-TAXABLE SALES-NEW TEXT</v>
      </c>
      <c r="C49" s="11"/>
      <c r="D49" s="2">
        <f>--349.66</f>
        <v>349.66</v>
      </c>
      <c r="E49" s="2"/>
      <c r="F49" s="19"/>
      <c r="G49" s="2"/>
      <c r="H49" s="2"/>
      <c r="I49" s="2"/>
      <c r="J49" s="19"/>
      <c r="K49" s="2"/>
      <c r="L49" s="2">
        <f t="shared" si="0"/>
        <v>349.66</v>
      </c>
      <c r="M49" s="2"/>
      <c r="N49" s="19">
        <f t="shared" si="1"/>
        <v>0</v>
      </c>
      <c r="O49" s="11"/>
      <c r="P49" s="2">
        <f>--92680.75</f>
        <v>92680.75</v>
      </c>
      <c r="Q49" s="2"/>
      <c r="R49" s="19"/>
      <c r="S49" s="2"/>
      <c r="T49" s="2"/>
      <c r="U49" s="2"/>
      <c r="V49" s="19"/>
      <c r="W49" s="2"/>
      <c r="X49" s="2">
        <f t="shared" si="2"/>
        <v>92680.75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"4102", " - ", "NON-TAXABLE SALES-USED TEXT")</f>
        <v xml:space="preserve">          4102 - NON-TAXABLE SALES-USED TEXT</v>
      </c>
      <c r="C50" s="11"/>
      <c r="D50" s="2">
        <f>--584.52</f>
        <v>584.52</v>
      </c>
      <c r="E50" s="2"/>
      <c r="F50" s="19"/>
      <c r="G50" s="2"/>
      <c r="H50" s="2"/>
      <c r="I50" s="2"/>
      <c r="J50" s="19"/>
      <c r="K50" s="2"/>
      <c r="L50" s="2">
        <f t="shared" si="0"/>
        <v>584.52</v>
      </c>
      <c r="M50" s="2"/>
      <c r="N50" s="19">
        <f t="shared" si="1"/>
        <v>0</v>
      </c>
      <c r="O50" s="11"/>
      <c r="P50" s="2">
        <f>--37606.84</f>
        <v>37606.839999999997</v>
      </c>
      <c r="Q50" s="2"/>
      <c r="R50" s="19"/>
      <c r="S50" s="2"/>
      <c r="T50" s="2"/>
      <c r="U50" s="2"/>
      <c r="V50" s="19"/>
      <c r="W50" s="2"/>
      <c r="X50" s="2">
        <f t="shared" si="2"/>
        <v>37606.839999999997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0</f>
        <v>0</v>
      </c>
      <c r="E51" s="2"/>
      <c r="F51" s="19"/>
      <c r="G51" s="2"/>
      <c r="H51" s="2"/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>--329.98</f>
        <v>329.98</v>
      </c>
      <c r="Q51" s="2"/>
      <c r="R51" s="19"/>
      <c r="S51" s="2"/>
      <c r="T51" s="2"/>
      <c r="U51" s="2"/>
      <c r="V51" s="19"/>
      <c r="W51" s="2"/>
      <c r="X51" s="2">
        <f t="shared" si="2"/>
        <v>329.98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--206.24</f>
        <v>206.24</v>
      </c>
      <c r="E52" s="2"/>
      <c r="F52" s="19"/>
      <c r="G52" s="2"/>
      <c r="H52" s="2"/>
      <c r="I52" s="2"/>
      <c r="J52" s="19"/>
      <c r="K52" s="2"/>
      <c r="L52" s="2">
        <f t="shared" si="0"/>
        <v>206.24</v>
      </c>
      <c r="M52" s="2"/>
      <c r="N52" s="19">
        <f t="shared" si="1"/>
        <v>0</v>
      </c>
      <c r="O52" s="11"/>
      <c r="P52" s="2">
        <f>--320699.09</f>
        <v>320699.09000000003</v>
      </c>
      <c r="Q52" s="2"/>
      <c r="R52" s="19"/>
      <c r="S52" s="2"/>
      <c r="T52" s="2"/>
      <c r="U52" s="2"/>
      <c r="V52" s="19"/>
      <c r="W52" s="2"/>
      <c r="X52" s="2">
        <f t="shared" si="2"/>
        <v>320699.09000000003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>--492.72</f>
        <v>492.72</v>
      </c>
      <c r="E53" s="2"/>
      <c r="F53" s="19"/>
      <c r="G53" s="2"/>
      <c r="H53" s="2"/>
      <c r="I53" s="2"/>
      <c r="J53" s="19"/>
      <c r="K53" s="2"/>
      <c r="L53" s="2">
        <f t="shared" si="0"/>
        <v>492.72</v>
      </c>
      <c r="M53" s="2"/>
      <c r="N53" s="19">
        <f t="shared" si="1"/>
        <v>0</v>
      </c>
      <c r="O53" s="11"/>
      <c r="P53" s="2">
        <f>--7592.19</f>
        <v>7592.19</v>
      </c>
      <c r="Q53" s="2"/>
      <c r="R53" s="19"/>
      <c r="S53" s="2"/>
      <c r="T53" s="2"/>
      <c r="U53" s="2"/>
      <c r="V53" s="19"/>
      <c r="W53" s="2"/>
      <c r="X53" s="2">
        <f t="shared" si="2"/>
        <v>7592.19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>0</f>
        <v>0</v>
      </c>
      <c r="E54" s="2"/>
      <c r="F54" s="19"/>
      <c r="G54" s="2"/>
      <c r="H54" s="2"/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>--1146.72</f>
        <v>1146.72</v>
      </c>
      <c r="Q54" s="2"/>
      <c r="R54" s="19"/>
      <c r="S54" s="2"/>
      <c r="T54" s="2"/>
      <c r="U54" s="2"/>
      <c r="V54" s="19"/>
      <c r="W54" s="2"/>
      <c r="X54" s="2">
        <f t="shared" si="2"/>
        <v>1146.72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"4118", " - ", "NON-TAXABLE SALES-STUDY GUIDES")</f>
        <v xml:space="preserve">          4118 - NON-TAXABLE SALES-STUDY GUIDES</v>
      </c>
      <c r="C55" s="11"/>
      <c r="D55" s="2">
        <f>--14.04</f>
        <v>14.04</v>
      </c>
      <c r="E55" s="2"/>
      <c r="F55" s="19"/>
      <c r="G55" s="2"/>
      <c r="H55" s="2"/>
      <c r="I55" s="2"/>
      <c r="J55" s="19"/>
      <c r="K55" s="2"/>
      <c r="L55" s="2">
        <f t="shared" si="0"/>
        <v>14.04</v>
      </c>
      <c r="M55" s="2"/>
      <c r="N55" s="19">
        <f t="shared" si="1"/>
        <v>0</v>
      </c>
      <c r="O55" s="11"/>
      <c r="P55" s="2">
        <f>--34.96</f>
        <v>34.96</v>
      </c>
      <c r="Q55" s="2"/>
      <c r="R55" s="19"/>
      <c r="S55" s="2"/>
      <c r="T55" s="2"/>
      <c r="U55" s="2"/>
      <c r="V55" s="19"/>
      <c r="W55" s="2"/>
      <c r="X55" s="2">
        <f t="shared" si="2"/>
        <v>34.96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"4125", " - ", "NON-TAXABLE SALES-TEST FORMS")</f>
        <v xml:space="preserve">          4125 - NON-TAXABLE SALES-TEST FORMS</v>
      </c>
      <c r="C56" s="11"/>
      <c r="D56" s="2">
        <f>0</f>
        <v>0</v>
      </c>
      <c r="E56" s="2"/>
      <c r="F56" s="19"/>
      <c r="G56" s="2"/>
      <c r="H56" s="2"/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--124.18</f>
        <v>124.18</v>
      </c>
      <c r="Q56" s="2"/>
      <c r="R56" s="19"/>
      <c r="S56" s="2"/>
      <c r="T56" s="2"/>
      <c r="U56" s="2"/>
      <c r="V56" s="19"/>
      <c r="W56" s="2"/>
      <c r="X56" s="2">
        <f t="shared" si="2"/>
        <v>124.18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"4126", " - ", "NON-TAXABLE SALES-WRITING INST")</f>
        <v xml:space="preserve">          4126 - NON-TAXABLE SALES-WRITING INST</v>
      </c>
      <c r="C57" s="11"/>
      <c r="D57" s="2">
        <f>--11.85</f>
        <v>11.85</v>
      </c>
      <c r="E57" s="2"/>
      <c r="F57" s="19"/>
      <c r="G57" s="2"/>
      <c r="H57" s="2"/>
      <c r="I57" s="2"/>
      <c r="J57" s="19"/>
      <c r="K57" s="2"/>
      <c r="L57" s="2">
        <f t="shared" si="0"/>
        <v>11.85</v>
      </c>
      <c r="M57" s="2"/>
      <c r="N57" s="19">
        <f t="shared" si="1"/>
        <v>0</v>
      </c>
      <c r="O57" s="11"/>
      <c r="P57" s="2">
        <f>--1470.38</f>
        <v>1470.38</v>
      </c>
      <c r="Q57" s="2"/>
      <c r="R57" s="19"/>
      <c r="S57" s="2"/>
      <c r="T57" s="2"/>
      <c r="U57" s="2"/>
      <c r="V57" s="19"/>
      <c r="W57" s="2"/>
      <c r="X57" s="2">
        <f t="shared" si="2"/>
        <v>1470.38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"4127", " - ", "NON-TAXABLE SALES-SCHOOL SUPPL")</f>
        <v xml:space="preserve">          4127 - NON-TAXABLE SALES-SCHOOL SUPPL</v>
      </c>
      <c r="C58" s="11"/>
      <c r="D58" s="2">
        <f>--6.28</f>
        <v>6.28</v>
      </c>
      <c r="E58" s="2"/>
      <c r="F58" s="19"/>
      <c r="G58" s="2"/>
      <c r="H58" s="2"/>
      <c r="I58" s="2"/>
      <c r="J58" s="19"/>
      <c r="K58" s="2"/>
      <c r="L58" s="2">
        <f t="shared" si="0"/>
        <v>6.28</v>
      </c>
      <c r="M58" s="2"/>
      <c r="N58" s="19">
        <f t="shared" si="1"/>
        <v>0</v>
      </c>
      <c r="O58" s="11"/>
      <c r="P58" s="2">
        <f>--2603.4</f>
        <v>2603.4</v>
      </c>
      <c r="Q58" s="2"/>
      <c r="R58" s="19"/>
      <c r="S58" s="2"/>
      <c r="T58" s="2"/>
      <c r="U58" s="2"/>
      <c r="V58" s="19"/>
      <c r="W58" s="2"/>
      <c r="X58" s="2">
        <f t="shared" si="2"/>
        <v>2603.4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"4128", " - ", "NON-TAXABLE SALES-ART/TECH")</f>
        <v xml:space="preserve">          4128 - NON-TAXABLE SALES-ART/TECH</v>
      </c>
      <c r="C59" s="11"/>
      <c r="D59" s="2">
        <f>0</f>
        <v>0</v>
      </c>
      <c r="E59" s="2"/>
      <c r="F59" s="19"/>
      <c r="G59" s="2"/>
      <c r="H59" s="2"/>
      <c r="I59" s="2"/>
      <c r="J59" s="19"/>
      <c r="K59" s="2"/>
      <c r="L59" s="2">
        <f t="shared" si="0"/>
        <v>0</v>
      </c>
      <c r="M59" s="2"/>
      <c r="N59" s="19">
        <f t="shared" si="1"/>
        <v>0</v>
      </c>
      <c r="O59" s="11"/>
      <c r="P59" s="2">
        <f>--348.72</f>
        <v>348.72</v>
      </c>
      <c r="Q59" s="2"/>
      <c r="R59" s="19"/>
      <c r="S59" s="2"/>
      <c r="T59" s="2"/>
      <c r="U59" s="2"/>
      <c r="V59" s="19"/>
      <c r="W59" s="2"/>
      <c r="X59" s="2">
        <f t="shared" si="2"/>
        <v>348.72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"4131", " - ", "NON-TAXABLE SALES-FOOD")</f>
        <v xml:space="preserve">          4131 - NON-TAXABLE SALES-FOOD</v>
      </c>
      <c r="C60" s="11"/>
      <c r="D60" s="2">
        <f>--8305.09</f>
        <v>8305.09</v>
      </c>
      <c r="E60" s="2"/>
      <c r="F60" s="19"/>
      <c r="G60" s="2"/>
      <c r="H60" s="2"/>
      <c r="I60" s="2"/>
      <c r="J60" s="19"/>
      <c r="K60" s="2"/>
      <c r="L60" s="2">
        <f t="shared" si="0"/>
        <v>8305.09</v>
      </c>
      <c r="M60" s="2"/>
      <c r="N60" s="19">
        <f t="shared" si="1"/>
        <v>0</v>
      </c>
      <c r="O60" s="11"/>
      <c r="P60" s="2">
        <f>--35027.51</f>
        <v>35027.51</v>
      </c>
      <c r="Q60" s="2"/>
      <c r="R60" s="19"/>
      <c r="S60" s="2"/>
      <c r="T60" s="2"/>
      <c r="U60" s="2"/>
      <c r="V60" s="19"/>
      <c r="W60" s="2"/>
      <c r="X60" s="2">
        <f t="shared" si="2"/>
        <v>35027.51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"4132", " - ", "NON-TAXABLE SALES-JUICE")</f>
        <v xml:space="preserve">          4132 - NON-TAXABLE SALES-JUICE</v>
      </c>
      <c r="C61" s="11"/>
      <c r="D61" s="2">
        <f>--142472.34</f>
        <v>142472.34</v>
      </c>
      <c r="E61" s="2"/>
      <c r="F61" s="19"/>
      <c r="G61" s="2"/>
      <c r="H61" s="2"/>
      <c r="I61" s="2"/>
      <c r="J61" s="19"/>
      <c r="K61" s="2"/>
      <c r="L61" s="2">
        <f t="shared" si="0"/>
        <v>142472.34</v>
      </c>
      <c r="M61" s="2"/>
      <c r="N61" s="19">
        <f t="shared" si="1"/>
        <v>0</v>
      </c>
      <c r="O61" s="11"/>
      <c r="P61" s="2">
        <f>--665344.79</f>
        <v>665344.79</v>
      </c>
      <c r="Q61" s="2"/>
      <c r="R61" s="19"/>
      <c r="S61" s="2"/>
      <c r="T61" s="2"/>
      <c r="U61" s="2"/>
      <c r="V61" s="19"/>
      <c r="W61" s="2"/>
      <c r="X61" s="2">
        <f t="shared" si="2"/>
        <v>665344.79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"4133", " - ", "NON-TAXABLE SALES-CANDY")</f>
        <v xml:space="preserve">          4133 - NON-TAXABLE SALES-CANDY</v>
      </c>
      <c r="C62" s="11"/>
      <c r="D62" s="2">
        <f>--2349.7</f>
        <v>2349.6999999999998</v>
      </c>
      <c r="E62" s="2"/>
      <c r="F62" s="19"/>
      <c r="G62" s="2"/>
      <c r="H62" s="2"/>
      <c r="I62" s="2"/>
      <c r="J62" s="19"/>
      <c r="K62" s="2"/>
      <c r="L62" s="2">
        <f t="shared" si="0"/>
        <v>2349.6999999999998</v>
      </c>
      <c r="M62" s="2"/>
      <c r="N62" s="19">
        <f t="shared" si="1"/>
        <v>0</v>
      </c>
      <c r="O62" s="11"/>
      <c r="P62" s="2">
        <f>--10816.56</f>
        <v>10816.56</v>
      </c>
      <c r="Q62" s="2"/>
      <c r="R62" s="19"/>
      <c r="S62" s="2"/>
      <c r="T62" s="2"/>
      <c r="U62" s="2"/>
      <c r="V62" s="19"/>
      <c r="W62" s="2"/>
      <c r="X62" s="2">
        <f t="shared" si="2"/>
        <v>10816.56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"4134", " - ", "NON-TAXABLE SALES-SODA")</f>
        <v xml:space="preserve">          4134 - NON-TAXABLE SALES-SODA</v>
      </c>
      <c r="C63" s="11"/>
      <c r="D63" s="2">
        <f>0</f>
        <v>0</v>
      </c>
      <c r="E63" s="2"/>
      <c r="F63" s="19"/>
      <c r="G63" s="2"/>
      <c r="H63" s="2"/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>--0.39</f>
        <v>0.39</v>
      </c>
      <c r="Q63" s="2"/>
      <c r="R63" s="19"/>
      <c r="S63" s="2"/>
      <c r="T63" s="2"/>
      <c r="U63" s="2"/>
      <c r="V63" s="19"/>
      <c r="W63" s="2"/>
      <c r="X63" s="2">
        <f t="shared" si="2"/>
        <v>0.39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"4135", " - ", "NON-TAXABLE SALES")</f>
        <v xml:space="preserve">          4135 - NON-TAXABLE SALES</v>
      </c>
      <c r="C64" s="11"/>
      <c r="D64" s="2">
        <f>--10.77</f>
        <v>10.77</v>
      </c>
      <c r="E64" s="2"/>
      <c r="F64" s="19"/>
      <c r="G64" s="2"/>
      <c r="H64" s="2"/>
      <c r="I64" s="2"/>
      <c r="J64" s="19"/>
      <c r="K64" s="2"/>
      <c r="L64" s="2">
        <f t="shared" si="0"/>
        <v>10.77</v>
      </c>
      <c r="M64" s="2"/>
      <c r="N64" s="19">
        <f t="shared" si="1"/>
        <v>0</v>
      </c>
      <c r="O64" s="11"/>
      <c r="P64" s="2">
        <f>--114.73</f>
        <v>114.73</v>
      </c>
      <c r="Q64" s="2"/>
      <c r="R64" s="19"/>
      <c r="S64" s="2"/>
      <c r="T64" s="2"/>
      <c r="U64" s="2"/>
      <c r="V64" s="19"/>
      <c r="W64" s="2"/>
      <c r="X64" s="2">
        <f t="shared" si="2"/>
        <v>114.73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"4137", " - ", "NON-TAXABLE SALES-WATER")</f>
        <v xml:space="preserve">          4137 - NON-TAXABLE SALES-WATER</v>
      </c>
      <c r="C65" s="11"/>
      <c r="D65" s="2">
        <f>--1199.73</f>
        <v>1199.73</v>
      </c>
      <c r="E65" s="2"/>
      <c r="F65" s="19"/>
      <c r="G65" s="2"/>
      <c r="H65" s="2"/>
      <c r="I65" s="2"/>
      <c r="J65" s="19"/>
      <c r="K65" s="2"/>
      <c r="L65" s="2">
        <f t="shared" si="0"/>
        <v>1199.73</v>
      </c>
      <c r="M65" s="2"/>
      <c r="N65" s="19">
        <f t="shared" si="1"/>
        <v>0</v>
      </c>
      <c r="O65" s="11"/>
      <c r="P65" s="2">
        <f>--6313.88</f>
        <v>6313.88</v>
      </c>
      <c r="Q65" s="2"/>
      <c r="R65" s="19"/>
      <c r="S65" s="2"/>
      <c r="T65" s="2"/>
      <c r="U65" s="2"/>
      <c r="V65" s="19"/>
      <c r="W65" s="2"/>
      <c r="X65" s="2">
        <f t="shared" si="2"/>
        <v>6313.88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--7373.27</f>
        <v>7373.27</v>
      </c>
      <c r="E66" s="2"/>
      <c r="F66" s="19"/>
      <c r="G66" s="2"/>
      <c r="H66" s="2"/>
      <c r="I66" s="2"/>
      <c r="J66" s="19"/>
      <c r="K66" s="2"/>
      <c r="L66" s="2">
        <f t="shared" si="0"/>
        <v>7373.27</v>
      </c>
      <c r="M66" s="2"/>
      <c r="N66" s="19">
        <f t="shared" si="1"/>
        <v>0</v>
      </c>
      <c r="O66" s="11"/>
      <c r="P66" s="2">
        <f>--20008.79</f>
        <v>20008.79</v>
      </c>
      <c r="Q66" s="2"/>
      <c r="R66" s="19"/>
      <c r="S66" s="2"/>
      <c r="T66" s="2"/>
      <c r="U66" s="2"/>
      <c r="V66" s="19"/>
      <c r="W66" s="2"/>
      <c r="X66" s="2">
        <f t="shared" si="2"/>
        <v>20008.79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--434.35</f>
        <v>434.35</v>
      </c>
      <c r="E67" s="2"/>
      <c r="F67" s="19"/>
      <c r="G67" s="2"/>
      <c r="H67" s="2"/>
      <c r="I67" s="2"/>
      <c r="J67" s="19"/>
      <c r="K67" s="2"/>
      <c r="L67" s="2">
        <f t="shared" si="0"/>
        <v>434.35</v>
      </c>
      <c r="M67" s="2"/>
      <c r="N67" s="19">
        <f t="shared" si="1"/>
        <v>0</v>
      </c>
      <c r="O67" s="11"/>
      <c r="P67" s="2">
        <f>--1830.28</f>
        <v>1830.28</v>
      </c>
      <c r="Q67" s="2"/>
      <c r="R67" s="19"/>
      <c r="S67" s="2"/>
      <c r="T67" s="2"/>
      <c r="U67" s="2"/>
      <c r="V67" s="19"/>
      <c r="W67" s="2"/>
      <c r="X67" s="2">
        <f t="shared" si="2"/>
        <v>1830.28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--2013.22</f>
        <v>2013.22</v>
      </c>
      <c r="E68" s="2"/>
      <c r="F68" s="19"/>
      <c r="G68" s="2"/>
      <c r="H68" s="2"/>
      <c r="I68" s="2"/>
      <c r="J68" s="19"/>
      <c r="K68" s="2"/>
      <c r="L68" s="2">
        <f t="shared" si="0"/>
        <v>2013.22</v>
      </c>
      <c r="M68" s="2"/>
      <c r="N68" s="19">
        <f t="shared" si="1"/>
        <v>0</v>
      </c>
      <c r="O68" s="11"/>
      <c r="P68" s="2">
        <f>--7932.83</f>
        <v>7932.83</v>
      </c>
      <c r="Q68" s="2"/>
      <c r="R68" s="19"/>
      <c r="S68" s="2"/>
      <c r="T68" s="2"/>
      <c r="U68" s="2"/>
      <c r="V68" s="19"/>
      <c r="W68" s="2"/>
      <c r="X68" s="2">
        <f t="shared" si="2"/>
        <v>7932.83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"4144", " - ", "NON-TAXABLE SALES-ACCESSORIES")</f>
        <v xml:space="preserve">          4144 - NON-TAXABLE SALES-ACCESSORIES</v>
      </c>
      <c r="C69" s="11"/>
      <c r="D69" s="2">
        <f>--29.95</f>
        <v>29.95</v>
      </c>
      <c r="E69" s="2"/>
      <c r="F69" s="19"/>
      <c r="G69" s="2"/>
      <c r="H69" s="2"/>
      <c r="I69" s="2"/>
      <c r="J69" s="19"/>
      <c r="K69" s="2"/>
      <c r="L69" s="2">
        <f t="shared" si="0"/>
        <v>29.95</v>
      </c>
      <c r="M69" s="2"/>
      <c r="N69" s="19">
        <f t="shared" si="1"/>
        <v>0</v>
      </c>
      <c r="O69" s="11"/>
      <c r="P69" s="2">
        <f>--241.56</f>
        <v>241.56</v>
      </c>
      <c r="Q69" s="2"/>
      <c r="R69" s="19"/>
      <c r="S69" s="2"/>
      <c r="T69" s="2"/>
      <c r="U69" s="2"/>
      <c r="V69" s="19"/>
      <c r="W69" s="2"/>
      <c r="X69" s="2">
        <f t="shared" si="2"/>
        <v>241.56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"4145", " - ", "NON-TAXABLE SALES-SPECIAL ORDE")</f>
        <v xml:space="preserve">          4145 - NON-TAXABLE SALES-SPECIAL ORDE</v>
      </c>
      <c r="C70" s="11"/>
      <c r="D70" s="2">
        <f>--50</f>
        <v>50</v>
      </c>
      <c r="E70" s="2"/>
      <c r="F70" s="19"/>
      <c r="G70" s="2"/>
      <c r="H70" s="2"/>
      <c r="I70" s="2"/>
      <c r="J70" s="19"/>
      <c r="K70" s="2"/>
      <c r="L70" s="2">
        <f t="shared" si="0"/>
        <v>50</v>
      </c>
      <c r="M70" s="2"/>
      <c r="N70" s="19">
        <f t="shared" si="1"/>
        <v>0</v>
      </c>
      <c r="O70" s="11"/>
      <c r="P70" s="2">
        <f>--140</f>
        <v>140</v>
      </c>
      <c r="Q70" s="2"/>
      <c r="R70" s="19"/>
      <c r="S70" s="2"/>
      <c r="T70" s="2"/>
      <c r="U70" s="2"/>
      <c r="V70" s="19"/>
      <c r="W70" s="2"/>
      <c r="X70" s="2">
        <f t="shared" si="2"/>
        <v>140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"4146", " - ", "NON-TAXABLE SALES-COIN OP MACH")</f>
        <v xml:space="preserve">          4146 - NON-TAXABLE SALES-COIN OP MACH</v>
      </c>
      <c r="C71" s="11"/>
      <c r="D71" s="2">
        <f>--28930.75</f>
        <v>28930.75</v>
      </c>
      <c r="E71" s="2"/>
      <c r="F71" s="19"/>
      <c r="G71" s="2"/>
      <c r="H71" s="2"/>
      <c r="I71" s="2"/>
      <c r="J71" s="19"/>
      <c r="K71" s="2"/>
      <c r="L71" s="2">
        <f t="shared" si="0"/>
        <v>28930.75</v>
      </c>
      <c r="M71" s="2"/>
      <c r="N71" s="19">
        <f t="shared" si="1"/>
        <v>0</v>
      </c>
      <c r="O71" s="11"/>
      <c r="P71" s="2">
        <f>--119341.05</f>
        <v>119341.05</v>
      </c>
      <c r="Q71" s="2"/>
      <c r="R71" s="19"/>
      <c r="S71" s="2"/>
      <c r="T71" s="2"/>
      <c r="U71" s="2"/>
      <c r="V71" s="19"/>
      <c r="W71" s="2"/>
      <c r="X71" s="2">
        <f t="shared" si="2"/>
        <v>119341.05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"4147", " - ", "NON-TAXABLE SALES-MISC")</f>
        <v xml:space="preserve">          4147 - NON-TAXABLE SALES-MISC</v>
      </c>
      <c r="C72" s="11"/>
      <c r="D72" s="2">
        <f>--75</f>
        <v>75</v>
      </c>
      <c r="E72" s="2"/>
      <c r="F72" s="19"/>
      <c r="G72" s="2"/>
      <c r="H72" s="2"/>
      <c r="I72" s="2"/>
      <c r="J72" s="19"/>
      <c r="K72" s="2"/>
      <c r="L72" s="2">
        <f t="shared" si="0"/>
        <v>75</v>
      </c>
      <c r="M72" s="2"/>
      <c r="N72" s="19">
        <f t="shared" si="1"/>
        <v>0</v>
      </c>
      <c r="O72" s="11"/>
      <c r="P72" s="2">
        <f>--249.9</f>
        <v>249.9</v>
      </c>
      <c r="Q72" s="2"/>
      <c r="R72" s="19"/>
      <c r="S72" s="2"/>
      <c r="T72" s="2"/>
      <c r="U72" s="2"/>
      <c r="V72" s="19"/>
      <c r="W72" s="2"/>
      <c r="X72" s="2">
        <f t="shared" si="2"/>
        <v>249.9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"4151", " - ", "NON-TAXABLE SALES-FOOD")</f>
        <v xml:space="preserve">          4151 - NON-TAXABLE SALES-FOOD</v>
      </c>
      <c r="C73" s="11"/>
      <c r="D73" s="2">
        <f>--111550.27</f>
        <v>111550.27</v>
      </c>
      <c r="E73" s="2"/>
      <c r="F73" s="19"/>
      <c r="G73" s="2"/>
      <c r="H73" s="2"/>
      <c r="I73" s="2"/>
      <c r="J73" s="19"/>
      <c r="K73" s="2"/>
      <c r="L73" s="2">
        <f t="shared" si="0"/>
        <v>111550.27</v>
      </c>
      <c r="M73" s="2"/>
      <c r="N73" s="19">
        <f t="shared" si="1"/>
        <v>0</v>
      </c>
      <c r="O73" s="11"/>
      <c r="P73" s="2">
        <f>--500473.1</f>
        <v>500473.1</v>
      </c>
      <c r="Q73" s="2"/>
      <c r="R73" s="19"/>
      <c r="S73" s="2"/>
      <c r="T73" s="2"/>
      <c r="U73" s="2"/>
      <c r="V73" s="19"/>
      <c r="W73" s="2"/>
      <c r="X73" s="2">
        <f t="shared" si="2"/>
        <v>500473.1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"4153", " - ", "NON-TAXABLE SALES-FOOD")</f>
        <v xml:space="preserve">          4153 - NON-TAXABLE SALES-FOOD</v>
      </c>
      <c r="C74" s="11"/>
      <c r="D74" s="2">
        <f>--1546.5</f>
        <v>1546.5</v>
      </c>
      <c r="E74" s="2"/>
      <c r="F74" s="19"/>
      <c r="G74" s="2"/>
      <c r="H74" s="2"/>
      <c r="I74" s="2"/>
      <c r="J74" s="19"/>
      <c r="K74" s="2"/>
      <c r="L74" s="2">
        <f t="shared" si="0"/>
        <v>1546.5</v>
      </c>
      <c r="M74" s="2"/>
      <c r="N74" s="19">
        <f t="shared" si="1"/>
        <v>0</v>
      </c>
      <c r="O74" s="11"/>
      <c r="P74" s="2">
        <f>--6827</f>
        <v>6827</v>
      </c>
      <c r="Q74" s="2"/>
      <c r="R74" s="19"/>
      <c r="S74" s="2"/>
      <c r="T74" s="2"/>
      <c r="U74" s="2"/>
      <c r="V74" s="19"/>
      <c r="W74" s="2"/>
      <c r="X74" s="2">
        <f t="shared" si="2"/>
        <v>6827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"4186", " - ", "NON-TAXABLE SALES-COMPUTER SUP")</f>
        <v xml:space="preserve">          4186 - NON-TAXABLE SALES-COMPUTER SUP</v>
      </c>
      <c r="C75" s="11"/>
      <c r="D75" s="2">
        <f>0</f>
        <v>0</v>
      </c>
      <c r="E75" s="2"/>
      <c r="F75" s="19"/>
      <c r="G75" s="2"/>
      <c r="H75" s="2"/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>-30.97</f>
        <v>-30.97</v>
      </c>
      <c r="Q75" s="2"/>
      <c r="R75" s="19"/>
      <c r="S75" s="2"/>
      <c r="T75" s="2"/>
      <c r="U75" s="2"/>
      <c r="V75" s="19"/>
      <c r="W75" s="2"/>
      <c r="X75" s="2">
        <f t="shared" si="2"/>
        <v>-30.97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"4201", " - ", "SALES RETURN TAXABLE-NEW TEXT")</f>
        <v xml:space="preserve">          4201 - SALES RETURN TAXABLE-NEW TEXT</v>
      </c>
      <c r="C76" s="11"/>
      <c r="D76" s="2">
        <f>-314.9</f>
        <v>-314.89999999999998</v>
      </c>
      <c r="E76" s="2"/>
      <c r="F76" s="19"/>
      <c r="G76" s="2"/>
      <c r="H76" s="2"/>
      <c r="I76" s="2"/>
      <c r="J76" s="19"/>
      <c r="K76" s="2"/>
      <c r="L76" s="2">
        <f t="shared" si="0"/>
        <v>-314.89999999999998</v>
      </c>
      <c r="M76" s="2"/>
      <c r="N76" s="19">
        <f t="shared" si="1"/>
        <v>0</v>
      </c>
      <c r="O76" s="11"/>
      <c r="P76" s="2">
        <f>-78098.57</f>
        <v>-78098.570000000007</v>
      </c>
      <c r="Q76" s="2"/>
      <c r="R76" s="19"/>
      <c r="S76" s="2"/>
      <c r="T76" s="2"/>
      <c r="U76" s="2"/>
      <c r="V76" s="19"/>
      <c r="W76" s="2"/>
      <c r="X76" s="2">
        <f t="shared" si="2"/>
        <v>-78098.570000000007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"4202", " - ", "SALES RETURN TAXABLE-USED TEXT")</f>
        <v xml:space="preserve">          4202 - SALES RETURN TAXABLE-USED TEXT</v>
      </c>
      <c r="C77" s="11"/>
      <c r="D77" s="2">
        <f>-113.2</f>
        <v>-113.2</v>
      </c>
      <c r="E77" s="2"/>
      <c r="F77" s="19"/>
      <c r="G77" s="2"/>
      <c r="H77" s="2"/>
      <c r="I77" s="2"/>
      <c r="J77" s="19"/>
      <c r="K77" s="2"/>
      <c r="L77" s="2">
        <f t="shared" si="0"/>
        <v>-113.2</v>
      </c>
      <c r="M77" s="2"/>
      <c r="N77" s="19">
        <f t="shared" si="1"/>
        <v>0</v>
      </c>
      <c r="O77" s="11"/>
      <c r="P77" s="2">
        <f>-27042.2</f>
        <v>-27042.2</v>
      </c>
      <c r="Q77" s="2"/>
      <c r="R77" s="19"/>
      <c r="S77" s="2"/>
      <c r="T77" s="2"/>
      <c r="U77" s="2"/>
      <c r="V77" s="19"/>
      <c r="W77" s="2"/>
      <c r="X77" s="2">
        <f t="shared" si="2"/>
        <v>-27042.2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"4203", " - ", "SALES RETURN TAXABLE-RENTAL TE")</f>
        <v xml:space="preserve">          4203 - SALES RETURN TAXABLE-RENTAL TE</v>
      </c>
      <c r="C78" s="11"/>
      <c r="D78" s="2">
        <f>0</f>
        <v>0</v>
      </c>
      <c r="E78" s="2"/>
      <c r="F78" s="19"/>
      <c r="G78" s="2"/>
      <c r="H78" s="2"/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-144.99</f>
        <v>-144.99</v>
      </c>
      <c r="Q78" s="2"/>
      <c r="R78" s="19"/>
      <c r="S78" s="2"/>
      <c r="T78" s="2"/>
      <c r="U78" s="2"/>
      <c r="V78" s="19"/>
      <c r="W78" s="2"/>
      <c r="X78" s="2">
        <f t="shared" si="2"/>
        <v>-144.99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"4204", " - ", "SALES RETURN TAXABLE-DIGITAL T")</f>
        <v xml:space="preserve">          4204 - SALES RETURN TAXABLE-DIGITAL T</v>
      </c>
      <c r="C79" s="11"/>
      <c r="D79" s="2">
        <f>-119.4</f>
        <v>-119.4</v>
      </c>
      <c r="E79" s="2"/>
      <c r="F79" s="19"/>
      <c r="G79" s="2"/>
      <c r="H79" s="2"/>
      <c r="I79" s="2"/>
      <c r="J79" s="19"/>
      <c r="K79" s="2"/>
      <c r="L79" s="2">
        <f t="shared" si="0"/>
        <v>-119.4</v>
      </c>
      <c r="M79" s="2"/>
      <c r="N79" s="19">
        <f t="shared" si="1"/>
        <v>0</v>
      </c>
      <c r="O79" s="11"/>
      <c r="P79" s="2">
        <f>-11369.46</f>
        <v>-11369.46</v>
      </c>
      <c r="Q79" s="2"/>
      <c r="R79" s="19"/>
      <c r="S79" s="2"/>
      <c r="T79" s="2"/>
      <c r="U79" s="2"/>
      <c r="V79" s="19"/>
      <c r="W79" s="2"/>
      <c r="X79" s="2">
        <f t="shared" si="2"/>
        <v>-11369.46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"4213", " - ", "NON-TAXABLE SALES-TRADE BOOKS")</f>
        <v xml:space="preserve">          4213 - NON-TAXABLE SALES-TRADE BOOKS</v>
      </c>
      <c r="C80" s="11"/>
      <c r="D80" s="2">
        <f>-67.34</f>
        <v>-67.34</v>
      </c>
      <c r="E80" s="2"/>
      <c r="F80" s="19"/>
      <c r="G80" s="2"/>
      <c r="H80" s="2"/>
      <c r="I80" s="2"/>
      <c r="J80" s="19"/>
      <c r="K80" s="2"/>
      <c r="L80" s="2">
        <f t="shared" si="0"/>
        <v>-67.34</v>
      </c>
      <c r="M80" s="2"/>
      <c r="N80" s="19">
        <f t="shared" si="1"/>
        <v>0</v>
      </c>
      <c r="O80" s="11"/>
      <c r="P80" s="2">
        <f>-102.71</f>
        <v>-102.71</v>
      </c>
      <c r="Q80" s="2"/>
      <c r="R80" s="19"/>
      <c r="S80" s="2"/>
      <c r="T80" s="2"/>
      <c r="U80" s="2"/>
      <c r="V80" s="19"/>
      <c r="W80" s="2"/>
      <c r="X80" s="2">
        <f t="shared" si="2"/>
        <v>-102.71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"4217", " - ", "NON-TAXABLE SALES-DORM/HOUSEWA")</f>
        <v xml:space="preserve">          4217 - NON-TAXABLE SALES-DORM/HOUSEWA</v>
      </c>
      <c r="C81" s="11"/>
      <c r="D81" s="2">
        <f t="shared" ref="D81:D82" si="4">0</f>
        <v>0</v>
      </c>
      <c r="E81" s="2"/>
      <c r="F81" s="19"/>
      <c r="G81" s="2"/>
      <c r="H81" s="2"/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-2.98</f>
        <v>-2.98</v>
      </c>
      <c r="Q81" s="2"/>
      <c r="R81" s="19"/>
      <c r="S81" s="2"/>
      <c r="T81" s="2"/>
      <c r="U81" s="2"/>
      <c r="V81" s="19"/>
      <c r="W81" s="2"/>
      <c r="X81" s="2">
        <f t="shared" si="2"/>
        <v>-2.98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"4218", " - ", "SALES RETURN TAXABLE-STUDY GUI")</f>
        <v xml:space="preserve">          4218 - SALES RETURN TAXABLE-STUDY GUI</v>
      </c>
      <c r="C82" s="11"/>
      <c r="D82" s="2">
        <f t="shared" si="4"/>
        <v>0</v>
      </c>
      <c r="E82" s="2"/>
      <c r="F82" s="19"/>
      <c r="G82" s="2"/>
      <c r="H82" s="2"/>
      <c r="I82" s="2"/>
      <c r="J82" s="19"/>
      <c r="K82" s="2"/>
      <c r="L82" s="2">
        <f t="shared" si="0"/>
        <v>0</v>
      </c>
      <c r="M82" s="2"/>
      <c r="N82" s="19">
        <f t="shared" si="1"/>
        <v>0</v>
      </c>
      <c r="O82" s="11"/>
      <c r="P82" s="2">
        <f>-32.75</f>
        <v>-32.75</v>
      </c>
      <c r="Q82" s="2"/>
      <c r="R82" s="19"/>
      <c r="S82" s="2"/>
      <c r="T82" s="2"/>
      <c r="U82" s="2"/>
      <c r="V82" s="19"/>
      <c r="W82" s="2"/>
      <c r="X82" s="2">
        <f t="shared" si="2"/>
        <v>-32.75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"4225", " - ", "SALES RETURN TAXABLE-TEST FORM")</f>
        <v xml:space="preserve">          4225 - SALES RETURN TAXABLE-TEST FORM</v>
      </c>
      <c r="C83" s="11"/>
      <c r="D83" s="2">
        <f>-23.91</f>
        <v>-23.91</v>
      </c>
      <c r="E83" s="2"/>
      <c r="F83" s="19"/>
      <c r="G83" s="2"/>
      <c r="H83" s="2"/>
      <c r="I83" s="2"/>
      <c r="J83" s="19"/>
      <c r="K83" s="2"/>
      <c r="L83" s="2">
        <f t="shared" si="0"/>
        <v>-23.91</v>
      </c>
      <c r="M83" s="2"/>
      <c r="N83" s="19">
        <f t="shared" si="1"/>
        <v>0</v>
      </c>
      <c r="O83" s="11"/>
      <c r="P83" s="2">
        <f>-65.46</f>
        <v>-65.459999999999994</v>
      </c>
      <c r="Q83" s="2"/>
      <c r="R83" s="19"/>
      <c r="S83" s="2"/>
      <c r="T83" s="2"/>
      <c r="U83" s="2"/>
      <c r="V83" s="19"/>
      <c r="W83" s="2"/>
      <c r="X83" s="2">
        <f t="shared" si="2"/>
        <v>-65.459999999999994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"4226", " - ", "SALES RETURN TAXABLE-WRITING I")</f>
        <v xml:space="preserve">          4226 - SALES RETURN TAXABLE-WRITING I</v>
      </c>
      <c r="C84" s="11"/>
      <c r="D84" s="2">
        <f>-13.74</f>
        <v>-13.74</v>
      </c>
      <c r="E84" s="2"/>
      <c r="F84" s="19"/>
      <c r="G84" s="2"/>
      <c r="H84" s="2"/>
      <c r="I84" s="2"/>
      <c r="J84" s="19"/>
      <c r="K84" s="2"/>
      <c r="L84" s="2">
        <f t="shared" si="0"/>
        <v>-13.74</v>
      </c>
      <c r="M84" s="2"/>
      <c r="N84" s="19">
        <f t="shared" si="1"/>
        <v>0</v>
      </c>
      <c r="O84" s="11"/>
      <c r="P84" s="2">
        <f>-489.71</f>
        <v>-489.71</v>
      </c>
      <c r="Q84" s="2"/>
      <c r="R84" s="19"/>
      <c r="S84" s="2"/>
      <c r="T84" s="2"/>
      <c r="U84" s="2"/>
      <c r="V84" s="19"/>
      <c r="W84" s="2"/>
      <c r="X84" s="2">
        <f t="shared" si="2"/>
        <v>-489.71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"4227", " - ", "SALES RETURN TAXABLE-SCHOOL SU")</f>
        <v xml:space="preserve">          4227 - SALES RETURN TAXABLE-SCHOOL SU</v>
      </c>
      <c r="C85" s="11"/>
      <c r="D85" s="2">
        <f>-917.34</f>
        <v>-917.34</v>
      </c>
      <c r="E85" s="2"/>
      <c r="F85" s="19"/>
      <c r="G85" s="2"/>
      <c r="H85" s="2"/>
      <c r="I85" s="2"/>
      <c r="J85" s="19"/>
      <c r="K85" s="2"/>
      <c r="L85" s="2">
        <f t="shared" si="0"/>
        <v>-917.34</v>
      </c>
      <c r="M85" s="2"/>
      <c r="N85" s="19">
        <f t="shared" si="1"/>
        <v>0</v>
      </c>
      <c r="O85" s="11"/>
      <c r="P85" s="2">
        <f>-5743.82</f>
        <v>-5743.82</v>
      </c>
      <c r="Q85" s="2"/>
      <c r="R85" s="19"/>
      <c r="S85" s="2"/>
      <c r="T85" s="2"/>
      <c r="U85" s="2"/>
      <c r="V85" s="19"/>
      <c r="W85" s="2"/>
      <c r="X85" s="2">
        <f t="shared" si="2"/>
        <v>-5743.82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"4228", " - ", "SALES RETURN TAXABLE-ART/TECH")</f>
        <v xml:space="preserve">          4228 - SALES RETURN TAXABLE-ART/TECH</v>
      </c>
      <c r="C86" s="11"/>
      <c r="D86" s="2">
        <f>-441.03</f>
        <v>-441.03</v>
      </c>
      <c r="E86" s="2"/>
      <c r="F86" s="19"/>
      <c r="G86" s="2"/>
      <c r="H86" s="2"/>
      <c r="I86" s="2"/>
      <c r="J86" s="19"/>
      <c r="K86" s="2"/>
      <c r="L86" s="2">
        <f t="shared" si="0"/>
        <v>-441.03</v>
      </c>
      <c r="M86" s="2"/>
      <c r="N86" s="19">
        <f t="shared" si="1"/>
        <v>0</v>
      </c>
      <c r="O86" s="11"/>
      <c r="P86" s="2">
        <f>-2871.29</f>
        <v>-2871.29</v>
      </c>
      <c r="Q86" s="2"/>
      <c r="R86" s="19"/>
      <c r="S86" s="2"/>
      <c r="T86" s="2"/>
      <c r="U86" s="2"/>
      <c r="V86" s="19"/>
      <c r="W86" s="2"/>
      <c r="X86" s="2">
        <f t="shared" si="2"/>
        <v>-2871.29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"4233", " - ", "SALES RETURN TAXABLE-CANDY")</f>
        <v xml:space="preserve">          4233 - SALES RETURN TAXABLE-CANDY</v>
      </c>
      <c r="C87" s="11"/>
      <c r="D87" s="2">
        <f>-1.29</f>
        <v>-1.29</v>
      </c>
      <c r="E87" s="2"/>
      <c r="F87" s="19"/>
      <c r="G87" s="2"/>
      <c r="H87" s="2"/>
      <c r="I87" s="2"/>
      <c r="J87" s="19"/>
      <c r="K87" s="2"/>
      <c r="L87" s="2">
        <f t="shared" si="0"/>
        <v>-1.29</v>
      </c>
      <c r="M87" s="2"/>
      <c r="N87" s="19">
        <f t="shared" si="1"/>
        <v>0</v>
      </c>
      <c r="O87" s="11"/>
      <c r="P87" s="2">
        <f>-1.29</f>
        <v>-1.29</v>
      </c>
      <c r="Q87" s="2"/>
      <c r="R87" s="19"/>
      <c r="S87" s="2"/>
      <c r="T87" s="2"/>
      <c r="U87" s="2"/>
      <c r="V87" s="19"/>
      <c r="W87" s="2"/>
      <c r="X87" s="2">
        <f t="shared" si="2"/>
        <v>-1.29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"4240", " - ", "SALES RETURN TAXABLE-LOGO CLOT")</f>
        <v xml:space="preserve">          4240 - SALES RETURN TAXABLE-LOGO CLOT</v>
      </c>
      <c r="C88" s="11"/>
      <c r="D88" s="2">
        <f>-10814.23</f>
        <v>-10814.23</v>
      </c>
      <c r="E88" s="2"/>
      <c r="F88" s="19"/>
      <c r="G88" s="2"/>
      <c r="H88" s="2"/>
      <c r="I88" s="2"/>
      <c r="J88" s="19"/>
      <c r="K88" s="2"/>
      <c r="L88" s="2">
        <f t="shared" si="0"/>
        <v>-10814.23</v>
      </c>
      <c r="M88" s="2"/>
      <c r="N88" s="19">
        <f t="shared" si="1"/>
        <v>0</v>
      </c>
      <c r="O88" s="11"/>
      <c r="P88" s="2">
        <f>-41109.03</f>
        <v>-41109.03</v>
      </c>
      <c r="Q88" s="2"/>
      <c r="R88" s="19"/>
      <c r="S88" s="2"/>
      <c r="T88" s="2"/>
      <c r="U88" s="2"/>
      <c r="V88" s="19"/>
      <c r="W88" s="2"/>
      <c r="X88" s="2">
        <f t="shared" si="2"/>
        <v>-41109.03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"4241", " - ", "SALES RETURN TAXABLE-LOGO GIFT")</f>
        <v xml:space="preserve">          4241 - SALES RETURN TAXABLE-LOGO GIFT</v>
      </c>
      <c r="C89" s="11"/>
      <c r="D89" s="2">
        <f>-491.64</f>
        <v>-491.64</v>
      </c>
      <c r="E89" s="2"/>
      <c r="F89" s="19"/>
      <c r="G89" s="2"/>
      <c r="H89" s="2"/>
      <c r="I89" s="2"/>
      <c r="J89" s="19"/>
      <c r="K89" s="2"/>
      <c r="L89" s="2">
        <f t="shared" si="0"/>
        <v>-491.64</v>
      </c>
      <c r="M89" s="2"/>
      <c r="N89" s="19">
        <f t="shared" si="1"/>
        <v>0</v>
      </c>
      <c r="O89" s="11"/>
      <c r="P89" s="2">
        <f>-3209.59</f>
        <v>-3209.59</v>
      </c>
      <c r="Q89" s="2"/>
      <c r="R89" s="19"/>
      <c r="S89" s="2"/>
      <c r="T89" s="2"/>
      <c r="U89" s="2"/>
      <c r="V89" s="19"/>
      <c r="W89" s="2"/>
      <c r="X89" s="2">
        <f t="shared" si="2"/>
        <v>-3209.59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"4242", " - ", "SALES RETURN TAXABLE-EVERYDAY")</f>
        <v xml:space="preserve">          4242 - SALES RETURN TAXABLE-EVERYDAY</v>
      </c>
      <c r="C90" s="11"/>
      <c r="D90" s="2">
        <f>-532.3</f>
        <v>-532.29999999999995</v>
      </c>
      <c r="E90" s="2"/>
      <c r="F90" s="19"/>
      <c r="G90" s="2"/>
      <c r="H90" s="2"/>
      <c r="I90" s="2"/>
      <c r="J90" s="19"/>
      <c r="K90" s="2"/>
      <c r="L90" s="2">
        <f t="shared" si="0"/>
        <v>-532.29999999999995</v>
      </c>
      <c r="M90" s="2"/>
      <c r="N90" s="19">
        <f t="shared" si="1"/>
        <v>0</v>
      </c>
      <c r="O90" s="11"/>
      <c r="P90" s="2">
        <f>-1691.87</f>
        <v>-1691.87</v>
      </c>
      <c r="Q90" s="2"/>
      <c r="R90" s="19"/>
      <c r="S90" s="2"/>
      <c r="T90" s="2"/>
      <c r="U90" s="2"/>
      <c r="V90" s="19"/>
      <c r="W90" s="2"/>
      <c r="X90" s="2">
        <f t="shared" si="2"/>
        <v>-1691.87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"4243", " - ", "SALES RETURN TAXABLE-CARDS")</f>
        <v xml:space="preserve">          4243 - SALES RETURN TAXABLE-CARDS</v>
      </c>
      <c r="C91" s="11"/>
      <c r="D91" s="2">
        <f>-316.34</f>
        <v>-316.33999999999997</v>
      </c>
      <c r="E91" s="2"/>
      <c r="F91" s="19"/>
      <c r="G91" s="2"/>
      <c r="H91" s="2"/>
      <c r="I91" s="2"/>
      <c r="J91" s="19"/>
      <c r="K91" s="2"/>
      <c r="L91" s="2">
        <f t="shared" si="0"/>
        <v>-316.33999999999997</v>
      </c>
      <c r="M91" s="2"/>
      <c r="N91" s="19">
        <f t="shared" si="1"/>
        <v>0</v>
      </c>
      <c r="O91" s="11"/>
      <c r="P91" s="2">
        <f>-320.84</f>
        <v>-320.83999999999997</v>
      </c>
      <c r="Q91" s="2"/>
      <c r="R91" s="19"/>
      <c r="S91" s="2"/>
      <c r="T91" s="2"/>
      <c r="U91" s="2"/>
      <c r="V91" s="19"/>
      <c r="W91" s="2"/>
      <c r="X91" s="2">
        <f t="shared" si="2"/>
        <v>-320.83999999999997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"4244", " - ", "SALES RETURN TAXABLE-ACCESSORI")</f>
        <v xml:space="preserve">          4244 - SALES RETURN TAXABLE-ACCESSORI</v>
      </c>
      <c r="C92" s="11"/>
      <c r="D92" s="2">
        <f>-96.7</f>
        <v>-96.7</v>
      </c>
      <c r="E92" s="2"/>
      <c r="F92" s="19"/>
      <c r="G92" s="2"/>
      <c r="H92" s="2"/>
      <c r="I92" s="2"/>
      <c r="J92" s="19"/>
      <c r="K92" s="2"/>
      <c r="L92" s="2">
        <f t="shared" si="0"/>
        <v>-96.7</v>
      </c>
      <c r="M92" s="2"/>
      <c r="N92" s="19">
        <f t="shared" si="1"/>
        <v>0</v>
      </c>
      <c r="O92" s="11"/>
      <c r="P92" s="2">
        <f>-1529.06</f>
        <v>-1529.06</v>
      </c>
      <c r="Q92" s="2"/>
      <c r="R92" s="19"/>
      <c r="S92" s="2"/>
      <c r="T92" s="2"/>
      <c r="U92" s="2"/>
      <c r="V92" s="19"/>
      <c r="W92" s="2"/>
      <c r="X92" s="2">
        <f t="shared" si="2"/>
        <v>-1529.06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"4245", " - ", "SALES RETURN TAXABLE-SPECIAL O")</f>
        <v xml:space="preserve">          4245 - SALES RETURN TAXABLE-SPECIAL O</v>
      </c>
      <c r="C93" s="11"/>
      <c r="D93" s="2">
        <f t="shared" ref="D93:D94" si="5">0</f>
        <v>0</v>
      </c>
      <c r="E93" s="2"/>
      <c r="F93" s="19"/>
      <c r="G93" s="2"/>
      <c r="H93" s="2"/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>-91.96</f>
        <v>-91.96</v>
      </c>
      <c r="Q93" s="2"/>
      <c r="R93" s="19"/>
      <c r="S93" s="2"/>
      <c r="T93" s="2"/>
      <c r="U93" s="2"/>
      <c r="V93" s="19"/>
      <c r="W93" s="2"/>
      <c r="X93" s="2">
        <f t="shared" si="2"/>
        <v>-91.96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"4281", " - ", "SALES RETURN TAXABLE-ELECTRONI")</f>
        <v xml:space="preserve">          4281 - SALES RETURN TAXABLE-ELECTRONI</v>
      </c>
      <c r="C94" s="11"/>
      <c r="D94" s="2">
        <f t="shared" si="5"/>
        <v>0</v>
      </c>
      <c r="E94" s="2"/>
      <c r="F94" s="19"/>
      <c r="G94" s="2"/>
      <c r="H94" s="2"/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-44.98</f>
        <v>-44.98</v>
      </c>
      <c r="Q94" s="2"/>
      <c r="R94" s="19"/>
      <c r="S94" s="2"/>
      <c r="T94" s="2"/>
      <c r="U94" s="2"/>
      <c r="V94" s="19"/>
      <c r="W94" s="2"/>
      <c r="X94" s="2">
        <f t="shared" si="2"/>
        <v>-44.98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"4292", " - ", "SALES RETURN TAXABLE-GRAD MERC")</f>
        <v xml:space="preserve">          4292 - SALES RETURN TAXABLE-GRAD MERC</v>
      </c>
      <c r="C95" s="11"/>
      <c r="D95" s="2">
        <f>-9.95</f>
        <v>-9.9499999999999993</v>
      </c>
      <c r="E95" s="2"/>
      <c r="F95" s="19"/>
      <c r="G95" s="2"/>
      <c r="H95" s="2"/>
      <c r="I95" s="2"/>
      <c r="J95" s="19"/>
      <c r="K95" s="2"/>
      <c r="L95" s="2">
        <f t="shared" si="0"/>
        <v>-9.9499999999999993</v>
      </c>
      <c r="M95" s="2"/>
      <c r="N95" s="19">
        <f t="shared" si="1"/>
        <v>0</v>
      </c>
      <c r="O95" s="11"/>
      <c r="P95" s="2">
        <f>-419.05</f>
        <v>-419.05</v>
      </c>
      <c r="Q95" s="2"/>
      <c r="R95" s="19"/>
      <c r="S95" s="2"/>
      <c r="T95" s="2"/>
      <c r="U95" s="2"/>
      <c r="V95" s="19"/>
      <c r="W95" s="2"/>
      <c r="X95" s="2">
        <f t="shared" si="2"/>
        <v>-419.05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"4295", " - ", "SALES RETURN TAXABLE-CUSTOMER")</f>
        <v xml:space="preserve">          4295 - SALES RETURN TAXABLE-CUSTOMER</v>
      </c>
      <c r="C96" s="11"/>
      <c r="D96" s="2">
        <f t="shared" ref="D96:D99" si="6">0</f>
        <v>0</v>
      </c>
      <c r="E96" s="2"/>
      <c r="F96" s="19"/>
      <c r="G96" s="2"/>
      <c r="H96" s="2"/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>--0.99</f>
        <v>0.99</v>
      </c>
      <c r="Q96" s="2"/>
      <c r="R96" s="19"/>
      <c r="S96" s="2"/>
      <c r="T96" s="2"/>
      <c r="U96" s="2"/>
      <c r="V96" s="19"/>
      <c r="W96" s="2"/>
      <c r="X96" s="2">
        <f t="shared" si="2"/>
        <v>0.99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"4301", " - ", "SALES RETURN NON TAXABLE-NEW T")</f>
        <v xml:space="preserve">          4301 - SALES RETURN NON TAXABLE-NEW T</v>
      </c>
      <c r="C97" s="11"/>
      <c r="D97" s="2">
        <f t="shared" si="6"/>
        <v>0</v>
      </c>
      <c r="E97" s="2"/>
      <c r="F97" s="19"/>
      <c r="G97" s="2"/>
      <c r="H97" s="2"/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-12310.98</f>
        <v>-12310.98</v>
      </c>
      <c r="Q97" s="2"/>
      <c r="R97" s="19"/>
      <c r="S97" s="2"/>
      <c r="T97" s="2"/>
      <c r="U97" s="2"/>
      <c r="V97" s="19"/>
      <c r="W97" s="2"/>
      <c r="X97" s="2">
        <f t="shared" si="2"/>
        <v>-12310.98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"4302", " - ", "SALES RETURN NON TAXABLE-TEXT")</f>
        <v xml:space="preserve">          4302 - SALES RETURN NON TAXABLE-TEXT</v>
      </c>
      <c r="C98" s="11"/>
      <c r="D98" s="2">
        <f t="shared" si="6"/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-683.8</f>
        <v>-683.8</v>
      </c>
      <c r="Q98" s="2"/>
      <c r="R98" s="19"/>
      <c r="S98" s="2"/>
      <c r="T98" s="2"/>
      <c r="U98" s="2"/>
      <c r="V98" s="19"/>
      <c r="W98" s="2"/>
      <c r="X98" s="2">
        <f t="shared" si="2"/>
        <v>-683.8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"4303", " - ", "SALES RETURN NON-TAXABLE-RENTA")</f>
        <v xml:space="preserve">          4303 - SALES RETURN NON-TAXABLE-RENTA</v>
      </c>
      <c r="C99" s="11"/>
      <c r="D99" s="2">
        <f t="shared" si="6"/>
        <v>0</v>
      </c>
      <c r="E99" s="2"/>
      <c r="F99" s="19"/>
      <c r="G99" s="2"/>
      <c r="H99" s="2"/>
      <c r="I99" s="2"/>
      <c r="J99" s="19"/>
      <c r="K99" s="2"/>
      <c r="L99" s="2">
        <f t="shared" si="0"/>
        <v>0</v>
      </c>
      <c r="M99" s="2"/>
      <c r="N99" s="19">
        <f t="shared" si="1"/>
        <v>0</v>
      </c>
      <c r="O99" s="11"/>
      <c r="P99" s="2">
        <f>-184.99</f>
        <v>-184.99</v>
      </c>
      <c r="Q99" s="2"/>
      <c r="R99" s="19"/>
      <c r="S99" s="2"/>
      <c r="T99" s="2"/>
      <c r="U99" s="2"/>
      <c r="V99" s="19"/>
      <c r="W99" s="2"/>
      <c r="X99" s="2">
        <f t="shared" si="2"/>
        <v>-184.99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"4304", " - ", "SALES RETURN NON TAXABLE-DIGIT")</f>
        <v xml:space="preserve">          4304 - SALES RETURN NON TAXABLE-DIGIT</v>
      </c>
      <c r="C100" s="11"/>
      <c r="D100" s="2">
        <f>-70.58</f>
        <v>-70.58</v>
      </c>
      <c r="E100" s="2"/>
      <c r="F100" s="19"/>
      <c r="G100" s="2"/>
      <c r="H100" s="2"/>
      <c r="I100" s="2"/>
      <c r="J100" s="19"/>
      <c r="K100" s="2"/>
      <c r="L100" s="2">
        <f t="shared" si="0"/>
        <v>-70.58</v>
      </c>
      <c r="M100" s="2"/>
      <c r="N100" s="19">
        <f t="shared" si="1"/>
        <v>0</v>
      </c>
      <c r="O100" s="11"/>
      <c r="P100" s="2">
        <f>-13203.87</f>
        <v>-13203.87</v>
      </c>
      <c r="Q100" s="2"/>
      <c r="R100" s="19"/>
      <c r="S100" s="2"/>
      <c r="T100" s="2"/>
      <c r="U100" s="2"/>
      <c r="V100" s="19"/>
      <c r="W100" s="2"/>
      <c r="X100" s="2">
        <f t="shared" si="2"/>
        <v>-13203.87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"4311", " - ", "SALES RETURN NON TAXABLE-NO VA")</f>
        <v xml:space="preserve">          4311 - SALES RETURN NON TAXABLE-NO VA</v>
      </c>
      <c r="C101" s="11"/>
      <c r="D101" s="2">
        <f t="shared" ref="D101:D102" si="7">0</f>
        <v>0</v>
      </c>
      <c r="E101" s="2"/>
      <c r="F101" s="19"/>
      <c r="G101" s="2"/>
      <c r="H101" s="2"/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-387.96</f>
        <v>-387.96</v>
      </c>
      <c r="Q101" s="2"/>
      <c r="R101" s="19"/>
      <c r="S101" s="2"/>
      <c r="T101" s="2"/>
      <c r="U101" s="2"/>
      <c r="V101" s="19"/>
      <c r="W101" s="2"/>
      <c r="X101" s="2">
        <f t="shared" si="2"/>
        <v>-387.96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"4327", " - ", "SALES RETURN NON TAXABLE-SCHOO")</f>
        <v xml:space="preserve">          4327 - SALES RETURN NON TAXABLE-SCHOO</v>
      </c>
      <c r="C102" s="11"/>
      <c r="D102" s="2">
        <f t="shared" si="7"/>
        <v>0</v>
      </c>
      <c r="E102" s="2"/>
      <c r="F102" s="19"/>
      <c r="G102" s="2"/>
      <c r="H102" s="2"/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-21.87</f>
        <v>-21.87</v>
      </c>
      <c r="Q102" s="2"/>
      <c r="R102" s="19"/>
      <c r="S102" s="2"/>
      <c r="T102" s="2"/>
      <c r="U102" s="2"/>
      <c r="V102" s="19"/>
      <c r="W102" s="2"/>
      <c r="X102" s="2">
        <f t="shared" si="2"/>
        <v>-21.87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"4340", " - ", "SALES RETURN NON TAXABLE-LOGO")</f>
        <v xml:space="preserve">          4340 - SALES RETURN NON TAXABLE-LOGO</v>
      </c>
      <c r="C103" s="11"/>
      <c r="D103" s="2">
        <f>-29.95</f>
        <v>-29.95</v>
      </c>
      <c r="E103" s="2"/>
      <c r="F103" s="19"/>
      <c r="G103" s="2"/>
      <c r="H103" s="2"/>
      <c r="I103" s="2"/>
      <c r="J103" s="19"/>
      <c r="K103" s="2"/>
      <c r="L103" s="2">
        <f t="shared" si="0"/>
        <v>-29.95</v>
      </c>
      <c r="M103" s="2"/>
      <c r="N103" s="19">
        <f t="shared" si="1"/>
        <v>0</v>
      </c>
      <c r="O103" s="11"/>
      <c r="P103" s="2">
        <f>-323.4</f>
        <v>-323.39999999999998</v>
      </c>
      <c r="Q103" s="2"/>
      <c r="R103" s="19"/>
      <c r="S103" s="2"/>
      <c r="T103" s="2"/>
      <c r="U103" s="2"/>
      <c r="V103" s="19"/>
      <c r="W103" s="2"/>
      <c r="X103" s="2">
        <f t="shared" si="2"/>
        <v>-323.39999999999998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"4341", " - ", "SALES RETURN NON TAXABLE-LOGO")</f>
        <v xml:space="preserve">          4341 - SALES RETURN NON TAXABLE-LOGO</v>
      </c>
      <c r="C104" s="11"/>
      <c r="D104" s="2">
        <f>0</f>
        <v>0</v>
      </c>
      <c r="E104" s="2"/>
      <c r="F104" s="19"/>
      <c r="G104" s="2"/>
      <c r="H104" s="2"/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-10.9</f>
        <v>-10.9</v>
      </c>
      <c r="Q104" s="2"/>
      <c r="R104" s="19"/>
      <c r="S104" s="2"/>
      <c r="T104" s="2"/>
      <c r="U104" s="2"/>
      <c r="V104" s="19"/>
      <c r="W104" s="2"/>
      <c r="X104" s="2">
        <f t="shared" si="2"/>
        <v>-10.9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"4342", " - ", "SALES RETURN NON TAXABLE-EVERY")</f>
        <v xml:space="preserve">          4342 - SALES RETURN NON TAXABLE-EVERY</v>
      </c>
      <c r="C105" s="11"/>
      <c r="D105" s="2">
        <f>-6.95</f>
        <v>-6.95</v>
      </c>
      <c r="E105" s="2"/>
      <c r="F105" s="19"/>
      <c r="G105" s="2"/>
      <c r="H105" s="2"/>
      <c r="I105" s="2"/>
      <c r="J105" s="19"/>
      <c r="K105" s="2"/>
      <c r="L105" s="2">
        <f t="shared" si="0"/>
        <v>-6.95</v>
      </c>
      <c r="M105" s="2"/>
      <c r="N105" s="19">
        <f t="shared" si="1"/>
        <v>0</v>
      </c>
      <c r="O105" s="11"/>
      <c r="P105" s="2">
        <f>-109.8</f>
        <v>-109.8</v>
      </c>
      <c r="Q105" s="2"/>
      <c r="R105" s="19"/>
      <c r="S105" s="2"/>
      <c r="T105" s="2"/>
      <c r="U105" s="2"/>
      <c r="V105" s="19"/>
      <c r="W105" s="2"/>
      <c r="X105" s="2">
        <f t="shared" si="2"/>
        <v>-109.8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"4346", " - ", "SALES RETURN NON TAXABLE-COIN-")</f>
        <v xml:space="preserve">          4346 - SALES RETURN NON TAXABLE-COIN-</v>
      </c>
      <c r="C106" s="11"/>
      <c r="D106" s="2">
        <f>0</f>
        <v>0</v>
      </c>
      <c r="E106" s="2"/>
      <c r="F106" s="19"/>
      <c r="G106" s="2"/>
      <c r="H106" s="2"/>
      <c r="I106" s="2"/>
      <c r="J106" s="19"/>
      <c r="K106" s="2"/>
      <c r="L106" s="2">
        <f t="shared" si="0"/>
        <v>0</v>
      </c>
      <c r="M106" s="2"/>
      <c r="N106" s="19">
        <f t="shared" si="1"/>
        <v>0</v>
      </c>
      <c r="O106" s="11"/>
      <c r="P106" s="2">
        <f>-8.15</f>
        <v>-8.15</v>
      </c>
      <c r="Q106" s="2"/>
      <c r="R106" s="19"/>
      <c r="S106" s="2"/>
      <c r="T106" s="2"/>
      <c r="U106" s="2"/>
      <c r="V106" s="19"/>
      <c r="W106" s="2"/>
      <c r="X106" s="2">
        <f t="shared" si="2"/>
        <v>-8.15</v>
      </c>
      <c r="Y106" s="2"/>
      <c r="Z106" s="19">
        <f t="shared" si="3"/>
        <v>0</v>
      </c>
    </row>
    <row r="107" spans="1:26" x14ac:dyDescent="0.25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collapsed="1" x14ac:dyDescent="0.25">
      <c r="A108" s="10"/>
      <c r="B108" s="29" t="s">
        <v>8</v>
      </c>
      <c r="C108" s="10"/>
      <c r="D108" s="4">
        <f>SUM(OSRRefD16x_0)</f>
        <v>356386.66000000021</v>
      </c>
      <c r="E108" s="4"/>
      <c r="F108" s="12">
        <f t="shared" ref="F108:F161" si="8">IF(D$12=0,0,D108/D$12)</f>
        <v>0.47447623066020961</v>
      </c>
      <c r="G108" s="4"/>
      <c r="H108" s="4">
        <f>SUM(OSRRefH16x_0)</f>
        <v>284903.33172000002</v>
      </c>
      <c r="I108" s="4"/>
      <c r="J108" s="12">
        <f t="shared" ref="J108:J161" si="9">IF(H$12=0,0,H108/H$12)</f>
        <v>0.43373619291102777</v>
      </c>
      <c r="K108" s="4"/>
      <c r="L108" s="4">
        <f t="shared" ref="L108:L161" si="10">+D108-H108</f>
        <v>71483.328280000191</v>
      </c>
      <c r="M108" s="4"/>
      <c r="N108" s="12">
        <f t="shared" ref="N108:N161" si="11">IF(H108=0,0,L108/H108)</f>
        <v>0.25090379901296928</v>
      </c>
      <c r="O108" s="10"/>
      <c r="P108" s="4">
        <f>SUM(OSRRefP16x_0)</f>
        <v>3705118.4800000009</v>
      </c>
      <c r="Q108" s="4"/>
      <c r="R108" s="12">
        <f t="shared" ref="R108:R161" si="12">IF(P$12=0,0,P108/P$12)</f>
        <v>0.57089613859972044</v>
      </c>
      <c r="S108" s="4"/>
      <c r="T108" s="4">
        <f>SUM(OSRRefT16x_0)</f>
        <v>3766799.0501899999</v>
      </c>
      <c r="U108" s="4"/>
      <c r="V108" s="12">
        <f t="shared" ref="V108:V161" si="13">IF(T$12=0,0,T108/T$12)</f>
        <v>0.56550790680222085</v>
      </c>
      <c r="W108" s="4"/>
      <c r="X108" s="4">
        <f t="shared" ref="X108:X161" si="14">+P108-T108</f>
        <v>-61680.570189998951</v>
      </c>
      <c r="Y108" s="4"/>
      <c r="Z108" s="12">
        <f t="shared" ref="Z108:Z161" si="15">IF(T108=0,0,X108/T108)</f>
        <v>-1.637479710707895E-2</v>
      </c>
    </row>
    <row r="109" spans="1:26" s="24" customFormat="1" hidden="1" outlineLevel="1" x14ac:dyDescent="0.25">
      <c r="A109" s="44"/>
      <c r="B109" s="11" t="str">
        <f>CONCATENATE("          ", "5000", " - ", "PURCHASES @ COST")</f>
        <v xml:space="preserve">          5000 - PURCHASES @ COST</v>
      </c>
      <c r="C109" s="11"/>
      <c r="D109" s="2"/>
      <c r="E109" s="2"/>
      <c r="F109" s="19">
        <f t="shared" si="8"/>
        <v>0</v>
      </c>
      <c r="G109" s="2"/>
      <c r="H109" s="2">
        <v>284903.33172000002</v>
      </c>
      <c r="I109" s="2"/>
      <c r="J109" s="19">
        <f t="shared" si="9"/>
        <v>0.43373619291102777</v>
      </c>
      <c r="K109" s="2"/>
      <c r="L109" s="2">
        <f t="shared" si="10"/>
        <v>-284903.33172000002</v>
      </c>
      <c r="M109" s="2"/>
      <c r="N109" s="19">
        <f t="shared" si="11"/>
        <v>-1</v>
      </c>
      <c r="O109" s="11"/>
      <c r="P109" s="2"/>
      <c r="Q109" s="2"/>
      <c r="R109" s="19">
        <f t="shared" si="12"/>
        <v>0</v>
      </c>
      <c r="S109" s="2"/>
      <c r="T109" s="2">
        <v>3766799.0501899999</v>
      </c>
      <c r="U109" s="2"/>
      <c r="V109" s="19">
        <f t="shared" si="13"/>
        <v>0.56550790680222085</v>
      </c>
      <c r="W109" s="2"/>
      <c r="X109" s="2">
        <f t="shared" si="14"/>
        <v>-3766799.0501899999</v>
      </c>
      <c r="Y109" s="2"/>
      <c r="Z109" s="19">
        <f t="shared" si="15"/>
        <v>-1</v>
      </c>
    </row>
    <row r="110" spans="1:26" s="24" customFormat="1" hidden="1" outlineLevel="1" x14ac:dyDescent="0.25">
      <c r="A110" s="44"/>
      <c r="B110" s="11" t="str">
        <f>CONCATENATE("          ", "5001", " - ", "PURCHASES @ COST-NEW TEXT")</f>
        <v xml:space="preserve">          5001 - PURCHASES @ COST-NEW TEXT</v>
      </c>
      <c r="C110" s="11"/>
      <c r="D110" s="2">
        <v>-175297.72999999998</v>
      </c>
      <c r="E110" s="2"/>
      <c r="F110" s="19">
        <f t="shared" si="8"/>
        <v>-0.23338305135689166</v>
      </c>
      <c r="G110" s="2"/>
      <c r="H110" s="2"/>
      <c r="I110" s="2"/>
      <c r="J110" s="19">
        <f t="shared" si="9"/>
        <v>0</v>
      </c>
      <c r="K110" s="2"/>
      <c r="L110" s="2">
        <f t="shared" si="10"/>
        <v>-175297.72999999998</v>
      </c>
      <c r="M110" s="2"/>
      <c r="N110" s="19">
        <f t="shared" si="11"/>
        <v>0</v>
      </c>
      <c r="O110" s="11"/>
      <c r="P110" s="2">
        <v>1581850.69</v>
      </c>
      <c r="Q110" s="2"/>
      <c r="R110" s="19">
        <f t="shared" si="12"/>
        <v>0.24373645691413981</v>
      </c>
      <c r="S110" s="2"/>
      <c r="T110" s="2"/>
      <c r="U110" s="2"/>
      <c r="V110" s="19">
        <f t="shared" si="13"/>
        <v>0</v>
      </c>
      <c r="W110" s="2"/>
      <c r="X110" s="2">
        <f t="shared" si="14"/>
        <v>1581850.69</v>
      </c>
      <c r="Y110" s="2"/>
      <c r="Z110" s="19">
        <f t="shared" si="15"/>
        <v>0</v>
      </c>
    </row>
    <row r="111" spans="1:26" s="24" customFormat="1" hidden="1" outlineLevel="1" x14ac:dyDescent="0.25">
      <c r="A111" s="44"/>
      <c r="B111" s="11" t="str">
        <f>CONCATENATE("          ", "5002", " - ", "PURCHASES @ COST-USED TEXT")</f>
        <v xml:space="preserve">          5002 - PURCHASES @ COST-USED TEXT</v>
      </c>
      <c r="C111" s="11"/>
      <c r="D111" s="2">
        <v>-155785.26999999999</v>
      </c>
      <c r="E111" s="2"/>
      <c r="F111" s="19">
        <f t="shared" si="8"/>
        <v>-0.20740509115010924</v>
      </c>
      <c r="G111" s="2"/>
      <c r="H111" s="2"/>
      <c r="I111" s="2"/>
      <c r="J111" s="19">
        <f t="shared" si="9"/>
        <v>0</v>
      </c>
      <c r="K111" s="2"/>
      <c r="L111" s="2">
        <f t="shared" si="10"/>
        <v>-155785.26999999999</v>
      </c>
      <c r="M111" s="2"/>
      <c r="N111" s="19">
        <f t="shared" si="11"/>
        <v>0</v>
      </c>
      <c r="O111" s="11"/>
      <c r="P111" s="2">
        <v>212247.9</v>
      </c>
      <c r="Q111" s="2"/>
      <c r="R111" s="19">
        <f t="shared" si="12"/>
        <v>3.2703814247769906E-2</v>
      </c>
      <c r="S111" s="2"/>
      <c r="T111" s="2"/>
      <c r="U111" s="2"/>
      <c r="V111" s="19">
        <f t="shared" si="13"/>
        <v>0</v>
      </c>
      <c r="W111" s="2"/>
      <c r="X111" s="2">
        <f t="shared" si="14"/>
        <v>212247.9</v>
      </c>
      <c r="Y111" s="2"/>
      <c r="Z111" s="19">
        <f t="shared" si="15"/>
        <v>0</v>
      </c>
    </row>
    <row r="112" spans="1:26" s="24" customFormat="1" hidden="1" outlineLevel="1" x14ac:dyDescent="0.25">
      <c r="A112" s="44"/>
      <c r="B112" s="11" t="str">
        <f>CONCATENATE("          ", "5003", " - ", "PURCHASES @ COST-RENTAL TEXT")</f>
        <v xml:space="preserve">          5003 - PURCHASES @ COST-RENTAL TEXT</v>
      </c>
      <c r="C112" s="11"/>
      <c r="D112" s="2"/>
      <c r="E112" s="2"/>
      <c r="F112" s="19">
        <f t="shared" si="8"/>
        <v>0</v>
      </c>
      <c r="G112" s="2"/>
      <c r="H112" s="2"/>
      <c r="I112" s="2"/>
      <c r="J112" s="19">
        <f t="shared" si="9"/>
        <v>0</v>
      </c>
      <c r="K112" s="2"/>
      <c r="L112" s="2">
        <f t="shared" si="10"/>
        <v>0</v>
      </c>
      <c r="M112" s="2"/>
      <c r="N112" s="19">
        <f t="shared" si="11"/>
        <v>0</v>
      </c>
      <c r="O112" s="11"/>
      <c r="P112" s="2">
        <v>-78.400000000000006</v>
      </c>
      <c r="Q112" s="2"/>
      <c r="R112" s="19">
        <f t="shared" si="12"/>
        <v>-1.2080114983588344E-5</v>
      </c>
      <c r="S112" s="2"/>
      <c r="T112" s="2"/>
      <c r="U112" s="2"/>
      <c r="V112" s="19">
        <f t="shared" si="13"/>
        <v>0</v>
      </c>
      <c r="W112" s="2"/>
      <c r="X112" s="2">
        <f t="shared" si="14"/>
        <v>-78.400000000000006</v>
      </c>
      <c r="Y112" s="2"/>
      <c r="Z112" s="19">
        <f t="shared" si="15"/>
        <v>0</v>
      </c>
    </row>
    <row r="113" spans="1:26" s="24" customFormat="1" hidden="1" outlineLevel="1" x14ac:dyDescent="0.25">
      <c r="A113" s="44"/>
      <c r="B113" s="11" t="str">
        <f>CONCATENATE("          ", "5004", " - ", "PURCHASES @ COST-DIGITAL TEXT")</f>
        <v xml:space="preserve">          5004 - PURCHASES @ COST-DIGITAL TEXT</v>
      </c>
      <c r="C113" s="11"/>
      <c r="D113" s="2">
        <v>0.94</v>
      </c>
      <c r="E113" s="2"/>
      <c r="F113" s="19">
        <f t="shared" si="8"/>
        <v>1.2514712442396041E-6</v>
      </c>
      <c r="G113" s="2"/>
      <c r="H113" s="2"/>
      <c r="I113" s="2"/>
      <c r="J113" s="19">
        <f t="shared" si="9"/>
        <v>0</v>
      </c>
      <c r="K113" s="2"/>
      <c r="L113" s="2">
        <f t="shared" si="10"/>
        <v>0.94</v>
      </c>
      <c r="M113" s="2"/>
      <c r="N113" s="19">
        <f t="shared" si="11"/>
        <v>0</v>
      </c>
      <c r="O113" s="11"/>
      <c r="P113" s="2">
        <v>322779.97000000003</v>
      </c>
      <c r="Q113" s="2"/>
      <c r="R113" s="19">
        <f t="shared" si="12"/>
        <v>4.9734938163255062E-2</v>
      </c>
      <c r="S113" s="2"/>
      <c r="T113" s="2"/>
      <c r="U113" s="2"/>
      <c r="V113" s="19">
        <f t="shared" si="13"/>
        <v>0</v>
      </c>
      <c r="W113" s="2"/>
      <c r="X113" s="2">
        <f t="shared" si="14"/>
        <v>322779.97000000003</v>
      </c>
      <c r="Y113" s="2"/>
      <c r="Z113" s="19">
        <f t="shared" si="15"/>
        <v>0</v>
      </c>
    </row>
    <row r="114" spans="1:26" s="24" customFormat="1" hidden="1" outlineLevel="1" x14ac:dyDescent="0.25">
      <c r="A114" s="44"/>
      <c r="B114" s="11" t="str">
        <f>CONCATENATE("          ", "5011", " - ", "PURCHASES @ COST-NO VALUE TEXT")</f>
        <v xml:space="preserve">          5011 - PURCHASES @ COST-NO VALUE TEXT</v>
      </c>
      <c r="C114" s="11"/>
      <c r="D114" s="2">
        <v>66</v>
      </c>
      <c r="E114" s="2"/>
      <c r="F114" s="19">
        <f t="shared" si="8"/>
        <v>8.7869257574270081E-5</v>
      </c>
      <c r="G114" s="2"/>
      <c r="H114" s="2"/>
      <c r="I114" s="2"/>
      <c r="J114" s="19">
        <f t="shared" si="9"/>
        <v>0</v>
      </c>
      <c r="K114" s="2"/>
      <c r="L114" s="2">
        <f t="shared" si="10"/>
        <v>66</v>
      </c>
      <c r="M114" s="2"/>
      <c r="N114" s="19">
        <f t="shared" si="11"/>
        <v>0</v>
      </c>
      <c r="O114" s="11"/>
      <c r="P114" s="2">
        <v>3741</v>
      </c>
      <c r="Q114" s="2"/>
      <c r="R114" s="19">
        <f t="shared" si="12"/>
        <v>5.7642487440821421E-4</v>
      </c>
      <c r="S114" s="2"/>
      <c r="T114" s="2"/>
      <c r="U114" s="2"/>
      <c r="V114" s="19">
        <f t="shared" si="13"/>
        <v>0</v>
      </c>
      <c r="W114" s="2"/>
      <c r="X114" s="2">
        <f t="shared" si="14"/>
        <v>3741</v>
      </c>
      <c r="Y114" s="2"/>
      <c r="Z114" s="19">
        <f t="shared" si="15"/>
        <v>0</v>
      </c>
    </row>
    <row r="115" spans="1:26" s="24" customFormat="1" hidden="1" outlineLevel="1" x14ac:dyDescent="0.25">
      <c r="A115" s="44"/>
      <c r="B115" s="11" t="str">
        <f>CONCATENATE("          ", "5013", " - ", "PURCHASES @ COST-TRADE BOOKS")</f>
        <v xml:space="preserve">          5013 - PURCHASES @ COST-TRADE BOOKS</v>
      </c>
      <c r="C115" s="11"/>
      <c r="D115" s="2">
        <v>10.79</v>
      </c>
      <c r="E115" s="2"/>
      <c r="F115" s="19">
        <f t="shared" si="8"/>
        <v>1.4365292261005668E-5</v>
      </c>
      <c r="G115" s="2"/>
      <c r="H115" s="2"/>
      <c r="I115" s="2"/>
      <c r="J115" s="19">
        <f t="shared" si="9"/>
        <v>0</v>
      </c>
      <c r="K115" s="2"/>
      <c r="L115" s="2">
        <f t="shared" si="10"/>
        <v>10.79</v>
      </c>
      <c r="M115" s="2"/>
      <c r="N115" s="19">
        <f t="shared" si="11"/>
        <v>0</v>
      </c>
      <c r="O115" s="11"/>
      <c r="P115" s="2">
        <v>698.14</v>
      </c>
      <c r="Q115" s="2"/>
      <c r="R115" s="19">
        <f t="shared" si="12"/>
        <v>1.0757157493166284E-4</v>
      </c>
      <c r="S115" s="2"/>
      <c r="T115" s="2"/>
      <c r="U115" s="2"/>
      <c r="V115" s="19">
        <f t="shared" si="13"/>
        <v>0</v>
      </c>
      <c r="W115" s="2"/>
      <c r="X115" s="2">
        <f t="shared" si="14"/>
        <v>698.14</v>
      </c>
      <c r="Y115" s="2"/>
      <c r="Z115" s="19">
        <f t="shared" si="15"/>
        <v>0</v>
      </c>
    </row>
    <row r="116" spans="1:26" s="24" customFormat="1" hidden="1" outlineLevel="1" x14ac:dyDescent="0.25">
      <c r="A116" s="44"/>
      <c r="B116" s="11" t="str">
        <f>CONCATENATE("          ", "5014", " - ", "PURCHASES @ COST-REMAINDERS")</f>
        <v xml:space="preserve">          5014 - PURCHASES @ COST-REMAINDERS</v>
      </c>
      <c r="C116" s="11"/>
      <c r="D116" s="2">
        <v>114.84</v>
      </c>
      <c r="E116" s="2"/>
      <c r="F116" s="19">
        <f t="shared" si="8"/>
        <v>1.5289250817922996E-4</v>
      </c>
      <c r="G116" s="2"/>
      <c r="H116" s="2"/>
      <c r="I116" s="2"/>
      <c r="J116" s="19">
        <f t="shared" si="9"/>
        <v>0</v>
      </c>
      <c r="K116" s="2"/>
      <c r="L116" s="2">
        <f t="shared" si="10"/>
        <v>114.84</v>
      </c>
      <c r="M116" s="2"/>
      <c r="N116" s="19">
        <f t="shared" si="11"/>
        <v>0</v>
      </c>
      <c r="O116" s="11"/>
      <c r="P116" s="2">
        <v>456.81</v>
      </c>
      <c r="Q116" s="2"/>
      <c r="R116" s="19">
        <f t="shared" si="12"/>
        <v>7.0386700582308569E-5</v>
      </c>
      <c r="S116" s="2"/>
      <c r="T116" s="2"/>
      <c r="U116" s="2"/>
      <c r="V116" s="19">
        <f t="shared" si="13"/>
        <v>0</v>
      </c>
      <c r="W116" s="2"/>
      <c r="X116" s="2">
        <f t="shared" si="14"/>
        <v>456.81</v>
      </c>
      <c r="Y116" s="2"/>
      <c r="Z116" s="19">
        <f t="shared" si="15"/>
        <v>0</v>
      </c>
    </row>
    <row r="117" spans="1:26" s="24" customFormat="1" hidden="1" outlineLevel="1" x14ac:dyDescent="0.25">
      <c r="A117" s="44"/>
      <c r="B117" s="11" t="str">
        <f>CONCATENATE("          ", "5017", " - ", "PURCHASES @ COST-DORM/HOUSEWAR")</f>
        <v xml:space="preserve">          5017 - PURCHASES @ COST-DORM/HOUSEWAR</v>
      </c>
      <c r="C117" s="11"/>
      <c r="D117" s="2"/>
      <c r="E117" s="2"/>
      <c r="F117" s="19">
        <f t="shared" si="8"/>
        <v>0</v>
      </c>
      <c r="G117" s="2"/>
      <c r="H117" s="2"/>
      <c r="I117" s="2"/>
      <c r="J117" s="19">
        <f t="shared" si="9"/>
        <v>0</v>
      </c>
      <c r="K117" s="2"/>
      <c r="L117" s="2">
        <f t="shared" si="10"/>
        <v>0</v>
      </c>
      <c r="M117" s="2"/>
      <c r="N117" s="19">
        <f t="shared" si="11"/>
        <v>0</v>
      </c>
      <c r="O117" s="11"/>
      <c r="P117" s="2">
        <v>0</v>
      </c>
      <c r="Q117" s="2"/>
      <c r="R117" s="19">
        <f t="shared" si="12"/>
        <v>0</v>
      </c>
      <c r="S117" s="2"/>
      <c r="T117" s="2"/>
      <c r="U117" s="2"/>
      <c r="V117" s="19">
        <f t="shared" si="13"/>
        <v>0</v>
      </c>
      <c r="W117" s="2"/>
      <c r="X117" s="2">
        <f t="shared" si="14"/>
        <v>0</v>
      </c>
      <c r="Y117" s="2"/>
      <c r="Z117" s="19">
        <f t="shared" si="15"/>
        <v>0</v>
      </c>
    </row>
    <row r="118" spans="1:26" s="24" customFormat="1" hidden="1" outlineLevel="1" x14ac:dyDescent="0.25">
      <c r="A118" s="44"/>
      <c r="B118" s="11" t="str">
        <f>CONCATENATE("          ", "5018", " - ", "PURCHASES @ COST-STUDY GUIDES")</f>
        <v xml:space="preserve">          5018 - PURCHASES @ COST-STUDY GUIDES</v>
      </c>
      <c r="C118" s="11"/>
      <c r="D118" s="2"/>
      <c r="E118" s="2"/>
      <c r="F118" s="19">
        <f t="shared" si="8"/>
        <v>0</v>
      </c>
      <c r="G118" s="2"/>
      <c r="H118" s="2"/>
      <c r="I118" s="2"/>
      <c r="J118" s="19">
        <f t="shared" si="9"/>
        <v>0</v>
      </c>
      <c r="K118" s="2"/>
      <c r="L118" s="2">
        <f t="shared" si="10"/>
        <v>0</v>
      </c>
      <c r="M118" s="2"/>
      <c r="N118" s="19">
        <f t="shared" si="11"/>
        <v>0</v>
      </c>
      <c r="O118" s="11"/>
      <c r="P118" s="2">
        <v>802.09</v>
      </c>
      <c r="Q118" s="2"/>
      <c r="R118" s="19">
        <f t="shared" si="12"/>
        <v>1.2358851310186703E-4</v>
      </c>
      <c r="S118" s="2"/>
      <c r="T118" s="2"/>
      <c r="U118" s="2"/>
      <c r="V118" s="19">
        <f t="shared" si="13"/>
        <v>0</v>
      </c>
      <c r="W118" s="2"/>
      <c r="X118" s="2">
        <f t="shared" si="14"/>
        <v>802.09</v>
      </c>
      <c r="Y118" s="2"/>
      <c r="Z118" s="19">
        <f t="shared" si="15"/>
        <v>0</v>
      </c>
    </row>
    <row r="119" spans="1:26" s="24" customFormat="1" hidden="1" outlineLevel="1" x14ac:dyDescent="0.25">
      <c r="A119" s="44"/>
      <c r="B119" s="11" t="str">
        <f>CONCATENATE("          ", "5025", " - ", "PURCHASES @ COST-TEST FORMS")</f>
        <v xml:space="preserve">          5025 - PURCHASES @ COST-TEST FORMS</v>
      </c>
      <c r="C119" s="11"/>
      <c r="D119" s="2">
        <v>18846</v>
      </c>
      <c r="E119" s="2"/>
      <c r="F119" s="19">
        <f t="shared" si="8"/>
        <v>2.5090667094616576E-2</v>
      </c>
      <c r="G119" s="2"/>
      <c r="H119" s="2"/>
      <c r="I119" s="2"/>
      <c r="J119" s="19">
        <f t="shared" si="9"/>
        <v>0</v>
      </c>
      <c r="K119" s="2"/>
      <c r="L119" s="2">
        <f t="shared" si="10"/>
        <v>18846</v>
      </c>
      <c r="M119" s="2"/>
      <c r="N119" s="19">
        <f t="shared" si="11"/>
        <v>0</v>
      </c>
      <c r="O119" s="11"/>
      <c r="P119" s="2">
        <v>22098.390000000003</v>
      </c>
      <c r="Q119" s="2"/>
      <c r="R119" s="19">
        <f t="shared" si="12"/>
        <v>3.4049884203084038E-3</v>
      </c>
      <c r="S119" s="2"/>
      <c r="T119" s="2"/>
      <c r="U119" s="2"/>
      <c r="V119" s="19">
        <f t="shared" si="13"/>
        <v>0</v>
      </c>
      <c r="W119" s="2"/>
      <c r="X119" s="2">
        <f t="shared" si="14"/>
        <v>22098.390000000003</v>
      </c>
      <c r="Y119" s="2"/>
      <c r="Z119" s="19">
        <f t="shared" si="15"/>
        <v>0</v>
      </c>
    </row>
    <row r="120" spans="1:26" s="24" customFormat="1" hidden="1" outlineLevel="1" x14ac:dyDescent="0.25">
      <c r="A120" s="44"/>
      <c r="B120" s="11" t="str">
        <f>CONCATENATE("          ", "5026", " - ", "PURCHASES @ COST-WRITING INSTR")</f>
        <v xml:space="preserve">          5026 - PURCHASES @ COST-WRITING INSTR</v>
      </c>
      <c r="C120" s="11"/>
      <c r="D120" s="2">
        <v>4633</v>
      </c>
      <c r="E120" s="2"/>
      <c r="F120" s="19">
        <f t="shared" si="8"/>
        <v>6.1681556112362619E-3</v>
      </c>
      <c r="G120" s="2"/>
      <c r="H120" s="2"/>
      <c r="I120" s="2"/>
      <c r="J120" s="19">
        <f t="shared" si="9"/>
        <v>0</v>
      </c>
      <c r="K120" s="2"/>
      <c r="L120" s="2">
        <f t="shared" si="10"/>
        <v>4633</v>
      </c>
      <c r="M120" s="2"/>
      <c r="N120" s="19">
        <f t="shared" si="11"/>
        <v>0</v>
      </c>
      <c r="O120" s="11"/>
      <c r="P120" s="2">
        <v>29950.57</v>
      </c>
      <c r="Q120" s="2"/>
      <c r="R120" s="19">
        <f t="shared" si="12"/>
        <v>4.614876650816474E-3</v>
      </c>
      <c r="S120" s="2"/>
      <c r="T120" s="2"/>
      <c r="U120" s="2"/>
      <c r="V120" s="19">
        <f t="shared" si="13"/>
        <v>0</v>
      </c>
      <c r="W120" s="2"/>
      <c r="X120" s="2">
        <f t="shared" si="14"/>
        <v>29950.57</v>
      </c>
      <c r="Y120" s="2"/>
      <c r="Z120" s="19">
        <f t="shared" si="15"/>
        <v>0</v>
      </c>
    </row>
    <row r="121" spans="1:26" s="24" customFormat="1" hidden="1" outlineLevel="1" x14ac:dyDescent="0.25">
      <c r="A121" s="44"/>
      <c r="B121" s="11" t="str">
        <f>CONCATENATE("          ", "5027", " - ", "PURCHASES @ COST-SCHOOL SUPPLI")</f>
        <v xml:space="preserve">          5027 - PURCHASES @ COST-SCHOOL SUPPLI</v>
      </c>
      <c r="C121" s="11"/>
      <c r="D121" s="2">
        <v>3483.98</v>
      </c>
      <c r="E121" s="2"/>
      <c r="F121" s="19">
        <f t="shared" si="8"/>
        <v>4.6384050909637192E-3</v>
      </c>
      <c r="G121" s="2"/>
      <c r="H121" s="2"/>
      <c r="I121" s="2"/>
      <c r="J121" s="19">
        <f t="shared" si="9"/>
        <v>0</v>
      </c>
      <c r="K121" s="2"/>
      <c r="L121" s="2">
        <f t="shared" si="10"/>
        <v>3483.98</v>
      </c>
      <c r="M121" s="2"/>
      <c r="N121" s="19">
        <f t="shared" si="11"/>
        <v>0</v>
      </c>
      <c r="O121" s="11"/>
      <c r="P121" s="2">
        <v>75506.36</v>
      </c>
      <c r="Q121" s="2"/>
      <c r="R121" s="19">
        <f t="shared" si="12"/>
        <v>1.1634253964186424E-2</v>
      </c>
      <c r="S121" s="2"/>
      <c r="T121" s="2"/>
      <c r="U121" s="2"/>
      <c r="V121" s="19">
        <f t="shared" si="13"/>
        <v>0</v>
      </c>
      <c r="W121" s="2"/>
      <c r="X121" s="2">
        <f t="shared" si="14"/>
        <v>75506.36</v>
      </c>
      <c r="Y121" s="2"/>
      <c r="Z121" s="19">
        <f t="shared" si="15"/>
        <v>0</v>
      </c>
    </row>
    <row r="122" spans="1:26" s="24" customFormat="1" hidden="1" outlineLevel="1" x14ac:dyDescent="0.25">
      <c r="A122" s="44"/>
      <c r="B122" s="11" t="str">
        <f>CONCATENATE("          ", "5028", " - ", "PURCHASES @ COST-ART/TECH")</f>
        <v xml:space="preserve">          5028 - PURCHASES @ COST-ART/TECH</v>
      </c>
      <c r="C122" s="11"/>
      <c r="D122" s="2">
        <v>4931.4399999999996</v>
      </c>
      <c r="E122" s="2"/>
      <c r="F122" s="19">
        <f t="shared" si="8"/>
        <v>6.5654844177584614E-3</v>
      </c>
      <c r="G122" s="2"/>
      <c r="H122" s="2"/>
      <c r="I122" s="2"/>
      <c r="J122" s="19">
        <f t="shared" si="9"/>
        <v>0</v>
      </c>
      <c r="K122" s="2"/>
      <c r="L122" s="2">
        <f t="shared" si="10"/>
        <v>4931.4399999999996</v>
      </c>
      <c r="M122" s="2"/>
      <c r="N122" s="19">
        <f t="shared" si="11"/>
        <v>0</v>
      </c>
      <c r="O122" s="11"/>
      <c r="P122" s="2">
        <v>95270.51</v>
      </c>
      <c r="Q122" s="2"/>
      <c r="R122" s="19">
        <f t="shared" si="12"/>
        <v>1.4679575450830398E-2</v>
      </c>
      <c r="S122" s="2"/>
      <c r="T122" s="2"/>
      <c r="U122" s="2"/>
      <c r="V122" s="19">
        <f t="shared" si="13"/>
        <v>0</v>
      </c>
      <c r="W122" s="2"/>
      <c r="X122" s="2">
        <f t="shared" si="14"/>
        <v>95270.51</v>
      </c>
      <c r="Y122" s="2"/>
      <c r="Z122" s="19">
        <f t="shared" si="15"/>
        <v>0</v>
      </c>
    </row>
    <row r="123" spans="1:26" s="24" customFormat="1" hidden="1" outlineLevel="1" x14ac:dyDescent="0.25">
      <c r="A123" s="44"/>
      <c r="B123" s="11" t="str">
        <f>CONCATENATE("          ", "5031", " - ", "PURCHASES @ COST-FOOD")</f>
        <v xml:space="preserve">          5031 - PURCHASES @ COST-FOOD</v>
      </c>
      <c r="C123" s="11"/>
      <c r="D123" s="2">
        <v>4825.3999999999996</v>
      </c>
      <c r="E123" s="2"/>
      <c r="F123" s="19">
        <f t="shared" si="8"/>
        <v>6.4243078105891338E-3</v>
      </c>
      <c r="G123" s="2"/>
      <c r="H123" s="2"/>
      <c r="I123" s="2"/>
      <c r="J123" s="19">
        <f t="shared" si="9"/>
        <v>0</v>
      </c>
      <c r="K123" s="2"/>
      <c r="L123" s="2">
        <f t="shared" si="10"/>
        <v>4825.3999999999996</v>
      </c>
      <c r="M123" s="2"/>
      <c r="N123" s="19">
        <f t="shared" si="11"/>
        <v>0</v>
      </c>
      <c r="O123" s="11"/>
      <c r="P123" s="2">
        <v>20814.489999999998</v>
      </c>
      <c r="Q123" s="2"/>
      <c r="R123" s="19">
        <f t="shared" si="12"/>
        <v>3.2071611291422161E-3</v>
      </c>
      <c r="S123" s="2"/>
      <c r="T123" s="2"/>
      <c r="U123" s="2"/>
      <c r="V123" s="19">
        <f t="shared" si="13"/>
        <v>0</v>
      </c>
      <c r="W123" s="2"/>
      <c r="X123" s="2">
        <f t="shared" si="14"/>
        <v>20814.489999999998</v>
      </c>
      <c r="Y123" s="2"/>
      <c r="Z123" s="19">
        <f t="shared" si="15"/>
        <v>0</v>
      </c>
    </row>
    <row r="124" spans="1:26" s="24" customFormat="1" hidden="1" outlineLevel="1" x14ac:dyDescent="0.25">
      <c r="A124" s="44"/>
      <c r="B124" s="11" t="str">
        <f>CONCATENATE("          ", "5032", " - ", "PURCHASES @ COST-JUICE")</f>
        <v xml:space="preserve">          5032 - PURCHASES @ COST-JUICE</v>
      </c>
      <c r="C124" s="11"/>
      <c r="D124" s="2">
        <v>1278.21</v>
      </c>
      <c r="E124" s="2"/>
      <c r="F124" s="19">
        <f t="shared" si="8"/>
        <v>1.701747935212239E-3</v>
      </c>
      <c r="G124" s="2"/>
      <c r="H124" s="2"/>
      <c r="I124" s="2"/>
      <c r="J124" s="19">
        <f t="shared" si="9"/>
        <v>0</v>
      </c>
      <c r="K124" s="2"/>
      <c r="L124" s="2">
        <f t="shared" si="10"/>
        <v>1278.21</v>
      </c>
      <c r="M124" s="2"/>
      <c r="N124" s="19">
        <f t="shared" si="11"/>
        <v>0</v>
      </c>
      <c r="O124" s="11"/>
      <c r="P124" s="2">
        <v>4662.49</v>
      </c>
      <c r="Q124" s="2"/>
      <c r="R124" s="19">
        <f t="shared" si="12"/>
        <v>7.1841090956416861E-4</v>
      </c>
      <c r="S124" s="2"/>
      <c r="T124" s="2"/>
      <c r="U124" s="2"/>
      <c r="V124" s="19">
        <f t="shared" si="13"/>
        <v>0</v>
      </c>
      <c r="W124" s="2"/>
      <c r="X124" s="2">
        <f t="shared" si="14"/>
        <v>4662.49</v>
      </c>
      <c r="Y124" s="2"/>
      <c r="Z124" s="19">
        <f t="shared" si="15"/>
        <v>0</v>
      </c>
    </row>
    <row r="125" spans="1:26" s="24" customFormat="1" hidden="1" outlineLevel="1" x14ac:dyDescent="0.25">
      <c r="A125" s="44"/>
      <c r="B125" s="11" t="str">
        <f>CONCATENATE("          ", "5033", " - ", "PURCHASES @ COST-CANDY")</f>
        <v xml:space="preserve">          5033 - PURCHASES @ COST-CANDY</v>
      </c>
      <c r="C125" s="11"/>
      <c r="D125" s="2">
        <v>1482.54</v>
      </c>
      <c r="E125" s="2"/>
      <c r="F125" s="19">
        <f t="shared" si="8"/>
        <v>1.9737831685478543E-3</v>
      </c>
      <c r="G125" s="2"/>
      <c r="H125" s="2"/>
      <c r="I125" s="2"/>
      <c r="J125" s="19">
        <f t="shared" si="9"/>
        <v>0</v>
      </c>
      <c r="K125" s="2"/>
      <c r="L125" s="2">
        <f t="shared" si="10"/>
        <v>1482.54</v>
      </c>
      <c r="M125" s="2"/>
      <c r="N125" s="19">
        <f t="shared" si="11"/>
        <v>0</v>
      </c>
      <c r="O125" s="11"/>
      <c r="P125" s="2">
        <v>5937.74</v>
      </c>
      <c r="Q125" s="2"/>
      <c r="R125" s="19">
        <f t="shared" si="12"/>
        <v>9.1490538192157979E-4</v>
      </c>
      <c r="S125" s="2"/>
      <c r="T125" s="2"/>
      <c r="U125" s="2"/>
      <c r="V125" s="19">
        <f t="shared" si="13"/>
        <v>0</v>
      </c>
      <c r="W125" s="2"/>
      <c r="X125" s="2">
        <f t="shared" si="14"/>
        <v>5937.74</v>
      </c>
      <c r="Y125" s="2"/>
      <c r="Z125" s="19">
        <f t="shared" si="15"/>
        <v>0</v>
      </c>
    </row>
    <row r="126" spans="1:26" s="24" customFormat="1" hidden="1" outlineLevel="1" x14ac:dyDescent="0.25">
      <c r="A126" s="44"/>
      <c r="B126" s="11" t="str">
        <f>CONCATENATE("          ", "5034", " - ", "PURCHASES @ COST-SODA")</f>
        <v xml:space="preserve">          5034 - PURCHASES @ COST-SODA</v>
      </c>
      <c r="C126" s="11"/>
      <c r="D126" s="2">
        <v>587.38</v>
      </c>
      <c r="E126" s="2"/>
      <c r="F126" s="19">
        <f t="shared" si="8"/>
        <v>7.8200976536325396E-4</v>
      </c>
      <c r="G126" s="2"/>
      <c r="H126" s="2"/>
      <c r="I126" s="2"/>
      <c r="J126" s="19">
        <f t="shared" si="9"/>
        <v>0</v>
      </c>
      <c r="K126" s="2"/>
      <c r="L126" s="2">
        <f t="shared" si="10"/>
        <v>587.38</v>
      </c>
      <c r="M126" s="2"/>
      <c r="N126" s="19">
        <f t="shared" si="11"/>
        <v>0</v>
      </c>
      <c r="O126" s="11"/>
      <c r="P126" s="2">
        <v>2081.92</v>
      </c>
      <c r="Q126" s="2"/>
      <c r="R126" s="19">
        <f t="shared" si="12"/>
        <v>3.2078868605398274E-4</v>
      </c>
      <c r="S126" s="2"/>
      <c r="T126" s="2"/>
      <c r="U126" s="2"/>
      <c r="V126" s="19">
        <f t="shared" si="13"/>
        <v>0</v>
      </c>
      <c r="W126" s="2"/>
      <c r="X126" s="2">
        <f t="shared" si="14"/>
        <v>2081.92</v>
      </c>
      <c r="Y126" s="2"/>
      <c r="Z126" s="19">
        <f t="shared" si="15"/>
        <v>0</v>
      </c>
    </row>
    <row r="127" spans="1:26" s="24" customFormat="1" hidden="1" outlineLevel="1" x14ac:dyDescent="0.25">
      <c r="A127" s="44"/>
      <c r="B127" s="11" t="str">
        <f>CONCATENATE("          ", "5035", " - ", "PURCHASES @ COST-HEALTH &amp; BEAU")</f>
        <v xml:space="preserve">          5035 - PURCHASES @ COST-HEALTH &amp; BEAU</v>
      </c>
      <c r="C127" s="11"/>
      <c r="D127" s="2">
        <v>222.52</v>
      </c>
      <c r="E127" s="2"/>
      <c r="F127" s="19">
        <f t="shared" si="8"/>
        <v>2.962525332640391E-4</v>
      </c>
      <c r="G127" s="2"/>
      <c r="H127" s="2"/>
      <c r="I127" s="2"/>
      <c r="J127" s="19">
        <f t="shared" si="9"/>
        <v>0</v>
      </c>
      <c r="K127" s="2"/>
      <c r="L127" s="2">
        <f t="shared" si="10"/>
        <v>222.52</v>
      </c>
      <c r="M127" s="2"/>
      <c r="N127" s="19">
        <f t="shared" si="11"/>
        <v>0</v>
      </c>
      <c r="O127" s="11"/>
      <c r="P127" s="2">
        <v>801.21</v>
      </c>
      <c r="Q127" s="2"/>
      <c r="R127" s="19">
        <f t="shared" si="12"/>
        <v>1.2345291997450022E-4</v>
      </c>
      <c r="S127" s="2"/>
      <c r="T127" s="2"/>
      <c r="U127" s="2"/>
      <c r="V127" s="19">
        <f t="shared" si="13"/>
        <v>0</v>
      </c>
      <c r="W127" s="2"/>
      <c r="X127" s="2">
        <f t="shared" si="14"/>
        <v>801.21</v>
      </c>
      <c r="Y127" s="2"/>
      <c r="Z127" s="19">
        <f t="shared" si="15"/>
        <v>0</v>
      </c>
    </row>
    <row r="128" spans="1:26" s="24" customFormat="1" hidden="1" outlineLevel="1" x14ac:dyDescent="0.25">
      <c r="A128" s="44"/>
      <c r="B128" s="11" t="str">
        <f>CONCATENATE("          ", "5037", " - ", "PURCHASES @ COST-WATER")</f>
        <v xml:space="preserve">          5037 - PURCHASES @ COST-WATER</v>
      </c>
      <c r="C128" s="11"/>
      <c r="D128" s="2">
        <v>667.52</v>
      </c>
      <c r="E128" s="2"/>
      <c r="F128" s="19">
        <f t="shared" si="8"/>
        <v>8.8870434569661763E-4</v>
      </c>
      <c r="G128" s="2"/>
      <c r="H128" s="2"/>
      <c r="I128" s="2"/>
      <c r="J128" s="19">
        <f t="shared" si="9"/>
        <v>0</v>
      </c>
      <c r="K128" s="2"/>
      <c r="L128" s="2">
        <f t="shared" si="10"/>
        <v>667.52</v>
      </c>
      <c r="M128" s="2"/>
      <c r="N128" s="19">
        <f t="shared" si="11"/>
        <v>0</v>
      </c>
      <c r="O128" s="11"/>
      <c r="P128" s="2">
        <v>3523.37</v>
      </c>
      <c r="Q128" s="2"/>
      <c r="R128" s="19">
        <f t="shared" si="12"/>
        <v>5.4289176951180691E-4</v>
      </c>
      <c r="S128" s="2"/>
      <c r="T128" s="2"/>
      <c r="U128" s="2"/>
      <c r="V128" s="19">
        <f t="shared" si="13"/>
        <v>0</v>
      </c>
      <c r="W128" s="2"/>
      <c r="X128" s="2">
        <f t="shared" si="14"/>
        <v>3523.37</v>
      </c>
      <c r="Y128" s="2"/>
      <c r="Z128" s="19">
        <f t="shared" si="15"/>
        <v>0</v>
      </c>
    </row>
    <row r="129" spans="1:26" s="24" customFormat="1" hidden="1" outlineLevel="1" x14ac:dyDescent="0.25">
      <c r="A129" s="44"/>
      <c r="B129" s="11" t="str">
        <f>CONCATENATE("          ", "5040", " - ", "PURCHASES @ COST-LOGO CLOTHING")</f>
        <v xml:space="preserve">          5040 - PURCHASES @ COST-LOGO CLOTHING</v>
      </c>
      <c r="C129" s="11"/>
      <c r="D129" s="2">
        <v>105691.4</v>
      </c>
      <c r="E129" s="2"/>
      <c r="F129" s="19">
        <f t="shared" si="8"/>
        <v>0.14071249772704861</v>
      </c>
      <c r="G129" s="2"/>
      <c r="H129" s="2"/>
      <c r="I129" s="2"/>
      <c r="J129" s="19">
        <f t="shared" si="9"/>
        <v>0</v>
      </c>
      <c r="K129" s="2"/>
      <c r="L129" s="2">
        <f t="shared" si="10"/>
        <v>105691.4</v>
      </c>
      <c r="M129" s="2"/>
      <c r="N129" s="19">
        <f t="shared" si="11"/>
        <v>0</v>
      </c>
      <c r="O129" s="11"/>
      <c r="P129" s="2">
        <v>618292.30999999994</v>
      </c>
      <c r="Q129" s="2"/>
      <c r="R129" s="19">
        <f t="shared" si="12"/>
        <v>9.5268395386077148E-2</v>
      </c>
      <c r="S129" s="2"/>
      <c r="T129" s="2"/>
      <c r="U129" s="2"/>
      <c r="V129" s="19">
        <f t="shared" si="13"/>
        <v>0</v>
      </c>
      <c r="W129" s="2"/>
      <c r="X129" s="2">
        <f t="shared" si="14"/>
        <v>618292.30999999994</v>
      </c>
      <c r="Y129" s="2"/>
      <c r="Z129" s="19">
        <f t="shared" si="15"/>
        <v>0</v>
      </c>
    </row>
    <row r="130" spans="1:26" s="24" customFormat="1" hidden="1" outlineLevel="1" x14ac:dyDescent="0.25">
      <c r="A130" s="44"/>
      <c r="B130" s="11" t="str">
        <f>CONCATENATE("          ", "5041", " - ", "PURCHASES @ COST-LOGO GIFTS")</f>
        <v xml:space="preserve">          5041 - PURCHASES @ COST-LOGO GIFTS</v>
      </c>
      <c r="C130" s="11"/>
      <c r="D130" s="2">
        <v>18340.09</v>
      </c>
      <c r="E130" s="2"/>
      <c r="F130" s="19">
        <f t="shared" si="8"/>
        <v>2.4417122608262048E-2</v>
      </c>
      <c r="G130" s="2"/>
      <c r="H130" s="2"/>
      <c r="I130" s="2"/>
      <c r="J130" s="19">
        <f t="shared" si="9"/>
        <v>0</v>
      </c>
      <c r="K130" s="2"/>
      <c r="L130" s="2">
        <f t="shared" si="10"/>
        <v>18340.09</v>
      </c>
      <c r="M130" s="2"/>
      <c r="N130" s="19">
        <f t="shared" si="11"/>
        <v>0</v>
      </c>
      <c r="O130" s="11"/>
      <c r="P130" s="2">
        <v>88796.55</v>
      </c>
      <c r="Q130" s="2"/>
      <c r="R130" s="19">
        <f t="shared" si="12"/>
        <v>1.3682047629412648E-2</v>
      </c>
      <c r="S130" s="2"/>
      <c r="T130" s="2"/>
      <c r="U130" s="2"/>
      <c r="V130" s="19">
        <f t="shared" si="13"/>
        <v>0</v>
      </c>
      <c r="W130" s="2"/>
      <c r="X130" s="2">
        <f t="shared" si="14"/>
        <v>88796.55</v>
      </c>
      <c r="Y130" s="2"/>
      <c r="Z130" s="19">
        <f t="shared" si="15"/>
        <v>0</v>
      </c>
    </row>
    <row r="131" spans="1:26" s="24" customFormat="1" hidden="1" outlineLevel="1" x14ac:dyDescent="0.25">
      <c r="A131" s="44"/>
      <c r="B131" s="11" t="str">
        <f>CONCATENATE("          ", "5042", " - ", "PURCHASES @ COST-EVERYDAY GIFT")</f>
        <v xml:space="preserve">          5042 - PURCHASES @ COST-EVERYDAY GIFT</v>
      </c>
      <c r="C131" s="11"/>
      <c r="D131" s="2">
        <v>31316.85</v>
      </c>
      <c r="E131" s="2"/>
      <c r="F131" s="19">
        <f t="shared" si="8"/>
        <v>4.1693763016133027E-2</v>
      </c>
      <c r="G131" s="2"/>
      <c r="H131" s="2"/>
      <c r="I131" s="2"/>
      <c r="J131" s="19">
        <f t="shared" si="9"/>
        <v>0</v>
      </c>
      <c r="K131" s="2"/>
      <c r="L131" s="2">
        <f t="shared" si="10"/>
        <v>31316.85</v>
      </c>
      <c r="M131" s="2"/>
      <c r="N131" s="19">
        <f t="shared" si="11"/>
        <v>0</v>
      </c>
      <c r="O131" s="11"/>
      <c r="P131" s="2">
        <v>80565.319999999992</v>
      </c>
      <c r="Q131" s="2"/>
      <c r="R131" s="19">
        <f t="shared" si="12"/>
        <v>1.2413754200122317E-2</v>
      </c>
      <c r="S131" s="2"/>
      <c r="T131" s="2"/>
      <c r="U131" s="2"/>
      <c r="V131" s="19">
        <f t="shared" si="13"/>
        <v>0</v>
      </c>
      <c r="W131" s="2"/>
      <c r="X131" s="2">
        <f t="shared" si="14"/>
        <v>80565.319999999992</v>
      </c>
      <c r="Y131" s="2"/>
      <c r="Z131" s="19">
        <f t="shared" si="15"/>
        <v>0</v>
      </c>
    </row>
    <row r="132" spans="1:26" s="24" customFormat="1" hidden="1" outlineLevel="1" x14ac:dyDescent="0.25">
      <c r="A132" s="44"/>
      <c r="B132" s="11" t="str">
        <f>CONCATENATE("          ", "5043", " - ", "PURCHASES @ COST-CARDS")</f>
        <v xml:space="preserve">          5043 - PURCHASES @ COST-CARDS</v>
      </c>
      <c r="C132" s="11"/>
      <c r="D132" s="2">
        <v>2188.66</v>
      </c>
      <c r="E132" s="2"/>
      <c r="F132" s="19">
        <f t="shared" si="8"/>
        <v>2.9138777164015449E-3</v>
      </c>
      <c r="G132" s="2"/>
      <c r="H132" s="2"/>
      <c r="I132" s="2"/>
      <c r="J132" s="19">
        <f t="shared" si="9"/>
        <v>0</v>
      </c>
      <c r="K132" s="2"/>
      <c r="L132" s="2">
        <f t="shared" si="10"/>
        <v>2188.66</v>
      </c>
      <c r="M132" s="2"/>
      <c r="N132" s="19">
        <f t="shared" si="11"/>
        <v>0</v>
      </c>
      <c r="O132" s="11"/>
      <c r="P132" s="2">
        <v>3528.74</v>
      </c>
      <c r="Q132" s="2"/>
      <c r="R132" s="19">
        <f t="shared" si="12"/>
        <v>5.4371919575494298E-4</v>
      </c>
      <c r="S132" s="2"/>
      <c r="T132" s="2"/>
      <c r="U132" s="2"/>
      <c r="V132" s="19">
        <f t="shared" si="13"/>
        <v>0</v>
      </c>
      <c r="W132" s="2"/>
      <c r="X132" s="2">
        <f t="shared" si="14"/>
        <v>3528.74</v>
      </c>
      <c r="Y132" s="2"/>
      <c r="Z132" s="19">
        <f t="shared" si="15"/>
        <v>0</v>
      </c>
    </row>
    <row r="133" spans="1:26" s="24" customFormat="1" hidden="1" outlineLevel="1" x14ac:dyDescent="0.25">
      <c r="A133" s="44"/>
      <c r="B133" s="11" t="str">
        <f>CONCATENATE("          ", "5044", " - ", "PURCHASES @ COST-ACCESSORIES")</f>
        <v xml:space="preserve">          5044 - PURCHASES @ COST-ACCESSORIES</v>
      </c>
      <c r="C133" s="11"/>
      <c r="D133" s="2">
        <v>-6895.55</v>
      </c>
      <c r="E133" s="2"/>
      <c r="F133" s="19">
        <f t="shared" si="8"/>
        <v>-9.1804069555493657E-3</v>
      </c>
      <c r="G133" s="2"/>
      <c r="H133" s="2"/>
      <c r="I133" s="2"/>
      <c r="J133" s="19">
        <f t="shared" si="9"/>
        <v>0</v>
      </c>
      <c r="K133" s="2"/>
      <c r="L133" s="2">
        <f t="shared" si="10"/>
        <v>-6895.55</v>
      </c>
      <c r="M133" s="2"/>
      <c r="N133" s="19">
        <f t="shared" si="11"/>
        <v>0</v>
      </c>
      <c r="O133" s="11"/>
      <c r="P133" s="2">
        <v>17255.580000000002</v>
      </c>
      <c r="Q133" s="2"/>
      <c r="R133" s="19">
        <f t="shared" si="12"/>
        <v>2.6587932462819818E-3</v>
      </c>
      <c r="S133" s="2"/>
      <c r="T133" s="2"/>
      <c r="U133" s="2"/>
      <c r="V133" s="19">
        <f t="shared" si="13"/>
        <v>0</v>
      </c>
      <c r="W133" s="2"/>
      <c r="X133" s="2">
        <f t="shared" si="14"/>
        <v>17255.580000000002</v>
      </c>
      <c r="Y133" s="2"/>
      <c r="Z133" s="19">
        <f t="shared" si="15"/>
        <v>0</v>
      </c>
    </row>
    <row r="134" spans="1:26" s="24" customFormat="1" hidden="1" outlineLevel="1" x14ac:dyDescent="0.25">
      <c r="A134" s="44"/>
      <c r="B134" s="11" t="str">
        <f>CONCATENATE("          ", "5045", " - ", "PURCHASES @ COST-SPECIAL ORDER")</f>
        <v xml:space="preserve">          5045 - PURCHASES @ COST-SPECIAL ORDER</v>
      </c>
      <c r="C134" s="11"/>
      <c r="D134" s="2">
        <v>14163.29</v>
      </c>
      <c r="E134" s="2"/>
      <c r="F134" s="19">
        <f t="shared" si="8"/>
        <v>1.885632995619824E-2</v>
      </c>
      <c r="G134" s="2"/>
      <c r="H134" s="2"/>
      <c r="I134" s="2"/>
      <c r="J134" s="19">
        <f t="shared" si="9"/>
        <v>0</v>
      </c>
      <c r="K134" s="2"/>
      <c r="L134" s="2">
        <f t="shared" si="10"/>
        <v>14163.29</v>
      </c>
      <c r="M134" s="2"/>
      <c r="N134" s="19">
        <f t="shared" si="11"/>
        <v>0</v>
      </c>
      <c r="O134" s="11"/>
      <c r="P134" s="2">
        <v>42226.49</v>
      </c>
      <c r="Q134" s="2"/>
      <c r="R134" s="19">
        <f t="shared" si="12"/>
        <v>6.5063884509355017E-3</v>
      </c>
      <c r="S134" s="2"/>
      <c r="T134" s="2"/>
      <c r="U134" s="2"/>
      <c r="V134" s="19">
        <f t="shared" si="13"/>
        <v>0</v>
      </c>
      <c r="W134" s="2"/>
      <c r="X134" s="2">
        <f t="shared" si="14"/>
        <v>42226.49</v>
      </c>
      <c r="Y134" s="2"/>
      <c r="Z134" s="19">
        <f t="shared" si="15"/>
        <v>0</v>
      </c>
    </row>
    <row r="135" spans="1:26" s="24" customFormat="1" hidden="1" outlineLevel="1" x14ac:dyDescent="0.25">
      <c r="A135" s="44"/>
      <c r="B135" s="11" t="str">
        <f>CONCATENATE("          ", "5053", " - ", "PURCHASES @ COST-FOOD")</f>
        <v xml:space="preserve">          5053 - PURCHASES @ COST-FOOD</v>
      </c>
      <c r="C135" s="11"/>
      <c r="D135" s="2">
        <v>135831.22</v>
      </c>
      <c r="E135" s="2"/>
      <c r="F135" s="19">
        <f t="shared" si="8"/>
        <v>0.18083921904253555</v>
      </c>
      <c r="G135" s="2"/>
      <c r="H135" s="2"/>
      <c r="I135" s="2"/>
      <c r="J135" s="19">
        <f t="shared" si="9"/>
        <v>0</v>
      </c>
      <c r="K135" s="2"/>
      <c r="L135" s="2">
        <f t="shared" si="10"/>
        <v>135831.22</v>
      </c>
      <c r="M135" s="2"/>
      <c r="N135" s="19">
        <f t="shared" si="11"/>
        <v>0</v>
      </c>
      <c r="O135" s="11"/>
      <c r="P135" s="2">
        <v>713015.79</v>
      </c>
      <c r="Q135" s="2"/>
      <c r="R135" s="19">
        <f t="shared" si="12"/>
        <v>0.10986368275910817</v>
      </c>
      <c r="S135" s="2"/>
      <c r="T135" s="2"/>
      <c r="U135" s="2"/>
      <c r="V135" s="19">
        <f t="shared" si="13"/>
        <v>0</v>
      </c>
      <c r="W135" s="2"/>
      <c r="X135" s="2">
        <f t="shared" si="14"/>
        <v>713015.79</v>
      </c>
      <c r="Y135" s="2"/>
      <c r="Z135" s="19">
        <f t="shared" si="15"/>
        <v>0</v>
      </c>
    </row>
    <row r="136" spans="1:26" s="24" customFormat="1" hidden="1" outlineLevel="1" x14ac:dyDescent="0.25">
      <c r="A136" s="44"/>
      <c r="B136" s="11" t="str">
        <f>CONCATENATE("          ", "5059", " - ", "PURCHASES @ COST-FOOD")</f>
        <v xml:space="preserve">          5059 - PURCHASES @ COST-FOOD</v>
      </c>
      <c r="C136" s="11"/>
      <c r="D136" s="2">
        <v>9484.76</v>
      </c>
      <c r="E136" s="2"/>
      <c r="F136" s="19">
        <f t="shared" si="8"/>
        <v>1.2627557870759606E-2</v>
      </c>
      <c r="G136" s="2"/>
      <c r="H136" s="2"/>
      <c r="I136" s="2"/>
      <c r="J136" s="19">
        <f t="shared" si="9"/>
        <v>0</v>
      </c>
      <c r="K136" s="2"/>
      <c r="L136" s="2">
        <f t="shared" si="10"/>
        <v>9484.76</v>
      </c>
      <c r="M136" s="2"/>
      <c r="N136" s="19">
        <f t="shared" si="11"/>
        <v>0</v>
      </c>
      <c r="O136" s="11"/>
      <c r="P136" s="2">
        <v>-34161.21</v>
      </c>
      <c r="Q136" s="2"/>
      <c r="R136" s="19">
        <f t="shared" si="12"/>
        <v>-5.263665111970765E-3</v>
      </c>
      <c r="S136" s="2"/>
      <c r="T136" s="2"/>
      <c r="U136" s="2"/>
      <c r="V136" s="19">
        <f t="shared" si="13"/>
        <v>0</v>
      </c>
      <c r="W136" s="2"/>
      <c r="X136" s="2">
        <f t="shared" si="14"/>
        <v>-34161.21</v>
      </c>
      <c r="Y136" s="2"/>
      <c r="Z136" s="19">
        <f t="shared" si="15"/>
        <v>0</v>
      </c>
    </row>
    <row r="137" spans="1:26" s="24" customFormat="1" hidden="1" outlineLevel="1" x14ac:dyDescent="0.25">
      <c r="A137" s="44"/>
      <c r="B137" s="11" t="str">
        <f>CONCATENATE("          ", "5081", " - ", "PURCHASES @ COST-ELECTRONICS")</f>
        <v xml:space="preserve">          5081 - PURCHASES @ COST-ELECTRONICS</v>
      </c>
      <c r="C137" s="11"/>
      <c r="D137" s="2">
        <v>281.74</v>
      </c>
      <c r="E137" s="2"/>
      <c r="F137" s="19">
        <f t="shared" si="8"/>
        <v>3.7509522165113417E-4</v>
      </c>
      <c r="G137" s="2"/>
      <c r="H137" s="2"/>
      <c r="I137" s="2"/>
      <c r="J137" s="19">
        <f t="shared" si="9"/>
        <v>0</v>
      </c>
      <c r="K137" s="2"/>
      <c r="L137" s="2">
        <f t="shared" si="10"/>
        <v>281.74</v>
      </c>
      <c r="M137" s="2"/>
      <c r="N137" s="19">
        <f t="shared" si="11"/>
        <v>0</v>
      </c>
      <c r="O137" s="11"/>
      <c r="P137" s="2">
        <v>1244.81</v>
      </c>
      <c r="Q137" s="2"/>
      <c r="R137" s="19">
        <f t="shared" si="12"/>
        <v>1.9180418281531387E-4</v>
      </c>
      <c r="S137" s="2"/>
      <c r="T137" s="2"/>
      <c r="U137" s="2"/>
      <c r="V137" s="19">
        <f t="shared" si="13"/>
        <v>0</v>
      </c>
      <c r="W137" s="2"/>
      <c r="X137" s="2">
        <f t="shared" si="14"/>
        <v>1244.81</v>
      </c>
      <c r="Y137" s="2"/>
      <c r="Z137" s="19">
        <f t="shared" si="15"/>
        <v>0</v>
      </c>
    </row>
    <row r="138" spans="1:26" s="24" customFormat="1" hidden="1" outlineLevel="1" x14ac:dyDescent="0.25">
      <c r="A138" s="44"/>
      <c r="B138" s="11" t="str">
        <f>CONCATENATE("          ", "5082", " - ", "PURCHASES @ COST-COMPUTER HARD")</f>
        <v xml:space="preserve">          5082 - PURCHASES @ COST-COMPUTER HARD</v>
      </c>
      <c r="C138" s="11"/>
      <c r="D138" s="2">
        <v>95</v>
      </c>
      <c r="E138" s="2"/>
      <c r="F138" s="19">
        <f t="shared" si="8"/>
        <v>1.2647847681144936E-4</v>
      </c>
      <c r="G138" s="2"/>
      <c r="H138" s="2"/>
      <c r="I138" s="2"/>
      <c r="J138" s="19">
        <f t="shared" si="9"/>
        <v>0</v>
      </c>
      <c r="K138" s="2"/>
      <c r="L138" s="2">
        <f t="shared" si="10"/>
        <v>95</v>
      </c>
      <c r="M138" s="2"/>
      <c r="N138" s="19">
        <f t="shared" si="11"/>
        <v>0</v>
      </c>
      <c r="O138" s="11"/>
      <c r="P138" s="2">
        <v>244.6</v>
      </c>
      <c r="Q138" s="2"/>
      <c r="R138" s="19">
        <f t="shared" si="12"/>
        <v>3.7688726084001391E-5</v>
      </c>
      <c r="S138" s="2"/>
      <c r="T138" s="2"/>
      <c r="U138" s="2"/>
      <c r="V138" s="19">
        <f t="shared" si="13"/>
        <v>0</v>
      </c>
      <c r="W138" s="2"/>
      <c r="X138" s="2">
        <f t="shared" si="14"/>
        <v>244.6</v>
      </c>
      <c r="Y138" s="2"/>
      <c r="Z138" s="19">
        <f t="shared" si="15"/>
        <v>0</v>
      </c>
    </row>
    <row r="139" spans="1:26" s="24" customFormat="1" hidden="1" outlineLevel="1" x14ac:dyDescent="0.25">
      <c r="A139" s="44"/>
      <c r="B139" s="11" t="str">
        <f>CONCATENATE("          ", "5083", " - ", "PURCHASES @ COST-COMPUTER EQUI")</f>
        <v xml:space="preserve">          5083 - PURCHASES @ COST-COMPUTER EQUI</v>
      </c>
      <c r="C139" s="11"/>
      <c r="D139" s="2"/>
      <c r="E139" s="2"/>
      <c r="F139" s="19">
        <f t="shared" si="8"/>
        <v>0</v>
      </c>
      <c r="G139" s="2"/>
      <c r="H139" s="2"/>
      <c r="I139" s="2"/>
      <c r="J139" s="19">
        <f t="shared" si="9"/>
        <v>0</v>
      </c>
      <c r="K139" s="2"/>
      <c r="L139" s="2">
        <f t="shared" si="10"/>
        <v>0</v>
      </c>
      <c r="M139" s="2"/>
      <c r="N139" s="19">
        <f t="shared" si="11"/>
        <v>0</v>
      </c>
      <c r="O139" s="11"/>
      <c r="P139" s="2">
        <v>232.15</v>
      </c>
      <c r="Q139" s="2"/>
      <c r="R139" s="19">
        <f t="shared" si="12"/>
        <v>3.5770391497959619E-5</v>
      </c>
      <c r="S139" s="2"/>
      <c r="T139" s="2"/>
      <c r="U139" s="2"/>
      <c r="V139" s="19">
        <f t="shared" si="13"/>
        <v>0</v>
      </c>
      <c r="W139" s="2"/>
      <c r="X139" s="2">
        <f t="shared" si="14"/>
        <v>232.15</v>
      </c>
      <c r="Y139" s="2"/>
      <c r="Z139" s="19">
        <f t="shared" si="15"/>
        <v>0</v>
      </c>
    </row>
    <row r="140" spans="1:26" s="24" customFormat="1" hidden="1" outlineLevel="1" x14ac:dyDescent="0.25">
      <c r="A140" s="44"/>
      <c r="B140" s="11" t="str">
        <f>CONCATENATE("          ", "5086", " - ", "PURCHASES @ COST-COMPUTER SUPP")</f>
        <v xml:space="preserve">          5086 - PURCHASES @ COST-COMPUTER SUPP</v>
      </c>
      <c r="C140" s="11"/>
      <c r="D140" s="2">
        <v>87</v>
      </c>
      <c r="E140" s="2"/>
      <c r="F140" s="19">
        <f t="shared" si="8"/>
        <v>1.1582765771153783E-4</v>
      </c>
      <c r="G140" s="2"/>
      <c r="H140" s="2"/>
      <c r="I140" s="2"/>
      <c r="J140" s="19">
        <f t="shared" si="9"/>
        <v>0</v>
      </c>
      <c r="K140" s="2"/>
      <c r="L140" s="2">
        <f t="shared" si="10"/>
        <v>87</v>
      </c>
      <c r="M140" s="2"/>
      <c r="N140" s="19">
        <f t="shared" si="11"/>
        <v>0</v>
      </c>
      <c r="O140" s="11"/>
      <c r="P140" s="2">
        <v>228</v>
      </c>
      <c r="Q140" s="2"/>
      <c r="R140" s="19">
        <f t="shared" si="12"/>
        <v>3.5130946635945695E-5</v>
      </c>
      <c r="S140" s="2"/>
      <c r="T140" s="2"/>
      <c r="U140" s="2"/>
      <c r="V140" s="19">
        <f t="shared" si="13"/>
        <v>0</v>
      </c>
      <c r="W140" s="2"/>
      <c r="X140" s="2">
        <f t="shared" si="14"/>
        <v>228</v>
      </c>
      <c r="Y140" s="2"/>
      <c r="Z140" s="19">
        <f t="shared" si="15"/>
        <v>0</v>
      </c>
    </row>
    <row r="141" spans="1:26" s="24" customFormat="1" hidden="1" outlineLevel="1" x14ac:dyDescent="0.25">
      <c r="A141" s="44"/>
      <c r="B141" s="11" t="str">
        <f>CONCATENATE("          ", "5092", " - ", "PURCHASES @ COST-GRAD MERCH")</f>
        <v xml:space="preserve">          5092 - PURCHASES @ COST-GRAD MERCH</v>
      </c>
      <c r="C141" s="11"/>
      <c r="D141" s="2">
        <v>628</v>
      </c>
      <c r="E141" s="2"/>
      <c r="F141" s="19">
        <f t="shared" si="8"/>
        <v>8.3608929934305472E-4</v>
      </c>
      <c r="G141" s="2"/>
      <c r="H141" s="2"/>
      <c r="I141" s="2"/>
      <c r="J141" s="19">
        <f t="shared" si="9"/>
        <v>0</v>
      </c>
      <c r="K141" s="2"/>
      <c r="L141" s="2">
        <f t="shared" si="10"/>
        <v>628</v>
      </c>
      <c r="M141" s="2"/>
      <c r="N141" s="19">
        <f t="shared" si="11"/>
        <v>0</v>
      </c>
      <c r="O141" s="11"/>
      <c r="P141" s="2">
        <v>1924.14</v>
      </c>
      <c r="Q141" s="2"/>
      <c r="R141" s="19">
        <f t="shared" si="12"/>
        <v>2.964774546495112E-4</v>
      </c>
      <c r="S141" s="2"/>
      <c r="T141" s="2"/>
      <c r="U141" s="2"/>
      <c r="V141" s="19">
        <f t="shared" si="13"/>
        <v>0</v>
      </c>
      <c r="W141" s="2"/>
      <c r="X141" s="2">
        <f t="shared" si="14"/>
        <v>1924.14</v>
      </c>
      <c r="Y141" s="2"/>
      <c r="Z141" s="19">
        <f t="shared" si="15"/>
        <v>0</v>
      </c>
    </row>
    <row r="142" spans="1:26" s="24" customFormat="1" hidden="1" outlineLevel="1" x14ac:dyDescent="0.25">
      <c r="A142" s="44"/>
      <c r="B142" s="11" t="str">
        <f>CONCATENATE("          ", "5095", " - ", "PURCHASES @ COST-CUSTOMER SERV")</f>
        <v xml:space="preserve">          5095 - PURCHASES @ COST-CUSTOMER SERV</v>
      </c>
      <c r="C142" s="11"/>
      <c r="D142" s="2"/>
      <c r="E142" s="2"/>
      <c r="F142" s="19">
        <f t="shared" si="8"/>
        <v>0</v>
      </c>
      <c r="G142" s="2"/>
      <c r="H142" s="2"/>
      <c r="I142" s="2"/>
      <c r="J142" s="19">
        <f t="shared" si="9"/>
        <v>0</v>
      </c>
      <c r="K142" s="2"/>
      <c r="L142" s="2">
        <f t="shared" si="10"/>
        <v>0</v>
      </c>
      <c r="M142" s="2"/>
      <c r="N142" s="19">
        <f t="shared" si="11"/>
        <v>0</v>
      </c>
      <c r="O142" s="11"/>
      <c r="P142" s="2">
        <v>0</v>
      </c>
      <c r="Q142" s="2"/>
      <c r="R142" s="19">
        <f t="shared" si="12"/>
        <v>0</v>
      </c>
      <c r="S142" s="2"/>
      <c r="T142" s="2"/>
      <c r="U142" s="2"/>
      <c r="V142" s="19">
        <f t="shared" si="13"/>
        <v>0</v>
      </c>
      <c r="W142" s="2"/>
      <c r="X142" s="2">
        <f t="shared" si="14"/>
        <v>0</v>
      </c>
      <c r="Y142" s="2"/>
      <c r="Z142" s="19">
        <f t="shared" si="15"/>
        <v>0</v>
      </c>
    </row>
    <row r="143" spans="1:26" s="24" customFormat="1" hidden="1" outlineLevel="1" x14ac:dyDescent="0.25">
      <c r="A143" s="44"/>
      <c r="B143" s="11" t="str">
        <f>CONCATENATE("          ", "5200", " - ", "PURCHASES OFFSET")</f>
        <v xml:space="preserve">          5200 - PURCHASES OFFSET</v>
      </c>
      <c r="C143" s="11"/>
      <c r="D143" s="2">
        <v>114626</v>
      </c>
      <c r="E143" s="2"/>
      <c r="F143" s="19">
        <f t="shared" si="8"/>
        <v>0.15260759876830732</v>
      </c>
      <c r="G143" s="2"/>
      <c r="H143" s="2"/>
      <c r="I143" s="2"/>
      <c r="J143" s="19">
        <f t="shared" si="9"/>
        <v>0</v>
      </c>
      <c r="K143" s="2"/>
      <c r="L143" s="2">
        <f t="shared" si="10"/>
        <v>114626</v>
      </c>
      <c r="M143" s="2"/>
      <c r="N143" s="19">
        <f t="shared" si="11"/>
        <v>0</v>
      </c>
      <c r="O143" s="11"/>
      <c r="P143" s="2">
        <v>-2624146</v>
      </c>
      <c r="Q143" s="2"/>
      <c r="R143" s="19">
        <f t="shared" si="12"/>
        <v>-0.40433654864443136</v>
      </c>
      <c r="S143" s="2"/>
      <c r="T143" s="2"/>
      <c r="U143" s="2"/>
      <c r="V143" s="19">
        <f t="shared" si="13"/>
        <v>0</v>
      </c>
      <c r="W143" s="2"/>
      <c r="X143" s="2">
        <f t="shared" si="14"/>
        <v>-2624146</v>
      </c>
      <c r="Y143" s="2"/>
      <c r="Z143" s="19">
        <f t="shared" si="15"/>
        <v>0</v>
      </c>
    </row>
    <row r="144" spans="1:26" s="24" customFormat="1" hidden="1" outlineLevel="1" x14ac:dyDescent="0.25">
      <c r="A144" s="44"/>
      <c r="B144" s="11" t="str">
        <f>CONCATENATE("          ", "5300", " - ", "COG$ OFFSET")</f>
        <v xml:space="preserve">          5300 - COG$ OFFSET</v>
      </c>
      <c r="C144" s="11"/>
      <c r="D144" s="2">
        <v>210505</v>
      </c>
      <c r="E144" s="2"/>
      <c r="F144" s="19">
        <f t="shared" si="8"/>
        <v>0.28025633432835945</v>
      </c>
      <c r="G144" s="2"/>
      <c r="H144" s="2"/>
      <c r="I144" s="2"/>
      <c r="J144" s="19">
        <f t="shared" si="9"/>
        <v>0</v>
      </c>
      <c r="K144" s="2"/>
      <c r="L144" s="2">
        <f t="shared" si="10"/>
        <v>210505</v>
      </c>
      <c r="M144" s="2"/>
      <c r="N144" s="19">
        <f t="shared" si="11"/>
        <v>0</v>
      </c>
      <c r="O144" s="11"/>
      <c r="P144" s="2">
        <v>2342898</v>
      </c>
      <c r="Q144" s="2"/>
      <c r="R144" s="19">
        <f t="shared" si="12"/>
        <v>0.36100098513799955</v>
      </c>
      <c r="S144" s="2"/>
      <c r="T144" s="2"/>
      <c r="U144" s="2"/>
      <c r="V144" s="19">
        <f t="shared" si="13"/>
        <v>0</v>
      </c>
      <c r="W144" s="2"/>
      <c r="X144" s="2">
        <f t="shared" si="14"/>
        <v>2342898</v>
      </c>
      <c r="Y144" s="2"/>
      <c r="Z144" s="19">
        <f t="shared" si="15"/>
        <v>0</v>
      </c>
    </row>
    <row r="145" spans="1:26" s="24" customFormat="1" hidden="1" outlineLevel="1" x14ac:dyDescent="0.25">
      <c r="A145" s="44"/>
      <c r="B145" s="11" t="str">
        <f>CONCATENATE("          ", "5500", " - ", "FREIGHT-IN")</f>
        <v xml:space="preserve">          5500 - FREIGHT-IN</v>
      </c>
      <c r="C145" s="11"/>
      <c r="D145" s="2"/>
      <c r="E145" s="2"/>
      <c r="F145" s="19">
        <f t="shared" si="8"/>
        <v>0</v>
      </c>
      <c r="G145" s="2"/>
      <c r="H145" s="2"/>
      <c r="I145" s="2"/>
      <c r="J145" s="19">
        <f t="shared" si="9"/>
        <v>0</v>
      </c>
      <c r="K145" s="2"/>
      <c r="L145" s="2">
        <f t="shared" si="10"/>
        <v>0</v>
      </c>
      <c r="M145" s="2"/>
      <c r="N145" s="19">
        <f t="shared" si="11"/>
        <v>0</v>
      </c>
      <c r="O145" s="11"/>
      <c r="P145" s="2">
        <v>35.229999999999997</v>
      </c>
      <c r="Q145" s="2"/>
      <c r="R145" s="19">
        <f t="shared" si="12"/>
        <v>5.4283475876507315E-6</v>
      </c>
      <c r="S145" s="2"/>
      <c r="T145" s="2"/>
      <c r="U145" s="2"/>
      <c r="V145" s="19">
        <f t="shared" si="13"/>
        <v>0</v>
      </c>
      <c r="W145" s="2"/>
      <c r="X145" s="2">
        <f t="shared" si="14"/>
        <v>35.229999999999997</v>
      </c>
      <c r="Y145" s="2"/>
      <c r="Z145" s="19">
        <f t="shared" si="15"/>
        <v>0</v>
      </c>
    </row>
    <row r="146" spans="1:26" s="24" customFormat="1" hidden="1" outlineLevel="1" x14ac:dyDescent="0.25">
      <c r="A146" s="44"/>
      <c r="B146" s="11" t="str">
        <f>CONCATENATE("          ", "5501", " - ", "FREIGHT-IN-NEW TEXT")</f>
        <v xml:space="preserve">          5501 - FREIGHT-IN-NEW TEXT</v>
      </c>
      <c r="C146" s="11"/>
      <c r="D146" s="2">
        <v>490.07</v>
      </c>
      <c r="E146" s="2"/>
      <c r="F146" s="19">
        <f t="shared" si="8"/>
        <v>6.5245586453670516E-4</v>
      </c>
      <c r="G146" s="2"/>
      <c r="H146" s="2"/>
      <c r="I146" s="2"/>
      <c r="J146" s="19">
        <f t="shared" si="9"/>
        <v>0</v>
      </c>
      <c r="K146" s="2"/>
      <c r="L146" s="2">
        <f t="shared" si="10"/>
        <v>490.07</v>
      </c>
      <c r="M146" s="2"/>
      <c r="N146" s="19">
        <f t="shared" si="11"/>
        <v>0</v>
      </c>
      <c r="O146" s="11"/>
      <c r="P146" s="2">
        <v>34507.550000000003</v>
      </c>
      <c r="Q146" s="2"/>
      <c r="R146" s="19">
        <f t="shared" si="12"/>
        <v>5.3170302525755615E-3</v>
      </c>
      <c r="S146" s="2"/>
      <c r="T146" s="2"/>
      <c r="U146" s="2"/>
      <c r="V146" s="19">
        <f t="shared" si="13"/>
        <v>0</v>
      </c>
      <c r="W146" s="2"/>
      <c r="X146" s="2">
        <f t="shared" si="14"/>
        <v>34507.550000000003</v>
      </c>
      <c r="Y146" s="2"/>
      <c r="Z146" s="19">
        <f t="shared" si="15"/>
        <v>0</v>
      </c>
    </row>
    <row r="147" spans="1:26" s="24" customFormat="1" hidden="1" outlineLevel="1" x14ac:dyDescent="0.25">
      <c r="A147" s="44"/>
      <c r="B147" s="11" t="str">
        <f>CONCATENATE("          ", "5502", " - ", "FREIGHT-IN-USED TEXT")</f>
        <v xml:space="preserve">          5502 - FREIGHT-IN-USED TEXT</v>
      </c>
      <c r="C147" s="11"/>
      <c r="D147" s="2">
        <v>237.65</v>
      </c>
      <c r="E147" s="2"/>
      <c r="F147" s="19">
        <f t="shared" si="8"/>
        <v>3.1639589488674676E-4</v>
      </c>
      <c r="G147" s="2"/>
      <c r="H147" s="2"/>
      <c r="I147" s="2"/>
      <c r="J147" s="19">
        <f t="shared" si="9"/>
        <v>0</v>
      </c>
      <c r="K147" s="2"/>
      <c r="L147" s="2">
        <f t="shared" si="10"/>
        <v>237.65</v>
      </c>
      <c r="M147" s="2"/>
      <c r="N147" s="19">
        <f t="shared" si="11"/>
        <v>0</v>
      </c>
      <c r="O147" s="11"/>
      <c r="P147" s="2">
        <v>7090.12</v>
      </c>
      <c r="Q147" s="2"/>
      <c r="R147" s="19">
        <f t="shared" si="12"/>
        <v>1.0924676638704005E-3</v>
      </c>
      <c r="S147" s="2"/>
      <c r="T147" s="2"/>
      <c r="U147" s="2"/>
      <c r="V147" s="19">
        <f t="shared" si="13"/>
        <v>0</v>
      </c>
      <c r="W147" s="2"/>
      <c r="X147" s="2">
        <f t="shared" si="14"/>
        <v>7090.12</v>
      </c>
      <c r="Y147" s="2"/>
      <c r="Z147" s="19">
        <f t="shared" si="15"/>
        <v>0</v>
      </c>
    </row>
    <row r="148" spans="1:26" s="24" customFormat="1" hidden="1" outlineLevel="1" x14ac:dyDescent="0.25">
      <c r="A148" s="44"/>
      <c r="B148" s="11" t="str">
        <f>CONCATENATE("          ", "5504", " - ", "FREIGHT-IN-DIGITAL TEXT")</f>
        <v xml:space="preserve">          5504 - FREIGHT-IN-DIGITAL TEXT</v>
      </c>
      <c r="C148" s="11"/>
      <c r="D148" s="2">
        <v>5</v>
      </c>
      <c r="E148" s="2"/>
      <c r="F148" s="19">
        <f t="shared" si="8"/>
        <v>6.6567619374447031E-6</v>
      </c>
      <c r="G148" s="2"/>
      <c r="H148" s="2"/>
      <c r="I148" s="2"/>
      <c r="J148" s="19">
        <f t="shared" si="9"/>
        <v>0</v>
      </c>
      <c r="K148" s="2"/>
      <c r="L148" s="2">
        <f t="shared" si="10"/>
        <v>5</v>
      </c>
      <c r="M148" s="2"/>
      <c r="N148" s="19">
        <f t="shared" si="11"/>
        <v>0</v>
      </c>
      <c r="O148" s="11"/>
      <c r="P148" s="2">
        <v>105.97</v>
      </c>
      <c r="Q148" s="2"/>
      <c r="R148" s="19">
        <f t="shared" si="12"/>
        <v>1.6328186030750724E-5</v>
      </c>
      <c r="S148" s="2"/>
      <c r="T148" s="2"/>
      <c r="U148" s="2"/>
      <c r="V148" s="19">
        <f t="shared" si="13"/>
        <v>0</v>
      </c>
      <c r="W148" s="2"/>
      <c r="X148" s="2">
        <f t="shared" si="14"/>
        <v>105.97</v>
      </c>
      <c r="Y148" s="2"/>
      <c r="Z148" s="19">
        <f t="shared" si="15"/>
        <v>0</v>
      </c>
    </row>
    <row r="149" spans="1:26" s="24" customFormat="1" hidden="1" outlineLevel="1" x14ac:dyDescent="0.25">
      <c r="A149" s="44"/>
      <c r="B149" s="11" t="str">
        <f>CONCATENATE("          ", "5513", " - ", "FREIGHT-IN-TRADE BOOKS")</f>
        <v xml:space="preserve">          5513 - FREIGHT-IN-TRADE BOOKS</v>
      </c>
      <c r="C149" s="11"/>
      <c r="D149" s="2">
        <v>12.33</v>
      </c>
      <c r="E149" s="2"/>
      <c r="F149" s="19">
        <f t="shared" si="8"/>
        <v>1.6415574937738637E-5</v>
      </c>
      <c r="G149" s="2"/>
      <c r="H149" s="2"/>
      <c r="I149" s="2"/>
      <c r="J149" s="19">
        <f t="shared" si="9"/>
        <v>0</v>
      </c>
      <c r="K149" s="2"/>
      <c r="L149" s="2">
        <f t="shared" si="10"/>
        <v>12.33</v>
      </c>
      <c r="M149" s="2"/>
      <c r="N149" s="19">
        <f t="shared" si="11"/>
        <v>0</v>
      </c>
      <c r="O149" s="11"/>
      <c r="P149" s="2">
        <v>12.33</v>
      </c>
      <c r="Q149" s="2"/>
      <c r="R149" s="19">
        <f t="shared" si="12"/>
        <v>1.8998446141281159E-6</v>
      </c>
      <c r="S149" s="2"/>
      <c r="T149" s="2"/>
      <c r="U149" s="2"/>
      <c r="V149" s="19">
        <f t="shared" si="13"/>
        <v>0</v>
      </c>
      <c r="W149" s="2"/>
      <c r="X149" s="2">
        <f t="shared" si="14"/>
        <v>12.33</v>
      </c>
      <c r="Y149" s="2"/>
      <c r="Z149" s="19">
        <f t="shared" si="15"/>
        <v>0</v>
      </c>
    </row>
    <row r="150" spans="1:26" s="24" customFormat="1" hidden="1" outlineLevel="1" x14ac:dyDescent="0.25">
      <c r="A150" s="44"/>
      <c r="B150" s="11" t="str">
        <f>CONCATENATE("          ", "5518", " - ", "FREIGHT-IN-STUDY GUIDES")</f>
        <v xml:space="preserve">          5518 - FREIGHT-IN-STUDY GUIDES</v>
      </c>
      <c r="C150" s="11"/>
      <c r="D150" s="2">
        <v>12.26</v>
      </c>
      <c r="E150" s="2"/>
      <c r="F150" s="19">
        <f t="shared" si="8"/>
        <v>1.6322380270614413E-5</v>
      </c>
      <c r="G150" s="2"/>
      <c r="H150" s="2"/>
      <c r="I150" s="2"/>
      <c r="J150" s="19">
        <f t="shared" si="9"/>
        <v>0</v>
      </c>
      <c r="K150" s="2"/>
      <c r="L150" s="2">
        <f t="shared" si="10"/>
        <v>12.26</v>
      </c>
      <c r="M150" s="2"/>
      <c r="N150" s="19">
        <f t="shared" si="11"/>
        <v>0</v>
      </c>
      <c r="O150" s="11"/>
      <c r="P150" s="2">
        <v>12.26</v>
      </c>
      <c r="Q150" s="2"/>
      <c r="R150" s="19">
        <f t="shared" si="12"/>
        <v>1.8890587971784834E-6</v>
      </c>
      <c r="S150" s="2"/>
      <c r="T150" s="2"/>
      <c r="U150" s="2"/>
      <c r="V150" s="19">
        <f t="shared" si="13"/>
        <v>0</v>
      </c>
      <c r="W150" s="2"/>
      <c r="X150" s="2">
        <f t="shared" si="14"/>
        <v>12.26</v>
      </c>
      <c r="Y150" s="2"/>
      <c r="Z150" s="19">
        <f t="shared" si="15"/>
        <v>0</v>
      </c>
    </row>
    <row r="151" spans="1:26" s="24" customFormat="1" hidden="1" outlineLevel="1" x14ac:dyDescent="0.25">
      <c r="A151" s="44"/>
      <c r="B151" s="11" t="str">
        <f>CONCATENATE("          ", "5525", " - ", "FREIGHT-IN-TEST FORMS")</f>
        <v xml:space="preserve">          5525 - FREIGHT-IN-TEST FORMS</v>
      </c>
      <c r="C151" s="11"/>
      <c r="D151" s="2">
        <v>335.7</v>
      </c>
      <c r="E151" s="2"/>
      <c r="F151" s="19">
        <f t="shared" si="8"/>
        <v>4.4693499648003739E-4</v>
      </c>
      <c r="G151" s="2"/>
      <c r="H151" s="2"/>
      <c r="I151" s="2"/>
      <c r="J151" s="19">
        <f t="shared" si="9"/>
        <v>0</v>
      </c>
      <c r="K151" s="2"/>
      <c r="L151" s="2">
        <f t="shared" si="10"/>
        <v>335.7</v>
      </c>
      <c r="M151" s="2"/>
      <c r="N151" s="19">
        <f t="shared" si="11"/>
        <v>0</v>
      </c>
      <c r="O151" s="11"/>
      <c r="P151" s="2">
        <v>374.92</v>
      </c>
      <c r="Q151" s="2"/>
      <c r="R151" s="19">
        <f t="shared" si="12"/>
        <v>5.7768835582231404E-5</v>
      </c>
      <c r="S151" s="2"/>
      <c r="T151" s="2"/>
      <c r="U151" s="2"/>
      <c r="V151" s="19">
        <f t="shared" si="13"/>
        <v>0</v>
      </c>
      <c r="W151" s="2"/>
      <c r="X151" s="2">
        <f t="shared" si="14"/>
        <v>374.92</v>
      </c>
      <c r="Y151" s="2"/>
      <c r="Z151" s="19">
        <f t="shared" si="15"/>
        <v>0</v>
      </c>
    </row>
    <row r="152" spans="1:26" s="24" customFormat="1" hidden="1" outlineLevel="1" x14ac:dyDescent="0.25">
      <c r="A152" s="44"/>
      <c r="B152" s="11" t="str">
        <f>CONCATENATE("          ", "5526", " - ", "FREIGHT-IN-WRITING INSTRUMENTS")</f>
        <v xml:space="preserve">          5526 - FREIGHT-IN-WRITING INSTRUMENTS</v>
      </c>
      <c r="C152" s="11"/>
      <c r="D152" s="2">
        <v>160.91999999999999</v>
      </c>
      <c r="E152" s="2"/>
      <c r="F152" s="19">
        <f t="shared" si="8"/>
        <v>2.1424122619472031E-4</v>
      </c>
      <c r="G152" s="2"/>
      <c r="H152" s="2"/>
      <c r="I152" s="2"/>
      <c r="J152" s="19">
        <f t="shared" si="9"/>
        <v>0</v>
      </c>
      <c r="K152" s="2"/>
      <c r="L152" s="2">
        <f t="shared" si="10"/>
        <v>160.91999999999999</v>
      </c>
      <c r="M152" s="2"/>
      <c r="N152" s="19">
        <f t="shared" si="11"/>
        <v>0</v>
      </c>
      <c r="O152" s="11"/>
      <c r="P152" s="2">
        <v>217.49</v>
      </c>
      <c r="Q152" s="2"/>
      <c r="R152" s="19">
        <f t="shared" si="12"/>
        <v>3.3511533262508022E-5</v>
      </c>
      <c r="S152" s="2"/>
      <c r="T152" s="2"/>
      <c r="U152" s="2"/>
      <c r="V152" s="19">
        <f t="shared" si="13"/>
        <v>0</v>
      </c>
      <c r="W152" s="2"/>
      <c r="X152" s="2">
        <f t="shared" si="14"/>
        <v>217.49</v>
      </c>
      <c r="Y152" s="2"/>
      <c r="Z152" s="19">
        <f t="shared" si="15"/>
        <v>0</v>
      </c>
    </row>
    <row r="153" spans="1:26" s="24" customFormat="1" hidden="1" outlineLevel="1" x14ac:dyDescent="0.25">
      <c r="A153" s="44"/>
      <c r="B153" s="11" t="str">
        <f>CONCATENATE("          ", "5527", " - ", "FREIGHT-IN-SCHOOL SUPPLIES")</f>
        <v xml:space="preserve">          5527 - FREIGHT-IN-SCHOOL SUPPLIES</v>
      </c>
      <c r="C153" s="11"/>
      <c r="D153" s="2">
        <v>134.09</v>
      </c>
      <c r="E153" s="2"/>
      <c r="F153" s="19">
        <f t="shared" si="8"/>
        <v>1.7852104163839207E-4</v>
      </c>
      <c r="G153" s="2"/>
      <c r="H153" s="2"/>
      <c r="I153" s="2"/>
      <c r="J153" s="19">
        <f t="shared" si="9"/>
        <v>0</v>
      </c>
      <c r="K153" s="2"/>
      <c r="L153" s="2">
        <f t="shared" si="10"/>
        <v>134.09</v>
      </c>
      <c r="M153" s="2"/>
      <c r="N153" s="19">
        <f t="shared" si="11"/>
        <v>0</v>
      </c>
      <c r="O153" s="11"/>
      <c r="P153" s="2">
        <v>872.58</v>
      </c>
      <c r="Q153" s="2"/>
      <c r="R153" s="19">
        <f t="shared" si="12"/>
        <v>1.344498307701469E-4</v>
      </c>
      <c r="S153" s="2"/>
      <c r="T153" s="2"/>
      <c r="U153" s="2"/>
      <c r="V153" s="19">
        <f t="shared" si="13"/>
        <v>0</v>
      </c>
      <c r="W153" s="2"/>
      <c r="X153" s="2">
        <f t="shared" si="14"/>
        <v>872.58</v>
      </c>
      <c r="Y153" s="2"/>
      <c r="Z153" s="19">
        <f t="shared" si="15"/>
        <v>0</v>
      </c>
    </row>
    <row r="154" spans="1:26" s="24" customFormat="1" hidden="1" outlineLevel="1" x14ac:dyDescent="0.25">
      <c r="A154" s="44"/>
      <c r="B154" s="11" t="str">
        <f>CONCATENATE("          ", "5528", " - ", "FREIGHT-IN-ART/TECH")</f>
        <v xml:space="preserve">          5528 - FREIGHT-IN-ART/TECH</v>
      </c>
      <c r="C154" s="11"/>
      <c r="D154" s="2">
        <v>105.06</v>
      </c>
      <c r="E154" s="2"/>
      <c r="F154" s="19">
        <f t="shared" si="8"/>
        <v>1.398718818295881E-4</v>
      </c>
      <c r="G154" s="2"/>
      <c r="H154" s="2"/>
      <c r="I154" s="2"/>
      <c r="J154" s="19">
        <f t="shared" si="9"/>
        <v>0</v>
      </c>
      <c r="K154" s="2"/>
      <c r="L154" s="2">
        <f t="shared" si="10"/>
        <v>105.06</v>
      </c>
      <c r="M154" s="2"/>
      <c r="N154" s="19">
        <f t="shared" si="11"/>
        <v>0</v>
      </c>
      <c r="O154" s="11"/>
      <c r="P154" s="2">
        <v>923.5</v>
      </c>
      <c r="Q154" s="2"/>
      <c r="R154" s="19">
        <f t="shared" si="12"/>
        <v>1.4229574218550811E-4</v>
      </c>
      <c r="S154" s="2"/>
      <c r="T154" s="2"/>
      <c r="U154" s="2"/>
      <c r="V154" s="19">
        <f t="shared" si="13"/>
        <v>0</v>
      </c>
      <c r="W154" s="2"/>
      <c r="X154" s="2">
        <f t="shared" si="14"/>
        <v>923.5</v>
      </c>
      <c r="Y154" s="2"/>
      <c r="Z154" s="19">
        <f t="shared" si="15"/>
        <v>0</v>
      </c>
    </row>
    <row r="155" spans="1:26" s="24" customFormat="1" hidden="1" outlineLevel="1" x14ac:dyDescent="0.25">
      <c r="A155" s="44"/>
      <c r="B155" s="11" t="str">
        <f>CONCATENATE("          ", "5540", " - ", "FREIGHT-IN-LOGO CLOTHING")</f>
        <v xml:space="preserve">          5540 - FREIGHT-IN-LOGO CLOTHING</v>
      </c>
      <c r="C155" s="11"/>
      <c r="D155" s="2">
        <v>6133.89</v>
      </c>
      <c r="E155" s="2"/>
      <c r="F155" s="19">
        <f t="shared" si="8"/>
        <v>8.1663690960945383E-3</v>
      </c>
      <c r="G155" s="2"/>
      <c r="H155" s="2"/>
      <c r="I155" s="2"/>
      <c r="J155" s="19">
        <f t="shared" si="9"/>
        <v>0</v>
      </c>
      <c r="K155" s="2"/>
      <c r="L155" s="2">
        <f t="shared" si="10"/>
        <v>6133.89</v>
      </c>
      <c r="M155" s="2"/>
      <c r="N155" s="19">
        <f t="shared" si="11"/>
        <v>0</v>
      </c>
      <c r="O155" s="11"/>
      <c r="P155" s="2">
        <v>20241.329999999998</v>
      </c>
      <c r="Q155" s="2"/>
      <c r="R155" s="19">
        <f t="shared" si="12"/>
        <v>3.1188468599586253E-3</v>
      </c>
      <c r="S155" s="2"/>
      <c r="T155" s="2"/>
      <c r="U155" s="2"/>
      <c r="V155" s="19">
        <f t="shared" si="13"/>
        <v>0</v>
      </c>
      <c r="W155" s="2"/>
      <c r="X155" s="2">
        <f t="shared" si="14"/>
        <v>20241.329999999998</v>
      </c>
      <c r="Y155" s="2"/>
      <c r="Z155" s="19">
        <f t="shared" si="15"/>
        <v>0</v>
      </c>
    </row>
    <row r="156" spans="1:26" s="24" customFormat="1" hidden="1" outlineLevel="1" x14ac:dyDescent="0.25">
      <c r="A156" s="44"/>
      <c r="B156" s="11" t="str">
        <f>CONCATENATE("          ", "5541", " - ", "FREIGHT-IN-LOGO GIFTS")</f>
        <v xml:space="preserve">          5541 - FREIGHT-IN-LOGO GIFTS</v>
      </c>
      <c r="C156" s="11"/>
      <c r="D156" s="2">
        <v>1315.98</v>
      </c>
      <c r="E156" s="2"/>
      <c r="F156" s="19">
        <f t="shared" si="8"/>
        <v>1.7520331148876962E-3</v>
      </c>
      <c r="G156" s="2"/>
      <c r="H156" s="2"/>
      <c r="I156" s="2"/>
      <c r="J156" s="19">
        <f t="shared" si="9"/>
        <v>0</v>
      </c>
      <c r="K156" s="2"/>
      <c r="L156" s="2">
        <f t="shared" si="10"/>
        <v>1315.98</v>
      </c>
      <c r="M156" s="2"/>
      <c r="N156" s="19">
        <f t="shared" si="11"/>
        <v>0</v>
      </c>
      <c r="O156" s="11"/>
      <c r="P156" s="2">
        <v>2852.83</v>
      </c>
      <c r="Q156" s="2"/>
      <c r="R156" s="19">
        <f t="shared" si="12"/>
        <v>4.3957288812028489E-4</v>
      </c>
      <c r="S156" s="2"/>
      <c r="T156" s="2"/>
      <c r="U156" s="2"/>
      <c r="V156" s="19">
        <f t="shared" si="13"/>
        <v>0</v>
      </c>
      <c r="W156" s="2"/>
      <c r="X156" s="2">
        <f t="shared" si="14"/>
        <v>2852.83</v>
      </c>
      <c r="Y156" s="2"/>
      <c r="Z156" s="19">
        <f t="shared" si="15"/>
        <v>0</v>
      </c>
    </row>
    <row r="157" spans="1:26" s="24" customFormat="1" hidden="1" outlineLevel="1" x14ac:dyDescent="0.25">
      <c r="A157" s="44"/>
      <c r="B157" s="11" t="str">
        <f>CONCATENATE("          ", "5542", " - ", "FREIGHT-IN-EVERYDAY GIFTS")</f>
        <v xml:space="preserve">          5542 - FREIGHT-IN-EVERYDAY GIFTS</v>
      </c>
      <c r="C157" s="11"/>
      <c r="D157" s="2">
        <v>745.78</v>
      </c>
      <c r="E157" s="2"/>
      <c r="F157" s="19">
        <f t="shared" si="8"/>
        <v>9.9289598354150208E-4</v>
      </c>
      <c r="G157" s="2"/>
      <c r="H157" s="2"/>
      <c r="I157" s="2"/>
      <c r="J157" s="19">
        <f t="shared" si="9"/>
        <v>0</v>
      </c>
      <c r="K157" s="2"/>
      <c r="L157" s="2">
        <f t="shared" si="10"/>
        <v>745.78</v>
      </c>
      <c r="M157" s="2"/>
      <c r="N157" s="19">
        <f t="shared" si="11"/>
        <v>0</v>
      </c>
      <c r="O157" s="11"/>
      <c r="P157" s="2">
        <v>1513.51</v>
      </c>
      <c r="Q157" s="2"/>
      <c r="R157" s="19">
        <f t="shared" si="12"/>
        <v>2.3320631159197443E-4</v>
      </c>
      <c r="S157" s="2"/>
      <c r="T157" s="2"/>
      <c r="U157" s="2"/>
      <c r="V157" s="19">
        <f t="shared" si="13"/>
        <v>0</v>
      </c>
      <c r="W157" s="2"/>
      <c r="X157" s="2">
        <f t="shared" si="14"/>
        <v>1513.51</v>
      </c>
      <c r="Y157" s="2"/>
      <c r="Z157" s="19">
        <f t="shared" si="15"/>
        <v>0</v>
      </c>
    </row>
    <row r="158" spans="1:26" s="24" customFormat="1" hidden="1" outlineLevel="1" x14ac:dyDescent="0.25">
      <c r="A158" s="44"/>
      <c r="B158" s="11" t="str">
        <f>CONCATENATE("          ", "5543", " - ", "FREIGHT-IN-CARDS")</f>
        <v xml:space="preserve">          5543 - FREIGHT-IN-CARDS</v>
      </c>
      <c r="C158" s="11"/>
      <c r="D158" s="2">
        <v>39.01</v>
      </c>
      <c r="E158" s="2"/>
      <c r="F158" s="19">
        <f t="shared" si="8"/>
        <v>5.1936056635943574E-5</v>
      </c>
      <c r="G158" s="2"/>
      <c r="H158" s="2"/>
      <c r="I158" s="2"/>
      <c r="J158" s="19">
        <f t="shared" si="9"/>
        <v>0</v>
      </c>
      <c r="K158" s="2"/>
      <c r="L158" s="2">
        <f t="shared" si="10"/>
        <v>39.01</v>
      </c>
      <c r="M158" s="2"/>
      <c r="N158" s="19">
        <f t="shared" si="11"/>
        <v>0</v>
      </c>
      <c r="O158" s="11"/>
      <c r="P158" s="2">
        <v>43.59</v>
      </c>
      <c r="Q158" s="2"/>
      <c r="R158" s="19">
        <f t="shared" si="12"/>
        <v>6.7164822976354082E-6</v>
      </c>
      <c r="S158" s="2"/>
      <c r="T158" s="2"/>
      <c r="U158" s="2"/>
      <c r="V158" s="19">
        <f t="shared" si="13"/>
        <v>0</v>
      </c>
      <c r="W158" s="2"/>
      <c r="X158" s="2">
        <f t="shared" si="14"/>
        <v>43.59</v>
      </c>
      <c r="Y158" s="2"/>
      <c r="Z158" s="19">
        <f t="shared" si="15"/>
        <v>0</v>
      </c>
    </row>
    <row r="159" spans="1:26" s="24" customFormat="1" hidden="1" outlineLevel="1" x14ac:dyDescent="0.25">
      <c r="A159" s="44"/>
      <c r="B159" s="11" t="str">
        <f>CONCATENATE("          ", "5544", " - ", "FREIGHT-IN-ACCESSORIES")</f>
        <v xml:space="preserve">          5544 - FREIGHT-IN-ACCESSORIES</v>
      </c>
      <c r="C159" s="11"/>
      <c r="D159" s="2">
        <v>54.82</v>
      </c>
      <c r="E159" s="2"/>
      <c r="F159" s="19">
        <f t="shared" si="8"/>
        <v>7.2984737882143724E-5</v>
      </c>
      <c r="G159" s="2"/>
      <c r="H159" s="2"/>
      <c r="I159" s="2"/>
      <c r="J159" s="19">
        <f t="shared" si="9"/>
        <v>0</v>
      </c>
      <c r="K159" s="2"/>
      <c r="L159" s="2">
        <f t="shared" si="10"/>
        <v>54.82</v>
      </c>
      <c r="M159" s="2"/>
      <c r="N159" s="19">
        <f t="shared" si="11"/>
        <v>0</v>
      </c>
      <c r="O159" s="11"/>
      <c r="P159" s="2">
        <v>413.91</v>
      </c>
      <c r="Q159" s="2"/>
      <c r="R159" s="19">
        <f t="shared" si="12"/>
        <v>6.3776535623176679E-5</v>
      </c>
      <c r="S159" s="2"/>
      <c r="T159" s="2"/>
      <c r="U159" s="2"/>
      <c r="V159" s="19">
        <f t="shared" si="13"/>
        <v>0</v>
      </c>
      <c r="W159" s="2"/>
      <c r="X159" s="2">
        <f t="shared" si="14"/>
        <v>413.91</v>
      </c>
      <c r="Y159" s="2"/>
      <c r="Z159" s="19">
        <f t="shared" si="15"/>
        <v>0</v>
      </c>
    </row>
    <row r="160" spans="1:26" s="24" customFormat="1" hidden="1" outlineLevel="1" x14ac:dyDescent="0.25">
      <c r="A160" s="44"/>
      <c r="B160" s="11" t="str">
        <f>CONCATENATE("          ", "5545", " - ", "FREIGHT-IN-SPECIAL ORDERS")</f>
        <v xml:space="preserve">          5545 - FREIGHT-IN-SPECIAL ORDERS</v>
      </c>
      <c r="C160" s="11"/>
      <c r="D160" s="2">
        <v>158.08000000000001</v>
      </c>
      <c r="E160" s="2"/>
      <c r="F160" s="19">
        <f t="shared" si="8"/>
        <v>2.1046018541425176E-4</v>
      </c>
      <c r="G160" s="2"/>
      <c r="H160" s="2"/>
      <c r="I160" s="2"/>
      <c r="J160" s="19">
        <f t="shared" si="9"/>
        <v>0</v>
      </c>
      <c r="K160" s="2"/>
      <c r="L160" s="2">
        <f t="shared" si="10"/>
        <v>158.08000000000001</v>
      </c>
      <c r="M160" s="2"/>
      <c r="N160" s="19">
        <f t="shared" si="11"/>
        <v>0</v>
      </c>
      <c r="O160" s="11"/>
      <c r="P160" s="2">
        <v>505.06</v>
      </c>
      <c r="Q160" s="2"/>
      <c r="R160" s="19">
        <f t="shared" si="12"/>
        <v>7.782121012259093E-5</v>
      </c>
      <c r="S160" s="2"/>
      <c r="T160" s="2"/>
      <c r="U160" s="2"/>
      <c r="V160" s="19">
        <f t="shared" si="13"/>
        <v>0</v>
      </c>
      <c r="W160" s="2"/>
      <c r="X160" s="2">
        <f t="shared" si="14"/>
        <v>505.06</v>
      </c>
      <c r="Y160" s="2"/>
      <c r="Z160" s="19">
        <f t="shared" si="15"/>
        <v>0</v>
      </c>
    </row>
    <row r="161" spans="1:26" s="24" customFormat="1" hidden="1" outlineLevel="1" x14ac:dyDescent="0.25">
      <c r="A161" s="44"/>
      <c r="B161" s="11" t="str">
        <f>CONCATENATE("          ", "5592", " - ", "FREIGHT-IN-GRAD MERCH")</f>
        <v xml:space="preserve">          5592 - FREIGHT-IN-GRAD MERCH</v>
      </c>
      <c r="C161" s="11"/>
      <c r="D161" s="2">
        <v>35</v>
      </c>
      <c r="E161" s="2"/>
      <c r="F161" s="19">
        <f t="shared" si="8"/>
        <v>4.6597333562112923E-5</v>
      </c>
      <c r="G161" s="2"/>
      <c r="H161" s="2"/>
      <c r="I161" s="2"/>
      <c r="J161" s="19">
        <f t="shared" si="9"/>
        <v>0</v>
      </c>
      <c r="K161" s="2"/>
      <c r="L161" s="2">
        <f t="shared" si="10"/>
        <v>35</v>
      </c>
      <c r="M161" s="2"/>
      <c r="N161" s="19">
        <f t="shared" si="11"/>
        <v>0</v>
      </c>
      <c r="O161" s="11"/>
      <c r="P161" s="2">
        <v>105.78</v>
      </c>
      <c r="Q161" s="2"/>
      <c r="R161" s="19">
        <f t="shared" si="12"/>
        <v>1.6298910241887437E-5</v>
      </c>
      <c r="S161" s="2"/>
      <c r="T161" s="2"/>
      <c r="U161" s="2"/>
      <c r="V161" s="19">
        <f t="shared" si="13"/>
        <v>0</v>
      </c>
      <c r="W161" s="2"/>
      <c r="X161" s="2">
        <f t="shared" si="14"/>
        <v>105.78</v>
      </c>
      <c r="Y161" s="2"/>
      <c r="Z161" s="19">
        <f t="shared" si="15"/>
        <v>0</v>
      </c>
    </row>
    <row r="162" spans="1:26" x14ac:dyDescent="0.25">
      <c r="A162" s="9"/>
      <c r="B162" s="10"/>
      <c r="C162" s="10"/>
      <c r="D162" s="3"/>
      <c r="E162" s="3"/>
      <c r="F162" s="8"/>
      <c r="G162" s="3"/>
      <c r="H162" s="3"/>
      <c r="I162" s="3"/>
      <c r="J162" s="8"/>
      <c r="K162" s="3"/>
      <c r="L162" s="3"/>
      <c r="M162" s="3"/>
      <c r="N162" s="8"/>
      <c r="O162" s="10"/>
      <c r="P162" s="3"/>
      <c r="Q162" s="3"/>
      <c r="R162" s="8"/>
      <c r="S162" s="3"/>
      <c r="T162" s="3"/>
      <c r="U162" s="3"/>
      <c r="V162" s="8"/>
      <c r="W162" s="3"/>
      <c r="X162" s="3"/>
      <c r="Y162" s="3"/>
      <c r="Z162" s="8"/>
    </row>
    <row r="163" spans="1:26" s="23" customFormat="1" x14ac:dyDescent="0.25">
      <c r="A163" s="10"/>
      <c r="B163" s="28" t="s">
        <v>6</v>
      </c>
      <c r="C163" s="28"/>
      <c r="D163" s="20">
        <f>D12-D108</f>
        <v>394729.27999999985</v>
      </c>
      <c r="E163" s="14"/>
      <c r="F163" s="22">
        <f>IF(D$12=0,0,D163/D$12)</f>
        <v>0.52552376933979039</v>
      </c>
      <c r="G163" s="14"/>
      <c r="H163" s="20">
        <f>H12-H108</f>
        <v>371955.22971999994</v>
      </c>
      <c r="I163" s="14"/>
      <c r="J163" s="22">
        <f>IF(H$12=0,0,H163/H$12)</f>
        <v>0.56626380708897217</v>
      </c>
      <c r="K163" s="16"/>
      <c r="L163" s="20">
        <f>+D163-H163</f>
        <v>22774.050279999909</v>
      </c>
      <c r="M163" s="16"/>
      <c r="N163" s="22">
        <f>IF(H163=0,0,L163/H163)</f>
        <v>6.1227934063848848E-2</v>
      </c>
      <c r="O163" s="29"/>
      <c r="P163" s="20">
        <f>P12-P108</f>
        <v>2784885.9699999965</v>
      </c>
      <c r="Q163" s="14"/>
      <c r="R163" s="22">
        <f>IF(P$12=0,0,P163/P$12)</f>
        <v>0.42910386140027956</v>
      </c>
      <c r="S163" s="14"/>
      <c r="T163" s="20">
        <f>T12-T108</f>
        <v>2894114.0951100001</v>
      </c>
      <c r="U163" s="14"/>
      <c r="V163" s="22">
        <f>IF(T$12=0,0,T163/T$12)</f>
        <v>0.43449209319777921</v>
      </c>
      <c r="W163" s="16"/>
      <c r="X163" s="20">
        <f>+P163-T163</f>
        <v>-109228.12511000363</v>
      </c>
      <c r="Y163" s="16"/>
      <c r="Z163" s="22">
        <f>IF(T163=0,0,X163/T163)</f>
        <v>-3.7741471662972592E-2</v>
      </c>
    </row>
    <row r="164" spans="1:26" x14ac:dyDescent="0.25">
      <c r="A164" s="9"/>
      <c r="B164" s="10"/>
      <c r="C164" s="9"/>
      <c r="D164" s="1"/>
      <c r="E164" s="1"/>
      <c r="F164" s="5"/>
      <c r="G164" s="1"/>
      <c r="H164" s="1"/>
      <c r="I164" s="1"/>
      <c r="J164" s="5"/>
      <c r="K164" s="1"/>
      <c r="L164" s="1"/>
      <c r="M164" s="1"/>
      <c r="N164" s="5"/>
      <c r="O164" s="36"/>
      <c r="P164" s="1"/>
      <c r="Q164" s="1"/>
      <c r="R164" s="5"/>
      <c r="S164" s="1"/>
      <c r="T164" s="1"/>
      <c r="U164" s="1"/>
      <c r="V164" s="5"/>
      <c r="W164" s="1"/>
      <c r="X164" s="1"/>
      <c r="Y164" s="1"/>
      <c r="Z164" s="5"/>
    </row>
    <row r="165" spans="1:26" s="23" customFormat="1" x14ac:dyDescent="0.25">
      <c r="A165" s="10"/>
      <c r="B165" s="29" t="s">
        <v>9</v>
      </c>
      <c r="C165" s="10"/>
      <c r="D165" s="21">
        <f>SUM(OSRRefD22x_0)</f>
        <v>474736.25999999995</v>
      </c>
      <c r="E165" s="21"/>
      <c r="F165" s="33">
        <f t="shared" ref="F165:F176" si="16">IF(D$12=0,0,D165/D$12)</f>
        <v>0.63204125317857041</v>
      </c>
      <c r="G165" s="21"/>
      <c r="H165" s="21">
        <f>SUM(OSRRefH22x_0)</f>
        <v>476396.69304045069</v>
      </c>
      <c r="I165" s="21"/>
      <c r="J165" s="33">
        <f t="shared" ref="J165:J176" si="17">IF(H$12=0,0,H165/H$12)</f>
        <v>0.72526525649002538</v>
      </c>
      <c r="K165" s="4"/>
      <c r="L165" s="21">
        <f t="shared" ref="L165:L176" si="18">+D165-H165</f>
        <v>-1660.4330404507346</v>
      </c>
      <c r="M165" s="4"/>
      <c r="N165" s="33">
        <f t="shared" ref="N165:N176" si="19">IF(H165=0,0,L165/H165)</f>
        <v>-3.4854000137019164E-3</v>
      </c>
      <c r="O165" s="10"/>
      <c r="P165" s="21">
        <f>SUM(OSRRefP22x_0)</f>
        <v>2434936.11</v>
      </c>
      <c r="Q165" s="21"/>
      <c r="R165" s="33">
        <f t="shared" ref="R165:R176" si="20">IF(P$12=0,0,P165/P$12)</f>
        <v>0.37518250237871575</v>
      </c>
      <c r="S165" s="21"/>
      <c r="T165" s="21">
        <f>SUM(OSRRefT22x_0)</f>
        <v>2532260.9223767472</v>
      </c>
      <c r="U165" s="21"/>
      <c r="V165" s="33">
        <f t="shared" ref="V165:V176" si="21">IF(T$12=0,0,T165/T$12)</f>
        <v>0.38016723340155445</v>
      </c>
      <c r="W165" s="4"/>
      <c r="X165" s="21">
        <f t="shared" ref="X165:X176" si="22">+P165-T165</f>
        <v>-97324.812376747373</v>
      </c>
      <c r="Y165" s="4"/>
      <c r="Z165" s="33">
        <f t="shared" ref="Z165:Z176" si="23">IF(T165=0,0,X165/T165)</f>
        <v>-3.8433958963991578E-2</v>
      </c>
    </row>
    <row r="166" spans="1:26" s="26" customFormat="1" outlineLevel="1" collapsed="1" x14ac:dyDescent="0.25">
      <c r="A166" s="27"/>
      <c r="B166" s="13" t="str">
        <f>CONCATENATE("     ","*Benefits                                         ")</f>
        <v xml:space="preserve">     *Benefits                                         </v>
      </c>
      <c r="C166" s="13"/>
      <c r="D166" s="1">
        <f>SUM(OSRRefD22_0x_0)</f>
        <v>56989.969999999994</v>
      </c>
      <c r="E166" s="1"/>
      <c r="F166" s="5">
        <f t="shared" si="16"/>
        <v>7.5873732622423098E-2</v>
      </c>
      <c r="G166" s="1"/>
      <c r="H166" s="1">
        <f>SUM(OSRRefH22_0x_0)</f>
        <v>57323.688538899856</v>
      </c>
      <c r="I166" s="1"/>
      <c r="J166" s="5">
        <f t="shared" si="17"/>
        <v>8.7269454802007679E-2</v>
      </c>
      <c r="K166" s="1"/>
      <c r="L166" s="1">
        <f t="shared" si="18"/>
        <v>-333.71853889986232</v>
      </c>
      <c r="M166" s="1"/>
      <c r="N166" s="5">
        <f t="shared" si="19"/>
        <v>-5.8216515267226904E-3</v>
      </c>
      <c r="O166" s="13"/>
      <c r="P166" s="1">
        <f>SUM(OSRRefP22_0x_0)</f>
        <v>332991.80000000005</v>
      </c>
      <c r="Q166" s="1"/>
      <c r="R166" s="5">
        <f t="shared" si="20"/>
        <v>5.130840857898028E-2</v>
      </c>
      <c r="S166" s="1"/>
      <c r="T166" s="1">
        <f>SUM(OSRRefT22_0x_0)</f>
        <v>314453.94100687775</v>
      </c>
      <c r="U166" s="1"/>
      <c r="V166" s="5">
        <f t="shared" si="21"/>
        <v>4.7208833706045138E-2</v>
      </c>
      <c r="W166" s="1"/>
      <c r="X166" s="1">
        <f t="shared" si="22"/>
        <v>18537.858993122296</v>
      </c>
      <c r="Y166" s="1"/>
      <c r="Z166" s="5">
        <f t="shared" si="23"/>
        <v>5.8952541455719376E-2</v>
      </c>
    </row>
    <row r="167" spans="1:26" s="24" customFormat="1" hidden="1" outlineLevel="2" x14ac:dyDescent="0.25">
      <c r="A167" s="25"/>
      <c r="B167" s="11" t="str">
        <f>CONCATENATE("          ", "6111", " - ", "F.I.C.A.")</f>
        <v xml:space="preserve">          6111 - F.I.C.A.</v>
      </c>
      <c r="C167" s="11"/>
      <c r="D167" s="6">
        <v>7965.66</v>
      </c>
      <c r="E167" s="2"/>
      <c r="F167" s="7">
        <f t="shared" si="16"/>
        <v>1.0605100458925156E-2</v>
      </c>
      <c r="G167" s="2"/>
      <c r="H167" s="6">
        <v>8897.967054508852</v>
      </c>
      <c r="I167" s="2"/>
      <c r="J167" s="7">
        <f t="shared" si="17"/>
        <v>1.3546245077482524E-2</v>
      </c>
      <c r="K167" s="2"/>
      <c r="L167" s="6">
        <f t="shared" si="18"/>
        <v>-932.30705450885216</v>
      </c>
      <c r="M167" s="2"/>
      <c r="N167" s="7">
        <f t="shared" si="19"/>
        <v>-0.10477753500294494</v>
      </c>
      <c r="O167" s="11"/>
      <c r="P167" s="6">
        <v>67008.37000000001</v>
      </c>
      <c r="Q167" s="2"/>
      <c r="R167" s="7">
        <f t="shared" si="20"/>
        <v>1.0324857327332038E-2</v>
      </c>
      <c r="S167" s="2"/>
      <c r="T167" s="6">
        <v>58797.319563549354</v>
      </c>
      <c r="U167" s="2"/>
      <c r="V167" s="7">
        <f t="shared" si="21"/>
        <v>8.8272160709732816E-3</v>
      </c>
      <c r="W167" s="2"/>
      <c r="X167" s="6">
        <f t="shared" si="22"/>
        <v>8211.050436450656</v>
      </c>
      <c r="Y167" s="2"/>
      <c r="Z167" s="7">
        <f t="shared" si="23"/>
        <v>0.13965008094588366</v>
      </c>
    </row>
    <row r="168" spans="1:26" s="24" customFormat="1" hidden="1" outlineLevel="2" x14ac:dyDescent="0.25">
      <c r="A168" s="25"/>
      <c r="B168" s="11" t="str">
        <f>CONCATENATE("          ", "6112", " - ", "COMPENSATION INSURANCE")</f>
        <v xml:space="preserve">          6112 - COMPENSATION INSURANCE</v>
      </c>
      <c r="C168" s="11"/>
      <c r="D168" s="6">
        <v>3329.25</v>
      </c>
      <c r="E168" s="2"/>
      <c r="F168" s="7">
        <f t="shared" si="16"/>
        <v>4.4324049360475555E-3</v>
      </c>
      <c r="G168" s="2"/>
      <c r="H168" s="6">
        <v>3959.5325434230758</v>
      </c>
      <c r="I168" s="2"/>
      <c r="J168" s="7">
        <f t="shared" si="17"/>
        <v>6.0279834592439196E-3</v>
      </c>
      <c r="K168" s="2"/>
      <c r="L168" s="6">
        <f t="shared" si="18"/>
        <v>-630.28254342307582</v>
      </c>
      <c r="M168" s="2"/>
      <c r="N168" s="7">
        <f t="shared" si="19"/>
        <v>-0.15918104890184512</v>
      </c>
      <c r="O168" s="11"/>
      <c r="P168" s="6">
        <v>14445.89</v>
      </c>
      <c r="Q168" s="2"/>
      <c r="R168" s="7">
        <f t="shared" si="20"/>
        <v>2.2258675030646558E-3</v>
      </c>
      <c r="S168" s="2"/>
      <c r="T168" s="6">
        <v>22833.264546326915</v>
      </c>
      <c r="U168" s="2"/>
      <c r="V168" s="7">
        <f t="shared" si="21"/>
        <v>3.4279480978427518E-3</v>
      </c>
      <c r="W168" s="2"/>
      <c r="X168" s="6">
        <f t="shared" si="22"/>
        <v>-8387.3745463269152</v>
      </c>
      <c r="Y168" s="2"/>
      <c r="Z168" s="7">
        <f t="shared" si="23"/>
        <v>-0.36733137871326221</v>
      </c>
    </row>
    <row r="169" spans="1:26" s="24" customFormat="1" hidden="1" outlineLevel="2" x14ac:dyDescent="0.25">
      <c r="A169" s="25"/>
      <c r="B169" s="11" t="str">
        <f>CONCATENATE("          ", "6113", " - ", "GROUP INSURANCE")</f>
        <v xml:space="preserve">          6113 - GROUP INSURANCE</v>
      </c>
      <c r="C169" s="11"/>
      <c r="D169" s="6">
        <v>25060.9</v>
      </c>
      <c r="E169" s="2"/>
      <c r="F169" s="7">
        <f t="shared" si="16"/>
        <v>3.3364889047621596E-2</v>
      </c>
      <c r="G169" s="2"/>
      <c r="H169" s="6">
        <v>24508.81923076923</v>
      </c>
      <c r="I169" s="2"/>
      <c r="J169" s="7">
        <f t="shared" si="17"/>
        <v>3.731217140116086E-2</v>
      </c>
      <c r="K169" s="2"/>
      <c r="L169" s="6">
        <f t="shared" si="18"/>
        <v>552.08076923077169</v>
      </c>
      <c r="M169" s="2"/>
      <c r="N169" s="7">
        <f t="shared" si="19"/>
        <v>2.2525800367309012E-2</v>
      </c>
      <c r="O169" s="11"/>
      <c r="P169" s="6">
        <v>126610.83</v>
      </c>
      <c r="Q169" s="2"/>
      <c r="R169" s="7">
        <f t="shared" si="20"/>
        <v>1.9508589088871896E-2</v>
      </c>
      <c r="S169" s="2"/>
      <c r="T169" s="6">
        <v>123487.48076923077</v>
      </c>
      <c r="U169" s="2"/>
      <c r="V169" s="7">
        <f t="shared" si="21"/>
        <v>1.8539121900480664E-2</v>
      </c>
      <c r="W169" s="2"/>
      <c r="X169" s="6">
        <f t="shared" si="22"/>
        <v>3123.3492307692359</v>
      </c>
      <c r="Y169" s="2"/>
      <c r="Z169" s="7">
        <f t="shared" si="23"/>
        <v>2.5292841114849897E-2</v>
      </c>
    </row>
    <row r="170" spans="1:26" s="24" customFormat="1" hidden="1" outlineLevel="2" x14ac:dyDescent="0.25">
      <c r="A170" s="25"/>
      <c r="B170" s="11" t="str">
        <f>CONCATENATE("          ", "6114", " - ", "STATE UNEMPLOYMENT INSURANCE")</f>
        <v xml:space="preserve">          6114 - STATE UNEMPLOYMENT INSURANCE</v>
      </c>
      <c r="C170" s="11"/>
      <c r="D170" s="6">
        <v>553.22</v>
      </c>
      <c r="E170" s="2"/>
      <c r="F170" s="7">
        <f t="shared" si="16"/>
        <v>7.3653076780663175E-4</v>
      </c>
      <c r="G170" s="2"/>
      <c r="H170" s="6">
        <v>558.03184804735201</v>
      </c>
      <c r="I170" s="2"/>
      <c r="J170" s="7">
        <f t="shared" si="17"/>
        <v>8.4954643328999954E-4</v>
      </c>
      <c r="K170" s="2"/>
      <c r="L170" s="6">
        <f t="shared" si="18"/>
        <v>-4.8118480473519867</v>
      </c>
      <c r="M170" s="2"/>
      <c r="N170" s="7">
        <f t="shared" si="19"/>
        <v>-8.6228914428261721E-3</v>
      </c>
      <c r="O170" s="11"/>
      <c r="P170" s="6">
        <v>3090.35</v>
      </c>
      <c r="Q170" s="2"/>
      <c r="R170" s="7">
        <f t="shared" si="20"/>
        <v>4.7617070586138062E-4</v>
      </c>
      <c r="S170" s="2"/>
      <c r="T170" s="6">
        <v>3215.42045107492</v>
      </c>
      <c r="U170" s="2"/>
      <c r="V170" s="7">
        <f t="shared" si="21"/>
        <v>4.8272967698786908E-4</v>
      </c>
      <c r="W170" s="2"/>
      <c r="X170" s="6">
        <f t="shared" si="22"/>
        <v>-125.07045107492013</v>
      </c>
      <c r="Y170" s="2"/>
      <c r="Z170" s="7">
        <f t="shared" si="23"/>
        <v>-3.8897075196840554E-2</v>
      </c>
    </row>
    <row r="171" spans="1:26" s="24" customFormat="1" hidden="1" outlineLevel="2" x14ac:dyDescent="0.25">
      <c r="A171" s="25"/>
      <c r="B171" s="11" t="str">
        <f>CONCATENATE("          ", "6115", " - ", "P.E.R.S.")</f>
        <v xml:space="preserve">          6115 - P.E.R.S.</v>
      </c>
      <c r="C171" s="11"/>
      <c r="D171" s="6">
        <v>7679.33</v>
      </c>
      <c r="E171" s="2"/>
      <c r="F171" s="7">
        <f t="shared" si="16"/>
        <v>1.0223894329815447E-2</v>
      </c>
      <c r="G171" s="2"/>
      <c r="H171" s="6">
        <v>7507.6447402307613</v>
      </c>
      <c r="I171" s="2"/>
      <c r="J171" s="7">
        <f t="shared" si="17"/>
        <v>1.1429621505993781E-2</v>
      </c>
      <c r="K171" s="2"/>
      <c r="L171" s="6">
        <f t="shared" si="18"/>
        <v>171.68525976923866</v>
      </c>
      <c r="M171" s="2"/>
      <c r="N171" s="7">
        <f t="shared" si="19"/>
        <v>2.286805858690133E-2</v>
      </c>
      <c r="O171" s="11"/>
      <c r="P171" s="6">
        <v>44110.34</v>
      </c>
      <c r="Q171" s="2"/>
      <c r="R171" s="7">
        <f t="shared" si="20"/>
        <v>6.7966578975150035E-3</v>
      </c>
      <c r="S171" s="2"/>
      <c r="T171" s="6">
        <v>41292.046071269193</v>
      </c>
      <c r="U171" s="2"/>
      <c r="V171" s="7">
        <f t="shared" si="21"/>
        <v>6.1991569579923486E-3</v>
      </c>
      <c r="W171" s="2"/>
      <c r="X171" s="6">
        <f t="shared" si="22"/>
        <v>2818.2939287308036</v>
      </c>
      <c r="Y171" s="2"/>
      <c r="Z171" s="7">
        <f t="shared" si="23"/>
        <v>6.8252707164631374E-2</v>
      </c>
    </row>
    <row r="172" spans="1:26" s="24" customFormat="1" hidden="1" outlineLevel="2" x14ac:dyDescent="0.25">
      <c r="A172" s="25"/>
      <c r="B172" s="11" t="str">
        <f>CONCATENATE("          ", "6116", " - ", "EDUCATIONAL BENEFITS")</f>
        <v xml:space="preserve">          6116 - EDUCATIONAL BENEFITS</v>
      </c>
      <c r="C172" s="11"/>
      <c r="D172" s="6"/>
      <c r="E172" s="2"/>
      <c r="F172" s="7">
        <f t="shared" si="16"/>
        <v>0</v>
      </c>
      <c r="G172" s="2"/>
      <c r="H172" s="6">
        <v>0</v>
      </c>
      <c r="I172" s="2"/>
      <c r="J172" s="7">
        <f t="shared" si="17"/>
        <v>0</v>
      </c>
      <c r="K172" s="2"/>
      <c r="L172" s="6">
        <f t="shared" si="18"/>
        <v>0</v>
      </c>
      <c r="M172" s="2"/>
      <c r="N172" s="7">
        <f t="shared" si="19"/>
        <v>0</v>
      </c>
      <c r="O172" s="11"/>
      <c r="P172" s="6"/>
      <c r="Q172" s="2"/>
      <c r="R172" s="7">
        <f t="shared" si="20"/>
        <v>0</v>
      </c>
      <c r="S172" s="2"/>
      <c r="T172" s="6">
        <v>0</v>
      </c>
      <c r="U172" s="2"/>
      <c r="V172" s="7">
        <f t="shared" si="21"/>
        <v>0</v>
      </c>
      <c r="W172" s="2"/>
      <c r="X172" s="6">
        <f t="shared" si="22"/>
        <v>0</v>
      </c>
      <c r="Y172" s="2"/>
      <c r="Z172" s="7">
        <f t="shared" si="23"/>
        <v>0</v>
      </c>
    </row>
    <row r="173" spans="1:26" s="24" customFormat="1" hidden="1" outlineLevel="2" x14ac:dyDescent="0.25">
      <c r="A173" s="25"/>
      <c r="B173" s="11" t="str">
        <f>CONCATENATE("          ", "6117", " - ", "RETIREMENT STAFF HOURLY")</f>
        <v xml:space="preserve">          6117 - RETIREMENT STAFF HOURLY</v>
      </c>
      <c r="C173" s="11"/>
      <c r="D173" s="6">
        <v>93.57</v>
      </c>
      <c r="E173" s="2"/>
      <c r="F173" s="7">
        <f t="shared" si="16"/>
        <v>1.2457464289734017E-4</v>
      </c>
      <c r="G173" s="2"/>
      <c r="H173" s="6"/>
      <c r="I173" s="2"/>
      <c r="J173" s="7">
        <f t="shared" si="17"/>
        <v>0</v>
      </c>
      <c r="K173" s="2"/>
      <c r="L173" s="6">
        <f t="shared" si="18"/>
        <v>93.57</v>
      </c>
      <c r="M173" s="2"/>
      <c r="N173" s="7">
        <f t="shared" si="19"/>
        <v>0</v>
      </c>
      <c r="O173" s="11"/>
      <c r="P173" s="6">
        <v>646.20000000000005</v>
      </c>
      <c r="Q173" s="2"/>
      <c r="R173" s="7">
        <f t="shared" si="20"/>
        <v>9.9568498755035569E-5</v>
      </c>
      <c r="S173" s="2"/>
      <c r="T173" s="6"/>
      <c r="U173" s="2"/>
      <c r="V173" s="7">
        <f t="shared" si="21"/>
        <v>0</v>
      </c>
      <c r="W173" s="2"/>
      <c r="X173" s="6">
        <f t="shared" si="22"/>
        <v>646.20000000000005</v>
      </c>
      <c r="Y173" s="2"/>
      <c r="Z173" s="7">
        <f t="shared" si="23"/>
        <v>0</v>
      </c>
    </row>
    <row r="174" spans="1:26" s="24" customFormat="1" hidden="1" outlineLevel="2" x14ac:dyDescent="0.25">
      <c r="A174" s="25"/>
      <c r="B174" s="11" t="str">
        <f>CONCATENATE("          ", "6118", " - ", "VACATION")</f>
        <v xml:space="preserve">          6118 - VACATION</v>
      </c>
      <c r="C174" s="11"/>
      <c r="D174" s="6">
        <v>6634.53</v>
      </c>
      <c r="E174" s="2"/>
      <c r="F174" s="7">
        <f t="shared" si="16"/>
        <v>8.8328973553670007E-3</v>
      </c>
      <c r="G174" s="2"/>
      <c r="H174" s="6">
        <v>5010.7958912461509</v>
      </c>
      <c r="I174" s="2"/>
      <c r="J174" s="7">
        <f t="shared" si="17"/>
        <v>7.6284244210218103E-3</v>
      </c>
      <c r="K174" s="2"/>
      <c r="L174" s="6">
        <f t="shared" si="18"/>
        <v>1623.7341087538489</v>
      </c>
      <c r="M174" s="2"/>
      <c r="N174" s="7">
        <f t="shared" si="19"/>
        <v>0.32404714620096753</v>
      </c>
      <c r="O174" s="11"/>
      <c r="P174" s="6">
        <v>36397.81</v>
      </c>
      <c r="Q174" s="2"/>
      <c r="R174" s="7">
        <f t="shared" si="20"/>
        <v>5.6082873718214495E-3</v>
      </c>
      <c r="S174" s="2"/>
      <c r="T174" s="6">
        <v>27552.88840185383</v>
      </c>
      <c r="U174" s="2"/>
      <c r="V174" s="7">
        <f t="shared" si="21"/>
        <v>4.1365031791917896E-3</v>
      </c>
      <c r="W174" s="2"/>
      <c r="X174" s="6">
        <f t="shared" si="22"/>
        <v>8844.9215981461675</v>
      </c>
      <c r="Y174" s="2"/>
      <c r="Z174" s="7">
        <f t="shared" si="23"/>
        <v>0.32101612974816313</v>
      </c>
    </row>
    <row r="175" spans="1:26" s="24" customFormat="1" hidden="1" outlineLevel="2" x14ac:dyDescent="0.25">
      <c r="A175" s="25"/>
      <c r="B175" s="11" t="str">
        <f>CONCATENATE("          ", "6119", " - ", "SICK LEAVE")</f>
        <v xml:space="preserve">          6119 - SICK LEAVE</v>
      </c>
      <c r="C175" s="11"/>
      <c r="D175" s="6">
        <v>3271.27</v>
      </c>
      <c r="E175" s="2"/>
      <c r="F175" s="7">
        <f t="shared" si="16"/>
        <v>4.3552131246209474E-3</v>
      </c>
      <c r="G175" s="2"/>
      <c r="H175" s="6">
        <v>5330.8972306744299</v>
      </c>
      <c r="I175" s="2"/>
      <c r="J175" s="7">
        <f t="shared" si="17"/>
        <v>8.115745981886505E-3</v>
      </c>
      <c r="K175" s="2"/>
      <c r="L175" s="6">
        <f t="shared" si="18"/>
        <v>-2059.6272306744299</v>
      </c>
      <c r="M175" s="2"/>
      <c r="N175" s="7">
        <f t="shared" si="19"/>
        <v>-0.38635658155688352</v>
      </c>
      <c r="O175" s="11"/>
      <c r="P175" s="6">
        <v>27793.58</v>
      </c>
      <c r="Q175" s="2"/>
      <c r="R175" s="7">
        <f t="shared" si="20"/>
        <v>4.282520946499507E-3</v>
      </c>
      <c r="S175" s="2"/>
      <c r="T175" s="6">
        <v>29400.521203572756</v>
      </c>
      <c r="U175" s="2"/>
      <c r="V175" s="7">
        <f t="shared" si="21"/>
        <v>4.4138874899334228E-3</v>
      </c>
      <c r="W175" s="2"/>
      <c r="X175" s="6">
        <f t="shared" si="22"/>
        <v>-1606.9412035727546</v>
      </c>
      <c r="Y175" s="2"/>
      <c r="Z175" s="7">
        <f t="shared" si="23"/>
        <v>-5.4656895108971024E-2</v>
      </c>
    </row>
    <row r="176" spans="1:26" s="24" customFormat="1" hidden="1" outlineLevel="2" x14ac:dyDescent="0.25">
      <c r="A176" s="25"/>
      <c r="B176" s="11" t="str">
        <f>CONCATENATE("          ", "6156", " - ", "EMPLOYEE MEALS")</f>
        <v xml:space="preserve">          6156 - EMPLOYEE MEALS</v>
      </c>
      <c r="C176" s="11"/>
      <c r="D176" s="6">
        <v>2402.2399999999998</v>
      </c>
      <c r="E176" s="2"/>
      <c r="F176" s="7">
        <f t="shared" si="16"/>
        <v>3.1982279593214327E-3</v>
      </c>
      <c r="G176" s="2"/>
      <c r="H176" s="6">
        <v>1550</v>
      </c>
      <c r="I176" s="2"/>
      <c r="J176" s="7">
        <f t="shared" si="17"/>
        <v>2.3597165219282645E-3</v>
      </c>
      <c r="K176" s="2"/>
      <c r="L176" s="6">
        <f t="shared" si="18"/>
        <v>852.23999999999978</v>
      </c>
      <c r="M176" s="2"/>
      <c r="N176" s="7">
        <f t="shared" si="19"/>
        <v>0.54983225806451597</v>
      </c>
      <c r="O176" s="11"/>
      <c r="P176" s="6">
        <v>12888.43</v>
      </c>
      <c r="Q176" s="2"/>
      <c r="R176" s="7">
        <f t="shared" si="20"/>
        <v>1.9858892392593053E-3</v>
      </c>
      <c r="S176" s="2"/>
      <c r="T176" s="6">
        <v>7875</v>
      </c>
      <c r="U176" s="2"/>
      <c r="V176" s="7">
        <f t="shared" si="21"/>
        <v>1.1822703326430056E-3</v>
      </c>
      <c r="W176" s="2"/>
      <c r="X176" s="6">
        <f t="shared" si="22"/>
        <v>5013.43</v>
      </c>
      <c r="Y176" s="2"/>
      <c r="Z176" s="7">
        <f t="shared" si="23"/>
        <v>0.63662603174603183</v>
      </c>
    </row>
    <row r="177" spans="1:26" s="26" customFormat="1" outlineLevel="1" collapsed="1" x14ac:dyDescent="0.25">
      <c r="A177" s="27"/>
      <c r="B177" s="13" t="str">
        <f>CONCATENATE("     ","*Payroll                                          ")</f>
        <v xml:space="preserve">     *Payroll                                          </v>
      </c>
      <c r="C177" s="13"/>
      <c r="D177" s="1">
        <f>SUM(OSRRefD22_1x_0)</f>
        <v>192230.46999999997</v>
      </c>
      <c r="E177" s="1"/>
      <c r="F177" s="5">
        <f t="shared" ref="F177:F187" si="24">IF(D$12=0,0,D177/D$12)</f>
        <v>0.25592649518262117</v>
      </c>
      <c r="G177" s="1"/>
      <c r="H177" s="1">
        <f>SUM(OSRRefH22_1x_0)</f>
        <v>206090.50450155078</v>
      </c>
      <c r="I177" s="1"/>
      <c r="J177" s="5">
        <f t="shared" ref="J177:J187" si="25">IF(H$12=0,0,H177/H$12)</f>
        <v>0.31375172160312309</v>
      </c>
      <c r="K177" s="1"/>
      <c r="L177" s="1">
        <f t="shared" ref="L177:L187" si="26">+D177-H177</f>
        <v>-13860.034501550806</v>
      </c>
      <c r="M177" s="1"/>
      <c r="N177" s="5">
        <f t="shared" ref="N177:N187" si="27">IF(H177=0,0,L177/H177)</f>
        <v>-6.7252174160437911E-2</v>
      </c>
      <c r="O177" s="13"/>
      <c r="P177" s="1">
        <f>SUM(OSRRefP22_1x_0)</f>
        <v>1163900.44</v>
      </c>
      <c r="Q177" s="1"/>
      <c r="R177" s="5">
        <f t="shared" ref="R177:R187" si="28">IF(P$12=0,0,P177/P$12)</f>
        <v>0.17933738704909524</v>
      </c>
      <c r="S177" s="1"/>
      <c r="T177" s="1">
        <f>SUM(OSRRefT22_1x_0)</f>
        <v>1190013.4813698693</v>
      </c>
      <c r="U177" s="1"/>
      <c r="V177" s="5">
        <f t="shared" ref="V177:V187" si="29">IF(T$12=0,0,T177/T$12)</f>
        <v>0.17865620755159575</v>
      </c>
      <c r="W177" s="1"/>
      <c r="X177" s="1">
        <f t="shared" ref="X177:X187" si="30">+P177-T177</f>
        <v>-26113.041369869374</v>
      </c>
      <c r="Y177" s="1"/>
      <c r="Z177" s="5">
        <f t="shared" ref="Z177:Z187" si="31">IF(T177=0,0,X177/T177)</f>
        <v>-2.1943483648445453E-2</v>
      </c>
    </row>
    <row r="178" spans="1:26" s="24" customFormat="1" hidden="1" outlineLevel="2" x14ac:dyDescent="0.25">
      <c r="A178" s="25"/>
      <c r="B178" s="11" t="str">
        <f>CONCATENATE("          ", "6001", " - ", "ADMINISTRATIVE SALARIES")</f>
        <v xml:space="preserve">          6001 - ADMINISTRATIVE SALARIES</v>
      </c>
      <c r="C178" s="11"/>
      <c r="D178" s="6">
        <v>10717.14</v>
      </c>
      <c r="E178" s="2"/>
      <c r="F178" s="7">
        <f t="shared" si="24"/>
        <v>1.4268289926053225E-2</v>
      </c>
      <c r="G178" s="2"/>
      <c r="H178" s="6">
        <v>37309.313363384616</v>
      </c>
      <c r="I178" s="2"/>
      <c r="J178" s="7">
        <f t="shared" si="25"/>
        <v>5.6799614945404947E-2</v>
      </c>
      <c r="K178" s="2"/>
      <c r="L178" s="6">
        <f t="shared" si="26"/>
        <v>-26592.173363384616</v>
      </c>
      <c r="M178" s="2"/>
      <c r="N178" s="7">
        <f t="shared" si="27"/>
        <v>-0.71274893494776004</v>
      </c>
      <c r="O178" s="11"/>
      <c r="P178" s="6">
        <v>56800.83</v>
      </c>
      <c r="Q178" s="2"/>
      <c r="R178" s="7">
        <f t="shared" si="28"/>
        <v>8.7520479281027342E-3</v>
      </c>
      <c r="S178" s="2"/>
      <c r="T178" s="6">
        <v>205201.22349861541</v>
      </c>
      <c r="U178" s="2"/>
      <c r="V178" s="7">
        <f t="shared" si="29"/>
        <v>3.0806770636756797E-2</v>
      </c>
      <c r="W178" s="2"/>
      <c r="X178" s="6">
        <f t="shared" si="30"/>
        <v>-148400.39349861542</v>
      </c>
      <c r="Y178" s="2"/>
      <c r="Z178" s="7">
        <f t="shared" si="31"/>
        <v>-0.72319448670157049</v>
      </c>
    </row>
    <row r="179" spans="1:26" s="24" customFormat="1" hidden="1" outlineLevel="2" x14ac:dyDescent="0.25">
      <c r="A179" s="25"/>
      <c r="B179" s="11" t="str">
        <f>CONCATENATE("          ", "6002", " - ", "STAFF SALARIES")</f>
        <v xml:space="preserve">          6002 - STAFF SALARIES</v>
      </c>
      <c r="C179" s="11"/>
      <c r="D179" s="6">
        <v>67670.909999999989</v>
      </c>
      <c r="E179" s="2"/>
      <c r="F179" s="7">
        <f t="shared" si="24"/>
        <v>9.0093827592049217E-2</v>
      </c>
      <c r="G179" s="2"/>
      <c r="H179" s="6">
        <v>42691.71454564618</v>
      </c>
      <c r="I179" s="2"/>
      <c r="J179" s="7">
        <f t="shared" si="25"/>
        <v>6.4993770427617101E-2</v>
      </c>
      <c r="K179" s="2"/>
      <c r="L179" s="6">
        <f t="shared" si="26"/>
        <v>24979.195454353809</v>
      </c>
      <c r="M179" s="2"/>
      <c r="N179" s="7">
        <f t="shared" si="27"/>
        <v>0.58510640109443102</v>
      </c>
      <c r="O179" s="11"/>
      <c r="P179" s="6">
        <v>383781.85000000003</v>
      </c>
      <c r="Q179" s="2"/>
      <c r="R179" s="7">
        <f t="shared" si="28"/>
        <v>5.9134296895589987E-2</v>
      </c>
      <c r="S179" s="2"/>
      <c r="T179" s="6">
        <v>234804.43000105393</v>
      </c>
      <c r="U179" s="2"/>
      <c r="V179" s="7">
        <f t="shared" si="29"/>
        <v>3.5251087182653636E-2</v>
      </c>
      <c r="W179" s="2"/>
      <c r="X179" s="6">
        <f t="shared" si="30"/>
        <v>148977.4199989461</v>
      </c>
      <c r="Y179" s="2"/>
      <c r="Z179" s="7">
        <f t="shared" si="31"/>
        <v>0.63447448584457034</v>
      </c>
    </row>
    <row r="180" spans="1:26" s="24" customFormat="1" hidden="1" outlineLevel="2" x14ac:dyDescent="0.25">
      <c r="A180" s="25"/>
      <c r="B180" s="11" t="str">
        <f>CONCATENATE("          ", "6003", " - ", "STAFF HOURLY-9 MONTH")</f>
        <v xml:space="preserve">          6003 - STAFF HOURLY-9 MONTH</v>
      </c>
      <c r="C180" s="11"/>
      <c r="D180" s="6"/>
      <c r="E180" s="2"/>
      <c r="F180" s="7">
        <f t="shared" si="24"/>
        <v>0</v>
      </c>
      <c r="G180" s="2"/>
      <c r="H180" s="6">
        <v>0</v>
      </c>
      <c r="I180" s="2"/>
      <c r="J180" s="7">
        <f t="shared" si="25"/>
        <v>0</v>
      </c>
      <c r="K180" s="2"/>
      <c r="L180" s="6">
        <f t="shared" si="26"/>
        <v>0</v>
      </c>
      <c r="M180" s="2"/>
      <c r="N180" s="7">
        <f t="shared" si="27"/>
        <v>0</v>
      </c>
      <c r="O180" s="11"/>
      <c r="P180" s="6"/>
      <c r="Q180" s="2"/>
      <c r="R180" s="7">
        <f t="shared" si="28"/>
        <v>0</v>
      </c>
      <c r="S180" s="2"/>
      <c r="T180" s="6">
        <v>0</v>
      </c>
      <c r="U180" s="2"/>
      <c r="V180" s="7">
        <f t="shared" si="29"/>
        <v>0</v>
      </c>
      <c r="W180" s="2"/>
      <c r="X180" s="6">
        <f t="shared" si="30"/>
        <v>0</v>
      </c>
      <c r="Y180" s="2"/>
      <c r="Z180" s="7">
        <f t="shared" si="31"/>
        <v>0</v>
      </c>
    </row>
    <row r="181" spans="1:26" s="24" customFormat="1" hidden="1" outlineLevel="2" x14ac:dyDescent="0.25">
      <c r="A181" s="25"/>
      <c r="B181" s="11" t="str">
        <f>CONCATENATE("          ", "6004", " - ", "STAFF HOURLY")</f>
        <v xml:space="preserve">          6004 - STAFF HOURLY</v>
      </c>
      <c r="C181" s="11"/>
      <c r="D181" s="6">
        <v>2163.25</v>
      </c>
      <c r="E181" s="2"/>
      <c r="F181" s="7">
        <f t="shared" si="24"/>
        <v>2.8800480522354508E-3</v>
      </c>
      <c r="G181" s="2"/>
      <c r="H181" s="6">
        <v>23291.912381999999</v>
      </c>
      <c r="I181" s="2"/>
      <c r="J181" s="7">
        <f t="shared" si="25"/>
        <v>3.545955514523285E-2</v>
      </c>
      <c r="K181" s="2"/>
      <c r="L181" s="6">
        <f t="shared" si="26"/>
        <v>-21128.662381999999</v>
      </c>
      <c r="M181" s="2"/>
      <c r="N181" s="7">
        <f t="shared" si="27"/>
        <v>-0.90712441449540393</v>
      </c>
      <c r="O181" s="11"/>
      <c r="P181" s="6">
        <v>12960.05</v>
      </c>
      <c r="Q181" s="2"/>
      <c r="R181" s="7">
        <f t="shared" si="28"/>
        <v>1.9969246708297717E-3</v>
      </c>
      <c r="S181" s="2"/>
      <c r="T181" s="6">
        <v>126403.89622600001</v>
      </c>
      <c r="U181" s="2"/>
      <c r="V181" s="7">
        <f t="shared" si="29"/>
        <v>1.8976962087426667E-2</v>
      </c>
      <c r="W181" s="2"/>
      <c r="X181" s="6">
        <f t="shared" si="30"/>
        <v>-113443.84622600001</v>
      </c>
      <c r="Y181" s="2"/>
      <c r="Z181" s="7">
        <f t="shared" si="31"/>
        <v>-0.89747111926970613</v>
      </c>
    </row>
    <row r="182" spans="1:26" s="24" customFormat="1" hidden="1" outlineLevel="2" x14ac:dyDescent="0.25">
      <c r="A182" s="25"/>
      <c r="B182" s="11" t="str">
        <f>CONCATENATE("          ", "6005", " - ", "TEMPORARY WAGES-HOURLY")</f>
        <v xml:space="preserve">          6005 - TEMPORARY WAGES-HOURLY</v>
      </c>
      <c r="C182" s="11"/>
      <c r="D182" s="6">
        <v>22314.84</v>
      </c>
      <c r="E182" s="2"/>
      <c r="F182" s="7">
        <f t="shared" si="24"/>
        <v>2.9708915510433712E-2</v>
      </c>
      <c r="G182" s="2"/>
      <c r="H182" s="6">
        <v>4082.1</v>
      </c>
      <c r="I182" s="2"/>
      <c r="J182" s="7">
        <f t="shared" si="25"/>
        <v>6.2145798801053987E-3</v>
      </c>
      <c r="K182" s="2"/>
      <c r="L182" s="6">
        <f t="shared" si="26"/>
        <v>18232.740000000002</v>
      </c>
      <c r="M182" s="2"/>
      <c r="N182" s="7">
        <f t="shared" si="27"/>
        <v>4.4665098846182119</v>
      </c>
      <c r="O182" s="11"/>
      <c r="P182" s="6">
        <v>124246.17</v>
      </c>
      <c r="Q182" s="2"/>
      <c r="R182" s="7">
        <f t="shared" si="28"/>
        <v>1.9144234947327355E-2</v>
      </c>
      <c r="S182" s="2"/>
      <c r="T182" s="6">
        <v>21832.34</v>
      </c>
      <c r="U182" s="2"/>
      <c r="V182" s="7">
        <f t="shared" si="29"/>
        <v>3.2776797300539933E-3</v>
      </c>
      <c r="W182" s="2"/>
      <c r="X182" s="6">
        <f t="shared" si="30"/>
        <v>102413.83</v>
      </c>
      <c r="Y182" s="2"/>
      <c r="Z182" s="7">
        <f t="shared" si="31"/>
        <v>4.6909231900932289</v>
      </c>
    </row>
    <row r="183" spans="1:26" s="24" customFormat="1" hidden="1" outlineLevel="2" x14ac:dyDescent="0.25">
      <c r="A183" s="25"/>
      <c r="B183" s="11" t="str">
        <f>CONCATENATE("          ", "6006", " - ", "TEMPORARY PART TIME")</f>
        <v xml:space="preserve">          6006 - TEMPORARY PART TIME</v>
      </c>
      <c r="C183" s="11"/>
      <c r="D183" s="6">
        <v>3089.98</v>
      </c>
      <c r="E183" s="2"/>
      <c r="F183" s="7">
        <f t="shared" si="24"/>
        <v>4.1138522502930774E-3</v>
      </c>
      <c r="G183" s="2"/>
      <c r="H183" s="6">
        <v>0</v>
      </c>
      <c r="I183" s="2"/>
      <c r="J183" s="7">
        <f t="shared" si="25"/>
        <v>0</v>
      </c>
      <c r="K183" s="2"/>
      <c r="L183" s="6">
        <f t="shared" si="26"/>
        <v>3089.98</v>
      </c>
      <c r="M183" s="2"/>
      <c r="N183" s="7">
        <f t="shared" si="27"/>
        <v>0</v>
      </c>
      <c r="O183" s="11"/>
      <c r="P183" s="6">
        <v>28317.05</v>
      </c>
      <c r="Q183" s="2"/>
      <c r="R183" s="7">
        <f t="shared" si="28"/>
        <v>4.3631788264798512E-3</v>
      </c>
      <c r="S183" s="2"/>
      <c r="T183" s="6">
        <v>0</v>
      </c>
      <c r="U183" s="2"/>
      <c r="V183" s="7">
        <f t="shared" si="29"/>
        <v>0</v>
      </c>
      <c r="W183" s="2"/>
      <c r="X183" s="6">
        <f t="shared" si="30"/>
        <v>28317.05</v>
      </c>
      <c r="Y183" s="2"/>
      <c r="Z183" s="7">
        <f t="shared" si="31"/>
        <v>0</v>
      </c>
    </row>
    <row r="184" spans="1:26" s="24" customFormat="1" hidden="1" outlineLevel="2" x14ac:dyDescent="0.25">
      <c r="A184" s="25"/>
      <c r="B184" s="11" t="str">
        <f>CONCATENATE("          ", "6007", " - ", "STUDENT HOURLY")</f>
        <v xml:space="preserve">          6007 - STUDENT HOURLY</v>
      </c>
      <c r="C184" s="11"/>
      <c r="D184" s="6">
        <v>84786.349999999991</v>
      </c>
      <c r="E184" s="2"/>
      <c r="F184" s="7">
        <f t="shared" si="24"/>
        <v>0.11288050949897294</v>
      </c>
      <c r="G184" s="2"/>
      <c r="H184" s="6">
        <v>4651.6350000000002</v>
      </c>
      <c r="I184" s="2"/>
      <c r="J184" s="7">
        <f t="shared" si="25"/>
        <v>7.081638686115989E-3</v>
      </c>
      <c r="K184" s="2"/>
      <c r="L184" s="6">
        <f t="shared" si="26"/>
        <v>80134.714999999997</v>
      </c>
      <c r="M184" s="2"/>
      <c r="N184" s="7">
        <f t="shared" si="27"/>
        <v>17.227214732024329</v>
      </c>
      <c r="O184" s="11"/>
      <c r="P184" s="6">
        <v>544727.69999999995</v>
      </c>
      <c r="Q184" s="2"/>
      <c r="R184" s="7">
        <f t="shared" si="28"/>
        <v>8.3933332279918574E-2</v>
      </c>
      <c r="S184" s="2"/>
      <c r="T184" s="6">
        <v>156170.15011319998</v>
      </c>
      <c r="U184" s="2"/>
      <c r="V184" s="7">
        <f t="shared" si="29"/>
        <v>2.3445756866443311E-2</v>
      </c>
      <c r="W184" s="2"/>
      <c r="X184" s="6">
        <f t="shared" si="30"/>
        <v>388557.5498868</v>
      </c>
      <c r="Y184" s="2"/>
      <c r="Z184" s="7">
        <f t="shared" si="31"/>
        <v>2.4880398053351036</v>
      </c>
    </row>
    <row r="185" spans="1:26" s="24" customFormat="1" hidden="1" outlineLevel="2" x14ac:dyDescent="0.25">
      <c r="A185" s="25"/>
      <c r="B185" s="11" t="str">
        <f>CONCATENATE("          ", "6008", " - ", "STUDENT HOURLY-FICA EXEMPT")</f>
        <v xml:space="preserve">          6008 - STUDENT HOURLY-FICA EXEMPT</v>
      </c>
      <c r="C185" s="11"/>
      <c r="D185" s="6">
        <v>1488</v>
      </c>
      <c r="E185" s="2"/>
      <c r="F185" s="7">
        <f t="shared" si="24"/>
        <v>1.9810523525835436E-3</v>
      </c>
      <c r="G185" s="2"/>
      <c r="H185" s="6">
        <v>94063.829210519994</v>
      </c>
      <c r="I185" s="2"/>
      <c r="J185" s="7">
        <f t="shared" si="25"/>
        <v>0.1432025625186468</v>
      </c>
      <c r="K185" s="2"/>
      <c r="L185" s="6">
        <f t="shared" si="26"/>
        <v>-92575.829210519994</v>
      </c>
      <c r="M185" s="2"/>
      <c r="N185" s="7">
        <f t="shared" si="27"/>
        <v>-0.98418095443818499</v>
      </c>
      <c r="O185" s="11"/>
      <c r="P185" s="6">
        <v>13066.79</v>
      </c>
      <c r="Q185" s="2"/>
      <c r="R185" s="7">
        <f t="shared" si="28"/>
        <v>2.0133715008469688E-3</v>
      </c>
      <c r="S185" s="2"/>
      <c r="T185" s="6">
        <v>445601.44153100002</v>
      </c>
      <c r="U185" s="2"/>
      <c r="V185" s="7">
        <f t="shared" si="29"/>
        <v>6.6897951048261364E-2</v>
      </c>
      <c r="W185" s="2"/>
      <c r="X185" s="6">
        <f t="shared" si="30"/>
        <v>-432534.65153100004</v>
      </c>
      <c r="Y185" s="2"/>
      <c r="Z185" s="7">
        <f t="shared" si="31"/>
        <v>-0.97067605985495686</v>
      </c>
    </row>
    <row r="186" spans="1:26" s="24" customFormat="1" hidden="1" outlineLevel="2" x14ac:dyDescent="0.25">
      <c r="A186" s="25"/>
      <c r="B186" s="11" t="str">
        <f>CONCATENATE("          ", "6009", " - ", "TEMPORARY-SEASONAL")</f>
        <v xml:space="preserve">          6009 - TEMPORARY-SEASONAL</v>
      </c>
      <c r="C186" s="11"/>
      <c r="D186" s="6"/>
      <c r="E186" s="2"/>
      <c r="F186" s="7">
        <f t="shared" si="24"/>
        <v>0</v>
      </c>
      <c r="G186" s="2"/>
      <c r="H186" s="6">
        <v>0</v>
      </c>
      <c r="I186" s="2"/>
      <c r="J186" s="7">
        <f t="shared" si="25"/>
        <v>0</v>
      </c>
      <c r="K186" s="2"/>
      <c r="L186" s="6">
        <f t="shared" si="26"/>
        <v>0</v>
      </c>
      <c r="M186" s="2"/>
      <c r="N186" s="7">
        <f t="shared" si="27"/>
        <v>0</v>
      </c>
      <c r="O186" s="11"/>
      <c r="P186" s="6"/>
      <c r="Q186" s="2"/>
      <c r="R186" s="7">
        <f t="shared" si="28"/>
        <v>0</v>
      </c>
      <c r="S186" s="2"/>
      <c r="T186" s="6">
        <v>0</v>
      </c>
      <c r="U186" s="2"/>
      <c r="V186" s="7">
        <f t="shared" si="29"/>
        <v>0</v>
      </c>
      <c r="W186" s="2"/>
      <c r="X186" s="6">
        <f t="shared" si="30"/>
        <v>0</v>
      </c>
      <c r="Y186" s="2"/>
      <c r="Z186" s="7">
        <f t="shared" si="31"/>
        <v>0</v>
      </c>
    </row>
    <row r="187" spans="1:26" s="24" customFormat="1" hidden="1" outlineLevel="2" x14ac:dyDescent="0.25">
      <c r="A187" s="25"/>
      <c r="B187" s="11" t="str">
        <f>CONCATENATE("          ", "6010", " - ", "GRATUITY")</f>
        <v xml:space="preserve">          6010 - GRATUITY</v>
      </c>
      <c r="C187" s="11"/>
      <c r="D187" s="6"/>
      <c r="E187" s="2"/>
      <c r="F187" s="7">
        <f t="shared" si="24"/>
        <v>0</v>
      </c>
      <c r="G187" s="2"/>
      <c r="H187" s="6">
        <v>0</v>
      </c>
      <c r="I187" s="2"/>
      <c r="J187" s="7">
        <f t="shared" si="25"/>
        <v>0</v>
      </c>
      <c r="K187" s="2"/>
      <c r="L187" s="6">
        <f t="shared" si="26"/>
        <v>0</v>
      </c>
      <c r="M187" s="2"/>
      <c r="N187" s="7">
        <f t="shared" si="27"/>
        <v>0</v>
      </c>
      <c r="O187" s="11"/>
      <c r="P187" s="6"/>
      <c r="Q187" s="2"/>
      <c r="R187" s="7">
        <f t="shared" si="28"/>
        <v>0</v>
      </c>
      <c r="S187" s="2"/>
      <c r="T187" s="6">
        <v>0</v>
      </c>
      <c r="U187" s="2"/>
      <c r="V187" s="7">
        <f t="shared" si="29"/>
        <v>0</v>
      </c>
      <c r="W187" s="2"/>
      <c r="X187" s="6">
        <f t="shared" si="30"/>
        <v>0</v>
      </c>
      <c r="Y187" s="2"/>
      <c r="Z187" s="7">
        <f t="shared" si="31"/>
        <v>0</v>
      </c>
    </row>
    <row r="188" spans="1:26" s="26" customFormat="1" outlineLevel="1" collapsed="1" x14ac:dyDescent="0.25">
      <c r="A188" s="27"/>
      <c r="B188" s="13" t="str">
        <f>CONCATENATE("     ","Advertising/Promo                                 ")</f>
        <v xml:space="preserve">     Advertising/Promo                                 </v>
      </c>
      <c r="C188" s="13"/>
      <c r="D188" s="1">
        <f>SUM(OSRRefD22_2x_0)</f>
        <v>15615.710000000001</v>
      </c>
      <c r="E188" s="1"/>
      <c r="F188" s="5">
        <f t="shared" ref="F188:F192" si="32">IF(D$12=0,0,D188/D$12)</f>
        <v>2.0790012790834929E-2</v>
      </c>
      <c r="G188" s="1"/>
      <c r="H188" s="1">
        <f>SUM(OSRRefH22_2x_0)</f>
        <v>12095</v>
      </c>
      <c r="I188" s="1"/>
      <c r="J188" s="5">
        <f t="shared" ref="J188:J192" si="33">IF(H$12=0,0,H188/H$12)</f>
        <v>1.8413400859820878E-2</v>
      </c>
      <c r="K188" s="1"/>
      <c r="L188" s="1">
        <f t="shared" ref="L188:L192" si="34">+D188-H188</f>
        <v>3520.7100000000009</v>
      </c>
      <c r="M188" s="1"/>
      <c r="N188" s="5">
        <f t="shared" ref="N188:N192" si="35">IF(H188=0,0,L188/H188)</f>
        <v>0.29108805291442752</v>
      </c>
      <c r="O188" s="13"/>
      <c r="P188" s="1">
        <f>SUM(OSRRefP22_2x_0)</f>
        <v>34435.449999999997</v>
      </c>
      <c r="Q188" s="1"/>
      <c r="R188" s="5">
        <f t="shared" ref="R188:R192" si="36">IF(P$12=0,0,P188/P$12)</f>
        <v>5.3059208611174391E-3</v>
      </c>
      <c r="S188" s="1"/>
      <c r="T188" s="1">
        <f>SUM(OSRRefT22_2x_0)</f>
        <v>33175</v>
      </c>
      <c r="U188" s="1"/>
      <c r="V188" s="5">
        <f t="shared" ref="V188:V192" si="37">IF(T$12=0,0,T188/T$12)</f>
        <v>4.9805483537056138E-3</v>
      </c>
      <c r="W188" s="1"/>
      <c r="X188" s="1">
        <f t="shared" ref="X188:X192" si="38">+P188-T188</f>
        <v>1260.4499999999971</v>
      </c>
      <c r="Y188" s="1"/>
      <c r="Z188" s="5">
        <f t="shared" ref="Z188:Z192" si="39">IF(T188=0,0,X188/T188)</f>
        <v>3.7993971363978814E-2</v>
      </c>
    </row>
    <row r="189" spans="1:26" s="24" customFormat="1" hidden="1" outlineLevel="2" x14ac:dyDescent="0.25">
      <c r="A189" s="25"/>
      <c r="B189" s="11" t="str">
        <f>CONCATENATE("          ", "6362", " - ", "ADVERTISING EXPENSE")</f>
        <v xml:space="preserve">          6362 - ADVERTISING EXPENSE</v>
      </c>
      <c r="C189" s="11"/>
      <c r="D189" s="6">
        <v>15615.710000000001</v>
      </c>
      <c r="E189" s="2"/>
      <c r="F189" s="7">
        <f t="shared" si="32"/>
        <v>2.0790012790834929E-2</v>
      </c>
      <c r="G189" s="2"/>
      <c r="H189" s="6">
        <v>12095</v>
      </c>
      <c r="I189" s="2"/>
      <c r="J189" s="7">
        <f t="shared" si="33"/>
        <v>1.8413400859820878E-2</v>
      </c>
      <c r="K189" s="2"/>
      <c r="L189" s="6">
        <f t="shared" si="34"/>
        <v>3520.7100000000009</v>
      </c>
      <c r="M189" s="2"/>
      <c r="N189" s="7">
        <f t="shared" si="35"/>
        <v>0.29108805291442752</v>
      </c>
      <c r="O189" s="11"/>
      <c r="P189" s="6">
        <v>34435.449999999997</v>
      </c>
      <c r="Q189" s="2"/>
      <c r="R189" s="7">
        <f t="shared" si="36"/>
        <v>5.3059208611174391E-3</v>
      </c>
      <c r="S189" s="2"/>
      <c r="T189" s="6">
        <v>33175</v>
      </c>
      <c r="U189" s="2"/>
      <c r="V189" s="7">
        <f t="shared" si="37"/>
        <v>4.9805483537056138E-3</v>
      </c>
      <c r="W189" s="2"/>
      <c r="X189" s="6">
        <f t="shared" si="38"/>
        <v>1260.4499999999971</v>
      </c>
      <c r="Y189" s="2"/>
      <c r="Z189" s="7">
        <f t="shared" si="39"/>
        <v>3.7993971363978814E-2</v>
      </c>
    </row>
    <row r="190" spans="1:26" s="26" customFormat="1" outlineLevel="1" collapsed="1" x14ac:dyDescent="0.25">
      <c r="A190" s="27"/>
      <c r="B190" s="13" t="str">
        <f>CONCATENATE("     ","Bad Debts/Over/Short                              ")</f>
        <v xml:space="preserve">     Bad Debts/Over/Short                              </v>
      </c>
      <c r="C190" s="13"/>
      <c r="D190" s="1">
        <f>SUM(OSRRefD22_3x_0)</f>
        <v>85.97</v>
      </c>
      <c r="E190" s="1"/>
      <c r="F190" s="5">
        <f t="shared" si="32"/>
        <v>1.1445636475242423E-4</v>
      </c>
      <c r="G190" s="1"/>
      <c r="H190" s="1">
        <f>SUM(OSRRefH22_3x_0)</f>
        <v>145</v>
      </c>
      <c r="I190" s="1"/>
      <c r="J190" s="5">
        <f t="shared" si="33"/>
        <v>2.2074767463199895E-4</v>
      </c>
      <c r="K190" s="1"/>
      <c r="L190" s="1">
        <f t="shared" si="34"/>
        <v>-59.03</v>
      </c>
      <c r="M190" s="1"/>
      <c r="N190" s="5">
        <f t="shared" si="35"/>
        <v>-0.40710344827586209</v>
      </c>
      <c r="O190" s="13"/>
      <c r="P190" s="1">
        <f>SUM(OSRRefP22_3x_0)</f>
        <v>-182.63</v>
      </c>
      <c r="Q190" s="1"/>
      <c r="R190" s="5">
        <f t="shared" si="36"/>
        <v>-2.814019642159106E-5</v>
      </c>
      <c r="S190" s="1"/>
      <c r="T190" s="1">
        <f>SUM(OSRRefT22_3x_0)</f>
        <v>725</v>
      </c>
      <c r="U190" s="1"/>
      <c r="V190" s="5">
        <f t="shared" si="37"/>
        <v>1.0884393538618148E-4</v>
      </c>
      <c r="W190" s="1"/>
      <c r="X190" s="1">
        <f t="shared" si="38"/>
        <v>-907.63</v>
      </c>
      <c r="Y190" s="1"/>
      <c r="Z190" s="5">
        <f t="shared" si="39"/>
        <v>-1.251903448275862</v>
      </c>
    </row>
    <row r="191" spans="1:26" s="24" customFormat="1" hidden="1" outlineLevel="2" x14ac:dyDescent="0.25">
      <c r="A191" s="25"/>
      <c r="B191" s="11" t="str">
        <f>CONCATENATE("          ", "6272", " - ", "CASH (OVER/SHORT)")</f>
        <v xml:space="preserve">          6272 - CASH (OVER/SHORT)</v>
      </c>
      <c r="C191" s="11"/>
      <c r="D191" s="6">
        <v>85.97</v>
      </c>
      <c r="E191" s="2"/>
      <c r="F191" s="7">
        <f t="shared" si="32"/>
        <v>1.1445636475242423E-4</v>
      </c>
      <c r="G191" s="2"/>
      <c r="H191" s="6">
        <v>135</v>
      </c>
      <c r="I191" s="2"/>
      <c r="J191" s="7">
        <f t="shared" si="33"/>
        <v>2.0552369707117142E-4</v>
      </c>
      <c r="K191" s="2"/>
      <c r="L191" s="6">
        <f t="shared" si="34"/>
        <v>-49.03</v>
      </c>
      <c r="M191" s="2"/>
      <c r="N191" s="7">
        <f t="shared" si="35"/>
        <v>-0.36318518518518517</v>
      </c>
      <c r="O191" s="11"/>
      <c r="P191" s="6">
        <v>-227.43</v>
      </c>
      <c r="Q191" s="2"/>
      <c r="R191" s="7">
        <f t="shared" si="36"/>
        <v>-3.5043119269355829E-5</v>
      </c>
      <c r="S191" s="2"/>
      <c r="T191" s="6">
        <v>675</v>
      </c>
      <c r="U191" s="2"/>
      <c r="V191" s="7">
        <f t="shared" si="37"/>
        <v>1.013374570836862E-4</v>
      </c>
      <c r="W191" s="2"/>
      <c r="X191" s="6">
        <f t="shared" si="38"/>
        <v>-902.43000000000006</v>
      </c>
      <c r="Y191" s="2"/>
      <c r="Z191" s="7">
        <f t="shared" si="39"/>
        <v>-1.3369333333333335</v>
      </c>
    </row>
    <row r="192" spans="1:26" s="24" customFormat="1" hidden="1" outlineLevel="2" x14ac:dyDescent="0.25">
      <c r="A192" s="25"/>
      <c r="B192" s="11" t="str">
        <f>CONCATENATE("          ", "6342", " - ", "BAD DEBT")</f>
        <v xml:space="preserve">          6342 - BAD DEBT</v>
      </c>
      <c r="C192" s="11"/>
      <c r="D192" s="6"/>
      <c r="E192" s="2"/>
      <c r="F192" s="7">
        <f t="shared" si="32"/>
        <v>0</v>
      </c>
      <c r="G192" s="2"/>
      <c r="H192" s="6">
        <v>10</v>
      </c>
      <c r="I192" s="2"/>
      <c r="J192" s="7">
        <f t="shared" si="33"/>
        <v>1.5223977560827513E-5</v>
      </c>
      <c r="K192" s="2"/>
      <c r="L192" s="6">
        <f t="shared" si="34"/>
        <v>-10</v>
      </c>
      <c r="M192" s="2"/>
      <c r="N192" s="7">
        <f t="shared" si="35"/>
        <v>-1</v>
      </c>
      <c r="O192" s="11"/>
      <c r="P192" s="6">
        <v>44.8</v>
      </c>
      <c r="Q192" s="2"/>
      <c r="R192" s="7">
        <f t="shared" si="36"/>
        <v>6.9029228477647674E-6</v>
      </c>
      <c r="S192" s="2"/>
      <c r="T192" s="6">
        <v>50</v>
      </c>
      <c r="U192" s="2"/>
      <c r="V192" s="7">
        <f t="shared" si="37"/>
        <v>7.506478302495274E-6</v>
      </c>
      <c r="W192" s="2"/>
      <c r="X192" s="6">
        <f t="shared" si="38"/>
        <v>-5.2000000000000028</v>
      </c>
      <c r="Y192" s="2"/>
      <c r="Z192" s="7">
        <f t="shared" si="39"/>
        <v>-0.10400000000000005</v>
      </c>
    </row>
    <row r="193" spans="1:26" s="26" customFormat="1" outlineLevel="1" collapsed="1" x14ac:dyDescent="0.25">
      <c r="A193" s="27"/>
      <c r="B193" s="13" t="str">
        <f>CONCATENATE("     ","Bank/card Fees                                    ")</f>
        <v xml:space="preserve">     Bank/card Fees                                    </v>
      </c>
      <c r="C193" s="13"/>
      <c r="D193" s="1">
        <f>SUM(OSRRefD22_4x_0)</f>
        <v>22447.86</v>
      </c>
      <c r="E193" s="1"/>
      <c r="F193" s="5">
        <f t="shared" ref="F193:F199" si="40">IF(D$12=0,0,D193/D$12)</f>
        <v>2.9886012005017493E-2</v>
      </c>
      <c r="G193" s="1"/>
      <c r="H193" s="1">
        <f>SUM(OSRRefH22_4x_0)</f>
        <v>17399</v>
      </c>
      <c r="I193" s="1"/>
      <c r="J193" s="5">
        <f t="shared" ref="J193:J199" si="41">IF(H$12=0,0,H193/H$12)</f>
        <v>2.6488198558083792E-2</v>
      </c>
      <c r="K193" s="1"/>
      <c r="L193" s="1">
        <f t="shared" ref="L193:L199" si="42">+D193-H193</f>
        <v>5048.8600000000006</v>
      </c>
      <c r="M193" s="1"/>
      <c r="N193" s="5">
        <f t="shared" ref="N193:N199" si="43">IF(H193=0,0,L193/H193)</f>
        <v>0.29018104488763724</v>
      </c>
      <c r="O193" s="13"/>
      <c r="P193" s="1">
        <f>SUM(OSRRefP22_4x_0)</f>
        <v>131556.23000000001</v>
      </c>
      <c r="Q193" s="1"/>
      <c r="R193" s="5">
        <f t="shared" ref="R193:R199" si="44">IF(P$12=0,0,P193/P$12)</f>
        <v>2.0270591648053501E-2</v>
      </c>
      <c r="S193" s="1"/>
      <c r="T193" s="1">
        <f>SUM(OSRRefT22_4x_0)</f>
        <v>127516</v>
      </c>
      <c r="U193" s="1"/>
      <c r="V193" s="5">
        <f t="shared" ref="V193:V199" si="45">IF(T$12=0,0,T193/T$12)</f>
        <v>1.9143921744419746E-2</v>
      </c>
      <c r="W193" s="1"/>
      <c r="X193" s="1">
        <f t="shared" ref="X193:X199" si="46">+P193-T193</f>
        <v>4040.2300000000105</v>
      </c>
      <c r="Y193" s="1"/>
      <c r="Z193" s="5">
        <f t="shared" ref="Z193:Z199" si="47">IF(T193=0,0,X193/T193)</f>
        <v>3.1684102387151497E-2</v>
      </c>
    </row>
    <row r="194" spans="1:26" s="24" customFormat="1" hidden="1" outlineLevel="2" x14ac:dyDescent="0.25">
      <c r="A194" s="25"/>
      <c r="B194" s="11" t="str">
        <f>CONCATENATE("          ", "6381", " - ", "BANK/CREDIT CARD FEES")</f>
        <v xml:space="preserve">          6381 - BANK/CREDIT CARD FEES</v>
      </c>
      <c r="C194" s="11"/>
      <c r="D194" s="6">
        <v>22447.86</v>
      </c>
      <c r="E194" s="2"/>
      <c r="F194" s="7">
        <f t="shared" si="40"/>
        <v>2.9886012005017493E-2</v>
      </c>
      <c r="G194" s="2"/>
      <c r="H194" s="6">
        <v>17399</v>
      </c>
      <c r="I194" s="2"/>
      <c r="J194" s="7">
        <f t="shared" si="41"/>
        <v>2.6488198558083792E-2</v>
      </c>
      <c r="K194" s="2"/>
      <c r="L194" s="6">
        <f t="shared" si="42"/>
        <v>5048.8600000000006</v>
      </c>
      <c r="M194" s="2"/>
      <c r="N194" s="7">
        <f t="shared" si="43"/>
        <v>0.29018104488763724</v>
      </c>
      <c r="O194" s="11"/>
      <c r="P194" s="6">
        <v>131556.23000000001</v>
      </c>
      <c r="Q194" s="2"/>
      <c r="R194" s="7">
        <f t="shared" si="44"/>
        <v>2.0270591648053501E-2</v>
      </c>
      <c r="S194" s="2"/>
      <c r="T194" s="6">
        <v>127516</v>
      </c>
      <c r="U194" s="2"/>
      <c r="V194" s="7">
        <f t="shared" si="45"/>
        <v>1.9143921744419746E-2</v>
      </c>
      <c r="W194" s="2"/>
      <c r="X194" s="6">
        <f t="shared" si="46"/>
        <v>4040.2300000000105</v>
      </c>
      <c r="Y194" s="2"/>
      <c r="Z194" s="7">
        <f t="shared" si="47"/>
        <v>3.1684102387151497E-2</v>
      </c>
    </row>
    <row r="195" spans="1:26" s="26" customFormat="1" outlineLevel="1" collapsed="1" x14ac:dyDescent="0.25">
      <c r="A195" s="27"/>
      <c r="B195" s="13" t="str">
        <f>CONCATENATE("     ","Depreciation                                      ")</f>
        <v xml:space="preserve">     Depreciation                                      </v>
      </c>
      <c r="C195" s="13"/>
      <c r="D195" s="1">
        <f>SUM(OSRRefD22_5x_0)</f>
        <v>38010.910000000003</v>
      </c>
      <c r="E195" s="1"/>
      <c r="F195" s="5">
        <f t="shared" si="40"/>
        <v>5.0605915779127257E-2</v>
      </c>
      <c r="G195" s="1"/>
      <c r="H195" s="1">
        <f>SUM(OSRRefH22_5x_0)</f>
        <v>39713</v>
      </c>
      <c r="I195" s="1"/>
      <c r="J195" s="5">
        <f t="shared" si="41"/>
        <v>6.0458982087314303E-2</v>
      </c>
      <c r="K195" s="1"/>
      <c r="L195" s="1">
        <f t="shared" si="42"/>
        <v>-1702.0899999999965</v>
      </c>
      <c r="M195" s="1"/>
      <c r="N195" s="5">
        <f t="shared" si="43"/>
        <v>-4.2859768841437225E-2</v>
      </c>
      <c r="O195" s="13"/>
      <c r="P195" s="1">
        <f>SUM(OSRRefP22_5x_0)</f>
        <v>190054.55</v>
      </c>
      <c r="Q195" s="1"/>
      <c r="R195" s="5">
        <f t="shared" si="44"/>
        <v>2.9284194096353827E-2</v>
      </c>
      <c r="S195" s="1"/>
      <c r="T195" s="1">
        <f>SUM(OSRRefT22_5x_0)</f>
        <v>194980</v>
      </c>
      <c r="U195" s="1"/>
      <c r="V195" s="5">
        <f t="shared" si="45"/>
        <v>2.927226278841057E-2</v>
      </c>
      <c r="W195" s="1"/>
      <c r="X195" s="1">
        <f t="shared" si="46"/>
        <v>-4925.4500000000116</v>
      </c>
      <c r="Y195" s="1"/>
      <c r="Z195" s="5">
        <f t="shared" si="47"/>
        <v>-2.5261308852190027E-2</v>
      </c>
    </row>
    <row r="196" spans="1:26" s="24" customFormat="1" hidden="1" outlineLevel="2" x14ac:dyDescent="0.25">
      <c r="A196" s="25"/>
      <c r="B196" s="11" t="str">
        <f>CONCATENATE("          ", "6321", " - ", "BUILDING DEPRECIATION")</f>
        <v xml:space="preserve">          6321 - BUILDING DEPRECIATION</v>
      </c>
      <c r="C196" s="11"/>
      <c r="D196" s="6">
        <v>21477.030000000002</v>
      </c>
      <c r="E196" s="2"/>
      <c r="F196" s="7">
        <f t="shared" si="40"/>
        <v>2.8593495166671607E-2</v>
      </c>
      <c r="G196" s="2"/>
      <c r="H196" s="6">
        <v>21478</v>
      </c>
      <c r="I196" s="2"/>
      <c r="J196" s="7">
        <f t="shared" si="41"/>
        <v>3.269805900514533E-2</v>
      </c>
      <c r="K196" s="2"/>
      <c r="L196" s="6">
        <f t="shared" si="42"/>
        <v>-0.96999999999752617</v>
      </c>
      <c r="M196" s="2"/>
      <c r="N196" s="7">
        <f t="shared" si="43"/>
        <v>-4.5162491852012582E-5</v>
      </c>
      <c r="O196" s="11"/>
      <c r="P196" s="6">
        <v>107385.15</v>
      </c>
      <c r="Q196" s="2"/>
      <c r="R196" s="7">
        <f t="shared" si="44"/>
        <v>1.6546236728697473E-2</v>
      </c>
      <c r="S196" s="2"/>
      <c r="T196" s="6">
        <v>107558</v>
      </c>
      <c r="U196" s="2"/>
      <c r="V196" s="7">
        <f t="shared" si="45"/>
        <v>1.6147635865195735E-2</v>
      </c>
      <c r="W196" s="2"/>
      <c r="X196" s="6">
        <f t="shared" si="46"/>
        <v>-172.85000000000582</v>
      </c>
      <c r="Y196" s="2"/>
      <c r="Z196" s="7">
        <f t="shared" si="47"/>
        <v>-1.6070399226464401E-3</v>
      </c>
    </row>
    <row r="197" spans="1:26" s="24" customFormat="1" hidden="1" outlineLevel="2" x14ac:dyDescent="0.25">
      <c r="A197" s="25"/>
      <c r="B197" s="11" t="str">
        <f>CONCATENATE("          ", "6322", " - ", "EQUIPMENT DEPRECIATION EXPENSE")</f>
        <v xml:space="preserve">          6322 - EQUIPMENT DEPRECIATION EXPENSE</v>
      </c>
      <c r="C197" s="11"/>
      <c r="D197" s="6">
        <v>16533.88</v>
      </c>
      <c r="E197" s="2"/>
      <c r="F197" s="7">
        <f t="shared" si="40"/>
        <v>2.2012420612455647E-2</v>
      </c>
      <c r="G197" s="2"/>
      <c r="H197" s="6">
        <v>16224</v>
      </c>
      <c r="I197" s="2"/>
      <c r="J197" s="7">
        <f t="shared" si="41"/>
        <v>2.4699381194686558E-2</v>
      </c>
      <c r="K197" s="2"/>
      <c r="L197" s="6">
        <f t="shared" si="42"/>
        <v>309.88000000000102</v>
      </c>
      <c r="M197" s="2"/>
      <c r="N197" s="7">
        <f t="shared" si="43"/>
        <v>1.9100098619329452E-2</v>
      </c>
      <c r="O197" s="11"/>
      <c r="P197" s="6">
        <v>82669.400000000009</v>
      </c>
      <c r="Q197" s="2"/>
      <c r="R197" s="7">
        <f t="shared" si="44"/>
        <v>1.2737957367656356E-2</v>
      </c>
      <c r="S197" s="2"/>
      <c r="T197" s="6">
        <v>81120</v>
      </c>
      <c r="U197" s="2"/>
      <c r="V197" s="7">
        <f t="shared" si="45"/>
        <v>1.2178510397968332E-2</v>
      </c>
      <c r="W197" s="2"/>
      <c r="X197" s="6">
        <f t="shared" si="46"/>
        <v>1549.4000000000087</v>
      </c>
      <c r="Y197" s="2"/>
      <c r="Z197" s="7">
        <f t="shared" si="47"/>
        <v>1.9100098619329497E-2</v>
      </c>
    </row>
    <row r="198" spans="1:26" s="24" customFormat="1" hidden="1" outlineLevel="2" x14ac:dyDescent="0.25">
      <c r="A198" s="25"/>
      <c r="B198" s="11" t="str">
        <f>CONCATENATE("          ", "6324", " - ", "FURNITURE + FIXT DEPRECIATION")</f>
        <v xml:space="preserve">          6324 - FURNITURE + FIXT DEPRECIATION</v>
      </c>
      <c r="C198" s="11"/>
      <c r="D198" s="6"/>
      <c r="E198" s="2"/>
      <c r="F198" s="7">
        <f t="shared" si="40"/>
        <v>0</v>
      </c>
      <c r="G198" s="2"/>
      <c r="H198" s="6">
        <v>1678</v>
      </c>
      <c r="I198" s="2"/>
      <c r="J198" s="7">
        <f t="shared" si="41"/>
        <v>2.5545834347068569E-3</v>
      </c>
      <c r="K198" s="2"/>
      <c r="L198" s="6">
        <f t="shared" si="42"/>
        <v>-1678</v>
      </c>
      <c r="M198" s="2"/>
      <c r="N198" s="7">
        <f t="shared" si="43"/>
        <v>-1</v>
      </c>
      <c r="O198" s="11"/>
      <c r="P198" s="6"/>
      <c r="Q198" s="2"/>
      <c r="R198" s="7">
        <f t="shared" si="44"/>
        <v>0</v>
      </c>
      <c r="S198" s="2"/>
      <c r="T198" s="6">
        <v>5636</v>
      </c>
      <c r="U198" s="2"/>
      <c r="V198" s="7">
        <f t="shared" si="45"/>
        <v>8.4613023425726729E-4</v>
      </c>
      <c r="W198" s="2"/>
      <c r="X198" s="6">
        <f t="shared" si="46"/>
        <v>-5636</v>
      </c>
      <c r="Y198" s="2"/>
      <c r="Z198" s="7">
        <f t="shared" si="47"/>
        <v>-1</v>
      </c>
    </row>
    <row r="199" spans="1:26" s="24" customFormat="1" hidden="1" outlineLevel="2" x14ac:dyDescent="0.25">
      <c r="A199" s="25"/>
      <c r="B199" s="11" t="str">
        <f>CONCATENATE("          ", "6326", " - ", "VEHICLES DEPRECIATION EXPENSE")</f>
        <v xml:space="preserve">          6326 - VEHICLES DEPRECIATION EXPENSE</v>
      </c>
      <c r="C199" s="11"/>
      <c r="D199" s="6"/>
      <c r="E199" s="2"/>
      <c r="F199" s="7">
        <f t="shared" si="40"/>
        <v>0</v>
      </c>
      <c r="G199" s="2"/>
      <c r="H199" s="6">
        <v>333</v>
      </c>
      <c r="I199" s="2"/>
      <c r="J199" s="7">
        <f t="shared" si="41"/>
        <v>5.0695845277555615E-4</v>
      </c>
      <c r="K199" s="2"/>
      <c r="L199" s="6">
        <f t="shared" si="42"/>
        <v>-333</v>
      </c>
      <c r="M199" s="2"/>
      <c r="N199" s="7">
        <f t="shared" si="43"/>
        <v>-1</v>
      </c>
      <c r="O199" s="11"/>
      <c r="P199" s="6"/>
      <c r="Q199" s="2"/>
      <c r="R199" s="7">
        <f t="shared" si="44"/>
        <v>0</v>
      </c>
      <c r="S199" s="2"/>
      <c r="T199" s="6">
        <v>666</v>
      </c>
      <c r="U199" s="2"/>
      <c r="V199" s="7">
        <f t="shared" si="45"/>
        <v>9.9986290989237048E-5</v>
      </c>
      <c r="W199" s="2"/>
      <c r="X199" s="6">
        <f t="shared" si="46"/>
        <v>-666</v>
      </c>
      <c r="Y199" s="2"/>
      <c r="Z199" s="7">
        <f t="shared" si="47"/>
        <v>-1</v>
      </c>
    </row>
    <row r="200" spans="1:26" s="26" customFormat="1" outlineLevel="1" collapsed="1" x14ac:dyDescent="0.25">
      <c r="A200" s="27"/>
      <c r="B200" s="13" t="str">
        <f>CONCATENATE("     ","Discounts and Markdowns                           ")</f>
        <v xml:space="preserve">     Discounts and Markdowns                           </v>
      </c>
      <c r="C200" s="13"/>
      <c r="D200" s="1">
        <f>SUM(OSRRefD22_6x_0)</f>
        <v>49094.73</v>
      </c>
      <c r="E200" s="1"/>
      <c r="F200" s="5">
        <f t="shared" ref="F200:F202" si="48">IF(D$12=0,0,D200/D$12)</f>
        <v>6.5362385998624928E-2</v>
      </c>
      <c r="G200" s="1"/>
      <c r="H200" s="1">
        <f>SUM(OSRRefH22_6x_0)</f>
        <v>30725</v>
      </c>
      <c r="I200" s="1"/>
      <c r="J200" s="5">
        <f t="shared" ref="J200:J202" si="49">IF(H$12=0,0,H200/H$12)</f>
        <v>4.6775671055642537E-2</v>
      </c>
      <c r="K200" s="1"/>
      <c r="L200" s="1">
        <f t="shared" ref="L200:L202" si="50">+D200-H200</f>
        <v>18369.730000000003</v>
      </c>
      <c r="M200" s="1"/>
      <c r="N200" s="5">
        <f t="shared" ref="N200:N202" si="51">IF(H200=0,0,L200/H200)</f>
        <v>0.59787567127746144</v>
      </c>
      <c r="O200" s="13"/>
      <c r="P200" s="1">
        <f>SUM(OSRRefP22_6x_0)</f>
        <v>146944.68000000002</v>
      </c>
      <c r="Q200" s="1"/>
      <c r="R200" s="5">
        <f t="shared" ref="R200:R202" si="52">IF(P$12=0,0,P200/P$12)</f>
        <v>2.2641691717175953E-2</v>
      </c>
      <c r="S200" s="1"/>
      <c r="T200" s="1">
        <f>SUM(OSRRefT22_6x_0)</f>
        <v>135625</v>
      </c>
      <c r="U200" s="1"/>
      <c r="V200" s="5">
        <f t="shared" ref="V200:V202" si="53">IF(T$12=0,0,T200/T$12)</f>
        <v>2.0361322395518432E-2</v>
      </c>
      <c r="W200" s="1"/>
      <c r="X200" s="1">
        <f t="shared" ref="X200:X202" si="54">+P200-T200</f>
        <v>11319.680000000022</v>
      </c>
      <c r="Y200" s="1"/>
      <c r="Z200" s="5">
        <f t="shared" ref="Z200:Z202" si="55">IF(T200=0,0,X200/T200)</f>
        <v>8.3463078341013991E-2</v>
      </c>
    </row>
    <row r="201" spans="1:26" s="24" customFormat="1" hidden="1" outlineLevel="2" x14ac:dyDescent="0.25">
      <c r="A201" s="25"/>
      <c r="B201" s="11" t="str">
        <f>CONCATENATE("          ", "6382", " - ", "DISCOUNTS/MARK DOWNS")</f>
        <v xml:space="preserve">          6382 - DISCOUNTS/MARK DOWNS</v>
      </c>
      <c r="C201" s="11"/>
      <c r="D201" s="6">
        <v>49342.23</v>
      </c>
      <c r="E201" s="2"/>
      <c r="F201" s="7">
        <f t="shared" si="48"/>
        <v>6.5691895714528437E-2</v>
      </c>
      <c r="G201" s="2"/>
      <c r="H201" s="6">
        <v>30725</v>
      </c>
      <c r="I201" s="2"/>
      <c r="J201" s="7">
        <f t="shared" si="49"/>
        <v>4.6775671055642537E-2</v>
      </c>
      <c r="K201" s="2"/>
      <c r="L201" s="6">
        <f t="shared" si="50"/>
        <v>18617.230000000003</v>
      </c>
      <c r="M201" s="2"/>
      <c r="N201" s="7">
        <f t="shared" si="51"/>
        <v>0.6059310008136698</v>
      </c>
      <c r="O201" s="11"/>
      <c r="P201" s="6">
        <v>149309.93000000002</v>
      </c>
      <c r="Q201" s="2"/>
      <c r="R201" s="7">
        <f t="shared" si="52"/>
        <v>2.3006136767749069E-2</v>
      </c>
      <c r="S201" s="2"/>
      <c r="T201" s="6">
        <v>135625</v>
      </c>
      <c r="U201" s="2"/>
      <c r="V201" s="7">
        <f t="shared" si="53"/>
        <v>2.0361322395518432E-2</v>
      </c>
      <c r="W201" s="2"/>
      <c r="X201" s="6">
        <f t="shared" si="54"/>
        <v>13684.930000000022</v>
      </c>
      <c r="Y201" s="2"/>
      <c r="Z201" s="7">
        <f t="shared" si="55"/>
        <v>0.10090270967741952</v>
      </c>
    </row>
    <row r="202" spans="1:26" s="24" customFormat="1" hidden="1" outlineLevel="2" x14ac:dyDescent="0.25">
      <c r="A202" s="25"/>
      <c r="B202" s="11" t="str">
        <f>CONCATENATE("          ", "9175", " - ", "EARNED DISCOUNTS")</f>
        <v xml:space="preserve">          9175 - EARNED DISCOUNTS</v>
      </c>
      <c r="C202" s="11"/>
      <c r="D202" s="6">
        <v>-247.5</v>
      </c>
      <c r="E202" s="2"/>
      <c r="F202" s="7">
        <f t="shared" si="48"/>
        <v>-3.2950971590351281E-4</v>
      </c>
      <c r="G202" s="2"/>
      <c r="H202" s="6"/>
      <c r="I202" s="2"/>
      <c r="J202" s="7">
        <f t="shared" si="49"/>
        <v>0</v>
      </c>
      <c r="K202" s="2"/>
      <c r="L202" s="6">
        <f t="shared" si="50"/>
        <v>-247.5</v>
      </c>
      <c r="M202" s="2"/>
      <c r="N202" s="7">
        <f t="shared" si="51"/>
        <v>0</v>
      </c>
      <c r="O202" s="11"/>
      <c r="P202" s="6">
        <v>-2365.25</v>
      </c>
      <c r="Q202" s="2"/>
      <c r="R202" s="7">
        <f t="shared" si="52"/>
        <v>-3.6444505057311647E-4</v>
      </c>
      <c r="S202" s="2"/>
      <c r="T202" s="6"/>
      <c r="U202" s="2"/>
      <c r="V202" s="7">
        <f t="shared" si="53"/>
        <v>0</v>
      </c>
      <c r="W202" s="2"/>
      <c r="X202" s="6">
        <f t="shared" si="54"/>
        <v>-2365.25</v>
      </c>
      <c r="Y202" s="2"/>
      <c r="Z202" s="7">
        <f t="shared" si="55"/>
        <v>0</v>
      </c>
    </row>
    <row r="203" spans="1:26" s="26" customFormat="1" outlineLevel="1" collapsed="1" x14ac:dyDescent="0.25">
      <c r="A203" s="27"/>
      <c r="B203" s="13" t="str">
        <f>CONCATENATE("     ","Donations                                         ")</f>
        <v xml:space="preserve">     Donations                                         </v>
      </c>
      <c r="C203" s="13"/>
      <c r="D203" s="1">
        <f>SUM(OSRRefD22_7x_0)</f>
        <v>3415.9</v>
      </c>
      <c r="E203" s="1"/>
      <c r="F203" s="5">
        <f t="shared" ref="F203:F205" si="56">IF(D$12=0,0,D203/D$12)</f>
        <v>4.547766620423473E-3</v>
      </c>
      <c r="G203" s="1"/>
      <c r="H203" s="1">
        <f>SUM(OSRRefH22_7x_0)</f>
        <v>1025</v>
      </c>
      <c r="I203" s="1"/>
      <c r="J203" s="5">
        <f t="shared" ref="J203:J205" si="57">IF(H$12=0,0,H203/H$12)</f>
        <v>1.5604576999848202E-3</v>
      </c>
      <c r="K203" s="1"/>
      <c r="L203" s="1">
        <f t="shared" ref="L203:L205" si="58">+D203-H203</f>
        <v>2390.9</v>
      </c>
      <c r="M203" s="1"/>
      <c r="N203" s="5">
        <f t="shared" ref="N203:N205" si="59">IF(H203=0,0,L203/H203)</f>
        <v>2.3325853658536588</v>
      </c>
      <c r="O203" s="13"/>
      <c r="P203" s="1">
        <f>SUM(OSRRefP22_7x_0)</f>
        <v>9647.3799999999992</v>
      </c>
      <c r="Q203" s="1"/>
      <c r="R203" s="5">
        <f t="shared" ref="R203:R205" si="60">IF(P$12=0,0,P203/P$12)</f>
        <v>1.4864982103363585E-3</v>
      </c>
      <c r="S203" s="1"/>
      <c r="T203" s="1">
        <f>SUM(OSRRefT22_7x_0)</f>
        <v>5200</v>
      </c>
      <c r="U203" s="1"/>
      <c r="V203" s="5">
        <f t="shared" ref="V203:V205" si="61">IF(T$12=0,0,T203/T$12)</f>
        <v>7.8067374345950854E-4</v>
      </c>
      <c r="W203" s="1"/>
      <c r="X203" s="1">
        <f t="shared" ref="X203:X205" si="62">+P203-T203</f>
        <v>4447.3799999999992</v>
      </c>
      <c r="Y203" s="1"/>
      <c r="Z203" s="5">
        <f t="shared" ref="Z203:Z205" si="63">IF(T203=0,0,X203/T203)</f>
        <v>0.85526538461538448</v>
      </c>
    </row>
    <row r="204" spans="1:26" s="24" customFormat="1" hidden="1" outlineLevel="2" x14ac:dyDescent="0.25">
      <c r="A204" s="25"/>
      <c r="B204" s="11" t="str">
        <f>CONCATENATE("          ", "6395", " - ", "DONATION-OFF CAMPUS")</f>
        <v xml:space="preserve">          6395 - DONATION-OFF CAMPUS</v>
      </c>
      <c r="C204" s="11"/>
      <c r="D204" s="6"/>
      <c r="E204" s="2"/>
      <c r="F204" s="7">
        <f t="shared" si="56"/>
        <v>0</v>
      </c>
      <c r="G204" s="2"/>
      <c r="H204" s="6">
        <v>1025</v>
      </c>
      <c r="I204" s="2"/>
      <c r="J204" s="7">
        <f t="shared" si="57"/>
        <v>1.5604576999848202E-3</v>
      </c>
      <c r="K204" s="2"/>
      <c r="L204" s="6">
        <f t="shared" si="58"/>
        <v>-1025</v>
      </c>
      <c r="M204" s="2"/>
      <c r="N204" s="7">
        <f t="shared" si="59"/>
        <v>-1</v>
      </c>
      <c r="O204" s="11"/>
      <c r="P204" s="6"/>
      <c r="Q204" s="2"/>
      <c r="R204" s="7">
        <f t="shared" si="60"/>
        <v>0</v>
      </c>
      <c r="S204" s="2"/>
      <c r="T204" s="6">
        <v>5200</v>
      </c>
      <c r="U204" s="2"/>
      <c r="V204" s="7">
        <f t="shared" si="61"/>
        <v>7.8067374345950854E-4</v>
      </c>
      <c r="W204" s="2"/>
      <c r="X204" s="6">
        <f t="shared" si="62"/>
        <v>-5200</v>
      </c>
      <c r="Y204" s="2"/>
      <c r="Z204" s="7">
        <f t="shared" si="63"/>
        <v>-1</v>
      </c>
    </row>
    <row r="205" spans="1:26" s="24" customFormat="1" hidden="1" outlineLevel="2" x14ac:dyDescent="0.25">
      <c r="A205" s="25"/>
      <c r="B205" s="11" t="str">
        <f>CONCATENATE("          ", "6399", " - ", "DONATION-ON CAMPUS")</f>
        <v xml:space="preserve">          6399 - DONATION-ON CAMPUS</v>
      </c>
      <c r="C205" s="11"/>
      <c r="D205" s="6">
        <v>3415.9</v>
      </c>
      <c r="E205" s="2"/>
      <c r="F205" s="7">
        <f t="shared" si="56"/>
        <v>4.547766620423473E-3</v>
      </c>
      <c r="G205" s="2"/>
      <c r="H205" s="6"/>
      <c r="I205" s="2"/>
      <c r="J205" s="7">
        <f t="shared" si="57"/>
        <v>0</v>
      </c>
      <c r="K205" s="2"/>
      <c r="L205" s="6">
        <f t="shared" si="58"/>
        <v>3415.9</v>
      </c>
      <c r="M205" s="2"/>
      <c r="N205" s="7">
        <f t="shared" si="59"/>
        <v>0</v>
      </c>
      <c r="O205" s="11"/>
      <c r="P205" s="6">
        <v>9647.3799999999992</v>
      </c>
      <c r="Q205" s="2"/>
      <c r="R205" s="7">
        <f t="shared" si="60"/>
        <v>1.4864982103363585E-3</v>
      </c>
      <c r="S205" s="2"/>
      <c r="T205" s="6"/>
      <c r="U205" s="2"/>
      <c r="V205" s="7">
        <f t="shared" si="61"/>
        <v>0</v>
      </c>
      <c r="W205" s="2"/>
      <c r="X205" s="6">
        <f t="shared" si="62"/>
        <v>9647.3799999999992</v>
      </c>
      <c r="Y205" s="2"/>
      <c r="Z205" s="7">
        <f t="shared" si="63"/>
        <v>0</v>
      </c>
    </row>
    <row r="206" spans="1:26" s="26" customFormat="1" outlineLevel="1" collapsed="1" x14ac:dyDescent="0.25">
      <c r="A206" s="27"/>
      <c r="B206" s="13" t="str">
        <f>CONCATENATE("     ","Employees' Appreciation                           ")</f>
        <v xml:space="preserve">     Employees' Appreciation                           </v>
      </c>
      <c r="C206" s="13"/>
      <c r="D206" s="1">
        <f>SUM(OSRRefD22_8x_0)</f>
        <v>425.17</v>
      </c>
      <c r="E206" s="1"/>
      <c r="F206" s="5">
        <f t="shared" ref="F206:F212" si="64">IF(D$12=0,0,D206/D$12)</f>
        <v>5.6605109458867297E-4</v>
      </c>
      <c r="G206" s="1"/>
      <c r="H206" s="1">
        <f>SUM(OSRRefH22_8x_0)</f>
        <v>725</v>
      </c>
      <c r="I206" s="1"/>
      <c r="J206" s="5">
        <f t="shared" ref="J206:J212" si="65">IF(H$12=0,0,H206/H$12)</f>
        <v>1.1037383731599948E-3</v>
      </c>
      <c r="K206" s="1"/>
      <c r="L206" s="1">
        <f t="shared" ref="L206:L212" si="66">+D206-H206</f>
        <v>-299.83</v>
      </c>
      <c r="M206" s="1"/>
      <c r="N206" s="5">
        <f t="shared" ref="N206:N212" si="67">IF(H206=0,0,L206/H206)</f>
        <v>-0.41355862068965515</v>
      </c>
      <c r="O206" s="13"/>
      <c r="P206" s="1">
        <f>SUM(OSRRefP22_8x_0)</f>
        <v>1103.58</v>
      </c>
      <c r="Q206" s="1"/>
      <c r="R206" s="5">
        <f t="shared" ref="R206:R212" si="68">IF(P$12=0,0,P206/P$12)</f>
        <v>1.7004302670393397E-4</v>
      </c>
      <c r="S206" s="1"/>
      <c r="T206" s="1">
        <f>SUM(OSRRefT22_8x_0)</f>
        <v>3625</v>
      </c>
      <c r="U206" s="1"/>
      <c r="V206" s="5">
        <f t="shared" ref="V206:V212" si="69">IF(T$12=0,0,T206/T$12)</f>
        <v>5.4421967693090735E-4</v>
      </c>
      <c r="W206" s="1"/>
      <c r="X206" s="1">
        <f t="shared" ref="X206:X212" si="70">+P206-T206</f>
        <v>-2521.42</v>
      </c>
      <c r="Y206" s="1"/>
      <c r="Z206" s="5">
        <f t="shared" ref="Z206:Z212" si="71">IF(T206=0,0,X206/T206)</f>
        <v>-0.69556413793103455</v>
      </c>
    </row>
    <row r="207" spans="1:26" s="24" customFormat="1" hidden="1" outlineLevel="2" x14ac:dyDescent="0.25">
      <c r="A207" s="25"/>
      <c r="B207" s="11" t="str">
        <f>CONCATENATE("          ", "6277", " - ", "EMPLOYEE APPRECIATION")</f>
        <v xml:space="preserve">          6277 - EMPLOYEE APPRECIATION</v>
      </c>
      <c r="C207" s="11"/>
      <c r="D207" s="6">
        <v>425.17</v>
      </c>
      <c r="E207" s="2"/>
      <c r="F207" s="7">
        <f t="shared" si="64"/>
        <v>5.6605109458867297E-4</v>
      </c>
      <c r="G207" s="2"/>
      <c r="H207" s="6">
        <v>725</v>
      </c>
      <c r="I207" s="2"/>
      <c r="J207" s="7">
        <f t="shared" si="65"/>
        <v>1.1037383731599948E-3</v>
      </c>
      <c r="K207" s="2"/>
      <c r="L207" s="6">
        <f t="shared" si="66"/>
        <v>-299.83</v>
      </c>
      <c r="M207" s="2"/>
      <c r="N207" s="7">
        <f t="shared" si="67"/>
        <v>-0.41355862068965515</v>
      </c>
      <c r="O207" s="11"/>
      <c r="P207" s="6">
        <v>1103.58</v>
      </c>
      <c r="Q207" s="2"/>
      <c r="R207" s="7">
        <f t="shared" si="68"/>
        <v>1.7004302670393397E-4</v>
      </c>
      <c r="S207" s="2"/>
      <c r="T207" s="6">
        <v>3625</v>
      </c>
      <c r="U207" s="2"/>
      <c r="V207" s="7">
        <f t="shared" si="69"/>
        <v>5.4421967693090735E-4</v>
      </c>
      <c r="W207" s="2"/>
      <c r="X207" s="6">
        <f t="shared" si="70"/>
        <v>-2521.42</v>
      </c>
      <c r="Y207" s="2"/>
      <c r="Z207" s="7">
        <f t="shared" si="71"/>
        <v>-0.69556413793103455</v>
      </c>
    </row>
    <row r="208" spans="1:26" s="26" customFormat="1" outlineLevel="1" collapsed="1" x14ac:dyDescent="0.25">
      <c r="A208" s="27"/>
      <c r="B208" s="13" t="str">
        <f>CONCATENATE("     ","Equipment Rental                                  ")</f>
        <v xml:space="preserve">     Equipment Rental                                  </v>
      </c>
      <c r="C208" s="13"/>
      <c r="D208" s="1">
        <f>SUM(OSRRefD22_9x_0)</f>
        <v>4524.1099999999997</v>
      </c>
      <c r="E208" s="1"/>
      <c r="F208" s="5">
        <f t="shared" si="64"/>
        <v>6.023184649762591E-3</v>
      </c>
      <c r="G208" s="1"/>
      <c r="H208" s="1">
        <f>SUM(OSRRefH22_9x_0)</f>
        <v>3305</v>
      </c>
      <c r="I208" s="1"/>
      <c r="J208" s="5">
        <f t="shared" si="65"/>
        <v>5.0315245838534932E-3</v>
      </c>
      <c r="K208" s="1"/>
      <c r="L208" s="1">
        <f t="shared" si="66"/>
        <v>1219.1099999999997</v>
      </c>
      <c r="M208" s="1"/>
      <c r="N208" s="5">
        <f t="shared" si="67"/>
        <v>0.36886838124054455</v>
      </c>
      <c r="O208" s="13"/>
      <c r="P208" s="1">
        <f>SUM(OSRRefP22_9x_0)</f>
        <v>11664.07</v>
      </c>
      <c r="Q208" s="1"/>
      <c r="R208" s="5">
        <f t="shared" si="68"/>
        <v>1.7972360558242766E-3</v>
      </c>
      <c r="S208" s="1"/>
      <c r="T208" s="1">
        <f>SUM(OSRRefT22_9x_0)</f>
        <v>16525</v>
      </c>
      <c r="U208" s="1"/>
      <c r="V208" s="5">
        <f t="shared" si="69"/>
        <v>2.4808910789746882E-3</v>
      </c>
      <c r="W208" s="1"/>
      <c r="X208" s="1">
        <f t="shared" si="70"/>
        <v>-4860.93</v>
      </c>
      <c r="Y208" s="1"/>
      <c r="Z208" s="5">
        <f t="shared" si="71"/>
        <v>-0.29415612708018157</v>
      </c>
    </row>
    <row r="209" spans="1:26" s="24" customFormat="1" hidden="1" outlineLevel="2" x14ac:dyDescent="0.25">
      <c r="A209" s="25"/>
      <c r="B209" s="11" t="str">
        <f>CONCATENATE("          ", "6351", " - ", "EQUIPMENT RENTAL")</f>
        <v xml:space="preserve">          6351 - EQUIPMENT RENTAL</v>
      </c>
      <c r="C209" s="11"/>
      <c r="D209" s="6">
        <v>4524.1099999999997</v>
      </c>
      <c r="E209" s="2"/>
      <c r="F209" s="7">
        <f t="shared" si="64"/>
        <v>6.023184649762591E-3</v>
      </c>
      <c r="G209" s="2"/>
      <c r="H209" s="6">
        <v>3305</v>
      </c>
      <c r="I209" s="2"/>
      <c r="J209" s="7">
        <f t="shared" si="65"/>
        <v>5.0315245838534932E-3</v>
      </c>
      <c r="K209" s="2"/>
      <c r="L209" s="6">
        <f t="shared" si="66"/>
        <v>1219.1099999999997</v>
      </c>
      <c r="M209" s="2"/>
      <c r="N209" s="7">
        <f t="shared" si="67"/>
        <v>0.36886838124054455</v>
      </c>
      <c r="O209" s="11"/>
      <c r="P209" s="6">
        <v>11664.07</v>
      </c>
      <c r="Q209" s="2"/>
      <c r="R209" s="7">
        <f t="shared" si="68"/>
        <v>1.7972360558242766E-3</v>
      </c>
      <c r="S209" s="2"/>
      <c r="T209" s="6">
        <v>16525</v>
      </c>
      <c r="U209" s="2"/>
      <c r="V209" s="7">
        <f t="shared" si="69"/>
        <v>2.4808910789746882E-3</v>
      </c>
      <c r="W209" s="2"/>
      <c r="X209" s="6">
        <f t="shared" si="70"/>
        <v>-4860.93</v>
      </c>
      <c r="Y209" s="2"/>
      <c r="Z209" s="7">
        <f t="shared" si="71"/>
        <v>-0.29415612708018157</v>
      </c>
    </row>
    <row r="210" spans="1:26" s="26" customFormat="1" outlineLevel="1" collapsed="1" x14ac:dyDescent="0.25">
      <c r="A210" s="27"/>
      <c r="B210" s="13" t="str">
        <f>CONCATENATE("     ","Freight out/Postage                               ")</f>
        <v xml:space="preserve">     Freight out/Postage                               </v>
      </c>
      <c r="C210" s="13"/>
      <c r="D210" s="1">
        <f>SUM(OSRRefD22_10x_0)</f>
        <v>8770.06</v>
      </c>
      <c r="E210" s="1"/>
      <c r="F210" s="5">
        <f t="shared" si="64"/>
        <v>1.1676040319421259E-2</v>
      </c>
      <c r="G210" s="1"/>
      <c r="H210" s="1">
        <f>SUM(OSRRefH22_10x_0)</f>
        <v>1790</v>
      </c>
      <c r="I210" s="1"/>
      <c r="J210" s="5">
        <f t="shared" si="65"/>
        <v>2.7250919833881251E-3</v>
      </c>
      <c r="K210" s="1"/>
      <c r="L210" s="1">
        <f t="shared" si="66"/>
        <v>6980.0599999999995</v>
      </c>
      <c r="M210" s="1"/>
      <c r="N210" s="5">
        <f t="shared" si="67"/>
        <v>3.8994748603351952</v>
      </c>
      <c r="O210" s="13"/>
      <c r="P210" s="1">
        <f>SUM(OSRRefP22_10x_0)</f>
        <v>4862.93</v>
      </c>
      <c r="Q210" s="1"/>
      <c r="R210" s="5">
        <f t="shared" si="68"/>
        <v>7.4929532598394478E-4</v>
      </c>
      <c r="S210" s="1"/>
      <c r="T210" s="1">
        <f>SUM(OSRRefT22_10x_0)</f>
        <v>-28750</v>
      </c>
      <c r="U210" s="1"/>
      <c r="V210" s="5">
        <f t="shared" si="69"/>
        <v>-4.3162250239347829E-3</v>
      </c>
      <c r="W210" s="1"/>
      <c r="X210" s="1">
        <f t="shared" si="70"/>
        <v>33612.93</v>
      </c>
      <c r="Y210" s="1"/>
      <c r="Z210" s="5">
        <f t="shared" si="71"/>
        <v>-1.1691453913043479</v>
      </c>
    </row>
    <row r="211" spans="1:26" s="24" customFormat="1" hidden="1" outlineLevel="2" x14ac:dyDescent="0.25">
      <c r="A211" s="25"/>
      <c r="B211" s="11" t="str">
        <f>CONCATENATE("          ", "6305", " - ", "FREIGHT OUT")</f>
        <v xml:space="preserve">          6305 - FREIGHT OUT</v>
      </c>
      <c r="C211" s="11"/>
      <c r="D211" s="6">
        <v>9229.43</v>
      </c>
      <c r="E211" s="2"/>
      <c r="F211" s="7">
        <f t="shared" si="64"/>
        <v>1.2287623665662054E-2</v>
      </c>
      <c r="G211" s="2"/>
      <c r="H211" s="6">
        <v>1750</v>
      </c>
      <c r="I211" s="2"/>
      <c r="J211" s="7">
        <f t="shared" si="65"/>
        <v>2.664196073144815E-3</v>
      </c>
      <c r="K211" s="2"/>
      <c r="L211" s="6">
        <f t="shared" si="66"/>
        <v>7479.43</v>
      </c>
      <c r="M211" s="2"/>
      <c r="N211" s="7">
        <f t="shared" si="67"/>
        <v>4.2739599999999998</v>
      </c>
      <c r="O211" s="11"/>
      <c r="P211" s="6">
        <v>28910.53</v>
      </c>
      <c r="Q211" s="2"/>
      <c r="R211" s="7">
        <f t="shared" si="68"/>
        <v>4.45462406424082E-3</v>
      </c>
      <c r="S211" s="2"/>
      <c r="T211" s="6">
        <v>-28950</v>
      </c>
      <c r="U211" s="2"/>
      <c r="V211" s="7">
        <f t="shared" si="69"/>
        <v>-4.346250937144764E-3</v>
      </c>
      <c r="W211" s="2"/>
      <c r="X211" s="6">
        <f t="shared" si="70"/>
        <v>57860.53</v>
      </c>
      <c r="Y211" s="2"/>
      <c r="Z211" s="7">
        <f t="shared" si="71"/>
        <v>-1.9986366148531951</v>
      </c>
    </row>
    <row r="212" spans="1:26" s="24" customFormat="1" hidden="1" outlineLevel="2" x14ac:dyDescent="0.25">
      <c r="A212" s="25"/>
      <c r="B212" s="11" t="str">
        <f>CONCATENATE("          ", "6307", " - ", "POSTAGE")</f>
        <v xml:space="preserve">          6307 - POSTAGE</v>
      </c>
      <c r="C212" s="11"/>
      <c r="D212" s="6">
        <v>-459.37</v>
      </c>
      <c r="E212" s="2"/>
      <c r="F212" s="7">
        <f t="shared" si="64"/>
        <v>-6.1158334624079468E-4</v>
      </c>
      <c r="G212" s="2"/>
      <c r="H212" s="6">
        <v>40</v>
      </c>
      <c r="I212" s="2"/>
      <c r="J212" s="7">
        <f t="shared" si="65"/>
        <v>6.0895910243310053E-5</v>
      </c>
      <c r="K212" s="2"/>
      <c r="L212" s="6">
        <f t="shared" si="66"/>
        <v>-499.37</v>
      </c>
      <c r="M212" s="2"/>
      <c r="N212" s="7">
        <f t="shared" si="67"/>
        <v>-12.484249999999999</v>
      </c>
      <c r="O212" s="11"/>
      <c r="P212" s="6">
        <v>-24047.599999999999</v>
      </c>
      <c r="Q212" s="2"/>
      <c r="R212" s="7">
        <f t="shared" si="68"/>
        <v>-3.7053287382568757E-3</v>
      </c>
      <c r="S212" s="2"/>
      <c r="T212" s="6">
        <v>200</v>
      </c>
      <c r="U212" s="2"/>
      <c r="V212" s="7">
        <f t="shared" si="69"/>
        <v>3.0025913209981096E-5</v>
      </c>
      <c r="W212" s="2"/>
      <c r="X212" s="6">
        <f t="shared" si="70"/>
        <v>-24247.599999999999</v>
      </c>
      <c r="Y212" s="2"/>
      <c r="Z212" s="7">
        <f t="shared" si="71"/>
        <v>-121.238</v>
      </c>
    </row>
    <row r="213" spans="1:26" s="26" customFormat="1" outlineLevel="1" collapsed="1" x14ac:dyDescent="0.25">
      <c r="A213" s="27"/>
      <c r="B213" s="13" t="str">
        <f>CONCATENATE("     ","General                                           ")</f>
        <v xml:space="preserve">     General                                           </v>
      </c>
      <c r="C213" s="13"/>
      <c r="D213" s="1">
        <f>SUM(OSRRefD22_11x_0)</f>
        <v>12609.15</v>
      </c>
      <c r="E213" s="1"/>
      <c r="F213" s="5">
        <f t="shared" ref="F213:F230" si="72">IF(D$12=0,0,D213/D$12)</f>
        <v>1.6787221956706178E-2</v>
      </c>
      <c r="G213" s="1"/>
      <c r="H213" s="1">
        <f>SUM(OSRRefH22_11x_0)</f>
        <v>15044</v>
      </c>
      <c r="I213" s="1"/>
      <c r="J213" s="5">
        <f t="shared" ref="J213:J230" si="73">IF(H$12=0,0,H213/H$12)</f>
        <v>2.2902951842508911E-2</v>
      </c>
      <c r="K213" s="1"/>
      <c r="L213" s="1">
        <f t="shared" ref="L213:L230" si="74">+D213-H213</f>
        <v>-2434.8500000000004</v>
      </c>
      <c r="M213" s="1"/>
      <c r="N213" s="5">
        <f t="shared" ref="N213:N230" si="75">IF(H213=0,0,L213/H213)</f>
        <v>-0.16184857750598247</v>
      </c>
      <c r="O213" s="13"/>
      <c r="P213" s="1">
        <f>SUM(OSRRefP22_11x_0)</f>
        <v>2510.2199999999998</v>
      </c>
      <c r="Q213" s="1"/>
      <c r="R213" s="5">
        <f t="shared" ref="R213:R230" si="76">IF(P$12=0,0,P213/P$12)</f>
        <v>3.8678247747580527E-4</v>
      </c>
      <c r="S213" s="1"/>
      <c r="T213" s="1">
        <f>SUM(OSRRefT22_11x_0)</f>
        <v>21608</v>
      </c>
      <c r="U213" s="1"/>
      <c r="V213" s="5">
        <f t="shared" ref="V213:V230" si="77">IF(T$12=0,0,T213/T$12)</f>
        <v>3.2439996632063575E-3</v>
      </c>
      <c r="W213" s="1"/>
      <c r="X213" s="1">
        <f t="shared" ref="X213:X230" si="78">+P213-T213</f>
        <v>-19097.78</v>
      </c>
      <c r="Y213" s="1"/>
      <c r="Z213" s="5">
        <f t="shared" ref="Z213:Z230" si="79">IF(T213=0,0,X213/T213)</f>
        <v>-0.88382913735653457</v>
      </c>
    </row>
    <row r="214" spans="1:26" s="24" customFormat="1" hidden="1" outlineLevel="2" x14ac:dyDescent="0.25">
      <c r="A214" s="25"/>
      <c r="B214" s="11" t="str">
        <f>CONCATENATE("          ", "6279", " - ", "GENERAL EXPENSE")</f>
        <v xml:space="preserve">          6279 - GENERAL EXPENSE</v>
      </c>
      <c r="C214" s="11"/>
      <c r="D214" s="6">
        <v>12609.15</v>
      </c>
      <c r="E214" s="2"/>
      <c r="F214" s="7">
        <f t="shared" si="72"/>
        <v>1.6787221956706178E-2</v>
      </c>
      <c r="G214" s="2"/>
      <c r="H214" s="6">
        <v>15044</v>
      </c>
      <c r="I214" s="2"/>
      <c r="J214" s="7">
        <f t="shared" si="73"/>
        <v>2.2902951842508911E-2</v>
      </c>
      <c r="K214" s="2"/>
      <c r="L214" s="6">
        <f t="shared" si="74"/>
        <v>-2434.8500000000004</v>
      </c>
      <c r="M214" s="2"/>
      <c r="N214" s="7">
        <f t="shared" si="75"/>
        <v>-0.16184857750598247</v>
      </c>
      <c r="O214" s="11"/>
      <c r="P214" s="6">
        <v>2510.2199999999998</v>
      </c>
      <c r="Q214" s="2"/>
      <c r="R214" s="7">
        <f t="shared" si="76"/>
        <v>3.8678247747580527E-4</v>
      </c>
      <c r="S214" s="2"/>
      <c r="T214" s="6">
        <v>21608</v>
      </c>
      <c r="U214" s="2"/>
      <c r="V214" s="7">
        <f t="shared" si="77"/>
        <v>3.2439996632063575E-3</v>
      </c>
      <c r="W214" s="2"/>
      <c r="X214" s="6">
        <f t="shared" si="78"/>
        <v>-19097.78</v>
      </c>
      <c r="Y214" s="2"/>
      <c r="Z214" s="7">
        <f t="shared" si="79"/>
        <v>-0.88382913735653457</v>
      </c>
    </row>
    <row r="215" spans="1:26" s="26" customFormat="1" outlineLevel="1" collapsed="1" x14ac:dyDescent="0.25">
      <c r="A215" s="27"/>
      <c r="B215" s="13" t="str">
        <f>CONCATENATE("     ","Insurance                                         ")</f>
        <v xml:space="preserve">     Insurance                                         </v>
      </c>
      <c r="C215" s="13"/>
      <c r="D215" s="1">
        <f>SUM(OSRRefD22_12x_0)</f>
        <v>4288.28</v>
      </c>
      <c r="E215" s="1"/>
      <c r="F215" s="5">
        <f t="shared" si="72"/>
        <v>5.7092118162210739E-3</v>
      </c>
      <c r="G215" s="1"/>
      <c r="H215" s="1">
        <f>SUM(OSRRefH22_12x_0)</f>
        <v>4045</v>
      </c>
      <c r="I215" s="1"/>
      <c r="J215" s="5">
        <f t="shared" si="73"/>
        <v>6.1580989233547294E-3</v>
      </c>
      <c r="K215" s="1"/>
      <c r="L215" s="1">
        <f t="shared" si="74"/>
        <v>243.27999999999975</v>
      </c>
      <c r="M215" s="1"/>
      <c r="N215" s="5">
        <f t="shared" si="75"/>
        <v>6.0143386897404137E-2</v>
      </c>
      <c r="O215" s="13"/>
      <c r="P215" s="1">
        <f>SUM(OSRRefP22_12x_0)</f>
        <v>21441.4</v>
      </c>
      <c r="Q215" s="1"/>
      <c r="R215" s="5">
        <f t="shared" si="76"/>
        <v>3.3037573649121318E-3</v>
      </c>
      <c r="S215" s="1"/>
      <c r="T215" s="1">
        <f>SUM(OSRRefT22_12x_0)</f>
        <v>20225</v>
      </c>
      <c r="U215" s="1"/>
      <c r="V215" s="5">
        <f t="shared" si="77"/>
        <v>3.0363704733593383E-3</v>
      </c>
      <c r="W215" s="1"/>
      <c r="X215" s="1">
        <f t="shared" si="78"/>
        <v>1216.4000000000015</v>
      </c>
      <c r="Y215" s="1"/>
      <c r="Z215" s="5">
        <f t="shared" si="79"/>
        <v>6.0143386897404276E-2</v>
      </c>
    </row>
    <row r="216" spans="1:26" s="24" customFormat="1" hidden="1" outlineLevel="2" x14ac:dyDescent="0.25">
      <c r="A216" s="25"/>
      <c r="B216" s="11" t="str">
        <f>CONCATENATE("          ", "6314", " - ", "LIABILITY INSURANCE")</f>
        <v xml:space="preserve">          6314 - LIABILITY INSURANCE</v>
      </c>
      <c r="C216" s="11"/>
      <c r="D216" s="6">
        <v>4288.28</v>
      </c>
      <c r="E216" s="2"/>
      <c r="F216" s="7">
        <f t="shared" si="72"/>
        <v>5.7092118162210739E-3</v>
      </c>
      <c r="G216" s="2"/>
      <c r="H216" s="6">
        <v>4045</v>
      </c>
      <c r="I216" s="2"/>
      <c r="J216" s="7">
        <f t="shared" si="73"/>
        <v>6.1580989233547294E-3</v>
      </c>
      <c r="K216" s="2"/>
      <c r="L216" s="6">
        <f t="shared" si="74"/>
        <v>243.27999999999975</v>
      </c>
      <c r="M216" s="2"/>
      <c r="N216" s="7">
        <f t="shared" si="75"/>
        <v>6.0143386897404137E-2</v>
      </c>
      <c r="O216" s="11"/>
      <c r="P216" s="6">
        <v>21441.4</v>
      </c>
      <c r="Q216" s="2"/>
      <c r="R216" s="7">
        <f t="shared" si="76"/>
        <v>3.3037573649121318E-3</v>
      </c>
      <c r="S216" s="2"/>
      <c r="T216" s="6">
        <v>20225</v>
      </c>
      <c r="U216" s="2"/>
      <c r="V216" s="7">
        <f t="shared" si="77"/>
        <v>3.0363704733593383E-3</v>
      </c>
      <c r="W216" s="2"/>
      <c r="X216" s="6">
        <f t="shared" si="78"/>
        <v>1216.4000000000015</v>
      </c>
      <c r="Y216" s="2"/>
      <c r="Z216" s="7">
        <f t="shared" si="79"/>
        <v>6.0143386897404276E-2</v>
      </c>
    </row>
    <row r="217" spans="1:26" s="26" customFormat="1" outlineLevel="1" collapsed="1" x14ac:dyDescent="0.25">
      <c r="A217" s="27"/>
      <c r="B217" s="13" t="str">
        <f>CONCATENATE("     ","Interest                                          ")</f>
        <v xml:space="preserve">     Interest                                          </v>
      </c>
      <c r="C217" s="13"/>
      <c r="D217" s="1">
        <f>SUM(OSRRefD22_13x_0)</f>
        <v>4175</v>
      </c>
      <c r="E217" s="1"/>
      <c r="F217" s="5">
        <f t="shared" si="72"/>
        <v>5.5583962177663277E-3</v>
      </c>
      <c r="G217" s="1"/>
      <c r="H217" s="1">
        <f>SUM(OSRRefH22_13x_0)</f>
        <v>4175</v>
      </c>
      <c r="I217" s="1"/>
      <c r="J217" s="5">
        <f t="shared" si="73"/>
        <v>6.3560106316454873E-3</v>
      </c>
      <c r="K217" s="1"/>
      <c r="L217" s="1">
        <f t="shared" si="74"/>
        <v>0</v>
      </c>
      <c r="M217" s="1"/>
      <c r="N217" s="5">
        <f t="shared" si="75"/>
        <v>0</v>
      </c>
      <c r="O217" s="13"/>
      <c r="P217" s="1">
        <f>SUM(OSRRefP22_13x_0)</f>
        <v>20668.95</v>
      </c>
      <c r="Q217" s="1"/>
      <c r="R217" s="5">
        <f t="shared" si="76"/>
        <v>3.1847358748729377E-3</v>
      </c>
      <c r="S217" s="1"/>
      <c r="T217" s="1">
        <f>SUM(OSRRefT22_13x_0)</f>
        <v>20875</v>
      </c>
      <c r="U217" s="1"/>
      <c r="V217" s="5">
        <f t="shared" si="77"/>
        <v>3.1339546912917769E-3</v>
      </c>
      <c r="W217" s="1"/>
      <c r="X217" s="1">
        <f t="shared" si="78"/>
        <v>-206.04999999999927</v>
      </c>
      <c r="Y217" s="1"/>
      <c r="Z217" s="5">
        <f t="shared" si="79"/>
        <v>-9.8706586826346962E-3</v>
      </c>
    </row>
    <row r="218" spans="1:26" s="24" customFormat="1" hidden="1" outlineLevel="2" x14ac:dyDescent="0.25">
      <c r="A218" s="25"/>
      <c r="B218" s="11" t="str">
        <f>CONCATENATE("          ", "6401", " - ", "INTEREST EXPENSE")</f>
        <v xml:space="preserve">          6401 - INTEREST EXPENSE</v>
      </c>
      <c r="C218" s="11"/>
      <c r="D218" s="6">
        <v>4175</v>
      </c>
      <c r="E218" s="2"/>
      <c r="F218" s="7">
        <f t="shared" si="72"/>
        <v>5.5583962177663277E-3</v>
      </c>
      <c r="G218" s="2"/>
      <c r="H218" s="6">
        <v>4175</v>
      </c>
      <c r="I218" s="2"/>
      <c r="J218" s="7">
        <f t="shared" si="73"/>
        <v>6.3560106316454873E-3</v>
      </c>
      <c r="K218" s="2"/>
      <c r="L218" s="6">
        <f t="shared" si="74"/>
        <v>0</v>
      </c>
      <c r="M218" s="2"/>
      <c r="N218" s="7">
        <f t="shared" si="75"/>
        <v>0</v>
      </c>
      <c r="O218" s="11"/>
      <c r="P218" s="6">
        <v>20668.95</v>
      </c>
      <c r="Q218" s="2"/>
      <c r="R218" s="7">
        <f t="shared" si="76"/>
        <v>3.1847358748729377E-3</v>
      </c>
      <c r="S218" s="2"/>
      <c r="T218" s="6">
        <v>20875</v>
      </c>
      <c r="U218" s="2"/>
      <c r="V218" s="7">
        <f t="shared" si="77"/>
        <v>3.1339546912917769E-3</v>
      </c>
      <c r="W218" s="2"/>
      <c r="X218" s="6">
        <f t="shared" si="78"/>
        <v>-206.04999999999927</v>
      </c>
      <c r="Y218" s="2"/>
      <c r="Z218" s="7">
        <f t="shared" si="79"/>
        <v>-9.8706586826346962E-3</v>
      </c>
    </row>
    <row r="219" spans="1:26" s="26" customFormat="1" outlineLevel="1" collapsed="1" x14ac:dyDescent="0.25">
      <c r="A219" s="27"/>
      <c r="B219" s="13" t="str">
        <f>CONCATENATE("     ","Inventory Adjustment                              ")</f>
        <v xml:space="preserve">     Inventory Adjustment                              </v>
      </c>
      <c r="C219" s="13"/>
      <c r="D219" s="1">
        <f>SUM(OSRRefD22_14x_0)</f>
        <v>4250</v>
      </c>
      <c r="E219" s="1"/>
      <c r="F219" s="5">
        <f t="shared" si="72"/>
        <v>5.6582476468279982E-3</v>
      </c>
      <c r="G219" s="1"/>
      <c r="H219" s="1">
        <f>SUM(OSRRefH22_14x_0)</f>
        <v>4250</v>
      </c>
      <c r="I219" s="1"/>
      <c r="J219" s="5">
        <f t="shared" si="73"/>
        <v>6.4701904633516936E-3</v>
      </c>
      <c r="K219" s="1"/>
      <c r="L219" s="1">
        <f t="shared" si="74"/>
        <v>0</v>
      </c>
      <c r="M219" s="1"/>
      <c r="N219" s="5">
        <f t="shared" si="75"/>
        <v>0</v>
      </c>
      <c r="O219" s="13"/>
      <c r="P219" s="1">
        <f>SUM(OSRRefP22_14x_0)</f>
        <v>21150</v>
      </c>
      <c r="Q219" s="1"/>
      <c r="R219" s="5">
        <f t="shared" si="76"/>
        <v>3.2588575497818047E-3</v>
      </c>
      <c r="S219" s="1"/>
      <c r="T219" s="1">
        <f>SUM(OSRRefT22_14x_0)</f>
        <v>21150</v>
      </c>
      <c r="U219" s="1"/>
      <c r="V219" s="5">
        <f t="shared" si="77"/>
        <v>3.1752403219555011E-3</v>
      </c>
      <c r="W219" s="1"/>
      <c r="X219" s="1">
        <f t="shared" si="78"/>
        <v>0</v>
      </c>
      <c r="Y219" s="1"/>
      <c r="Z219" s="5">
        <f t="shared" si="79"/>
        <v>0</v>
      </c>
    </row>
    <row r="220" spans="1:26" s="24" customFormat="1" hidden="1" outlineLevel="2" x14ac:dyDescent="0.25">
      <c r="A220" s="25"/>
      <c r="B220" s="11" t="str">
        <f>CONCATENATE("          ", "6408", " - ", "INVENTORY ADJUSTMENT")</f>
        <v xml:space="preserve">          6408 - INVENTORY ADJUSTMENT</v>
      </c>
      <c r="C220" s="11"/>
      <c r="D220" s="6">
        <v>4250</v>
      </c>
      <c r="E220" s="2"/>
      <c r="F220" s="7">
        <f t="shared" si="72"/>
        <v>5.6582476468279982E-3</v>
      </c>
      <c r="G220" s="2"/>
      <c r="H220" s="6">
        <v>4250</v>
      </c>
      <c r="I220" s="2"/>
      <c r="J220" s="7">
        <f t="shared" si="73"/>
        <v>6.4701904633516936E-3</v>
      </c>
      <c r="K220" s="2"/>
      <c r="L220" s="6">
        <f t="shared" si="74"/>
        <v>0</v>
      </c>
      <c r="M220" s="2"/>
      <c r="N220" s="7">
        <f t="shared" si="75"/>
        <v>0</v>
      </c>
      <c r="O220" s="11"/>
      <c r="P220" s="6">
        <v>21150</v>
      </c>
      <c r="Q220" s="2"/>
      <c r="R220" s="7">
        <f t="shared" si="76"/>
        <v>3.2588575497818047E-3</v>
      </c>
      <c r="S220" s="2"/>
      <c r="T220" s="6">
        <v>21150</v>
      </c>
      <c r="U220" s="2"/>
      <c r="V220" s="7">
        <f t="shared" si="77"/>
        <v>3.1752403219555011E-3</v>
      </c>
      <c r="W220" s="2"/>
      <c r="X220" s="6">
        <f t="shared" si="78"/>
        <v>0</v>
      </c>
      <c r="Y220" s="2"/>
      <c r="Z220" s="7">
        <f t="shared" si="79"/>
        <v>0</v>
      </c>
    </row>
    <row r="221" spans="1:26" s="26" customFormat="1" outlineLevel="1" collapsed="1" x14ac:dyDescent="0.25">
      <c r="A221" s="27"/>
      <c r="B221" s="13" t="str">
        <f>CONCATENATE("     ","Professional Services                             ")</f>
        <v xml:space="preserve">     Professional Services                             </v>
      </c>
      <c r="C221" s="13"/>
      <c r="D221" s="1">
        <f>SUM(OSRRefD22_15x_0)</f>
        <v>0</v>
      </c>
      <c r="E221" s="1"/>
      <c r="F221" s="5">
        <f t="shared" si="72"/>
        <v>0</v>
      </c>
      <c r="G221" s="1"/>
      <c r="H221" s="1">
        <f>SUM(OSRRefH22_15x_0)</f>
        <v>1015</v>
      </c>
      <c r="I221" s="1"/>
      <c r="J221" s="5">
        <f t="shared" si="73"/>
        <v>1.5452337224239926E-3</v>
      </c>
      <c r="K221" s="1"/>
      <c r="L221" s="1">
        <f t="shared" si="74"/>
        <v>-1015</v>
      </c>
      <c r="M221" s="1"/>
      <c r="N221" s="5">
        <f t="shared" si="75"/>
        <v>-1</v>
      </c>
      <c r="O221" s="13"/>
      <c r="P221" s="1">
        <f>SUM(OSRRefP22_15x_0)</f>
        <v>6158.41</v>
      </c>
      <c r="Q221" s="1"/>
      <c r="R221" s="5">
        <f t="shared" si="76"/>
        <v>9.4890689943979967E-4</v>
      </c>
      <c r="S221" s="1"/>
      <c r="T221" s="1">
        <f>SUM(OSRRefT22_15x_0)</f>
        <v>7725</v>
      </c>
      <c r="U221" s="1"/>
      <c r="V221" s="5">
        <f t="shared" si="77"/>
        <v>1.1597508977355198E-3</v>
      </c>
      <c r="W221" s="1"/>
      <c r="X221" s="1">
        <f t="shared" si="78"/>
        <v>-1566.5900000000001</v>
      </c>
      <c r="Y221" s="1"/>
      <c r="Z221" s="5">
        <f t="shared" si="79"/>
        <v>-0.2027948220064725</v>
      </c>
    </row>
    <row r="222" spans="1:26" s="24" customFormat="1" hidden="1" outlineLevel="2" x14ac:dyDescent="0.25">
      <c r="A222" s="25"/>
      <c r="B222" s="11" t="str">
        <f>CONCATENATE("          ", "6336", " - ", "PROFESSIONAL SERVICES")</f>
        <v xml:space="preserve">          6336 - PROFESSIONAL SERVICES</v>
      </c>
      <c r="C222" s="11"/>
      <c r="D222" s="6"/>
      <c r="E222" s="2"/>
      <c r="F222" s="7">
        <f t="shared" si="72"/>
        <v>0</v>
      </c>
      <c r="G222" s="2"/>
      <c r="H222" s="6">
        <v>1015</v>
      </c>
      <c r="I222" s="2"/>
      <c r="J222" s="7">
        <f t="shared" si="73"/>
        <v>1.5452337224239926E-3</v>
      </c>
      <c r="K222" s="2"/>
      <c r="L222" s="6">
        <f t="shared" si="74"/>
        <v>-1015</v>
      </c>
      <c r="M222" s="2"/>
      <c r="N222" s="7">
        <f t="shared" si="75"/>
        <v>-1</v>
      </c>
      <c r="O222" s="11"/>
      <c r="P222" s="6">
        <v>6158.41</v>
      </c>
      <c r="Q222" s="2"/>
      <c r="R222" s="7">
        <f t="shared" si="76"/>
        <v>9.4890689943979967E-4</v>
      </c>
      <c r="S222" s="2"/>
      <c r="T222" s="6">
        <v>7725</v>
      </c>
      <c r="U222" s="2"/>
      <c r="V222" s="7">
        <f t="shared" si="77"/>
        <v>1.1597508977355198E-3</v>
      </c>
      <c r="W222" s="2"/>
      <c r="X222" s="6">
        <f t="shared" si="78"/>
        <v>-1566.5900000000001</v>
      </c>
      <c r="Y222" s="2"/>
      <c r="Z222" s="7">
        <f t="shared" si="79"/>
        <v>-0.2027948220064725</v>
      </c>
    </row>
    <row r="223" spans="1:26" s="26" customFormat="1" outlineLevel="1" collapsed="1" x14ac:dyDescent="0.25">
      <c r="A223" s="27"/>
      <c r="B223" s="13" t="str">
        <f>CONCATENATE("     ","R/H Commissions                                   ")</f>
        <v xml:space="preserve">     R/H Commissions                                   </v>
      </c>
      <c r="C223" s="13"/>
      <c r="D223" s="1">
        <f>SUM(OSRRefD22_16x_0)</f>
        <v>0</v>
      </c>
      <c r="E223" s="1"/>
      <c r="F223" s="5">
        <f t="shared" si="72"/>
        <v>0</v>
      </c>
      <c r="G223" s="1"/>
      <c r="H223" s="1">
        <f>SUM(OSRRefH22_16x_0)</f>
        <v>0</v>
      </c>
      <c r="I223" s="1"/>
      <c r="J223" s="5">
        <f t="shared" si="73"/>
        <v>0</v>
      </c>
      <c r="K223" s="1"/>
      <c r="L223" s="1">
        <f t="shared" si="74"/>
        <v>0</v>
      </c>
      <c r="M223" s="1"/>
      <c r="N223" s="5">
        <f t="shared" si="75"/>
        <v>0</v>
      </c>
      <c r="O223" s="13"/>
      <c r="P223" s="1">
        <f>SUM(OSRRefP22_16x_0)</f>
        <v>0</v>
      </c>
      <c r="Q223" s="1"/>
      <c r="R223" s="5">
        <f t="shared" si="76"/>
        <v>0</v>
      </c>
      <c r="S223" s="1"/>
      <c r="T223" s="1">
        <f>SUM(OSRRefT22_16x_0)</f>
        <v>0</v>
      </c>
      <c r="U223" s="1"/>
      <c r="V223" s="5">
        <f t="shared" si="77"/>
        <v>0</v>
      </c>
      <c r="W223" s="1"/>
      <c r="X223" s="1">
        <f t="shared" si="78"/>
        <v>0</v>
      </c>
      <c r="Y223" s="1"/>
      <c r="Z223" s="5">
        <f t="shared" si="79"/>
        <v>0</v>
      </c>
    </row>
    <row r="224" spans="1:26" s="24" customFormat="1" hidden="1" outlineLevel="2" x14ac:dyDescent="0.25">
      <c r="A224" s="25"/>
      <c r="B224" s="11" t="str">
        <f>CONCATENATE("          ", "6387", " - ", "COMMISSION DUE HOUSING")</f>
        <v xml:space="preserve">          6387 - COMMISSION DUE HOUSING</v>
      </c>
      <c r="C224" s="11"/>
      <c r="D224" s="6"/>
      <c r="E224" s="2"/>
      <c r="F224" s="7">
        <f t="shared" si="72"/>
        <v>0</v>
      </c>
      <c r="G224" s="2"/>
      <c r="H224" s="6"/>
      <c r="I224" s="2"/>
      <c r="J224" s="7">
        <f t="shared" si="73"/>
        <v>0</v>
      </c>
      <c r="K224" s="2"/>
      <c r="L224" s="6">
        <f t="shared" si="74"/>
        <v>0</v>
      </c>
      <c r="M224" s="2"/>
      <c r="N224" s="7">
        <f t="shared" si="75"/>
        <v>0</v>
      </c>
      <c r="O224" s="11"/>
      <c r="P224" s="6"/>
      <c r="Q224" s="2"/>
      <c r="R224" s="7">
        <f t="shared" si="76"/>
        <v>0</v>
      </c>
      <c r="S224" s="2"/>
      <c r="T224" s="6">
        <v>0</v>
      </c>
      <c r="U224" s="2"/>
      <c r="V224" s="7">
        <f t="shared" si="77"/>
        <v>0</v>
      </c>
      <c r="W224" s="2"/>
      <c r="X224" s="6">
        <f t="shared" si="78"/>
        <v>0</v>
      </c>
      <c r="Y224" s="2"/>
      <c r="Z224" s="7">
        <f t="shared" si="79"/>
        <v>0</v>
      </c>
    </row>
    <row r="225" spans="1:26" s="26" customFormat="1" outlineLevel="1" collapsed="1" x14ac:dyDescent="0.25">
      <c r="A225" s="27"/>
      <c r="B225" s="13" t="str">
        <f>CONCATENATE("     ","Rent                                              ")</f>
        <v xml:space="preserve">     Rent                                              </v>
      </c>
      <c r="C225" s="13"/>
      <c r="D225" s="1">
        <f>SUM(OSRRefD22_17x_0)</f>
        <v>7250</v>
      </c>
      <c r="E225" s="1"/>
      <c r="F225" s="5">
        <f t="shared" si="72"/>
        <v>9.6523048092948191E-3</v>
      </c>
      <c r="G225" s="1"/>
      <c r="H225" s="1">
        <f>SUM(OSRRefH22_17x_0)</f>
        <v>7550</v>
      </c>
      <c r="I225" s="1"/>
      <c r="J225" s="5">
        <f t="shared" si="73"/>
        <v>1.1494103058424772E-2</v>
      </c>
      <c r="K225" s="1"/>
      <c r="L225" s="1">
        <f t="shared" si="74"/>
        <v>-300</v>
      </c>
      <c r="M225" s="1"/>
      <c r="N225" s="5">
        <f t="shared" si="75"/>
        <v>-3.9735099337748346E-2</v>
      </c>
      <c r="O225" s="13"/>
      <c r="P225" s="1">
        <f>SUM(OSRRefP22_17x_0)</f>
        <v>36250</v>
      </c>
      <c r="Q225" s="1"/>
      <c r="R225" s="5">
        <f t="shared" si="76"/>
        <v>5.5855123489168042E-3</v>
      </c>
      <c r="S225" s="1"/>
      <c r="T225" s="1">
        <f>SUM(OSRRefT22_17x_0)</f>
        <v>37750</v>
      </c>
      <c r="U225" s="1"/>
      <c r="V225" s="5">
        <f t="shared" si="77"/>
        <v>5.6673911183839319E-3</v>
      </c>
      <c r="W225" s="1"/>
      <c r="X225" s="1">
        <f t="shared" si="78"/>
        <v>-1500</v>
      </c>
      <c r="Y225" s="1"/>
      <c r="Z225" s="5">
        <f t="shared" si="79"/>
        <v>-3.9735099337748346E-2</v>
      </c>
    </row>
    <row r="226" spans="1:26" s="24" customFormat="1" hidden="1" outlineLevel="2" x14ac:dyDescent="0.25">
      <c r="A226" s="25"/>
      <c r="B226" s="11" t="str">
        <f>CONCATENATE("          ", "6273", " - ", "RENT")</f>
        <v xml:space="preserve">          6273 - RENT</v>
      </c>
      <c r="C226" s="11"/>
      <c r="D226" s="6">
        <v>7250</v>
      </c>
      <c r="E226" s="2"/>
      <c r="F226" s="7">
        <f t="shared" si="72"/>
        <v>9.6523048092948191E-3</v>
      </c>
      <c r="G226" s="2"/>
      <c r="H226" s="6">
        <v>7550</v>
      </c>
      <c r="I226" s="2"/>
      <c r="J226" s="7">
        <f t="shared" si="73"/>
        <v>1.1494103058424772E-2</v>
      </c>
      <c r="K226" s="2"/>
      <c r="L226" s="6">
        <f t="shared" si="74"/>
        <v>-300</v>
      </c>
      <c r="M226" s="2"/>
      <c r="N226" s="7">
        <f t="shared" si="75"/>
        <v>-3.9735099337748346E-2</v>
      </c>
      <c r="O226" s="11"/>
      <c r="P226" s="6">
        <v>36250</v>
      </c>
      <c r="Q226" s="2"/>
      <c r="R226" s="7">
        <f t="shared" si="76"/>
        <v>5.5855123489168042E-3</v>
      </c>
      <c r="S226" s="2"/>
      <c r="T226" s="6">
        <v>37750</v>
      </c>
      <c r="U226" s="2"/>
      <c r="V226" s="7">
        <f t="shared" si="77"/>
        <v>5.6673911183839319E-3</v>
      </c>
      <c r="W226" s="2"/>
      <c r="X226" s="6">
        <f t="shared" si="78"/>
        <v>-1500</v>
      </c>
      <c r="Y226" s="2"/>
      <c r="Z226" s="7">
        <f t="shared" si="79"/>
        <v>-3.9735099337748346E-2</v>
      </c>
    </row>
    <row r="227" spans="1:26" s="26" customFormat="1" outlineLevel="1" collapsed="1" x14ac:dyDescent="0.25">
      <c r="A227" s="27"/>
      <c r="B227" s="13" t="str">
        <f>CONCATENATE("     ","Repair and Maintenance                            ")</f>
        <v xml:space="preserve">     Repair and Maintenance                            </v>
      </c>
      <c r="C227" s="13"/>
      <c r="D227" s="1">
        <f>SUM(OSRRefD22_18x_0)</f>
        <v>6631.84</v>
      </c>
      <c r="E227" s="1"/>
      <c r="F227" s="5">
        <f t="shared" si="72"/>
        <v>8.8293160174446571E-3</v>
      </c>
      <c r="G227" s="1"/>
      <c r="H227" s="1">
        <f>SUM(OSRRefH22_18x_0)</f>
        <v>15594</v>
      </c>
      <c r="I227" s="1"/>
      <c r="J227" s="5">
        <f t="shared" si="73"/>
        <v>2.3740270608354423E-2</v>
      </c>
      <c r="K227" s="1"/>
      <c r="L227" s="1">
        <f t="shared" si="74"/>
        <v>-8962.16</v>
      </c>
      <c r="M227" s="1"/>
      <c r="N227" s="5">
        <f t="shared" si="75"/>
        <v>-0.57471848146723092</v>
      </c>
      <c r="O227" s="13"/>
      <c r="P227" s="1">
        <f>SUM(OSRRefP22_18x_0)</f>
        <v>81370.95</v>
      </c>
      <c r="Q227" s="1"/>
      <c r="R227" s="5">
        <f t="shared" si="76"/>
        <v>1.2537888167395638E-2</v>
      </c>
      <c r="S227" s="1"/>
      <c r="T227" s="1">
        <f>SUM(OSRRefT22_18x_0)</f>
        <v>123388</v>
      </c>
      <c r="U227" s="1"/>
      <c r="V227" s="5">
        <f t="shared" si="77"/>
        <v>1.8524186895765737E-2</v>
      </c>
      <c r="W227" s="1"/>
      <c r="X227" s="1">
        <f t="shared" si="78"/>
        <v>-42017.05</v>
      </c>
      <c r="Y227" s="1"/>
      <c r="Z227" s="5">
        <f t="shared" si="79"/>
        <v>-0.34052784711641326</v>
      </c>
    </row>
    <row r="228" spans="1:26" s="24" customFormat="1" hidden="1" outlineLevel="2" x14ac:dyDescent="0.25">
      <c r="A228" s="25"/>
      <c r="B228" s="11" t="str">
        <f>CONCATENATE("          ", "6371", " - ", "COMPUTER SOFTWARE MAINTENANCE")</f>
        <v xml:space="preserve">          6371 - COMPUTER SOFTWARE MAINTENANCE</v>
      </c>
      <c r="C228" s="11"/>
      <c r="D228" s="6">
        <v>601</v>
      </c>
      <c r="E228" s="2"/>
      <c r="F228" s="7">
        <f t="shared" si="72"/>
        <v>8.0014278488085334E-4</v>
      </c>
      <c r="G228" s="2"/>
      <c r="H228" s="6"/>
      <c r="I228" s="2"/>
      <c r="J228" s="7">
        <f t="shared" si="73"/>
        <v>0</v>
      </c>
      <c r="K228" s="2"/>
      <c r="L228" s="6">
        <f t="shared" si="74"/>
        <v>601</v>
      </c>
      <c r="M228" s="2"/>
      <c r="N228" s="7">
        <f t="shared" si="75"/>
        <v>0</v>
      </c>
      <c r="O228" s="11"/>
      <c r="P228" s="6">
        <v>14664.33</v>
      </c>
      <c r="Q228" s="2"/>
      <c r="R228" s="7">
        <f t="shared" si="76"/>
        <v>2.2595254152714805E-3</v>
      </c>
      <c r="S228" s="2"/>
      <c r="T228" s="6">
        <v>48535</v>
      </c>
      <c r="U228" s="2"/>
      <c r="V228" s="7">
        <f t="shared" si="77"/>
        <v>7.2865384882321626E-3</v>
      </c>
      <c r="W228" s="2"/>
      <c r="X228" s="6">
        <f t="shared" si="78"/>
        <v>-33870.67</v>
      </c>
      <c r="Y228" s="2"/>
      <c r="Z228" s="7">
        <f t="shared" si="79"/>
        <v>-0.69786071906871328</v>
      </c>
    </row>
    <row r="229" spans="1:26" s="24" customFormat="1" hidden="1" outlineLevel="2" x14ac:dyDescent="0.25">
      <c r="A229" s="25"/>
      <c r="B229" s="11" t="str">
        <f>CONCATENATE("          ", "6373", " - ", "MAINTENANCE CONTRACTS")</f>
        <v xml:space="preserve">          6373 - MAINTENANCE CONTRACTS</v>
      </c>
      <c r="C229" s="11"/>
      <c r="D229" s="6">
        <v>1461.73</v>
      </c>
      <c r="E229" s="2"/>
      <c r="F229" s="7">
        <f t="shared" si="72"/>
        <v>1.9460777253642093E-3</v>
      </c>
      <c r="G229" s="2"/>
      <c r="H229" s="6">
        <v>7040</v>
      </c>
      <c r="I229" s="2"/>
      <c r="J229" s="7">
        <f t="shared" si="73"/>
        <v>1.071768020282257E-2</v>
      </c>
      <c r="K229" s="2"/>
      <c r="L229" s="6">
        <f t="shared" si="74"/>
        <v>-5578.27</v>
      </c>
      <c r="M229" s="2"/>
      <c r="N229" s="7">
        <f t="shared" si="75"/>
        <v>-0.79236789772727279</v>
      </c>
      <c r="O229" s="11"/>
      <c r="P229" s="6">
        <v>32123.24</v>
      </c>
      <c r="Q229" s="2"/>
      <c r="R229" s="7">
        <f t="shared" si="76"/>
        <v>4.9496483781301592E-3</v>
      </c>
      <c r="S229" s="2"/>
      <c r="T229" s="6">
        <v>35275</v>
      </c>
      <c r="U229" s="2"/>
      <c r="V229" s="7">
        <f t="shared" si="77"/>
        <v>5.2958204424104162E-3</v>
      </c>
      <c r="W229" s="2"/>
      <c r="X229" s="6">
        <f t="shared" si="78"/>
        <v>-3151.7599999999984</v>
      </c>
      <c r="Y229" s="2"/>
      <c r="Z229" s="7">
        <f t="shared" si="79"/>
        <v>-8.9348263642806472E-2</v>
      </c>
    </row>
    <row r="230" spans="1:26" s="24" customFormat="1" hidden="1" outlineLevel="2" x14ac:dyDescent="0.25">
      <c r="A230" s="25"/>
      <c r="B230" s="11" t="str">
        <f>CONCATENATE("          ", "6375", " - ", "OUTSIDE REPAIRS &amp; MAINTENANCE")</f>
        <v xml:space="preserve">          6375 - OUTSIDE REPAIRS &amp; MAINTENANCE</v>
      </c>
      <c r="C230" s="11"/>
      <c r="D230" s="6">
        <v>4569.1099999999997</v>
      </c>
      <c r="E230" s="2"/>
      <c r="F230" s="7">
        <f t="shared" si="72"/>
        <v>6.0830955071995933E-3</v>
      </c>
      <c r="G230" s="2"/>
      <c r="H230" s="6">
        <v>8554</v>
      </c>
      <c r="I230" s="2"/>
      <c r="J230" s="7">
        <f t="shared" si="73"/>
        <v>1.3022590405531855E-2</v>
      </c>
      <c r="K230" s="2"/>
      <c r="L230" s="6">
        <f t="shared" si="74"/>
        <v>-3984.8900000000003</v>
      </c>
      <c r="M230" s="2"/>
      <c r="N230" s="7">
        <f t="shared" si="75"/>
        <v>-0.46585106382978725</v>
      </c>
      <c r="O230" s="11"/>
      <c r="P230" s="6">
        <v>34583.379999999997</v>
      </c>
      <c r="Q230" s="2"/>
      <c r="R230" s="7">
        <f t="shared" si="76"/>
        <v>5.3287143739939981E-3</v>
      </c>
      <c r="S230" s="2"/>
      <c r="T230" s="6">
        <v>39578</v>
      </c>
      <c r="U230" s="2"/>
      <c r="V230" s="7">
        <f t="shared" si="77"/>
        <v>5.9418279651231587E-3</v>
      </c>
      <c r="W230" s="2"/>
      <c r="X230" s="6">
        <f t="shared" si="78"/>
        <v>-4994.6200000000026</v>
      </c>
      <c r="Y230" s="2"/>
      <c r="Z230" s="7">
        <f t="shared" si="79"/>
        <v>-0.12619687705290825</v>
      </c>
    </row>
    <row r="231" spans="1:26" s="26" customFormat="1" outlineLevel="1" collapsed="1" x14ac:dyDescent="0.25">
      <c r="A231" s="27"/>
      <c r="B231" s="13" t="str">
        <f>CONCATENATE("     ","Royalty &amp; Commissions                             ")</f>
        <v xml:space="preserve">     Royalty &amp; Commissions                             </v>
      </c>
      <c r="C231" s="13"/>
      <c r="D231" s="1">
        <f>SUM(OSRRefD22_19x_0)</f>
        <v>18456.649999999998</v>
      </c>
      <c r="E231" s="1"/>
      <c r="F231" s="5">
        <f t="shared" ref="F231:F235" si="80">IF(D$12=0,0,D231/D$12)</f>
        <v>2.4572305042547753E-2</v>
      </c>
      <c r="G231" s="1"/>
      <c r="H231" s="1">
        <f>SUM(OSRRefH22_19x_0)</f>
        <v>18738</v>
      </c>
      <c r="I231" s="1"/>
      <c r="J231" s="5">
        <f t="shared" ref="J231:J235" si="81">IF(H$12=0,0,H231/H$12)</f>
        <v>2.8526689153478595E-2</v>
      </c>
      <c r="K231" s="1"/>
      <c r="L231" s="1">
        <f t="shared" ref="L231:L235" si="82">+D231-H231</f>
        <v>-281.35000000000218</v>
      </c>
      <c r="M231" s="1"/>
      <c r="N231" s="5">
        <f t="shared" ref="N231:N235" si="83">IF(H231=0,0,L231/H231)</f>
        <v>-1.5014942896787394E-2</v>
      </c>
      <c r="O231" s="13"/>
      <c r="P231" s="1">
        <f>SUM(OSRRefP22_19x_0)</f>
        <v>56209.2</v>
      </c>
      <c r="Q231" s="1"/>
      <c r="R231" s="5">
        <f t="shared" ref="R231:R235" si="84">IF(P$12=0,0,P231/P$12)</f>
        <v>8.6608877440754323E-3</v>
      </c>
      <c r="S231" s="1"/>
      <c r="T231" s="1">
        <f>SUM(OSRRefT22_19x_0)</f>
        <v>95563</v>
      </c>
      <c r="U231" s="1"/>
      <c r="V231" s="5">
        <f t="shared" ref="V231:V235" si="85">IF(T$12=0,0,T231/T$12)</f>
        <v>1.4346831720427118E-2</v>
      </c>
      <c r="W231" s="1"/>
      <c r="X231" s="1">
        <f t="shared" ref="X231:X235" si="86">+P231-T231</f>
        <v>-39353.800000000003</v>
      </c>
      <c r="Y231" s="1"/>
      <c r="Z231" s="5">
        <f t="shared" ref="Z231:Z235" si="87">IF(T231=0,0,X231/T231)</f>
        <v>-0.41181001015037205</v>
      </c>
    </row>
    <row r="232" spans="1:26" s="24" customFormat="1" hidden="1" outlineLevel="2" x14ac:dyDescent="0.25">
      <c r="A232" s="25"/>
      <c r="B232" s="11" t="str">
        <f>CONCATENATE("          ", "6252", " - ", "ROYALTY DUE CSTV")</f>
        <v xml:space="preserve">          6252 - ROYALTY DUE CSTV</v>
      </c>
      <c r="C232" s="11"/>
      <c r="D232" s="6"/>
      <c r="E232" s="2"/>
      <c r="F232" s="7">
        <f t="shared" si="80"/>
        <v>0</v>
      </c>
      <c r="G232" s="2"/>
      <c r="H232" s="6">
        <v>1085</v>
      </c>
      <c r="I232" s="2"/>
      <c r="J232" s="7">
        <f t="shared" si="81"/>
        <v>1.6518015653497853E-3</v>
      </c>
      <c r="K232" s="2"/>
      <c r="L232" s="6">
        <f t="shared" si="82"/>
        <v>-1085</v>
      </c>
      <c r="M232" s="2"/>
      <c r="N232" s="7">
        <f t="shared" si="83"/>
        <v>-1</v>
      </c>
      <c r="O232" s="11"/>
      <c r="P232" s="6"/>
      <c r="Q232" s="2"/>
      <c r="R232" s="7">
        <f t="shared" si="84"/>
        <v>0</v>
      </c>
      <c r="S232" s="2"/>
      <c r="T232" s="6">
        <v>5425</v>
      </c>
      <c r="U232" s="2"/>
      <c r="V232" s="7">
        <f t="shared" si="85"/>
        <v>8.1445289582073727E-4</v>
      </c>
      <c r="W232" s="2"/>
      <c r="X232" s="6">
        <f t="shared" si="86"/>
        <v>-5425</v>
      </c>
      <c r="Y232" s="2"/>
      <c r="Z232" s="7">
        <f t="shared" si="87"/>
        <v>-1</v>
      </c>
    </row>
    <row r="233" spans="1:26" s="24" customFormat="1" hidden="1" outlineLevel="2" x14ac:dyDescent="0.25">
      <c r="A233" s="25"/>
      <c r="B233" s="11" t="str">
        <f>CONCATENATE("          ", "6253", " - ", "ROYALTY DUE ATHLETICS-LRG")</f>
        <v xml:space="preserve">          6253 - ROYALTY DUE ATHLETICS-LRG</v>
      </c>
      <c r="C233" s="11"/>
      <c r="D233" s="6"/>
      <c r="E233" s="2"/>
      <c r="F233" s="7">
        <f t="shared" si="80"/>
        <v>0</v>
      </c>
      <c r="G233" s="2"/>
      <c r="H233" s="6">
        <v>3700</v>
      </c>
      <c r="I233" s="2"/>
      <c r="J233" s="7">
        <f t="shared" si="81"/>
        <v>5.6328716975061798E-3</v>
      </c>
      <c r="K233" s="2"/>
      <c r="L233" s="6">
        <f t="shared" si="82"/>
        <v>-3700</v>
      </c>
      <c r="M233" s="2"/>
      <c r="N233" s="7">
        <f t="shared" si="83"/>
        <v>-1</v>
      </c>
      <c r="O233" s="11"/>
      <c r="P233" s="6">
        <v>4366.95</v>
      </c>
      <c r="Q233" s="2"/>
      <c r="R233" s="7">
        <f t="shared" si="84"/>
        <v>6.728731904028204E-4</v>
      </c>
      <c r="S233" s="2"/>
      <c r="T233" s="6">
        <v>18500</v>
      </c>
      <c r="U233" s="2"/>
      <c r="V233" s="7">
        <f t="shared" si="85"/>
        <v>2.7773969719232512E-3</v>
      </c>
      <c r="W233" s="2"/>
      <c r="X233" s="6">
        <f t="shared" si="86"/>
        <v>-14133.05</v>
      </c>
      <c r="Y233" s="2"/>
      <c r="Z233" s="7">
        <f t="shared" si="87"/>
        <v>-0.76394864864864864</v>
      </c>
    </row>
    <row r="234" spans="1:26" s="24" customFormat="1" hidden="1" outlineLevel="2" x14ac:dyDescent="0.25">
      <c r="A234" s="25"/>
      <c r="B234" s="11" t="str">
        <f>CONCATENATE("          ", "6254", " - ", "ROYALTY &amp; COMMISSIONS")</f>
        <v xml:space="preserve">          6254 - ROYALTY &amp; COMMISSIONS</v>
      </c>
      <c r="C234" s="11"/>
      <c r="D234" s="6">
        <v>803.23</v>
      </c>
      <c r="E234" s="2"/>
      <c r="F234" s="7">
        <f t="shared" si="80"/>
        <v>1.0693821782027419E-3</v>
      </c>
      <c r="G234" s="2"/>
      <c r="H234" s="6">
        <v>11700</v>
      </c>
      <c r="I234" s="2"/>
      <c r="J234" s="7">
        <f t="shared" si="81"/>
        <v>1.7812053746168191E-2</v>
      </c>
      <c r="K234" s="2"/>
      <c r="L234" s="6">
        <f t="shared" si="82"/>
        <v>-10896.77</v>
      </c>
      <c r="M234" s="2"/>
      <c r="N234" s="7">
        <f t="shared" si="83"/>
        <v>-0.93134786324786334</v>
      </c>
      <c r="O234" s="11"/>
      <c r="P234" s="6">
        <v>7974.57</v>
      </c>
      <c r="Q234" s="2"/>
      <c r="R234" s="7">
        <f t="shared" si="84"/>
        <v>1.2287464610290064E-3</v>
      </c>
      <c r="S234" s="2"/>
      <c r="T234" s="6">
        <v>58500</v>
      </c>
      <c r="U234" s="2"/>
      <c r="V234" s="7">
        <f t="shared" si="85"/>
        <v>8.7825796139194712E-3</v>
      </c>
      <c r="W234" s="2"/>
      <c r="X234" s="6">
        <f t="shared" si="86"/>
        <v>-50525.43</v>
      </c>
      <c r="Y234" s="2"/>
      <c r="Z234" s="7">
        <f t="shared" si="87"/>
        <v>-0.86368256410256405</v>
      </c>
    </row>
    <row r="235" spans="1:26" s="24" customFormat="1" hidden="1" outlineLevel="2" x14ac:dyDescent="0.25">
      <c r="A235" s="25"/>
      <c r="B235" s="11" t="str">
        <f>CONCATENATE("          ", "6259", " - ", "ROYALTY &amp; COMMISSIONS")</f>
        <v xml:space="preserve">          6259 - ROYALTY &amp; COMMISSIONS</v>
      </c>
      <c r="C235" s="11"/>
      <c r="D235" s="6">
        <v>17653.419999999998</v>
      </c>
      <c r="E235" s="2"/>
      <c r="F235" s="7">
        <f t="shared" si="80"/>
        <v>2.3502922864345011E-2</v>
      </c>
      <c r="G235" s="2"/>
      <c r="H235" s="6">
        <v>2253</v>
      </c>
      <c r="I235" s="2"/>
      <c r="J235" s="7">
        <f t="shared" si="81"/>
        <v>3.4299621444544388E-3</v>
      </c>
      <c r="K235" s="2"/>
      <c r="L235" s="6">
        <f t="shared" si="82"/>
        <v>15400.419999999998</v>
      </c>
      <c r="M235" s="2"/>
      <c r="N235" s="7">
        <f t="shared" si="83"/>
        <v>6.8355170883266752</v>
      </c>
      <c r="O235" s="11"/>
      <c r="P235" s="6">
        <v>43867.68</v>
      </c>
      <c r="Q235" s="2"/>
      <c r="R235" s="7">
        <f t="shared" si="84"/>
        <v>6.759268092643606E-3</v>
      </c>
      <c r="S235" s="2"/>
      <c r="T235" s="6">
        <v>13138</v>
      </c>
      <c r="U235" s="2"/>
      <c r="V235" s="7">
        <f t="shared" si="85"/>
        <v>1.972402238763658E-3</v>
      </c>
      <c r="W235" s="2"/>
      <c r="X235" s="6">
        <f t="shared" si="86"/>
        <v>30729.68</v>
      </c>
      <c r="Y235" s="2"/>
      <c r="Z235" s="7">
        <f t="shared" si="87"/>
        <v>2.3389922362612272</v>
      </c>
    </row>
    <row r="236" spans="1:26" s="26" customFormat="1" outlineLevel="1" collapsed="1" x14ac:dyDescent="0.25">
      <c r="A236" s="27"/>
      <c r="B236" s="13" t="str">
        <f>CONCATENATE("     ","Services                                          ")</f>
        <v xml:space="preserve">     Services                                          </v>
      </c>
      <c r="C236" s="13"/>
      <c r="D236" s="1">
        <f>SUM(OSRRefD22_20x_0)</f>
        <v>5915.0999999999995</v>
      </c>
      <c r="E236" s="1"/>
      <c r="F236" s="5">
        <f t="shared" ref="F236:F242" si="88">IF(D$12=0,0,D236/D$12)</f>
        <v>7.8750825072358317E-3</v>
      </c>
      <c r="G236" s="1"/>
      <c r="H236" s="1">
        <f>SUM(OSRRefH22_20x_0)</f>
        <v>5296.5</v>
      </c>
      <c r="I236" s="1"/>
      <c r="J236" s="5">
        <f t="shared" ref="J236:J242" si="89">IF(H$12=0,0,H236/H$12)</f>
        <v>8.0633797150922917E-3</v>
      </c>
      <c r="K236" s="1"/>
      <c r="L236" s="1">
        <f t="shared" ref="L236:L242" si="90">+D236-H236</f>
        <v>618.59999999999945</v>
      </c>
      <c r="M236" s="1"/>
      <c r="N236" s="5">
        <f t="shared" ref="N236:N242" si="91">IF(H236=0,0,L236/H236)</f>
        <v>0.11679410931747371</v>
      </c>
      <c r="O236" s="13"/>
      <c r="P236" s="1">
        <f>SUM(OSRRefP22_20x_0)</f>
        <v>30951.460000000003</v>
      </c>
      <c r="Q236" s="1"/>
      <c r="R236" s="5">
        <f t="shared" ref="R236:R242" si="92">IF(P$12=0,0,P236/P$12)</f>
        <v>4.7690968840552973E-3</v>
      </c>
      <c r="S236" s="1"/>
      <c r="T236" s="1">
        <f>SUM(OSRRefT22_20x_0)</f>
        <v>26574.5</v>
      </c>
      <c r="U236" s="1"/>
      <c r="V236" s="5">
        <f t="shared" ref="V236:V242" si="93">IF(T$12=0,0,T236/T$12)</f>
        <v>3.989618152993213E-3</v>
      </c>
      <c r="W236" s="1"/>
      <c r="X236" s="1">
        <f t="shared" ref="X236:X242" si="94">+P236-T236</f>
        <v>4376.9600000000028</v>
      </c>
      <c r="Y236" s="1"/>
      <c r="Z236" s="5">
        <f t="shared" ref="Z236:Z242" si="95">IF(T236=0,0,X236/T236)</f>
        <v>0.16470526256373602</v>
      </c>
    </row>
    <row r="237" spans="1:26" s="24" customFormat="1" hidden="1" outlineLevel="2" x14ac:dyDescent="0.25">
      <c r="A237" s="25"/>
      <c r="B237" s="11" t="str">
        <f>CONCATENATE("          ", "6281", " - ", "STORAGE FEE")</f>
        <v xml:space="preserve">          6281 - STORAGE FEE</v>
      </c>
      <c r="C237" s="11"/>
      <c r="D237" s="6"/>
      <c r="E237" s="2"/>
      <c r="F237" s="7">
        <f t="shared" si="88"/>
        <v>0</v>
      </c>
      <c r="G237" s="2"/>
      <c r="H237" s="6"/>
      <c r="I237" s="2"/>
      <c r="J237" s="7">
        <f t="shared" si="89"/>
        <v>0</v>
      </c>
      <c r="K237" s="2"/>
      <c r="L237" s="6">
        <f t="shared" si="90"/>
        <v>0</v>
      </c>
      <c r="M237" s="2"/>
      <c r="N237" s="7">
        <f t="shared" si="91"/>
        <v>0</v>
      </c>
      <c r="O237" s="11"/>
      <c r="P237" s="6"/>
      <c r="Q237" s="2"/>
      <c r="R237" s="7">
        <f t="shared" si="92"/>
        <v>0</v>
      </c>
      <c r="S237" s="2"/>
      <c r="T237" s="6">
        <v>0</v>
      </c>
      <c r="U237" s="2"/>
      <c r="V237" s="7">
        <f t="shared" si="93"/>
        <v>0</v>
      </c>
      <c r="W237" s="2"/>
      <c r="X237" s="6">
        <f t="shared" si="94"/>
        <v>0</v>
      </c>
      <c r="Y237" s="2"/>
      <c r="Z237" s="7">
        <f t="shared" si="95"/>
        <v>0</v>
      </c>
    </row>
    <row r="238" spans="1:26" s="24" customFormat="1" hidden="1" outlineLevel="2" x14ac:dyDescent="0.25">
      <c r="A238" s="25"/>
      <c r="B238" s="11" t="str">
        <f>CONCATENATE("          ", "6282", " - ", "JANITORIAL/EXTERMINATOR EXPENS")</f>
        <v xml:space="preserve">          6282 - JANITORIAL/EXTERMINATOR EXPENS</v>
      </c>
      <c r="C238" s="11"/>
      <c r="D238" s="6">
        <v>566.24</v>
      </c>
      <c r="E238" s="2"/>
      <c r="F238" s="7">
        <f t="shared" si="88"/>
        <v>7.5386497589173779E-4</v>
      </c>
      <c r="G238" s="2"/>
      <c r="H238" s="6">
        <v>524</v>
      </c>
      <c r="I238" s="2"/>
      <c r="J238" s="7">
        <f t="shared" si="89"/>
        <v>7.9773642418736173E-4</v>
      </c>
      <c r="K238" s="2"/>
      <c r="L238" s="6">
        <f t="shared" si="90"/>
        <v>42.240000000000009</v>
      </c>
      <c r="M238" s="2"/>
      <c r="N238" s="7">
        <f t="shared" si="91"/>
        <v>8.0610687022900779E-2</v>
      </c>
      <c r="O238" s="11"/>
      <c r="P238" s="6">
        <v>4211.6400000000003</v>
      </c>
      <c r="Q238" s="2"/>
      <c r="R238" s="7">
        <f t="shared" si="92"/>
        <v>6.4894254425357169E-4</v>
      </c>
      <c r="S238" s="2"/>
      <c r="T238" s="6">
        <v>2676</v>
      </c>
      <c r="U238" s="2"/>
      <c r="V238" s="7">
        <f t="shared" si="93"/>
        <v>4.0174671874954705E-4</v>
      </c>
      <c r="W238" s="2"/>
      <c r="X238" s="6">
        <f t="shared" si="94"/>
        <v>1535.6400000000003</v>
      </c>
      <c r="Y238" s="2"/>
      <c r="Z238" s="7">
        <f t="shared" si="95"/>
        <v>0.57385650224215257</v>
      </c>
    </row>
    <row r="239" spans="1:26" s="24" customFormat="1" hidden="1" outlineLevel="2" x14ac:dyDescent="0.25">
      <c r="A239" s="25"/>
      <c r="B239" s="11" t="str">
        <f>CONCATENATE("          ", "6283", " - ", "PLANT SERVICE")</f>
        <v xml:space="preserve">          6283 - PLANT SERVICE</v>
      </c>
      <c r="C239" s="11"/>
      <c r="D239" s="6"/>
      <c r="E239" s="2"/>
      <c r="F239" s="7">
        <f t="shared" si="88"/>
        <v>0</v>
      </c>
      <c r="G239" s="2"/>
      <c r="H239" s="6">
        <v>60</v>
      </c>
      <c r="I239" s="2"/>
      <c r="J239" s="7">
        <f t="shared" si="89"/>
        <v>9.134386536496508E-5</v>
      </c>
      <c r="K239" s="2"/>
      <c r="L239" s="6">
        <f t="shared" si="90"/>
        <v>-60</v>
      </c>
      <c r="M239" s="2"/>
      <c r="N239" s="7">
        <f t="shared" si="91"/>
        <v>-1</v>
      </c>
      <c r="O239" s="11"/>
      <c r="P239" s="6">
        <v>541.98</v>
      </c>
      <c r="Q239" s="2"/>
      <c r="R239" s="7">
        <f t="shared" si="92"/>
        <v>8.3509958148025645E-5</v>
      </c>
      <c r="S239" s="2"/>
      <c r="T239" s="6">
        <v>300</v>
      </c>
      <c r="U239" s="2"/>
      <c r="V239" s="7">
        <f t="shared" si="93"/>
        <v>4.5038869814971641E-5</v>
      </c>
      <c r="W239" s="2"/>
      <c r="X239" s="6">
        <f t="shared" si="94"/>
        <v>241.98000000000002</v>
      </c>
      <c r="Y239" s="2"/>
      <c r="Z239" s="7">
        <f t="shared" si="95"/>
        <v>0.80660000000000009</v>
      </c>
    </row>
    <row r="240" spans="1:26" s="24" customFormat="1" hidden="1" outlineLevel="2" x14ac:dyDescent="0.25">
      <c r="A240" s="25"/>
      <c r="B240" s="11" t="str">
        <f>CONCATENATE("          ", "6284", " - ", "TRASH REMOVAL EXPENSE")</f>
        <v xml:space="preserve">          6284 - TRASH REMOVAL EXPENSE</v>
      </c>
      <c r="C240" s="11"/>
      <c r="D240" s="6">
        <v>371.82</v>
      </c>
      <c r="E240" s="2"/>
      <c r="F240" s="7">
        <f t="shared" si="88"/>
        <v>4.9502344471613786E-4</v>
      </c>
      <c r="G240" s="2"/>
      <c r="H240" s="6">
        <v>212.5</v>
      </c>
      <c r="I240" s="2"/>
      <c r="J240" s="7">
        <f t="shared" si="89"/>
        <v>3.2350952316758465E-4</v>
      </c>
      <c r="K240" s="2"/>
      <c r="L240" s="6">
        <f t="shared" si="90"/>
        <v>159.32</v>
      </c>
      <c r="M240" s="2"/>
      <c r="N240" s="7">
        <f t="shared" si="91"/>
        <v>0.74974117647058824</v>
      </c>
      <c r="O240" s="11"/>
      <c r="P240" s="6">
        <v>1622.1</v>
      </c>
      <c r="Q240" s="2"/>
      <c r="R240" s="7">
        <f t="shared" si="92"/>
        <v>2.4993819534283994E-4</v>
      </c>
      <c r="S240" s="2"/>
      <c r="T240" s="6">
        <v>1062.5</v>
      </c>
      <c r="U240" s="2"/>
      <c r="V240" s="7">
        <f t="shared" si="93"/>
        <v>1.5951266392802456E-4</v>
      </c>
      <c r="W240" s="2"/>
      <c r="X240" s="6">
        <f t="shared" si="94"/>
        <v>559.59999999999991</v>
      </c>
      <c r="Y240" s="2"/>
      <c r="Z240" s="7">
        <f t="shared" si="95"/>
        <v>0.52668235294117638</v>
      </c>
    </row>
    <row r="241" spans="1:26" s="24" customFormat="1" hidden="1" outlineLevel="2" x14ac:dyDescent="0.25">
      <c r="A241" s="25"/>
      <c r="B241" s="11" t="str">
        <f>CONCATENATE("          ", "6285", " - ", "JANITORIAL SERVICES")</f>
        <v xml:space="preserve">          6285 - JANITORIAL SERVICES</v>
      </c>
      <c r="C241" s="11"/>
      <c r="D241" s="6">
        <v>4218.08</v>
      </c>
      <c r="E241" s="2"/>
      <c r="F241" s="7">
        <f t="shared" si="88"/>
        <v>5.615750878619351E-3</v>
      </c>
      <c r="G241" s="2"/>
      <c r="H241" s="6">
        <v>4410</v>
      </c>
      <c r="I241" s="2"/>
      <c r="J241" s="7">
        <f t="shared" si="89"/>
        <v>6.7137741043249337E-3</v>
      </c>
      <c r="K241" s="2"/>
      <c r="L241" s="6">
        <f t="shared" si="90"/>
        <v>-191.92000000000007</v>
      </c>
      <c r="M241" s="2"/>
      <c r="N241" s="7">
        <f t="shared" si="91"/>
        <v>-4.3519274376417248E-2</v>
      </c>
      <c r="O241" s="11"/>
      <c r="P241" s="6">
        <v>20844.04</v>
      </c>
      <c r="Q241" s="2"/>
      <c r="R241" s="7">
        <f t="shared" si="92"/>
        <v>3.2117142847259542E-3</v>
      </c>
      <c r="S241" s="2"/>
      <c r="T241" s="6">
        <v>22176</v>
      </c>
      <c r="U241" s="2"/>
      <c r="V241" s="7">
        <f t="shared" si="93"/>
        <v>3.3292732567227041E-3</v>
      </c>
      <c r="W241" s="2"/>
      <c r="X241" s="6">
        <f t="shared" si="94"/>
        <v>-1331.9599999999991</v>
      </c>
      <c r="Y241" s="2"/>
      <c r="Z241" s="7">
        <f t="shared" si="95"/>
        <v>-6.0063131313131277E-2</v>
      </c>
    </row>
    <row r="242" spans="1:26" s="24" customFormat="1" hidden="1" outlineLevel="2" x14ac:dyDescent="0.25">
      <c r="A242" s="25"/>
      <c r="B242" s="11" t="str">
        <f>CONCATENATE("          ", "6286", " - ", "LAUNDRY EXPENSE")</f>
        <v xml:space="preserve">          6286 - LAUNDRY EXPENSE</v>
      </c>
      <c r="C242" s="11"/>
      <c r="D242" s="6">
        <v>758.96</v>
      </c>
      <c r="E242" s="2"/>
      <c r="F242" s="7">
        <f t="shared" si="88"/>
        <v>1.0104432080086064E-3</v>
      </c>
      <c r="G242" s="2"/>
      <c r="H242" s="6">
        <v>90</v>
      </c>
      <c r="I242" s="2"/>
      <c r="J242" s="7">
        <f t="shared" si="89"/>
        <v>1.3701579804744761E-4</v>
      </c>
      <c r="K242" s="2"/>
      <c r="L242" s="6">
        <f t="shared" si="90"/>
        <v>668.96</v>
      </c>
      <c r="M242" s="2"/>
      <c r="N242" s="7">
        <f t="shared" si="91"/>
        <v>7.4328888888888889</v>
      </c>
      <c r="O242" s="11"/>
      <c r="P242" s="6">
        <v>3731.7</v>
      </c>
      <c r="Q242" s="2"/>
      <c r="R242" s="7">
        <f t="shared" si="92"/>
        <v>5.7499190158490586E-4</v>
      </c>
      <c r="S242" s="2"/>
      <c r="T242" s="6">
        <v>360</v>
      </c>
      <c r="U242" s="2"/>
      <c r="V242" s="7">
        <f t="shared" si="93"/>
        <v>5.4046643777965972E-5</v>
      </c>
      <c r="W242" s="2"/>
      <c r="X242" s="6">
        <f t="shared" si="94"/>
        <v>3371.7</v>
      </c>
      <c r="Y242" s="2"/>
      <c r="Z242" s="7">
        <f t="shared" si="95"/>
        <v>9.3658333333333328</v>
      </c>
    </row>
    <row r="243" spans="1:26" s="26" customFormat="1" outlineLevel="1" collapsed="1" x14ac:dyDescent="0.25">
      <c r="A243" s="27"/>
      <c r="B243" s="13" t="str">
        <f>CONCATENATE("     ","Subscriptions &amp; Dues                              ")</f>
        <v xml:space="preserve">     Subscriptions &amp; Dues                              </v>
      </c>
      <c r="C243" s="13"/>
      <c r="D243" s="1">
        <f>SUM(OSRRefD22_21x_0)</f>
        <v>175.36</v>
      </c>
      <c r="E243" s="1"/>
      <c r="F243" s="5">
        <f t="shared" ref="F243:F245" si="96">IF(D$12=0,0,D243/D$12)</f>
        <v>2.3346595467006064E-4</v>
      </c>
      <c r="G243" s="1"/>
      <c r="H243" s="1">
        <f>SUM(OSRRefH22_21x_0)</f>
        <v>3095</v>
      </c>
      <c r="I243" s="1"/>
      <c r="J243" s="5">
        <f t="shared" ref="J243:J245" si="97">IF(H$12=0,0,H243/H$12)</f>
        <v>4.7118210550761153E-3</v>
      </c>
      <c r="K243" s="1"/>
      <c r="L243" s="1">
        <f t="shared" ref="L243:L245" si="98">+D243-H243</f>
        <v>-2919.64</v>
      </c>
      <c r="M243" s="1"/>
      <c r="N243" s="5">
        <f t="shared" ref="N243:N245" si="99">IF(H243=0,0,L243/H243)</f>
        <v>-0.94334087237479802</v>
      </c>
      <c r="O243" s="13"/>
      <c r="P243" s="1">
        <f>SUM(OSRRefP22_21x_0)</f>
        <v>2923.36</v>
      </c>
      <c r="Q243" s="1"/>
      <c r="R243" s="5">
        <f t="shared" ref="R243:R245" si="100">IF(P$12=0,0,P243/P$12)</f>
        <v>4.5044036911253603E-4</v>
      </c>
      <c r="S243" s="1"/>
      <c r="T243" s="1">
        <f>SUM(OSRRefT22_21x_0)</f>
        <v>10420</v>
      </c>
      <c r="U243" s="1"/>
      <c r="V243" s="5">
        <f t="shared" ref="V243:V245" si="101">IF(T$12=0,0,T243/T$12)</f>
        <v>1.5643500782400151E-3</v>
      </c>
      <c r="W243" s="1"/>
      <c r="X243" s="1">
        <f t="shared" ref="X243:X245" si="102">+P243-T243</f>
        <v>-7496.6399999999994</v>
      </c>
      <c r="Y243" s="1"/>
      <c r="Z243" s="5">
        <f t="shared" ref="Z243:Z245" si="103">IF(T243=0,0,X243/T243)</f>
        <v>-0.71944721689059499</v>
      </c>
    </row>
    <row r="244" spans="1:26" s="24" customFormat="1" hidden="1" outlineLevel="2" x14ac:dyDescent="0.25">
      <c r="A244" s="25"/>
      <c r="B244" s="11" t="str">
        <f>CONCATENATE("          ", "6258", " - ", "MEMBERSHIP DUES")</f>
        <v xml:space="preserve">          6258 - MEMBERSHIP DUES</v>
      </c>
      <c r="C244" s="11"/>
      <c r="D244" s="6">
        <v>250</v>
      </c>
      <c r="E244" s="2"/>
      <c r="F244" s="7">
        <f t="shared" si="96"/>
        <v>3.3283809687223518E-4</v>
      </c>
      <c r="G244" s="2"/>
      <c r="H244" s="6">
        <v>2700</v>
      </c>
      <c r="I244" s="2"/>
      <c r="J244" s="7">
        <f t="shared" si="97"/>
        <v>4.1104739414234287E-3</v>
      </c>
      <c r="K244" s="2"/>
      <c r="L244" s="6">
        <f t="shared" si="98"/>
        <v>-2450</v>
      </c>
      <c r="M244" s="2"/>
      <c r="N244" s="7">
        <f t="shared" si="99"/>
        <v>-0.90740740740740744</v>
      </c>
      <c r="O244" s="11"/>
      <c r="P244" s="6">
        <v>1427.4</v>
      </c>
      <c r="Q244" s="2"/>
      <c r="R244" s="7">
        <f t="shared" si="100"/>
        <v>2.1993821591293373E-4</v>
      </c>
      <c r="S244" s="2"/>
      <c r="T244" s="6">
        <v>7195</v>
      </c>
      <c r="U244" s="2"/>
      <c r="V244" s="7">
        <f t="shared" si="101"/>
        <v>1.0801822277290698E-3</v>
      </c>
      <c r="W244" s="2"/>
      <c r="X244" s="6">
        <f t="shared" si="102"/>
        <v>-5767.6</v>
      </c>
      <c r="Y244" s="2"/>
      <c r="Z244" s="7">
        <f t="shared" si="103"/>
        <v>-0.80161223071577492</v>
      </c>
    </row>
    <row r="245" spans="1:26" s="24" customFormat="1" hidden="1" outlineLevel="2" x14ac:dyDescent="0.25">
      <c r="A245" s="25"/>
      <c r="B245" s="11" t="str">
        <f>CONCATENATE("          ", "6275", " - ", "SUBSCRIPTIONS")</f>
        <v xml:space="preserve">          6275 - SUBSCRIPTIONS</v>
      </c>
      <c r="C245" s="11"/>
      <c r="D245" s="6">
        <v>-74.64</v>
      </c>
      <c r="E245" s="2"/>
      <c r="F245" s="7">
        <f t="shared" si="96"/>
        <v>-9.9372142202174539E-5</v>
      </c>
      <c r="G245" s="2"/>
      <c r="H245" s="6">
        <v>395</v>
      </c>
      <c r="I245" s="2"/>
      <c r="J245" s="7">
        <f t="shared" si="97"/>
        <v>6.0134711365268678E-4</v>
      </c>
      <c r="K245" s="2"/>
      <c r="L245" s="6">
        <f t="shared" si="98"/>
        <v>-469.64</v>
      </c>
      <c r="M245" s="2"/>
      <c r="N245" s="7">
        <f t="shared" si="99"/>
        <v>-1.1889620253164557</v>
      </c>
      <c r="O245" s="11"/>
      <c r="P245" s="6">
        <v>1495.96</v>
      </c>
      <c r="Q245" s="2"/>
      <c r="R245" s="7">
        <f t="shared" si="100"/>
        <v>2.3050215319960231E-4</v>
      </c>
      <c r="S245" s="2"/>
      <c r="T245" s="6">
        <v>3225</v>
      </c>
      <c r="U245" s="2"/>
      <c r="V245" s="7">
        <f t="shared" si="101"/>
        <v>4.8416785051094517E-4</v>
      </c>
      <c r="W245" s="2"/>
      <c r="X245" s="6">
        <f t="shared" si="102"/>
        <v>-1729.04</v>
      </c>
      <c r="Y245" s="2"/>
      <c r="Z245" s="7">
        <f t="shared" si="103"/>
        <v>-0.53613643410852707</v>
      </c>
    </row>
    <row r="246" spans="1:26" s="26" customFormat="1" outlineLevel="1" collapsed="1" x14ac:dyDescent="0.25">
      <c r="A246" s="27"/>
      <c r="B246" s="13" t="str">
        <f>CONCATENATE("     ","Supplies                                          ")</f>
        <v xml:space="preserve">     Supplies                                          </v>
      </c>
      <c r="C246" s="13"/>
      <c r="D246" s="1">
        <f>SUM(OSRRefD22_22x_0)</f>
        <v>7560.7699999999995</v>
      </c>
      <c r="E246" s="1"/>
      <c r="F246" s="5">
        <f t="shared" ref="F246:F254" si="104">IF(D$12=0,0,D246/D$12)</f>
        <v>1.0066049190754758E-2</v>
      </c>
      <c r="G246" s="1"/>
      <c r="H246" s="1">
        <f>SUM(OSRRefH22_22x_0)</f>
        <v>14428</v>
      </c>
      <c r="I246" s="1"/>
      <c r="J246" s="5">
        <f t="shared" ref="J246:J254" si="105">IF(H$12=0,0,H246/H$12)</f>
        <v>2.1965154824761936E-2</v>
      </c>
      <c r="K246" s="1"/>
      <c r="L246" s="1">
        <f t="shared" ref="L246:L254" si="106">+D246-H246</f>
        <v>-6867.2300000000005</v>
      </c>
      <c r="M246" s="1"/>
      <c r="N246" s="5">
        <f t="shared" ref="N246:N254" si="107">IF(H246=0,0,L246/H246)</f>
        <v>-0.47596548378153591</v>
      </c>
      <c r="O246" s="13"/>
      <c r="P246" s="1">
        <f>SUM(OSRRefP22_22x_0)</f>
        <v>78273.01999999999</v>
      </c>
      <c r="Q246" s="1"/>
      <c r="R246" s="5">
        <f t="shared" ref="R246:R254" si="108">IF(P$12=0,0,P246/P$12)</f>
        <v>1.206054951164171E-2</v>
      </c>
      <c r="S246" s="1"/>
      <c r="T246" s="1">
        <f>SUM(OSRRefT22_22x_0)</f>
        <v>92513</v>
      </c>
      <c r="U246" s="1"/>
      <c r="V246" s="5">
        <f t="shared" ref="V246:V254" si="109">IF(T$12=0,0,T246/T$12)</f>
        <v>1.3888936543974906E-2</v>
      </c>
      <c r="W246" s="1"/>
      <c r="X246" s="1">
        <f t="shared" ref="X246:X254" si="110">+P246-T246</f>
        <v>-14239.98000000001</v>
      </c>
      <c r="Y246" s="1"/>
      <c r="Z246" s="5">
        <f t="shared" ref="Z246:Z254" si="111">IF(T246=0,0,X246/T246)</f>
        <v>-0.15392409715391361</v>
      </c>
    </row>
    <row r="247" spans="1:26" s="24" customFormat="1" hidden="1" outlineLevel="2" x14ac:dyDescent="0.25">
      <c r="A247" s="25"/>
      <c r="B247" s="11" t="str">
        <f>CONCATENATE("          ", "6234", " - ", "EXPENDABLE SUPPLIES &amp; EQUIPMEN")</f>
        <v xml:space="preserve">          6234 - EXPENDABLE SUPPLIES &amp; EQUIPMEN</v>
      </c>
      <c r="C247" s="11"/>
      <c r="D247" s="6">
        <v>134.87</v>
      </c>
      <c r="E247" s="2"/>
      <c r="F247" s="7">
        <f t="shared" si="104"/>
        <v>1.7955949650063345E-4</v>
      </c>
      <c r="G247" s="2"/>
      <c r="H247" s="6">
        <v>300</v>
      </c>
      <c r="I247" s="2"/>
      <c r="J247" s="7">
        <f t="shared" si="105"/>
        <v>4.5671932682482541E-4</v>
      </c>
      <c r="K247" s="2"/>
      <c r="L247" s="6">
        <f t="shared" si="106"/>
        <v>-165.13</v>
      </c>
      <c r="M247" s="2"/>
      <c r="N247" s="7">
        <f t="shared" si="107"/>
        <v>-0.55043333333333333</v>
      </c>
      <c r="O247" s="11"/>
      <c r="P247" s="6">
        <v>2915.21</v>
      </c>
      <c r="Q247" s="2"/>
      <c r="R247" s="7">
        <f t="shared" si="108"/>
        <v>4.4918459185340021E-4</v>
      </c>
      <c r="S247" s="2"/>
      <c r="T247" s="6">
        <v>5850</v>
      </c>
      <c r="U247" s="2"/>
      <c r="V247" s="7">
        <f t="shared" si="109"/>
        <v>8.7825796139194708E-4</v>
      </c>
      <c r="W247" s="2"/>
      <c r="X247" s="6">
        <f t="shared" si="110"/>
        <v>-2934.79</v>
      </c>
      <c r="Y247" s="2"/>
      <c r="Z247" s="7">
        <f t="shared" si="111"/>
        <v>-0.50167350427350432</v>
      </c>
    </row>
    <row r="248" spans="1:26" s="24" customFormat="1" hidden="1" outlineLevel="2" x14ac:dyDescent="0.25">
      <c r="A248" s="25"/>
      <c r="B248" s="11" t="str">
        <f>CONCATENATE("          ", "6237", " - ", "JANITORIAL SUPPLIES")</f>
        <v xml:space="preserve">          6237 - JANITORIAL SUPPLIES</v>
      </c>
      <c r="C248" s="11"/>
      <c r="D248" s="6">
        <v>1505.75</v>
      </c>
      <c r="E248" s="2"/>
      <c r="F248" s="7">
        <f t="shared" si="104"/>
        <v>2.0046838574614726E-3</v>
      </c>
      <c r="G248" s="2"/>
      <c r="H248" s="6">
        <v>135</v>
      </c>
      <c r="I248" s="2"/>
      <c r="J248" s="7">
        <f t="shared" si="105"/>
        <v>2.0552369707117142E-4</v>
      </c>
      <c r="K248" s="2"/>
      <c r="L248" s="6">
        <f t="shared" si="106"/>
        <v>1370.75</v>
      </c>
      <c r="M248" s="2"/>
      <c r="N248" s="7">
        <f t="shared" si="107"/>
        <v>10.153703703703703</v>
      </c>
      <c r="O248" s="11"/>
      <c r="P248" s="6">
        <v>5681.61</v>
      </c>
      <c r="Q248" s="2"/>
      <c r="R248" s="7">
        <f t="shared" si="108"/>
        <v>8.7544007770287463E-4</v>
      </c>
      <c r="S248" s="2"/>
      <c r="T248" s="6">
        <v>925</v>
      </c>
      <c r="U248" s="2"/>
      <c r="V248" s="7">
        <f t="shared" si="109"/>
        <v>1.3886984859616257E-4</v>
      </c>
      <c r="W248" s="2"/>
      <c r="X248" s="6">
        <f t="shared" si="110"/>
        <v>4756.6099999999997</v>
      </c>
      <c r="Y248" s="2"/>
      <c r="Z248" s="7">
        <f t="shared" si="111"/>
        <v>5.1422810810810811</v>
      </c>
    </row>
    <row r="249" spans="1:26" s="24" customFormat="1" hidden="1" outlineLevel="2" x14ac:dyDescent="0.25">
      <c r="A249" s="25"/>
      <c r="B249" s="11" t="str">
        <f>CONCATENATE("          ", "6241", " - ", "OFFICE EXPENSE")</f>
        <v xml:space="preserve">          6241 - OFFICE EXPENSE</v>
      </c>
      <c r="C249" s="11"/>
      <c r="D249" s="6">
        <v>2466.59</v>
      </c>
      <c r="E249" s="2"/>
      <c r="F249" s="7">
        <f t="shared" si="104"/>
        <v>3.2839004854563463E-3</v>
      </c>
      <c r="G249" s="2"/>
      <c r="H249" s="6">
        <v>975</v>
      </c>
      <c r="I249" s="2"/>
      <c r="J249" s="7">
        <f t="shared" si="105"/>
        <v>1.4843378121806826E-3</v>
      </c>
      <c r="K249" s="2"/>
      <c r="L249" s="6">
        <f t="shared" si="106"/>
        <v>1491.5900000000001</v>
      </c>
      <c r="M249" s="2"/>
      <c r="N249" s="7">
        <f t="shared" si="107"/>
        <v>1.5298358974358977</v>
      </c>
      <c r="O249" s="11"/>
      <c r="P249" s="6">
        <v>16227.409999999998</v>
      </c>
      <c r="Q249" s="2"/>
      <c r="R249" s="7">
        <f t="shared" si="108"/>
        <v>2.5003696260947872E-3</v>
      </c>
      <c r="S249" s="2"/>
      <c r="T249" s="6">
        <v>6215</v>
      </c>
      <c r="U249" s="2"/>
      <c r="V249" s="7">
        <f t="shared" si="109"/>
        <v>9.330552530001625E-4</v>
      </c>
      <c r="W249" s="2"/>
      <c r="X249" s="6">
        <f t="shared" si="110"/>
        <v>10012.409999999998</v>
      </c>
      <c r="Y249" s="2"/>
      <c r="Z249" s="7">
        <f t="shared" si="111"/>
        <v>1.6110072405470632</v>
      </c>
    </row>
    <row r="250" spans="1:26" s="24" customFormat="1" hidden="1" outlineLevel="2" x14ac:dyDescent="0.25">
      <c r="A250" s="25"/>
      <c r="B250" s="11" t="str">
        <f>CONCATENATE("          ", "6243", " - ", "PAPER SUPPLIES")</f>
        <v xml:space="preserve">          6243 - PAPER SUPPLIES</v>
      </c>
      <c r="C250" s="11"/>
      <c r="D250" s="6">
        <v>1743.37</v>
      </c>
      <c r="E250" s="2"/>
      <c r="F250" s="7">
        <f t="shared" si="104"/>
        <v>2.3210398117765943E-3</v>
      </c>
      <c r="G250" s="2"/>
      <c r="H250" s="6">
        <v>250</v>
      </c>
      <c r="I250" s="2"/>
      <c r="J250" s="7">
        <f t="shared" si="105"/>
        <v>3.8059943902068782E-4</v>
      </c>
      <c r="K250" s="2"/>
      <c r="L250" s="6">
        <f t="shared" si="106"/>
        <v>1493.37</v>
      </c>
      <c r="M250" s="2"/>
      <c r="N250" s="7">
        <f t="shared" si="107"/>
        <v>5.9734799999999995</v>
      </c>
      <c r="O250" s="11"/>
      <c r="P250" s="6">
        <v>9347.33</v>
      </c>
      <c r="Q250" s="2"/>
      <c r="R250" s="7">
        <f t="shared" si="108"/>
        <v>1.4402655763972555E-3</v>
      </c>
      <c r="S250" s="2"/>
      <c r="T250" s="6">
        <v>1750</v>
      </c>
      <c r="U250" s="2"/>
      <c r="V250" s="7">
        <f t="shared" si="109"/>
        <v>2.6272674058733459E-4</v>
      </c>
      <c r="W250" s="2"/>
      <c r="X250" s="6">
        <f t="shared" si="110"/>
        <v>7597.33</v>
      </c>
      <c r="Y250" s="2"/>
      <c r="Z250" s="7">
        <f t="shared" si="111"/>
        <v>4.3413314285714284</v>
      </c>
    </row>
    <row r="251" spans="1:26" s="24" customFormat="1" hidden="1" outlineLevel="2" x14ac:dyDescent="0.25">
      <c r="A251" s="25"/>
      <c r="B251" s="11" t="str">
        <f>CONCATENATE("          ", "6244", " - ", "SAFETY SUPPLY EXPENSE")</f>
        <v xml:space="preserve">          6244 - SAFETY SUPPLY EXPENSE</v>
      </c>
      <c r="C251" s="11"/>
      <c r="D251" s="6"/>
      <c r="E251" s="2"/>
      <c r="F251" s="7">
        <f t="shared" si="104"/>
        <v>0</v>
      </c>
      <c r="G251" s="2"/>
      <c r="H251" s="6"/>
      <c r="I251" s="2"/>
      <c r="J251" s="7">
        <f t="shared" si="105"/>
        <v>0</v>
      </c>
      <c r="K251" s="2"/>
      <c r="L251" s="6">
        <f t="shared" si="106"/>
        <v>0</v>
      </c>
      <c r="M251" s="2"/>
      <c r="N251" s="7">
        <f t="shared" si="107"/>
        <v>0</v>
      </c>
      <c r="O251" s="11"/>
      <c r="P251" s="6"/>
      <c r="Q251" s="2"/>
      <c r="R251" s="7">
        <f t="shared" si="108"/>
        <v>0</v>
      </c>
      <c r="S251" s="2"/>
      <c r="T251" s="6">
        <v>30</v>
      </c>
      <c r="U251" s="2"/>
      <c r="V251" s="7">
        <f t="shared" si="109"/>
        <v>4.5038869814971646E-6</v>
      </c>
      <c r="W251" s="2"/>
      <c r="X251" s="6">
        <f t="shared" si="110"/>
        <v>-30</v>
      </c>
      <c r="Y251" s="2"/>
      <c r="Z251" s="7">
        <f t="shared" si="111"/>
        <v>-1</v>
      </c>
    </row>
    <row r="252" spans="1:26" s="24" customFormat="1" hidden="1" outlineLevel="2" x14ac:dyDescent="0.25">
      <c r="A252" s="25"/>
      <c r="B252" s="11" t="str">
        <f>CONCATENATE("          ", "6245", " - ", "PRINTING")</f>
        <v xml:space="preserve">          6245 - PRINTING</v>
      </c>
      <c r="C252" s="11"/>
      <c r="D252" s="6">
        <v>-364.76</v>
      </c>
      <c r="E252" s="2"/>
      <c r="F252" s="7">
        <f t="shared" si="104"/>
        <v>-4.8562409686046598E-4</v>
      </c>
      <c r="G252" s="2"/>
      <c r="H252" s="6">
        <v>100</v>
      </c>
      <c r="I252" s="2"/>
      <c r="J252" s="7">
        <f t="shared" si="105"/>
        <v>1.5223977560827515E-4</v>
      </c>
      <c r="K252" s="2"/>
      <c r="L252" s="6">
        <f t="shared" si="106"/>
        <v>-464.76</v>
      </c>
      <c r="M252" s="2"/>
      <c r="N252" s="7">
        <f t="shared" si="107"/>
        <v>-4.6475999999999997</v>
      </c>
      <c r="O252" s="11"/>
      <c r="P252" s="6">
        <v>4926.79</v>
      </c>
      <c r="Q252" s="2"/>
      <c r="R252" s="7">
        <f t="shared" si="108"/>
        <v>7.5913507270399514E-4</v>
      </c>
      <c r="S252" s="2"/>
      <c r="T252" s="6">
        <v>900</v>
      </c>
      <c r="U252" s="2"/>
      <c r="V252" s="7">
        <f t="shared" si="109"/>
        <v>1.3511660944491493E-4</v>
      </c>
      <c r="W252" s="2"/>
      <c r="X252" s="6">
        <f t="shared" si="110"/>
        <v>4026.79</v>
      </c>
      <c r="Y252" s="2"/>
      <c r="Z252" s="7">
        <f t="shared" si="111"/>
        <v>4.4742111111111109</v>
      </c>
    </row>
    <row r="253" spans="1:26" s="24" customFormat="1" hidden="1" outlineLevel="2" x14ac:dyDescent="0.25">
      <c r="A253" s="25"/>
      <c r="B253" s="11" t="str">
        <f>CONCATENATE("          ", "6247", " - ", "STORE SUPPLIES")</f>
        <v xml:space="preserve">          6247 - STORE SUPPLIES</v>
      </c>
      <c r="C253" s="11"/>
      <c r="D253" s="6">
        <v>2074.9499999999998</v>
      </c>
      <c r="E253" s="2"/>
      <c r="F253" s="7">
        <f t="shared" si="104"/>
        <v>2.7624896364201773E-3</v>
      </c>
      <c r="G253" s="2"/>
      <c r="H253" s="6">
        <v>11668</v>
      </c>
      <c r="I253" s="2"/>
      <c r="J253" s="7">
        <f t="shared" si="105"/>
        <v>1.7763337017973543E-2</v>
      </c>
      <c r="K253" s="2"/>
      <c r="L253" s="6">
        <f t="shared" si="106"/>
        <v>-9593.0499999999993</v>
      </c>
      <c r="M253" s="2"/>
      <c r="N253" s="7">
        <f t="shared" si="107"/>
        <v>-0.82216746657524853</v>
      </c>
      <c r="O253" s="11"/>
      <c r="P253" s="6">
        <v>39174.67</v>
      </c>
      <c r="Q253" s="2"/>
      <c r="R253" s="7">
        <f t="shared" si="108"/>
        <v>6.0361545668893976E-3</v>
      </c>
      <c r="S253" s="2"/>
      <c r="T253" s="6">
        <v>71543</v>
      </c>
      <c r="U253" s="2"/>
      <c r="V253" s="7">
        <f t="shared" si="109"/>
        <v>1.0740719543908388E-2</v>
      </c>
      <c r="W253" s="2"/>
      <c r="X253" s="6">
        <f t="shared" si="110"/>
        <v>-32368.33</v>
      </c>
      <c r="Y253" s="2"/>
      <c r="Z253" s="7">
        <f t="shared" si="111"/>
        <v>-0.45243182421760342</v>
      </c>
    </row>
    <row r="254" spans="1:26" s="24" customFormat="1" hidden="1" outlineLevel="2" x14ac:dyDescent="0.25">
      <c r="A254" s="25"/>
      <c r="B254" s="11" t="str">
        <f>CONCATENATE("          ", "6248", " - ", "UNIFORMS")</f>
        <v xml:space="preserve">          6248 - UNIFORMS</v>
      </c>
      <c r="C254" s="11"/>
      <c r="D254" s="6"/>
      <c r="E254" s="2"/>
      <c r="F254" s="7">
        <f t="shared" si="104"/>
        <v>0</v>
      </c>
      <c r="G254" s="2"/>
      <c r="H254" s="6">
        <v>1000</v>
      </c>
      <c r="I254" s="2"/>
      <c r="J254" s="7">
        <f t="shared" si="105"/>
        <v>1.5223977560827513E-3</v>
      </c>
      <c r="K254" s="2"/>
      <c r="L254" s="6">
        <f t="shared" si="106"/>
        <v>-1000</v>
      </c>
      <c r="M254" s="2"/>
      <c r="N254" s="7">
        <f t="shared" si="107"/>
        <v>-1</v>
      </c>
      <c r="O254" s="11"/>
      <c r="P254" s="6"/>
      <c r="Q254" s="2"/>
      <c r="R254" s="7">
        <f t="shared" si="108"/>
        <v>0</v>
      </c>
      <c r="S254" s="2"/>
      <c r="T254" s="6">
        <v>5300</v>
      </c>
      <c r="U254" s="2"/>
      <c r="V254" s="7">
        <f t="shared" si="109"/>
        <v>7.9568670006449909E-4</v>
      </c>
      <c r="W254" s="2"/>
      <c r="X254" s="6">
        <f t="shared" si="110"/>
        <v>-5300</v>
      </c>
      <c r="Y254" s="2"/>
      <c r="Z254" s="7">
        <f t="shared" si="111"/>
        <v>-1</v>
      </c>
    </row>
    <row r="255" spans="1:26" s="26" customFormat="1" outlineLevel="1" collapsed="1" x14ac:dyDescent="0.25">
      <c r="A255" s="27"/>
      <c r="B255" s="13" t="str">
        <f>CONCATENATE("     ","Telephone/Data Lines                              ")</f>
        <v xml:space="preserve">     Telephone/Data Lines                              </v>
      </c>
      <c r="C255" s="13"/>
      <c r="D255" s="1">
        <f>SUM(OSRRefD22_23x_0)</f>
        <v>2713.31</v>
      </c>
      <c r="E255" s="1"/>
      <c r="F255" s="5">
        <f t="shared" ref="F255:F257" si="112">IF(D$12=0,0,D255/D$12)</f>
        <v>3.6123717464976177E-3</v>
      </c>
      <c r="G255" s="1"/>
      <c r="H255" s="1">
        <f>SUM(OSRRefH22_23x_0)</f>
        <v>2980</v>
      </c>
      <c r="I255" s="1"/>
      <c r="J255" s="5">
        <f t="shared" ref="J255:J257" si="113">IF(H$12=0,0,H255/H$12)</f>
        <v>4.5367453131265993E-3</v>
      </c>
      <c r="K255" s="1"/>
      <c r="L255" s="1">
        <f t="shared" ref="L255:L257" si="114">+D255-H255</f>
        <v>-266.69000000000005</v>
      </c>
      <c r="M255" s="1"/>
      <c r="N255" s="5">
        <f t="shared" ref="N255:N257" si="115">IF(H255=0,0,L255/H255)</f>
        <v>-8.9493288590604042E-2</v>
      </c>
      <c r="O255" s="13"/>
      <c r="P255" s="1">
        <f>SUM(OSRRefP22_23x_0)</f>
        <v>15152.07</v>
      </c>
      <c r="Q255" s="1"/>
      <c r="R255" s="5">
        <f t="shared" ref="R255:R257" si="116">IF(P$12=0,0,P255/P$12)</f>
        <v>2.3346779061145335E-3</v>
      </c>
      <c r="S255" s="1"/>
      <c r="T255" s="1">
        <f>SUM(OSRRefT22_23x_0)</f>
        <v>16975</v>
      </c>
      <c r="U255" s="1"/>
      <c r="V255" s="5">
        <f t="shared" ref="V255:V257" si="117">IF(T$12=0,0,T255/T$12)</f>
        <v>2.5484493836971456E-3</v>
      </c>
      <c r="W255" s="1"/>
      <c r="X255" s="1">
        <f t="shared" ref="X255:X257" si="118">+P255-T255</f>
        <v>-1822.9300000000003</v>
      </c>
      <c r="Y255" s="1"/>
      <c r="Z255" s="5">
        <f t="shared" ref="Z255:Z257" si="119">IF(T255=0,0,X255/T255)</f>
        <v>-0.10738910162002947</v>
      </c>
    </row>
    <row r="256" spans="1:26" s="24" customFormat="1" hidden="1" outlineLevel="2" x14ac:dyDescent="0.25">
      <c r="A256" s="25"/>
      <c r="B256" s="11" t="str">
        <f>CONCATENATE("          ", "6303", " - ", "DATA PHONE LINES")</f>
        <v xml:space="preserve">          6303 - DATA PHONE LINES</v>
      </c>
      <c r="C256" s="11"/>
      <c r="D256" s="6">
        <v>295</v>
      </c>
      <c r="E256" s="2"/>
      <c r="F256" s="7">
        <f t="shared" si="112"/>
        <v>3.9274895430923748E-4</v>
      </c>
      <c r="G256" s="2"/>
      <c r="H256" s="6">
        <v>900</v>
      </c>
      <c r="I256" s="2"/>
      <c r="J256" s="7">
        <f t="shared" si="113"/>
        <v>1.3701579804744762E-3</v>
      </c>
      <c r="K256" s="2"/>
      <c r="L256" s="6">
        <f t="shared" si="114"/>
        <v>-605</v>
      </c>
      <c r="M256" s="2"/>
      <c r="N256" s="7">
        <f t="shared" si="115"/>
        <v>-0.67222222222222228</v>
      </c>
      <c r="O256" s="11"/>
      <c r="P256" s="6">
        <v>1475</v>
      </c>
      <c r="Q256" s="2"/>
      <c r="R256" s="7">
        <f t="shared" si="116"/>
        <v>2.2727257143868377E-4</v>
      </c>
      <c r="S256" s="2"/>
      <c r="T256" s="6">
        <v>5575</v>
      </c>
      <c r="U256" s="2"/>
      <c r="V256" s="7">
        <f t="shared" si="117"/>
        <v>8.3697233072822308E-4</v>
      </c>
      <c r="W256" s="2"/>
      <c r="X256" s="6">
        <f t="shared" si="118"/>
        <v>-4100</v>
      </c>
      <c r="Y256" s="2"/>
      <c r="Z256" s="7">
        <f t="shared" si="119"/>
        <v>-0.73542600896860988</v>
      </c>
    </row>
    <row r="257" spans="1:26" s="24" customFormat="1" hidden="1" outlineLevel="2" x14ac:dyDescent="0.25">
      <c r="A257" s="25"/>
      <c r="B257" s="11" t="str">
        <f>CONCATENATE("          ", "6309", " - ", "TELEPHONE")</f>
        <v xml:space="preserve">          6309 - TELEPHONE</v>
      </c>
      <c r="C257" s="11"/>
      <c r="D257" s="6">
        <v>2418.31</v>
      </c>
      <c r="E257" s="2"/>
      <c r="F257" s="7">
        <f t="shared" si="112"/>
        <v>3.2196227921883801E-3</v>
      </c>
      <c r="G257" s="2"/>
      <c r="H257" s="6">
        <v>2080</v>
      </c>
      <c r="I257" s="2"/>
      <c r="J257" s="7">
        <f t="shared" si="113"/>
        <v>3.1665873326521226E-3</v>
      </c>
      <c r="K257" s="2"/>
      <c r="L257" s="6">
        <f t="shared" si="114"/>
        <v>338.30999999999995</v>
      </c>
      <c r="M257" s="2"/>
      <c r="N257" s="7">
        <f t="shared" si="115"/>
        <v>0.16264903846153844</v>
      </c>
      <c r="O257" s="11"/>
      <c r="P257" s="6">
        <v>13677.07</v>
      </c>
      <c r="Q257" s="2"/>
      <c r="R257" s="7">
        <f t="shared" si="116"/>
        <v>2.1074053346758501E-3</v>
      </c>
      <c r="S257" s="2"/>
      <c r="T257" s="6">
        <v>11400</v>
      </c>
      <c r="U257" s="2"/>
      <c r="V257" s="7">
        <f t="shared" si="117"/>
        <v>1.7114770529689225E-3</v>
      </c>
      <c r="W257" s="2"/>
      <c r="X257" s="6">
        <f t="shared" si="118"/>
        <v>2277.0699999999997</v>
      </c>
      <c r="Y257" s="2"/>
      <c r="Z257" s="7">
        <f t="shared" si="119"/>
        <v>0.19974298245614033</v>
      </c>
    </row>
    <row r="258" spans="1:26" s="26" customFormat="1" outlineLevel="1" collapsed="1" x14ac:dyDescent="0.25">
      <c r="A258" s="27"/>
      <c r="B258" s="13" t="str">
        <f>CONCATENATE("     ","Training                                          ")</f>
        <v xml:space="preserve">     Training                                          </v>
      </c>
      <c r="C258" s="13"/>
      <c r="D258" s="1">
        <f>SUM(OSRRefD22_24x_0)</f>
        <v>2143.04</v>
      </c>
      <c r="E258" s="1"/>
      <c r="F258" s="5">
        <f t="shared" ref="F258:F263" si="120">IF(D$12=0,0,D258/D$12)</f>
        <v>2.8531414204842993E-3</v>
      </c>
      <c r="G258" s="1"/>
      <c r="H258" s="1">
        <f>SUM(OSRRefH22_24x_0)</f>
        <v>3550</v>
      </c>
      <c r="I258" s="1"/>
      <c r="J258" s="5">
        <f t="shared" ref="J258:J263" si="121">IF(H$12=0,0,H258/H$12)</f>
        <v>5.4045120340937671E-3</v>
      </c>
      <c r="K258" s="1"/>
      <c r="L258" s="1">
        <f t="shared" ref="L258:L263" si="122">+D258-H258</f>
        <v>-1406.96</v>
      </c>
      <c r="M258" s="1"/>
      <c r="N258" s="5">
        <f t="shared" ref="N258:N263" si="123">IF(H258=0,0,L258/H258)</f>
        <v>-0.39632676056338029</v>
      </c>
      <c r="O258" s="13"/>
      <c r="P258" s="1">
        <f>SUM(OSRRefP22_24x_0)</f>
        <v>7659.8</v>
      </c>
      <c r="Q258" s="1"/>
      <c r="R258" s="5">
        <f t="shared" ref="R258:R263" si="124">IF(P$12=0,0,P258/P$12)</f>
        <v>1.180245723868495E-3</v>
      </c>
      <c r="S258" s="1"/>
      <c r="T258" s="1">
        <f>SUM(OSRRefT22_24x_0)</f>
        <v>11350</v>
      </c>
      <c r="U258" s="1"/>
      <c r="V258" s="5">
        <f t="shared" ref="V258:V263" si="125">IF(T$12=0,0,T258/T$12)</f>
        <v>1.7039705746664273E-3</v>
      </c>
      <c r="W258" s="1"/>
      <c r="X258" s="1">
        <f t="shared" ref="X258:X263" si="126">+P258-T258</f>
        <v>-3690.2</v>
      </c>
      <c r="Y258" s="1"/>
      <c r="Z258" s="5">
        <f t="shared" ref="Z258:Z263" si="127">IF(T258=0,0,X258/T258)</f>
        <v>-0.32512775330396476</v>
      </c>
    </row>
    <row r="259" spans="1:26" s="24" customFormat="1" hidden="1" outlineLevel="2" x14ac:dyDescent="0.25">
      <c r="A259" s="25"/>
      <c r="B259" s="11" t="str">
        <f>CONCATENATE("          ", "6376", " - ", "TRAINING")</f>
        <v xml:space="preserve">          6376 - TRAINING</v>
      </c>
      <c r="C259" s="11"/>
      <c r="D259" s="6">
        <v>2143.04</v>
      </c>
      <c r="E259" s="2"/>
      <c r="F259" s="7">
        <f t="shared" si="120"/>
        <v>2.8531414204842993E-3</v>
      </c>
      <c r="G259" s="2"/>
      <c r="H259" s="6">
        <v>3550</v>
      </c>
      <c r="I259" s="2"/>
      <c r="J259" s="7">
        <f t="shared" si="121"/>
        <v>5.4045120340937671E-3</v>
      </c>
      <c r="K259" s="2"/>
      <c r="L259" s="6">
        <f t="shared" si="122"/>
        <v>-1406.96</v>
      </c>
      <c r="M259" s="2"/>
      <c r="N259" s="7">
        <f t="shared" si="123"/>
        <v>-0.39632676056338029</v>
      </c>
      <c r="O259" s="11"/>
      <c r="P259" s="6">
        <v>7659.8</v>
      </c>
      <c r="Q259" s="2"/>
      <c r="R259" s="7">
        <f t="shared" si="124"/>
        <v>1.180245723868495E-3</v>
      </c>
      <c r="S259" s="2"/>
      <c r="T259" s="6">
        <v>11350</v>
      </c>
      <c r="U259" s="2"/>
      <c r="V259" s="7">
        <f t="shared" si="125"/>
        <v>1.7039705746664273E-3</v>
      </c>
      <c r="W259" s="2"/>
      <c r="X259" s="6">
        <f t="shared" si="126"/>
        <v>-3690.2</v>
      </c>
      <c r="Y259" s="2"/>
      <c r="Z259" s="7">
        <f t="shared" si="127"/>
        <v>-0.32512775330396476</v>
      </c>
    </row>
    <row r="260" spans="1:26" s="26" customFormat="1" outlineLevel="1" collapsed="1" x14ac:dyDescent="0.25">
      <c r="A260" s="27"/>
      <c r="B260" s="13" t="str">
        <f>CONCATENATE("     ","Travel                                            ")</f>
        <v xml:space="preserve">     Travel                                            </v>
      </c>
      <c r="C260" s="13"/>
      <c r="D260" s="1">
        <f>SUM(OSRRefD22_25x_0)</f>
        <v>354.64</v>
      </c>
      <c r="E260" s="1"/>
      <c r="F260" s="5">
        <f t="shared" si="120"/>
        <v>4.7215081069907792E-4</v>
      </c>
      <c r="G260" s="1"/>
      <c r="H260" s="1">
        <f>SUM(OSRRefH22_25x_0)</f>
        <v>75</v>
      </c>
      <c r="I260" s="1"/>
      <c r="J260" s="5">
        <f t="shared" si="121"/>
        <v>1.1417983170620635E-4</v>
      </c>
      <c r="K260" s="1"/>
      <c r="L260" s="1">
        <f t="shared" si="122"/>
        <v>279.64</v>
      </c>
      <c r="M260" s="1"/>
      <c r="N260" s="5">
        <f t="shared" si="123"/>
        <v>3.728533333333333</v>
      </c>
      <c r="O260" s="13"/>
      <c r="P260" s="1">
        <f>SUM(OSRRefP22_25x_0)</f>
        <v>1601.7499999999998</v>
      </c>
      <c r="Q260" s="1"/>
      <c r="R260" s="5">
        <f t="shared" si="124"/>
        <v>2.4680260427248249E-4</v>
      </c>
      <c r="S260" s="1"/>
      <c r="T260" s="1">
        <f>SUM(OSRRefT22_25x_0)</f>
        <v>1960</v>
      </c>
      <c r="U260" s="1"/>
      <c r="V260" s="5">
        <f t="shared" si="125"/>
        <v>2.9425394945781474E-4</v>
      </c>
      <c r="W260" s="1"/>
      <c r="X260" s="1">
        <f t="shared" si="126"/>
        <v>-358.25000000000023</v>
      </c>
      <c r="Y260" s="1"/>
      <c r="Z260" s="5">
        <f t="shared" si="127"/>
        <v>-0.18278061224489808</v>
      </c>
    </row>
    <row r="261" spans="1:26" s="24" customFormat="1" hidden="1" outlineLevel="2" x14ac:dyDescent="0.25">
      <c r="A261" s="25"/>
      <c r="B261" s="11" t="str">
        <f>CONCATENATE("          ", "6292", " - ", "TRAVEL/CONFERENCE")</f>
        <v xml:space="preserve">          6292 - TRAVEL/CONFERENCE</v>
      </c>
      <c r="C261" s="11"/>
      <c r="D261" s="6">
        <v>47.96</v>
      </c>
      <c r="E261" s="2"/>
      <c r="F261" s="7">
        <f t="shared" si="120"/>
        <v>6.3851660503969602E-5</v>
      </c>
      <c r="G261" s="2"/>
      <c r="H261" s="6">
        <v>0</v>
      </c>
      <c r="I261" s="2"/>
      <c r="J261" s="7">
        <f t="shared" si="121"/>
        <v>0</v>
      </c>
      <c r="K261" s="2"/>
      <c r="L261" s="6">
        <f t="shared" si="122"/>
        <v>47.96</v>
      </c>
      <c r="M261" s="2"/>
      <c r="N261" s="7">
        <f t="shared" si="123"/>
        <v>0</v>
      </c>
      <c r="O261" s="11"/>
      <c r="P261" s="6">
        <v>688.61</v>
      </c>
      <c r="Q261" s="2"/>
      <c r="R261" s="7">
        <f t="shared" si="124"/>
        <v>1.0610316299552002E-4</v>
      </c>
      <c r="S261" s="2"/>
      <c r="T261" s="6">
        <v>1000</v>
      </c>
      <c r="U261" s="2"/>
      <c r="V261" s="7">
        <f t="shared" si="125"/>
        <v>1.5012956604990547E-4</v>
      </c>
      <c r="W261" s="2"/>
      <c r="X261" s="6">
        <f t="shared" si="126"/>
        <v>-311.39</v>
      </c>
      <c r="Y261" s="2"/>
      <c r="Z261" s="7">
        <f t="shared" si="127"/>
        <v>-0.31139</v>
      </c>
    </row>
    <row r="262" spans="1:26" s="24" customFormat="1" hidden="1" outlineLevel="2" x14ac:dyDescent="0.25">
      <c r="A262" s="25"/>
      <c r="B262" s="11" t="str">
        <f>CONCATENATE("          ", "6294", " - ", "TRAVEL OPERATIONAL")</f>
        <v xml:space="preserve">          6294 - TRAVEL OPERATIONAL</v>
      </c>
      <c r="C262" s="11"/>
      <c r="D262" s="6">
        <v>257.33</v>
      </c>
      <c r="E262" s="2"/>
      <c r="F262" s="7">
        <f t="shared" si="120"/>
        <v>3.4259690987252907E-4</v>
      </c>
      <c r="G262" s="2"/>
      <c r="H262" s="6">
        <v>75</v>
      </c>
      <c r="I262" s="2"/>
      <c r="J262" s="7">
        <f t="shared" si="121"/>
        <v>1.1417983170620635E-4</v>
      </c>
      <c r="K262" s="2"/>
      <c r="L262" s="6">
        <f t="shared" si="122"/>
        <v>182.32999999999998</v>
      </c>
      <c r="M262" s="2"/>
      <c r="N262" s="7">
        <f t="shared" si="123"/>
        <v>2.4310666666666663</v>
      </c>
      <c r="O262" s="11"/>
      <c r="P262" s="6">
        <v>693.8</v>
      </c>
      <c r="Q262" s="2"/>
      <c r="R262" s="7">
        <f t="shared" si="124"/>
        <v>1.0690285428078563E-4</v>
      </c>
      <c r="S262" s="2"/>
      <c r="T262" s="6">
        <v>510</v>
      </c>
      <c r="U262" s="2"/>
      <c r="V262" s="7">
        <f t="shared" si="125"/>
        <v>7.6566078685451789E-5</v>
      </c>
      <c r="W262" s="2"/>
      <c r="X262" s="6">
        <f t="shared" si="126"/>
        <v>183.79999999999995</v>
      </c>
      <c r="Y262" s="2"/>
      <c r="Z262" s="7">
        <f t="shared" si="127"/>
        <v>0.36039215686274501</v>
      </c>
    </row>
    <row r="263" spans="1:26" s="24" customFormat="1" hidden="1" outlineLevel="2" x14ac:dyDescent="0.25">
      <c r="A263" s="25"/>
      <c r="B263" s="11" t="str">
        <f>CONCATENATE("          ", "6298", " - ", "VEHICLE MILEAGE")</f>
        <v xml:space="preserve">          6298 - VEHICLE MILEAGE</v>
      </c>
      <c r="C263" s="11"/>
      <c r="D263" s="6">
        <v>49.35</v>
      </c>
      <c r="E263" s="2"/>
      <c r="F263" s="7">
        <f t="shared" si="120"/>
        <v>6.5702240322579222E-5</v>
      </c>
      <c r="G263" s="2"/>
      <c r="H263" s="6"/>
      <c r="I263" s="2"/>
      <c r="J263" s="7">
        <f t="shared" si="121"/>
        <v>0</v>
      </c>
      <c r="K263" s="2"/>
      <c r="L263" s="6">
        <f t="shared" si="122"/>
        <v>49.35</v>
      </c>
      <c r="M263" s="2"/>
      <c r="N263" s="7">
        <f t="shared" si="123"/>
        <v>0</v>
      </c>
      <c r="O263" s="11"/>
      <c r="P263" s="6">
        <v>219.34</v>
      </c>
      <c r="Q263" s="2"/>
      <c r="R263" s="7">
        <f t="shared" si="124"/>
        <v>3.3796586996176878E-5</v>
      </c>
      <c r="S263" s="2"/>
      <c r="T263" s="6">
        <v>450</v>
      </c>
      <c r="U263" s="2"/>
      <c r="V263" s="7">
        <f t="shared" si="125"/>
        <v>6.7558304722457465E-5</v>
      </c>
      <c r="W263" s="2"/>
      <c r="X263" s="6">
        <f t="shared" si="126"/>
        <v>-230.66</v>
      </c>
      <c r="Y263" s="2"/>
      <c r="Z263" s="7">
        <f t="shared" si="127"/>
        <v>-0.5125777777777778</v>
      </c>
    </row>
    <row r="264" spans="1:26" s="26" customFormat="1" outlineLevel="1" collapsed="1" x14ac:dyDescent="0.25">
      <c r="A264" s="27"/>
      <c r="B264" s="13" t="str">
        <f>CONCATENATE("     ","Utilities                                         ")</f>
        <v xml:space="preserve">     Utilities                                         </v>
      </c>
      <c r="C264" s="13"/>
      <c r="D264" s="1">
        <f>SUM(OSRRefD22_26x_0)</f>
        <v>6602.26</v>
      </c>
      <c r="E264" s="1"/>
      <c r="F264" s="5">
        <f t="shared" ref="F264:F265" si="128">IF(D$12=0,0,D264/D$12)</f>
        <v>8.7899346138227332E-3</v>
      </c>
      <c r="G264" s="1"/>
      <c r="H264" s="1">
        <f>SUM(OSRRefH22_26x_0)</f>
        <v>6225</v>
      </c>
      <c r="I264" s="1"/>
      <c r="J264" s="5">
        <f t="shared" ref="J264:J265" si="129">IF(H$12=0,0,H264/H$12)</f>
        <v>9.4769260316151273E-3</v>
      </c>
      <c r="K264" s="1"/>
      <c r="L264" s="1">
        <f t="shared" ref="L264:L265" si="130">+D264-H264</f>
        <v>377.26000000000022</v>
      </c>
      <c r="M264" s="1"/>
      <c r="N264" s="5">
        <f t="shared" ref="N264:N265" si="131">IF(H264=0,0,L264/H264)</f>
        <v>6.0604016064257062E-2</v>
      </c>
      <c r="O264" s="13"/>
      <c r="P264" s="1">
        <f>SUM(OSRRefP22_26x_0)</f>
        <v>25637.040000000001</v>
      </c>
      <c r="Q264" s="1"/>
      <c r="R264" s="5">
        <f t="shared" ref="R264:R265" si="132">IF(P$12=0,0,P264/P$12)</f>
        <v>3.9502345795772165E-3</v>
      </c>
      <c r="S264" s="1"/>
      <c r="T264" s="1">
        <f>SUM(OSRRefT22_26x_0)</f>
        <v>31096</v>
      </c>
      <c r="U264" s="1"/>
      <c r="V264" s="5">
        <f t="shared" ref="V264:V265" si="133">IF(T$12=0,0,T264/T$12)</f>
        <v>4.6684289858878606E-3</v>
      </c>
      <c r="W264" s="1"/>
      <c r="X264" s="1">
        <f t="shared" ref="X264:X265" si="134">+P264-T264</f>
        <v>-5458.9599999999991</v>
      </c>
      <c r="Y264" s="1"/>
      <c r="Z264" s="5">
        <f t="shared" ref="Z264:Z265" si="135">IF(T264=0,0,X264/T264)</f>
        <v>-0.17555183946488293</v>
      </c>
    </row>
    <row r="265" spans="1:26" s="24" customFormat="1" hidden="1" outlineLevel="2" x14ac:dyDescent="0.25">
      <c r="A265" s="25"/>
      <c r="B265" s="11" t="str">
        <f>CONCATENATE("          ", "6274", " - ", "UTILITIES")</f>
        <v xml:space="preserve">          6274 - UTILITIES</v>
      </c>
      <c r="C265" s="11"/>
      <c r="D265" s="6">
        <v>6602.26</v>
      </c>
      <c r="E265" s="2"/>
      <c r="F265" s="7">
        <f t="shared" si="128"/>
        <v>8.7899346138227332E-3</v>
      </c>
      <c r="G265" s="2"/>
      <c r="H265" s="6">
        <v>6225</v>
      </c>
      <c r="I265" s="2"/>
      <c r="J265" s="7">
        <f t="shared" si="129"/>
        <v>9.4769260316151273E-3</v>
      </c>
      <c r="K265" s="2"/>
      <c r="L265" s="6">
        <f t="shared" si="130"/>
        <v>377.26000000000022</v>
      </c>
      <c r="M265" s="2"/>
      <c r="N265" s="7">
        <f t="shared" si="131"/>
        <v>6.0604016064257062E-2</v>
      </c>
      <c r="O265" s="11"/>
      <c r="P265" s="6">
        <v>25637.040000000001</v>
      </c>
      <c r="Q265" s="2"/>
      <c r="R265" s="7">
        <f t="shared" si="132"/>
        <v>3.9502345795772165E-3</v>
      </c>
      <c r="S265" s="2"/>
      <c r="T265" s="6">
        <v>31096</v>
      </c>
      <c r="U265" s="2"/>
      <c r="V265" s="7">
        <f t="shared" si="133"/>
        <v>4.6684289858878606E-3</v>
      </c>
      <c r="W265" s="2"/>
      <c r="X265" s="6">
        <f t="shared" si="134"/>
        <v>-5458.9599999999991</v>
      </c>
      <c r="Y265" s="2"/>
      <c r="Z265" s="7">
        <f t="shared" si="135"/>
        <v>-0.17555183946488293</v>
      </c>
    </row>
    <row r="266" spans="1:26" s="59" customFormat="1" x14ac:dyDescent="0.25">
      <c r="A266" s="36"/>
      <c r="B266" s="36"/>
      <c r="C266" s="36"/>
      <c r="D266" s="1"/>
      <c r="E266" s="1"/>
      <c r="F266" s="5"/>
      <c r="G266" s="1"/>
      <c r="H266" s="1"/>
      <c r="I266" s="1"/>
      <c r="J266" s="5"/>
      <c r="K266" s="1"/>
      <c r="L266" s="1"/>
      <c r="M266" s="1"/>
      <c r="N266" s="5"/>
      <c r="O266" s="36"/>
      <c r="P266" s="1"/>
      <c r="Q266" s="1"/>
      <c r="R266" s="5"/>
      <c r="S266" s="1"/>
      <c r="T266" s="1"/>
      <c r="U266" s="1"/>
      <c r="V266" s="5"/>
      <c r="W266" s="1"/>
      <c r="X266" s="1"/>
      <c r="Y266" s="1"/>
      <c r="Z266" s="5"/>
    </row>
    <row r="267" spans="1:26" s="23" customFormat="1" collapsed="1" x14ac:dyDescent="0.25">
      <c r="A267" s="10"/>
      <c r="B267" s="29" t="s">
        <v>0</v>
      </c>
      <c r="C267" s="10"/>
      <c r="D267" s="4">
        <f>SUM(OSRRefD25x_0)</f>
        <v>21403.63</v>
      </c>
      <c r="E267" s="4"/>
      <c r="F267" s="12">
        <f t="shared" ref="F267:F276" si="136">IF(D$12=0,0,D267/D$12)</f>
        <v>2.8495773901429915E-2</v>
      </c>
      <c r="G267" s="4"/>
      <c r="H267" s="4">
        <f>SUM(OSRRefH25x_0)</f>
        <v>59375</v>
      </c>
      <c r="I267" s="4"/>
      <c r="J267" s="12">
        <f t="shared" ref="J267:J276" si="137">IF(H$12=0,0,H267/H$12)</f>
        <v>9.0392366767413357E-2</v>
      </c>
      <c r="K267" s="4"/>
      <c r="L267" s="4">
        <f t="shared" ref="L267:L276" si="138">+D267-H267</f>
        <v>-37971.369999999995</v>
      </c>
      <c r="M267" s="4"/>
      <c r="N267" s="12">
        <f t="shared" ref="N267:N276" si="139">IF(H267=0,0,L267/H267)</f>
        <v>-0.63951781052631573</v>
      </c>
      <c r="O267" s="10"/>
      <c r="P267" s="4">
        <f>SUM(OSRRefP25x_0)</f>
        <v>400400.64000000001</v>
      </c>
      <c r="Q267" s="4"/>
      <c r="R267" s="12">
        <f t="shared" ref="R267:R276" si="140">IF(P$12=0,0,P267/P$12)</f>
        <v>6.1694971565081157E-2</v>
      </c>
      <c r="S267" s="4"/>
      <c r="T267" s="4">
        <f>SUM(OSRRefT25x_0)</f>
        <v>377475</v>
      </c>
      <c r="U267" s="4"/>
      <c r="V267" s="12">
        <f t="shared" ref="V267:V276" si="141">IF(T$12=0,0,T267/T$12)</f>
        <v>5.667015794468807E-2</v>
      </c>
      <c r="W267" s="4"/>
      <c r="X267" s="4">
        <f t="shared" ref="X267:X276" si="142">+P267-T267</f>
        <v>22925.640000000014</v>
      </c>
      <c r="Y267" s="4"/>
      <c r="Z267" s="12">
        <f t="shared" ref="Z267:Z276" si="143">IF(T267=0,0,X267/T267)</f>
        <v>6.0734194317504507E-2</v>
      </c>
    </row>
    <row r="268" spans="1:26" s="24" customFormat="1" hidden="1" outlineLevel="1" x14ac:dyDescent="0.25">
      <c r="A268" s="44"/>
      <c r="B268" s="11" t="str">
        <f>CONCATENATE("          ", "4098", " - ", "TAXABLE SALES-GRAD RENTALS")</f>
        <v xml:space="preserve">          4098 - TAXABLE SALES-GRAD RENTALS</v>
      </c>
      <c r="C268" s="11"/>
      <c r="D268" s="2">
        <f t="shared" ref="D268:D270" si="144">0</f>
        <v>0</v>
      </c>
      <c r="E268" s="2"/>
      <c r="F268" s="19">
        <f t="shared" si="136"/>
        <v>0</v>
      </c>
      <c r="G268" s="2"/>
      <c r="H268" s="2"/>
      <c r="I268" s="2"/>
      <c r="J268" s="19">
        <f t="shared" si="137"/>
        <v>0</v>
      </c>
      <c r="K268" s="2"/>
      <c r="L268" s="2">
        <f t="shared" si="138"/>
        <v>0</v>
      </c>
      <c r="M268" s="2"/>
      <c r="N268" s="19">
        <f t="shared" si="139"/>
        <v>0</v>
      </c>
      <c r="O268" s="11"/>
      <c r="P268" s="2">
        <f>--1626.85</f>
        <v>1626.85</v>
      </c>
      <c r="Q268" s="2"/>
      <c r="R268" s="19">
        <f t="shared" si="140"/>
        <v>2.5067009006442216E-4</v>
      </c>
      <c r="S268" s="2"/>
      <c r="T268" s="2"/>
      <c r="U268" s="2"/>
      <c r="V268" s="19">
        <f t="shared" si="141"/>
        <v>0</v>
      </c>
      <c r="W268" s="2"/>
      <c r="X268" s="2">
        <f t="shared" si="142"/>
        <v>1626.85</v>
      </c>
      <c r="Y268" s="2"/>
      <c r="Z268" s="19">
        <f t="shared" si="143"/>
        <v>0</v>
      </c>
    </row>
    <row r="269" spans="1:26" s="24" customFormat="1" hidden="1" outlineLevel="1" x14ac:dyDescent="0.25">
      <c r="A269" s="44"/>
      <c r="B269" s="11" t="str">
        <f>CONCATENATE("          ", "4197", " - ", "NON-TAXABLE SALES-RETURNED CHE")</f>
        <v xml:space="preserve">          4197 - NON-TAXABLE SALES-RETURNED CHE</v>
      </c>
      <c r="C269" s="11"/>
      <c r="D269" s="2">
        <f t="shared" si="144"/>
        <v>0</v>
      </c>
      <c r="E269" s="2"/>
      <c r="F269" s="19">
        <f t="shared" si="136"/>
        <v>0</v>
      </c>
      <c r="G269" s="2"/>
      <c r="H269" s="2"/>
      <c r="I269" s="2"/>
      <c r="J269" s="19">
        <f t="shared" si="137"/>
        <v>0</v>
      </c>
      <c r="K269" s="2"/>
      <c r="L269" s="2">
        <f t="shared" si="138"/>
        <v>0</v>
      </c>
      <c r="M269" s="2"/>
      <c r="N269" s="19">
        <f t="shared" si="139"/>
        <v>0</v>
      </c>
      <c r="O269" s="11"/>
      <c r="P269" s="2">
        <f>--30</f>
        <v>30</v>
      </c>
      <c r="Q269" s="2"/>
      <c r="R269" s="19">
        <f t="shared" si="140"/>
        <v>4.6224929784139077E-6</v>
      </c>
      <c r="S269" s="2"/>
      <c r="T269" s="2"/>
      <c r="U269" s="2"/>
      <c r="V269" s="19">
        <f t="shared" si="141"/>
        <v>0</v>
      </c>
      <c r="W269" s="2"/>
      <c r="X269" s="2">
        <f t="shared" si="142"/>
        <v>30</v>
      </c>
      <c r="Y269" s="2"/>
      <c r="Z269" s="19">
        <f t="shared" si="143"/>
        <v>0</v>
      </c>
    </row>
    <row r="270" spans="1:26" s="24" customFormat="1" hidden="1" outlineLevel="1" x14ac:dyDescent="0.25">
      <c r="A270" s="44"/>
      <c r="B270" s="11" t="str">
        <f>CONCATENATE("          ", "4198", " - ", "NON-TAXABLE SALES-GRAD RENTALS")</f>
        <v xml:space="preserve">          4198 - NON-TAXABLE SALES-GRAD RENTALS</v>
      </c>
      <c r="C270" s="11"/>
      <c r="D270" s="2">
        <f t="shared" si="144"/>
        <v>0</v>
      </c>
      <c r="E270" s="2"/>
      <c r="F270" s="19">
        <f t="shared" si="136"/>
        <v>0</v>
      </c>
      <c r="G270" s="2"/>
      <c r="H270" s="2"/>
      <c r="I270" s="2"/>
      <c r="J270" s="19">
        <f t="shared" si="137"/>
        <v>0</v>
      </c>
      <c r="K270" s="2"/>
      <c r="L270" s="2">
        <f t="shared" si="138"/>
        <v>0</v>
      </c>
      <c r="M270" s="2"/>
      <c r="N270" s="19">
        <f t="shared" si="139"/>
        <v>0</v>
      </c>
      <c r="O270" s="11"/>
      <c r="P270" s="2">
        <f>--495</f>
        <v>495</v>
      </c>
      <c r="Q270" s="2"/>
      <c r="R270" s="19">
        <f t="shared" si="140"/>
        <v>7.6271134143829469E-5</v>
      </c>
      <c r="S270" s="2"/>
      <c r="T270" s="2"/>
      <c r="U270" s="2"/>
      <c r="V270" s="19">
        <f t="shared" si="141"/>
        <v>0</v>
      </c>
      <c r="W270" s="2"/>
      <c r="X270" s="2">
        <f t="shared" si="142"/>
        <v>495</v>
      </c>
      <c r="Y270" s="2"/>
      <c r="Z270" s="19">
        <f t="shared" si="143"/>
        <v>0</v>
      </c>
    </row>
    <row r="271" spans="1:26" s="24" customFormat="1" hidden="1" outlineLevel="1" x14ac:dyDescent="0.25">
      <c r="A271" s="44"/>
      <c r="B271" s="11" t="str">
        <f>CONCATENATE("          ", "9150", " - ", "MISC. INCOME")</f>
        <v xml:space="preserve">          9150 - MISC. INCOME</v>
      </c>
      <c r="C271" s="11"/>
      <c r="D271" s="2">
        <f>--19494.41</f>
        <v>19494.41</v>
      </c>
      <c r="E271" s="2"/>
      <c r="F271" s="19">
        <f t="shared" si="136"/>
        <v>2.5953929296188279E-2</v>
      </c>
      <c r="G271" s="2"/>
      <c r="H271" s="2">
        <v>29225</v>
      </c>
      <c r="I271" s="2"/>
      <c r="J271" s="19">
        <f t="shared" si="137"/>
        <v>4.449207442151841E-2</v>
      </c>
      <c r="K271" s="2"/>
      <c r="L271" s="2">
        <f t="shared" si="138"/>
        <v>-9730.59</v>
      </c>
      <c r="M271" s="2"/>
      <c r="N271" s="19">
        <f t="shared" si="139"/>
        <v>-0.33295431993156543</v>
      </c>
      <c r="O271" s="11"/>
      <c r="P271" s="2">
        <f>--226144.65</f>
        <v>226144.65</v>
      </c>
      <c r="Q271" s="2"/>
      <c r="R271" s="19">
        <f t="shared" si="140"/>
        <v>3.4845068557695688E-2</v>
      </c>
      <c r="S271" s="2"/>
      <c r="T271" s="2">
        <v>158375</v>
      </c>
      <c r="U271" s="2"/>
      <c r="V271" s="19">
        <f t="shared" si="141"/>
        <v>2.377677002315378E-2</v>
      </c>
      <c r="W271" s="2"/>
      <c r="X271" s="2">
        <f t="shared" si="142"/>
        <v>67769.649999999994</v>
      </c>
      <c r="Y271" s="2"/>
      <c r="Z271" s="19">
        <f t="shared" si="143"/>
        <v>0.42790623520126281</v>
      </c>
    </row>
    <row r="272" spans="1:26" s="24" customFormat="1" hidden="1" outlineLevel="1" x14ac:dyDescent="0.25">
      <c r="A272" s="44"/>
      <c r="B272" s="11" t="str">
        <f>CONCATENATE("          ", "9151", " - ", "MISC. INCOME")</f>
        <v xml:space="preserve">          9151 - MISC. INCOME</v>
      </c>
      <c r="C272" s="11"/>
      <c r="D272" s="2">
        <f>0</f>
        <v>0</v>
      </c>
      <c r="E272" s="2"/>
      <c r="F272" s="19">
        <f t="shared" si="136"/>
        <v>0</v>
      </c>
      <c r="G272" s="2"/>
      <c r="H272" s="2">
        <v>12850</v>
      </c>
      <c r="I272" s="2"/>
      <c r="J272" s="19">
        <f t="shared" si="137"/>
        <v>1.9562811165663354E-2</v>
      </c>
      <c r="K272" s="2"/>
      <c r="L272" s="2">
        <f t="shared" si="138"/>
        <v>-12850</v>
      </c>
      <c r="M272" s="2"/>
      <c r="N272" s="19">
        <f t="shared" si="139"/>
        <v>-1</v>
      </c>
      <c r="O272" s="11"/>
      <c r="P272" s="2">
        <f>--87224.27</f>
        <v>87224.27</v>
      </c>
      <c r="Q272" s="2"/>
      <c r="R272" s="19">
        <f t="shared" si="140"/>
        <v>1.3439785854075962E-2</v>
      </c>
      <c r="S272" s="2"/>
      <c r="T272" s="2">
        <v>52000</v>
      </c>
      <c r="U272" s="2"/>
      <c r="V272" s="19">
        <f t="shared" si="141"/>
        <v>7.806737434595085E-3</v>
      </c>
      <c r="W272" s="2"/>
      <c r="X272" s="2">
        <f t="shared" si="142"/>
        <v>35224.270000000004</v>
      </c>
      <c r="Y272" s="2"/>
      <c r="Z272" s="19">
        <f t="shared" si="143"/>
        <v>0.67738980769230772</v>
      </c>
    </row>
    <row r="273" spans="1:26" s="24" customFormat="1" hidden="1" outlineLevel="1" x14ac:dyDescent="0.25">
      <c r="A273" s="44"/>
      <c r="B273" s="11" t="str">
        <f>CONCATENATE("          ", "9152", " - ", "MISC. INCOME")</f>
        <v xml:space="preserve">          9152 - MISC. INCOME</v>
      </c>
      <c r="C273" s="11"/>
      <c r="D273" s="2">
        <f>--154.22</f>
        <v>154.22</v>
      </c>
      <c r="E273" s="2"/>
      <c r="F273" s="19">
        <f t="shared" si="136"/>
        <v>2.0532116519854444E-4</v>
      </c>
      <c r="G273" s="2"/>
      <c r="H273" s="2"/>
      <c r="I273" s="2"/>
      <c r="J273" s="19">
        <f t="shared" si="137"/>
        <v>0</v>
      </c>
      <c r="K273" s="2"/>
      <c r="L273" s="2">
        <f t="shared" si="138"/>
        <v>154.22</v>
      </c>
      <c r="M273" s="2"/>
      <c r="N273" s="19">
        <f t="shared" si="139"/>
        <v>0</v>
      </c>
      <c r="O273" s="11"/>
      <c r="P273" s="2">
        <f>--848.32</f>
        <v>848.32</v>
      </c>
      <c r="Q273" s="2"/>
      <c r="R273" s="19">
        <f t="shared" si="140"/>
        <v>1.3071177478160288E-4</v>
      </c>
      <c r="S273" s="2"/>
      <c r="T273" s="2"/>
      <c r="U273" s="2"/>
      <c r="V273" s="19">
        <f t="shared" si="141"/>
        <v>0</v>
      </c>
      <c r="W273" s="2"/>
      <c r="X273" s="2">
        <f t="shared" si="142"/>
        <v>848.32</v>
      </c>
      <c r="Y273" s="2"/>
      <c r="Z273" s="19">
        <f t="shared" si="143"/>
        <v>0</v>
      </c>
    </row>
    <row r="274" spans="1:26" s="24" customFormat="1" hidden="1" outlineLevel="1" x14ac:dyDescent="0.25">
      <c r="A274" s="44"/>
      <c r="B274" s="11" t="str">
        <f>CONCATENATE("          ", "9153", " - ", "MISC. INCOME")</f>
        <v xml:space="preserve">          9153 - MISC. INCOME</v>
      </c>
      <c r="C274" s="11"/>
      <c r="D274" s="2">
        <f>--450</f>
        <v>450</v>
      </c>
      <c r="E274" s="2"/>
      <c r="F274" s="19">
        <f t="shared" si="136"/>
        <v>5.9910857437002333E-4</v>
      </c>
      <c r="G274" s="2"/>
      <c r="H274" s="2"/>
      <c r="I274" s="2"/>
      <c r="J274" s="19">
        <f t="shared" si="137"/>
        <v>0</v>
      </c>
      <c r="K274" s="2"/>
      <c r="L274" s="2">
        <f t="shared" si="138"/>
        <v>450</v>
      </c>
      <c r="M274" s="2"/>
      <c r="N274" s="19">
        <f t="shared" si="139"/>
        <v>0</v>
      </c>
      <c r="O274" s="11"/>
      <c r="P274" s="2">
        <f>--450</f>
        <v>450</v>
      </c>
      <c r="Q274" s="2"/>
      <c r="R274" s="19">
        <f t="shared" si="140"/>
        <v>6.9337394676208602E-5</v>
      </c>
      <c r="S274" s="2"/>
      <c r="T274" s="2"/>
      <c r="U274" s="2"/>
      <c r="V274" s="19">
        <f t="shared" si="141"/>
        <v>0</v>
      </c>
      <c r="W274" s="2"/>
      <c r="X274" s="2">
        <f t="shared" si="142"/>
        <v>450</v>
      </c>
      <c r="Y274" s="2"/>
      <c r="Z274" s="19">
        <f t="shared" si="143"/>
        <v>0</v>
      </c>
    </row>
    <row r="275" spans="1:26" s="24" customFormat="1" hidden="1" outlineLevel="1" x14ac:dyDescent="0.25">
      <c r="A275" s="44"/>
      <c r="B275" s="11" t="str">
        <f>CONCATENATE("          ", "9160", " - ", "MISC. INCOME")</f>
        <v xml:space="preserve">          9160 - MISC. INCOME</v>
      </c>
      <c r="C275" s="11"/>
      <c r="D275" s="2">
        <f>--1305</f>
        <v>1305</v>
      </c>
      <c r="E275" s="2"/>
      <c r="F275" s="19">
        <f t="shared" si="136"/>
        <v>1.7374148656730676E-3</v>
      </c>
      <c r="G275" s="2"/>
      <c r="H275" s="2">
        <v>17300</v>
      </c>
      <c r="I275" s="2"/>
      <c r="J275" s="19">
        <f t="shared" si="137"/>
        <v>2.63374811802316E-2</v>
      </c>
      <c r="K275" s="2"/>
      <c r="L275" s="2">
        <f t="shared" si="138"/>
        <v>-15995</v>
      </c>
      <c r="M275" s="2"/>
      <c r="N275" s="19">
        <f t="shared" si="139"/>
        <v>-0.92456647398843927</v>
      </c>
      <c r="O275" s="11"/>
      <c r="P275" s="2">
        <f>--22475</f>
        <v>22475</v>
      </c>
      <c r="Q275" s="2"/>
      <c r="R275" s="19">
        <f t="shared" si="140"/>
        <v>3.4630176563284188E-3</v>
      </c>
      <c r="S275" s="2"/>
      <c r="T275" s="2">
        <v>167100</v>
      </c>
      <c r="U275" s="2"/>
      <c r="V275" s="19">
        <f t="shared" si="141"/>
        <v>2.5086650486939206E-2</v>
      </c>
      <c r="W275" s="2"/>
      <c r="X275" s="2">
        <f t="shared" si="142"/>
        <v>-144625</v>
      </c>
      <c r="Y275" s="2"/>
      <c r="Z275" s="19">
        <f t="shared" si="143"/>
        <v>-0.86549970077797722</v>
      </c>
    </row>
    <row r="276" spans="1:26" s="24" customFormat="1" hidden="1" outlineLevel="1" x14ac:dyDescent="0.25">
      <c r="A276" s="44"/>
      <c r="B276" s="11" t="str">
        <f>CONCATENATE("          ", "9163", " - ", "MISC. INCOME")</f>
        <v xml:space="preserve">          9163 - MISC. INCOME</v>
      </c>
      <c r="C276" s="11"/>
      <c r="D276" s="2">
        <f>0</f>
        <v>0</v>
      </c>
      <c r="E276" s="2"/>
      <c r="F276" s="19">
        <f t="shared" si="136"/>
        <v>0</v>
      </c>
      <c r="G276" s="2"/>
      <c r="H276" s="2"/>
      <c r="I276" s="2"/>
      <c r="J276" s="19">
        <f t="shared" si="137"/>
        <v>0</v>
      </c>
      <c r="K276" s="2"/>
      <c r="L276" s="2">
        <f t="shared" si="138"/>
        <v>0</v>
      </c>
      <c r="M276" s="2"/>
      <c r="N276" s="19">
        <f t="shared" si="139"/>
        <v>0</v>
      </c>
      <c r="O276" s="11"/>
      <c r="P276" s="2">
        <f>--61106.55</f>
        <v>61106.55</v>
      </c>
      <c r="Q276" s="2"/>
      <c r="R276" s="19">
        <f t="shared" si="140"/>
        <v>9.4154866103366118E-3</v>
      </c>
      <c r="S276" s="2"/>
      <c r="T276" s="2"/>
      <c r="U276" s="2"/>
      <c r="V276" s="19">
        <f t="shared" si="141"/>
        <v>0</v>
      </c>
      <c r="W276" s="2"/>
      <c r="X276" s="2">
        <f t="shared" si="142"/>
        <v>61106.55</v>
      </c>
      <c r="Y276" s="2"/>
      <c r="Z276" s="19">
        <f t="shared" si="143"/>
        <v>0</v>
      </c>
    </row>
    <row r="277" spans="1:26" x14ac:dyDescent="0.25">
      <c r="A277" s="9"/>
      <c r="B277" s="10"/>
      <c r="C277" s="10"/>
      <c r="D277" s="3"/>
      <c r="E277" s="3"/>
      <c r="F277" s="8"/>
      <c r="G277" s="3"/>
      <c r="H277" s="3"/>
      <c r="I277" s="3"/>
      <c r="J277" s="8"/>
      <c r="K277" s="3"/>
      <c r="L277" s="3"/>
      <c r="M277" s="3"/>
      <c r="N277" s="8"/>
      <c r="O277" s="10"/>
      <c r="P277" s="3"/>
      <c r="Q277" s="3"/>
      <c r="R277" s="8"/>
      <c r="S277" s="3"/>
      <c r="T277" s="3"/>
      <c r="U277" s="3"/>
      <c r="V277" s="8"/>
      <c r="W277" s="3"/>
      <c r="X277" s="3"/>
      <c r="Y277" s="3"/>
      <c r="Z277" s="8"/>
    </row>
    <row r="278" spans="1:26" s="23" customFormat="1" x14ac:dyDescent="0.25">
      <c r="A278" s="10"/>
      <c r="B278" s="28" t="s">
        <v>3</v>
      </c>
      <c r="C278" s="28"/>
      <c r="D278" s="20">
        <f>+D163-D165+D267</f>
        <v>-58603.350000000093</v>
      </c>
      <c r="E278" s="14"/>
      <c r="F278" s="22">
        <f>IF(D$12=0,0,D278/D$12)</f>
        <v>-7.8021709937350137E-2</v>
      </c>
      <c r="G278" s="14"/>
      <c r="H278" s="20">
        <f>+H163-H165+H267</f>
        <v>-45066.463320450741</v>
      </c>
      <c r="I278" s="14"/>
      <c r="J278" s="22">
        <f>IF(H$12=0,0,H278/H$12)</f>
        <v>-6.8609082633639823E-2</v>
      </c>
      <c r="K278" s="16"/>
      <c r="L278" s="20">
        <f>+D278-H278</f>
        <v>-13536.886679549352</v>
      </c>
      <c r="M278" s="16"/>
      <c r="N278" s="22">
        <f>IF(H278=0,0,L278/H278)</f>
        <v>0.30037605976074983</v>
      </c>
      <c r="O278" s="29"/>
      <c r="P278" s="20">
        <f>+P163-P165+P267</f>
        <v>750350.49999999662</v>
      </c>
      <c r="Q278" s="14"/>
      <c r="R278" s="22">
        <f>IF(P$12=0,0,P278/P$12)</f>
        <v>0.11561633058664496</v>
      </c>
      <c r="S278" s="14"/>
      <c r="T278" s="20">
        <f>+T163-T165+T267</f>
        <v>739328.17273325287</v>
      </c>
      <c r="U278" s="14"/>
      <c r="V278" s="22">
        <f>IF(T$12=0,0,T278/T$12)</f>
        <v>0.11099501774091282</v>
      </c>
      <c r="W278" s="16"/>
      <c r="X278" s="20">
        <f>+P278-T278</f>
        <v>11022.327266743756</v>
      </c>
      <c r="Y278" s="16"/>
      <c r="Z278" s="22">
        <f>IF(T278=0,0,X278/T278)</f>
        <v>1.4908571962021762E-2</v>
      </c>
    </row>
    <row r="279" spans="1:26" x14ac:dyDescent="0.25">
      <c r="A279" s="9"/>
      <c r="B279" s="10"/>
      <c r="C279" s="9"/>
      <c r="D279" s="3"/>
      <c r="E279" s="3"/>
      <c r="F279" s="8"/>
      <c r="G279" s="3"/>
      <c r="H279" s="3"/>
      <c r="I279" s="3"/>
      <c r="J279" s="8"/>
      <c r="K279" s="3"/>
      <c r="L279" s="3"/>
      <c r="M279" s="3"/>
      <c r="N279" s="8"/>
      <c r="P279" s="3"/>
      <c r="Q279" s="3"/>
      <c r="R279" s="8"/>
      <c r="S279" s="3"/>
      <c r="T279" s="3"/>
      <c r="U279" s="3"/>
      <c r="V279" s="8"/>
      <c r="W279" s="3"/>
      <c r="X279" s="3"/>
      <c r="Y279" s="3"/>
      <c r="Z279" s="8"/>
    </row>
    <row r="280" spans="1:26" s="23" customFormat="1" x14ac:dyDescent="0.25">
      <c r="A280" s="52"/>
      <c r="B280" s="10" t="s">
        <v>14</v>
      </c>
      <c r="C280" s="10"/>
      <c r="D280" s="4">
        <v>109556.4</v>
      </c>
      <c r="E280" s="4"/>
      <c r="F280" s="12">
        <f>IF(D$12=0,0,D280/D$12)</f>
        <v>0.14585817470469337</v>
      </c>
      <c r="G280" s="4"/>
      <c r="H280" s="4">
        <v>121121</v>
      </c>
      <c r="I280" s="4"/>
      <c r="J280" s="12">
        <f>IF(H$12=0,0,H280/H$12)</f>
        <v>0.18439433861449891</v>
      </c>
      <c r="K280" s="4"/>
      <c r="L280" s="4">
        <f>+D280-H280</f>
        <v>-11564.600000000006</v>
      </c>
      <c r="M280" s="4"/>
      <c r="N280" s="12">
        <f>IF(H280=0,0,L280/H280)</f>
        <v>-9.5479726884685617E-2</v>
      </c>
      <c r="O280" s="10"/>
      <c r="P280" s="4">
        <v>687247.57</v>
      </c>
      <c r="Q280" s="4"/>
      <c r="R280" s="12">
        <f>IF(P$12=0,0,P280/P$12)</f>
        <v>0.10589323555856733</v>
      </c>
      <c r="S280" s="4"/>
      <c r="T280" s="4">
        <v>844148</v>
      </c>
      <c r="U280" s="4"/>
      <c r="V280" s="12">
        <f>IF(T$12=0,0,T280/T$12)</f>
        <v>0.1267315729218956</v>
      </c>
      <c r="W280" s="4"/>
      <c r="X280" s="4">
        <f>+P280-T280</f>
        <v>-156900.43000000005</v>
      </c>
      <c r="Y280" s="4"/>
      <c r="Z280" s="12">
        <f>IF(T280=0,0,X280/T280)</f>
        <v>-0.18586839037704295</v>
      </c>
    </row>
    <row r="281" spans="1:26" x14ac:dyDescent="0.25">
      <c r="A281" s="9"/>
      <c r="B281" s="10"/>
      <c r="C281" s="10"/>
      <c r="D281" s="3"/>
      <c r="E281" s="3"/>
      <c r="F281" s="8"/>
      <c r="G281" s="3"/>
      <c r="H281" s="3"/>
      <c r="I281" s="3"/>
      <c r="J281" s="8"/>
      <c r="K281" s="3"/>
      <c r="L281" s="3"/>
      <c r="M281" s="3"/>
      <c r="N281" s="8"/>
      <c r="O281" s="10"/>
      <c r="P281" s="3"/>
      <c r="Q281" s="3"/>
      <c r="R281" s="8"/>
      <c r="S281" s="3"/>
      <c r="T281" s="3"/>
      <c r="U281" s="3"/>
      <c r="V281" s="8"/>
      <c r="W281" s="3"/>
      <c r="X281" s="3"/>
      <c r="Y281" s="3"/>
      <c r="Z281" s="8"/>
    </row>
    <row r="282" spans="1:26" s="23" customFormat="1" ht="15.75" thickBot="1" x14ac:dyDescent="0.3">
      <c r="A282" s="10"/>
      <c r="B282" s="28" t="s">
        <v>4</v>
      </c>
      <c r="C282" s="28"/>
      <c r="D282" s="30">
        <f>+D278-D280</f>
        <v>-168159.75000000009</v>
      </c>
      <c r="E282" s="14"/>
      <c r="F282" s="32">
        <f>IF(D$12=0,0,D282/D$12)</f>
        <v>-0.2238798846420435</v>
      </c>
      <c r="G282" s="14"/>
      <c r="H282" s="30">
        <f>+H278-H280</f>
        <v>-166187.46332045074</v>
      </c>
      <c r="I282" s="14"/>
      <c r="J282" s="32">
        <f>IF(H$12=0,0,H282/H$12)</f>
        <v>-0.25300342124813874</v>
      </c>
      <c r="K282" s="16"/>
      <c r="L282" s="30">
        <f>D282-H282</f>
        <v>-1972.2866795493464</v>
      </c>
      <c r="M282" s="16"/>
      <c r="N282" s="32">
        <f>IF(H282=0,0,L282/H282)</f>
        <v>1.186784273700771E-2</v>
      </c>
      <c r="O282" s="29"/>
      <c r="P282" s="30">
        <f>+P278-P280</f>
        <v>63102.929999996675</v>
      </c>
      <c r="Q282" s="14"/>
      <c r="R282" s="32">
        <f>IF(P$12=0,0,P282/P$12)</f>
        <v>9.7230950280776315E-3</v>
      </c>
      <c r="S282" s="14"/>
      <c r="T282" s="30">
        <f>+T278-T280</f>
        <v>-104819.82726674713</v>
      </c>
      <c r="U282" s="14"/>
      <c r="V282" s="32">
        <f>IF(T$12=0,0,T282/T$12)</f>
        <v>-1.5736555180982797E-2</v>
      </c>
      <c r="W282" s="16"/>
      <c r="X282" s="30">
        <f>P282-T282</f>
        <v>167922.75726674381</v>
      </c>
      <c r="Y282" s="16"/>
      <c r="Z282" s="32">
        <f>IF(T282=0,0,X282/T282)</f>
        <v>-1.6020132988715137</v>
      </c>
    </row>
    <row r="283" spans="1:26" ht="15.75" thickTop="1" x14ac:dyDescent="0.25">
      <c r="A283" s="9"/>
      <c r="B283" s="9"/>
      <c r="C283" s="9"/>
      <c r="D283" s="3"/>
      <c r="E283" s="3"/>
      <c r="F283" s="8"/>
      <c r="G283" s="3"/>
      <c r="H283" s="3"/>
      <c r="I283" s="3"/>
      <c r="J283" s="8"/>
      <c r="K283" s="3"/>
      <c r="L283" s="3"/>
      <c r="M283" s="3"/>
      <c r="N283" s="8"/>
      <c r="P283" s="3"/>
      <c r="Q283" s="3"/>
      <c r="R283" s="8"/>
      <c r="S283" s="3"/>
      <c r="T283" s="3"/>
      <c r="U283" s="3"/>
      <c r="V283" s="8"/>
      <c r="W283" s="3"/>
      <c r="X283" s="3"/>
      <c r="Y283" s="3"/>
      <c r="Z283" s="8"/>
    </row>
    <row r="284" spans="1:26" x14ac:dyDescent="0.25">
      <c r="A284" s="9"/>
      <c r="B284" s="9"/>
      <c r="C284" s="9"/>
      <c r="D284" s="3"/>
      <c r="E284" s="3"/>
      <c r="F284" s="8"/>
      <c r="G284" s="3"/>
      <c r="H284" s="3"/>
      <c r="I284" s="3"/>
      <c r="J284" s="8"/>
      <c r="K284" s="3"/>
      <c r="L284" s="3"/>
      <c r="M284" s="3"/>
      <c r="N284" s="8"/>
      <c r="P284" s="3"/>
      <c r="Q284" s="3"/>
      <c r="R284" s="8"/>
      <c r="S284" s="3"/>
      <c r="T284" s="3"/>
      <c r="U284" s="3"/>
      <c r="V284" s="8"/>
      <c r="W284" s="3"/>
      <c r="X284" s="3"/>
      <c r="Y284" s="3"/>
      <c r="Z284" s="8"/>
    </row>
    <row r="285" spans="1:26" s="23" customFormat="1" ht="15.75" thickBot="1" x14ac:dyDescent="0.3">
      <c r="A285" s="10"/>
      <c r="B285" s="28" t="s">
        <v>5</v>
      </c>
      <c r="C285" s="28"/>
      <c r="D285" s="31">
        <f>SUM(D282:D284)</f>
        <v>-168159.75000000009</v>
      </c>
      <c r="E285" s="14"/>
      <c r="F285" s="35">
        <f>IF(D$12=0,0,D285/D$12)</f>
        <v>-0.2238798846420435</v>
      </c>
      <c r="G285" s="14"/>
      <c r="H285" s="31">
        <f>SUM(H282:H284)</f>
        <v>-166187.46332045074</v>
      </c>
      <c r="I285" s="14"/>
      <c r="J285" s="35">
        <f>IF(H$12=0,0,H285/H$12)</f>
        <v>-0.25300342124813874</v>
      </c>
      <c r="K285" s="16"/>
      <c r="L285" s="31">
        <f>+D285-H285</f>
        <v>-1972.2866795493464</v>
      </c>
      <c r="M285" s="16"/>
      <c r="N285" s="35">
        <f>IF(H285=0,0,L285/H285)</f>
        <v>1.186784273700771E-2</v>
      </c>
      <c r="O285" s="29"/>
      <c r="P285" s="31">
        <f>SUM(P282:P284)</f>
        <v>63102.929999996675</v>
      </c>
      <c r="Q285" s="14"/>
      <c r="R285" s="35">
        <f>IF(P$12=0,0,P285/P$12)</f>
        <v>9.7230950280776315E-3</v>
      </c>
      <c r="S285" s="14"/>
      <c r="T285" s="31">
        <f>SUM(T282:T284)</f>
        <v>-104819.82726674713</v>
      </c>
      <c r="U285" s="14"/>
      <c r="V285" s="35">
        <f>IF(T$12=0,0,T285/T$12)</f>
        <v>-1.5736555180982797E-2</v>
      </c>
      <c r="W285" s="16"/>
      <c r="X285" s="31">
        <f>+P285-T285</f>
        <v>167922.75726674381</v>
      </c>
      <c r="Y285" s="16"/>
      <c r="Z285" s="35">
        <f>IF(T285=0,0,X285/T285)</f>
        <v>-1.6020132988715137</v>
      </c>
    </row>
    <row r="286" spans="1:26" ht="15.75" thickTop="1" x14ac:dyDescent="0.25">
      <c r="A286" s="9"/>
      <c r="C286" s="9"/>
      <c r="D286" s="17"/>
      <c r="E286" s="17"/>
      <c r="G286" s="17"/>
      <c r="H286" s="17"/>
      <c r="I286" s="17"/>
      <c r="J286" s="43"/>
      <c r="K286" s="17"/>
      <c r="L286" s="17"/>
      <c r="M286" s="17"/>
      <c r="P286" s="17"/>
      <c r="Q286" s="17"/>
      <c r="R286" s="43"/>
      <c r="S286" s="17"/>
      <c r="T286" s="17"/>
      <c r="U286" s="17"/>
      <c r="V286" s="43"/>
      <c r="W286" s="17"/>
      <c r="X286" s="17"/>
    </row>
    <row r="287" spans="1:26" x14ac:dyDescent="0.25">
      <c r="A287" s="9"/>
      <c r="B287" s="56">
        <v>43815.483144594909</v>
      </c>
      <c r="D287" s="17"/>
      <c r="E287" s="17"/>
      <c r="G287" s="17"/>
      <c r="H287" s="17"/>
      <c r="I287" s="17"/>
      <c r="J287" s="43"/>
      <c r="K287" s="17"/>
      <c r="L287" s="17"/>
      <c r="M287" s="17"/>
      <c r="P287" s="17"/>
      <c r="Q287" s="17"/>
      <c r="R287" s="43"/>
      <c r="S287" s="17"/>
      <c r="T287" s="17"/>
      <c r="U287" s="17"/>
      <c r="V287" s="43"/>
      <c r="W287" s="17"/>
      <c r="X287" s="17"/>
    </row>
    <row r="288" spans="1:26" x14ac:dyDescent="0.25">
      <c r="A288" s="9"/>
      <c r="B288" s="62" t="s">
        <v>314</v>
      </c>
      <c r="D288" s="17"/>
      <c r="E288" s="17"/>
      <c r="G288" s="17"/>
      <c r="H288" s="17"/>
      <c r="I288" s="17"/>
      <c r="J288" s="43"/>
      <c r="K288" s="17"/>
      <c r="L288" s="17"/>
      <c r="M288" s="17"/>
      <c r="P288" s="17"/>
      <c r="Q288" s="17"/>
      <c r="R288" s="43"/>
      <c r="S288" s="17"/>
      <c r="T288" s="17"/>
      <c r="U288" s="17"/>
      <c r="V288" s="43"/>
      <c r="W288" s="17"/>
      <c r="X288" s="17"/>
    </row>
    <row r="289" spans="1:24" x14ac:dyDescent="0.25">
      <c r="A289" s="9"/>
      <c r="B289" s="58"/>
      <c r="D289" s="17"/>
      <c r="E289" s="17"/>
      <c r="G289" s="17"/>
      <c r="H289" s="17"/>
      <c r="I289" s="17"/>
      <c r="J289" s="43"/>
      <c r="K289" s="17"/>
      <c r="L289" s="17"/>
      <c r="M289" s="17"/>
      <c r="P289" s="17"/>
      <c r="Q289" s="17"/>
      <c r="R289" s="43"/>
      <c r="S289" s="17"/>
      <c r="T289" s="17"/>
      <c r="U289" s="17"/>
      <c r="V289" s="43"/>
      <c r="W289" s="17"/>
      <c r="X289" s="17"/>
    </row>
    <row r="290" spans="1:24" x14ac:dyDescent="0.25">
      <c r="D290" s="17"/>
      <c r="E290" s="17"/>
      <c r="G290" s="17"/>
      <c r="H290" s="17"/>
      <c r="I290" s="17"/>
      <c r="J290" s="43"/>
      <c r="K290" s="17"/>
      <c r="L290" s="17"/>
      <c r="M290" s="17"/>
      <c r="P290" s="17"/>
      <c r="Q290" s="17"/>
      <c r="R290" s="43"/>
      <c r="S290" s="17"/>
      <c r="T290" s="17"/>
      <c r="U290" s="17"/>
      <c r="V290" s="43"/>
      <c r="W290" s="17"/>
      <c r="X290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7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309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450362.85999999981</v>
      </c>
      <c r="E12" s="4"/>
      <c r="F12" s="12"/>
      <c r="G12" s="4"/>
      <c r="H12" s="4">
        <f>SUM(OSRRefH13x_0)</f>
        <v>390485.56144000002</v>
      </c>
      <c r="I12" s="4"/>
      <c r="J12" s="12"/>
      <c r="K12" s="4"/>
      <c r="L12" s="4">
        <f t="shared" ref="L12:L102" si="0">+D12-H12</f>
        <v>59877.298559999792</v>
      </c>
      <c r="M12" s="4"/>
      <c r="N12" s="12">
        <f t="shared" ref="N12:N102" si="1">IF(H12=0,0,L12/H12)</f>
        <v>0.15334062119784736</v>
      </c>
      <c r="O12" s="10"/>
      <c r="P12" s="4">
        <f>SUM(OSRRefP13x_0)</f>
        <v>5071178.9299999969</v>
      </c>
      <c r="Q12" s="4"/>
      <c r="R12" s="12"/>
      <c r="S12" s="4"/>
      <c r="T12" s="4">
        <f>SUM(OSRRefT13x_0)</f>
        <v>5275774.9452999998</v>
      </c>
      <c r="U12" s="4"/>
      <c r="V12" s="12"/>
      <c r="W12" s="4"/>
      <c r="X12" s="4">
        <f t="shared" ref="X12:X102" si="2">+P12-T12</f>
        <v>-204596.01530000288</v>
      </c>
      <c r="Y12" s="4"/>
      <c r="Z12" s="12">
        <f t="shared" ref="Z12:Z102" si="3">IF(T12=0,0,X12/T12)</f>
        <v>-3.8780277290309778E-2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359366.56144000002</v>
      </c>
      <c r="I13" s="2"/>
      <c r="J13" s="19"/>
      <c r="K13" s="2"/>
      <c r="L13" s="2">
        <f t="shared" si="0"/>
        <v>-359366.56144000002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2030553.9453000003</v>
      </c>
      <c r="U13" s="2"/>
      <c r="V13" s="19"/>
      <c r="W13" s="2"/>
      <c r="X13" s="2">
        <f t="shared" si="2"/>
        <v>-2030553.9453000003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--8184.69</f>
        <v>8184.69</v>
      </c>
      <c r="E14" s="2"/>
      <c r="F14" s="19"/>
      <c r="G14" s="2"/>
      <c r="H14" s="2"/>
      <c r="I14" s="2"/>
      <c r="J14" s="19"/>
      <c r="K14" s="2"/>
      <c r="L14" s="2">
        <f t="shared" si="0"/>
        <v>8184.69</v>
      </c>
      <c r="M14" s="2"/>
      <c r="N14" s="19">
        <f t="shared" si="1"/>
        <v>0</v>
      </c>
      <c r="O14" s="11"/>
      <c r="P14" s="2">
        <f>--1503344.43</f>
        <v>1503344.43</v>
      </c>
      <c r="Q14" s="2"/>
      <c r="R14" s="19"/>
      <c r="S14" s="2"/>
      <c r="T14" s="2"/>
      <c r="U14" s="2"/>
      <c r="V14" s="19"/>
      <c r="W14" s="2"/>
      <c r="X14" s="2">
        <f t="shared" si="2"/>
        <v>1503344.43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--4182.93</f>
        <v>4182.93</v>
      </c>
      <c r="E15" s="2"/>
      <c r="F15" s="19"/>
      <c r="G15" s="2"/>
      <c r="H15" s="2"/>
      <c r="I15" s="2"/>
      <c r="J15" s="19"/>
      <c r="K15" s="2"/>
      <c r="L15" s="2">
        <f t="shared" si="0"/>
        <v>4182.93</v>
      </c>
      <c r="M15" s="2"/>
      <c r="N15" s="19">
        <f t="shared" si="1"/>
        <v>0</v>
      </c>
      <c r="O15" s="11"/>
      <c r="P15" s="2">
        <f>--670479.29</f>
        <v>670479.29</v>
      </c>
      <c r="Q15" s="2"/>
      <c r="R15" s="19"/>
      <c r="S15" s="2"/>
      <c r="T15" s="2"/>
      <c r="U15" s="2"/>
      <c r="V15" s="19"/>
      <c r="W15" s="2"/>
      <c r="X15" s="2">
        <f t="shared" si="2"/>
        <v>670479.29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--15844.66</f>
        <v>15844.66</v>
      </c>
      <c r="Q16" s="2"/>
      <c r="R16" s="19"/>
      <c r="S16" s="2"/>
      <c r="T16" s="2"/>
      <c r="U16" s="2"/>
      <c r="V16" s="19"/>
      <c r="W16" s="2"/>
      <c r="X16" s="2">
        <f t="shared" si="2"/>
        <v>15844.66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--119.4</f>
        <v>119.4</v>
      </c>
      <c r="E17" s="2"/>
      <c r="F17" s="19"/>
      <c r="G17" s="2"/>
      <c r="H17" s="2"/>
      <c r="I17" s="2"/>
      <c r="J17" s="19"/>
      <c r="K17" s="2"/>
      <c r="L17" s="2">
        <f t="shared" si="0"/>
        <v>119.4</v>
      </c>
      <c r="M17" s="2"/>
      <c r="N17" s="19">
        <f t="shared" si="1"/>
        <v>0</v>
      </c>
      <c r="O17" s="11"/>
      <c r="P17" s="2">
        <f>--30279.88</f>
        <v>30279.88</v>
      </c>
      <c r="Q17" s="2"/>
      <c r="R17" s="19"/>
      <c r="S17" s="2"/>
      <c r="T17" s="2"/>
      <c r="U17" s="2"/>
      <c r="V17" s="19"/>
      <c r="W17" s="2"/>
      <c r="X17" s="2">
        <f t="shared" si="2"/>
        <v>30279.88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--9.6</f>
        <v>9.6</v>
      </c>
      <c r="Q18" s="2"/>
      <c r="R18" s="19"/>
      <c r="S18" s="2"/>
      <c r="T18" s="2"/>
      <c r="U18" s="2"/>
      <c r="V18" s="19"/>
      <c r="W18" s="2"/>
      <c r="X18" s="2">
        <f t="shared" si="2"/>
        <v>9.6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--285.33</f>
        <v>285.33</v>
      </c>
      <c r="E19" s="2"/>
      <c r="F19" s="19"/>
      <c r="G19" s="2"/>
      <c r="H19" s="2"/>
      <c r="I19" s="2"/>
      <c r="J19" s="19"/>
      <c r="K19" s="2"/>
      <c r="L19" s="2">
        <f t="shared" si="0"/>
        <v>285.33</v>
      </c>
      <c r="M19" s="2"/>
      <c r="N19" s="19">
        <f t="shared" si="1"/>
        <v>0</v>
      </c>
      <c r="O19" s="11"/>
      <c r="P19" s="2">
        <f>--1112.72</f>
        <v>1112.72</v>
      </c>
      <c r="Q19" s="2"/>
      <c r="R19" s="19"/>
      <c r="S19" s="2"/>
      <c r="T19" s="2"/>
      <c r="U19" s="2"/>
      <c r="V19" s="19"/>
      <c r="W19" s="2"/>
      <c r="X19" s="2">
        <f t="shared" si="2"/>
        <v>1112.72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--189.13</f>
        <v>189.13</v>
      </c>
      <c r="E20" s="2"/>
      <c r="F20" s="19"/>
      <c r="G20" s="2"/>
      <c r="H20" s="2"/>
      <c r="I20" s="2"/>
      <c r="J20" s="19"/>
      <c r="K20" s="2"/>
      <c r="L20" s="2">
        <f t="shared" si="0"/>
        <v>189.13</v>
      </c>
      <c r="M20" s="2"/>
      <c r="N20" s="19">
        <f t="shared" si="1"/>
        <v>0</v>
      </c>
      <c r="O20" s="11"/>
      <c r="P20" s="2">
        <f>--883.35</f>
        <v>883.35</v>
      </c>
      <c r="Q20" s="2"/>
      <c r="R20" s="19"/>
      <c r="S20" s="2"/>
      <c r="T20" s="2"/>
      <c r="U20" s="2"/>
      <c r="V20" s="19"/>
      <c r="W20" s="2"/>
      <c r="X20" s="2">
        <f t="shared" si="2"/>
        <v>883.35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--5.49</f>
        <v>5.49</v>
      </c>
      <c r="E21" s="2"/>
      <c r="F21" s="19"/>
      <c r="G21" s="2"/>
      <c r="H21" s="2"/>
      <c r="I21" s="2"/>
      <c r="J21" s="19"/>
      <c r="K21" s="2"/>
      <c r="L21" s="2">
        <f t="shared" si="0"/>
        <v>5.49</v>
      </c>
      <c r="M21" s="2"/>
      <c r="N21" s="19">
        <f t="shared" si="1"/>
        <v>0</v>
      </c>
      <c r="O21" s="11"/>
      <c r="P21" s="2">
        <f>--231.16</f>
        <v>231.16</v>
      </c>
      <c r="Q21" s="2"/>
      <c r="R21" s="19"/>
      <c r="S21" s="2"/>
      <c r="T21" s="2"/>
      <c r="U21" s="2"/>
      <c r="V21" s="19"/>
      <c r="W21" s="2"/>
      <c r="X21" s="2">
        <f t="shared" si="2"/>
        <v>231.16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--277.82</f>
        <v>277.82</v>
      </c>
      <c r="E22" s="2"/>
      <c r="F22" s="19"/>
      <c r="G22" s="2"/>
      <c r="H22" s="2"/>
      <c r="I22" s="2"/>
      <c r="J22" s="19"/>
      <c r="K22" s="2"/>
      <c r="L22" s="2">
        <f t="shared" si="0"/>
        <v>277.82</v>
      </c>
      <c r="M22" s="2"/>
      <c r="N22" s="19">
        <f t="shared" si="1"/>
        <v>0</v>
      </c>
      <c r="O22" s="11"/>
      <c r="P22" s="2">
        <f>--2732.65</f>
        <v>2732.65</v>
      </c>
      <c r="Q22" s="2"/>
      <c r="R22" s="19"/>
      <c r="S22" s="2"/>
      <c r="T22" s="2"/>
      <c r="U22" s="2"/>
      <c r="V22" s="19"/>
      <c r="W22" s="2"/>
      <c r="X22" s="2">
        <f t="shared" si="2"/>
        <v>2732.65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--3.98</f>
        <v>3.98</v>
      </c>
      <c r="E23" s="2"/>
      <c r="F23" s="19"/>
      <c r="G23" s="2"/>
      <c r="H23" s="2"/>
      <c r="I23" s="2"/>
      <c r="J23" s="19"/>
      <c r="K23" s="2"/>
      <c r="L23" s="2">
        <f t="shared" si="0"/>
        <v>3.98</v>
      </c>
      <c r="M23" s="2"/>
      <c r="N23" s="19">
        <f t="shared" si="1"/>
        <v>0</v>
      </c>
      <c r="O23" s="11"/>
      <c r="P23" s="2">
        <f>--33.88</f>
        <v>33.880000000000003</v>
      </c>
      <c r="Q23" s="2"/>
      <c r="R23" s="19"/>
      <c r="S23" s="2"/>
      <c r="T23" s="2"/>
      <c r="U23" s="2"/>
      <c r="V23" s="19"/>
      <c r="W23" s="2"/>
      <c r="X23" s="2">
        <f t="shared" si="2"/>
        <v>33.880000000000003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--3212.68</f>
        <v>3212.68</v>
      </c>
      <c r="E24" s="2"/>
      <c r="F24" s="19"/>
      <c r="G24" s="2"/>
      <c r="H24" s="2"/>
      <c r="I24" s="2"/>
      <c r="J24" s="19"/>
      <c r="K24" s="2"/>
      <c r="L24" s="2">
        <f t="shared" si="0"/>
        <v>3212.68</v>
      </c>
      <c r="M24" s="2"/>
      <c r="N24" s="19">
        <f t="shared" si="1"/>
        <v>0</v>
      </c>
      <c r="O24" s="11"/>
      <c r="P24" s="2">
        <f>--29544.72</f>
        <v>29544.720000000001</v>
      </c>
      <c r="Q24" s="2"/>
      <c r="R24" s="19"/>
      <c r="S24" s="2"/>
      <c r="T24" s="2"/>
      <c r="U24" s="2"/>
      <c r="V24" s="19"/>
      <c r="W24" s="2"/>
      <c r="X24" s="2">
        <f t="shared" si="2"/>
        <v>29544.720000000001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--6609.41</f>
        <v>6609.41</v>
      </c>
      <c r="E25" s="2"/>
      <c r="F25" s="19"/>
      <c r="G25" s="2"/>
      <c r="H25" s="2"/>
      <c r="I25" s="2"/>
      <c r="J25" s="19"/>
      <c r="K25" s="2"/>
      <c r="L25" s="2">
        <f t="shared" si="0"/>
        <v>6609.41</v>
      </c>
      <c r="M25" s="2"/>
      <c r="N25" s="19">
        <f t="shared" si="1"/>
        <v>0</v>
      </c>
      <c r="O25" s="11"/>
      <c r="P25" s="2">
        <f>--43673.95</f>
        <v>43673.95</v>
      </c>
      <c r="Q25" s="2"/>
      <c r="R25" s="19"/>
      <c r="S25" s="2"/>
      <c r="T25" s="2"/>
      <c r="U25" s="2"/>
      <c r="V25" s="19"/>
      <c r="W25" s="2"/>
      <c r="X25" s="2">
        <f t="shared" si="2"/>
        <v>43673.95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--10515.54</f>
        <v>10515.54</v>
      </c>
      <c r="E26" s="2"/>
      <c r="F26" s="19"/>
      <c r="G26" s="2"/>
      <c r="H26" s="2"/>
      <c r="I26" s="2"/>
      <c r="J26" s="19"/>
      <c r="K26" s="2"/>
      <c r="L26" s="2">
        <f t="shared" si="0"/>
        <v>10515.54</v>
      </c>
      <c r="M26" s="2"/>
      <c r="N26" s="19">
        <f t="shared" si="1"/>
        <v>0</v>
      </c>
      <c r="O26" s="11"/>
      <c r="P26" s="2">
        <f>--154789.08</f>
        <v>154789.07999999999</v>
      </c>
      <c r="Q26" s="2"/>
      <c r="R26" s="19"/>
      <c r="S26" s="2"/>
      <c r="T26" s="2"/>
      <c r="U26" s="2"/>
      <c r="V26" s="19"/>
      <c r="W26" s="2"/>
      <c r="X26" s="2">
        <f t="shared" si="2"/>
        <v>154789.07999999999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--29388.04</f>
        <v>29388.04</v>
      </c>
      <c r="E27" s="2"/>
      <c r="F27" s="19"/>
      <c r="G27" s="2"/>
      <c r="H27" s="2"/>
      <c r="I27" s="2"/>
      <c r="J27" s="19"/>
      <c r="K27" s="2"/>
      <c r="L27" s="2">
        <f t="shared" si="0"/>
        <v>29388.04</v>
      </c>
      <c r="M27" s="2"/>
      <c r="N27" s="19">
        <f t="shared" si="1"/>
        <v>0</v>
      </c>
      <c r="O27" s="11"/>
      <c r="P27" s="2">
        <f>--175952.71</f>
        <v>175952.71</v>
      </c>
      <c r="Q27" s="2"/>
      <c r="R27" s="19"/>
      <c r="S27" s="2"/>
      <c r="T27" s="2"/>
      <c r="U27" s="2"/>
      <c r="V27" s="19"/>
      <c r="W27" s="2"/>
      <c r="X27" s="2">
        <f t="shared" si="2"/>
        <v>175952.71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--58.77</f>
        <v>58.77</v>
      </c>
      <c r="E28" s="2"/>
      <c r="F28" s="19"/>
      <c r="G28" s="2"/>
      <c r="H28" s="2"/>
      <c r="I28" s="2"/>
      <c r="J28" s="19"/>
      <c r="K28" s="2"/>
      <c r="L28" s="2">
        <f t="shared" si="0"/>
        <v>58.77</v>
      </c>
      <c r="M28" s="2"/>
      <c r="N28" s="19">
        <f t="shared" si="1"/>
        <v>0</v>
      </c>
      <c r="O28" s="11"/>
      <c r="P28" s="2">
        <f>--280.05</f>
        <v>280.05</v>
      </c>
      <c r="Q28" s="2"/>
      <c r="R28" s="19"/>
      <c r="S28" s="2"/>
      <c r="T28" s="2"/>
      <c r="U28" s="2"/>
      <c r="V28" s="19"/>
      <c r="W28" s="2"/>
      <c r="X28" s="2">
        <f t="shared" si="2"/>
        <v>280.05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--609.66</f>
        <v>609.66</v>
      </c>
      <c r="E29" s="2"/>
      <c r="F29" s="19"/>
      <c r="G29" s="2"/>
      <c r="H29" s="2"/>
      <c r="I29" s="2"/>
      <c r="J29" s="19"/>
      <c r="K29" s="2"/>
      <c r="L29" s="2">
        <f t="shared" si="0"/>
        <v>609.66</v>
      </c>
      <c r="M29" s="2"/>
      <c r="N29" s="19">
        <f t="shared" si="1"/>
        <v>0</v>
      </c>
      <c r="O29" s="11"/>
      <c r="P29" s="2">
        <f>--663.08</f>
        <v>663.08</v>
      </c>
      <c r="Q29" s="2"/>
      <c r="R29" s="19"/>
      <c r="S29" s="2"/>
      <c r="T29" s="2"/>
      <c r="U29" s="2"/>
      <c r="V29" s="19"/>
      <c r="W29" s="2"/>
      <c r="X29" s="2">
        <f t="shared" si="2"/>
        <v>663.08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--23.21</f>
        <v>23.21</v>
      </c>
      <c r="E30" s="2"/>
      <c r="F30" s="19"/>
      <c r="G30" s="2"/>
      <c r="H30" s="2"/>
      <c r="I30" s="2"/>
      <c r="J30" s="19"/>
      <c r="K30" s="2"/>
      <c r="L30" s="2">
        <f t="shared" si="0"/>
        <v>23.21</v>
      </c>
      <c r="M30" s="2"/>
      <c r="N30" s="19">
        <f t="shared" si="1"/>
        <v>0</v>
      </c>
      <c r="O30" s="11"/>
      <c r="P30" s="2">
        <f>--108.61</f>
        <v>108.61</v>
      </c>
      <c r="Q30" s="2"/>
      <c r="R30" s="19"/>
      <c r="S30" s="2"/>
      <c r="T30" s="2"/>
      <c r="U30" s="2"/>
      <c r="V30" s="19"/>
      <c r="W30" s="2"/>
      <c r="X30" s="2">
        <f t="shared" si="2"/>
        <v>108.61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--1010.01</f>
        <v>1010.01</v>
      </c>
      <c r="E31" s="2"/>
      <c r="F31" s="19"/>
      <c r="G31" s="2"/>
      <c r="H31" s="2"/>
      <c r="I31" s="2"/>
      <c r="J31" s="19"/>
      <c r="K31" s="2"/>
      <c r="L31" s="2">
        <f t="shared" si="0"/>
        <v>1010.01</v>
      </c>
      <c r="M31" s="2"/>
      <c r="N31" s="19">
        <f t="shared" si="1"/>
        <v>0</v>
      </c>
      <c r="O31" s="11"/>
      <c r="P31" s="2">
        <f>--4724.25</f>
        <v>4724.25</v>
      </c>
      <c r="Q31" s="2"/>
      <c r="R31" s="19"/>
      <c r="S31" s="2"/>
      <c r="T31" s="2"/>
      <c r="U31" s="2"/>
      <c r="V31" s="19"/>
      <c r="W31" s="2"/>
      <c r="X31" s="2">
        <f t="shared" si="2"/>
        <v>4724.25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--269.24</f>
        <v>269.24</v>
      </c>
      <c r="E32" s="2"/>
      <c r="F32" s="19"/>
      <c r="G32" s="2"/>
      <c r="H32" s="2"/>
      <c r="I32" s="2"/>
      <c r="J32" s="19"/>
      <c r="K32" s="2"/>
      <c r="L32" s="2">
        <f t="shared" si="0"/>
        <v>269.24</v>
      </c>
      <c r="M32" s="2"/>
      <c r="N32" s="19">
        <f t="shared" si="1"/>
        <v>0</v>
      </c>
      <c r="O32" s="11"/>
      <c r="P32" s="2">
        <f>--1133.6</f>
        <v>1133.5999999999999</v>
      </c>
      <c r="Q32" s="2"/>
      <c r="R32" s="19"/>
      <c r="S32" s="2"/>
      <c r="T32" s="2"/>
      <c r="U32" s="2"/>
      <c r="V32" s="19"/>
      <c r="W32" s="2"/>
      <c r="X32" s="2">
        <f t="shared" si="2"/>
        <v>1133.5999999999999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--74.6</f>
        <v>74.599999999999994</v>
      </c>
      <c r="E33" s="2"/>
      <c r="F33" s="19"/>
      <c r="G33" s="2"/>
      <c r="H33" s="2"/>
      <c r="I33" s="2"/>
      <c r="J33" s="19"/>
      <c r="K33" s="2"/>
      <c r="L33" s="2">
        <f t="shared" si="0"/>
        <v>74.599999999999994</v>
      </c>
      <c r="M33" s="2"/>
      <c r="N33" s="19">
        <f t="shared" si="1"/>
        <v>0</v>
      </c>
      <c r="O33" s="11"/>
      <c r="P33" s="2">
        <f>--377.17</f>
        <v>377.17</v>
      </c>
      <c r="Q33" s="2"/>
      <c r="R33" s="19"/>
      <c r="S33" s="2"/>
      <c r="T33" s="2"/>
      <c r="U33" s="2"/>
      <c r="V33" s="19"/>
      <c r="W33" s="2"/>
      <c r="X33" s="2">
        <f t="shared" si="2"/>
        <v>377.17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--249896.49</f>
        <v>249896.49</v>
      </c>
      <c r="E34" s="2"/>
      <c r="F34" s="19"/>
      <c r="G34" s="2"/>
      <c r="H34" s="2"/>
      <c r="I34" s="2"/>
      <c r="J34" s="19"/>
      <c r="K34" s="2"/>
      <c r="L34" s="2">
        <f t="shared" si="0"/>
        <v>249896.49</v>
      </c>
      <c r="M34" s="2"/>
      <c r="N34" s="19">
        <f t="shared" si="1"/>
        <v>0</v>
      </c>
      <c r="O34" s="11"/>
      <c r="P34" s="2">
        <f>--1098136.94</f>
        <v>1098136.94</v>
      </c>
      <c r="Q34" s="2"/>
      <c r="R34" s="19"/>
      <c r="S34" s="2"/>
      <c r="T34" s="2"/>
      <c r="U34" s="2"/>
      <c r="V34" s="19"/>
      <c r="W34" s="2"/>
      <c r="X34" s="2">
        <f t="shared" si="2"/>
        <v>1098136.94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--29333.75</f>
        <v>29333.75</v>
      </c>
      <c r="E35" s="2"/>
      <c r="F35" s="19"/>
      <c r="G35" s="2"/>
      <c r="H35" s="2"/>
      <c r="I35" s="2"/>
      <c r="J35" s="19"/>
      <c r="K35" s="2"/>
      <c r="L35" s="2">
        <f t="shared" si="0"/>
        <v>29333.75</v>
      </c>
      <c r="M35" s="2"/>
      <c r="N35" s="19">
        <f t="shared" si="1"/>
        <v>0</v>
      </c>
      <c r="O35" s="11"/>
      <c r="P35" s="2">
        <f>--258147.65</f>
        <v>258147.65</v>
      </c>
      <c r="Q35" s="2"/>
      <c r="R35" s="19"/>
      <c r="S35" s="2"/>
      <c r="T35" s="2"/>
      <c r="U35" s="2"/>
      <c r="V35" s="19"/>
      <c r="W35" s="2"/>
      <c r="X35" s="2">
        <f t="shared" si="2"/>
        <v>258147.65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--30667.82</f>
        <v>30667.82</v>
      </c>
      <c r="E36" s="2"/>
      <c r="F36" s="19"/>
      <c r="G36" s="2"/>
      <c r="H36" s="2"/>
      <c r="I36" s="2"/>
      <c r="J36" s="19"/>
      <c r="K36" s="2"/>
      <c r="L36" s="2">
        <f t="shared" si="0"/>
        <v>30667.82</v>
      </c>
      <c r="M36" s="2"/>
      <c r="N36" s="19">
        <f t="shared" si="1"/>
        <v>0</v>
      </c>
      <c r="O36" s="11"/>
      <c r="P36" s="2">
        <f>--154978.19</f>
        <v>154978.19</v>
      </c>
      <c r="Q36" s="2"/>
      <c r="R36" s="19"/>
      <c r="S36" s="2"/>
      <c r="T36" s="2"/>
      <c r="U36" s="2"/>
      <c r="V36" s="19"/>
      <c r="W36" s="2"/>
      <c r="X36" s="2">
        <f t="shared" si="2"/>
        <v>154978.19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--4302.17</f>
        <v>4302.17</v>
      </c>
      <c r="E37" s="2"/>
      <c r="F37" s="19"/>
      <c r="G37" s="2"/>
      <c r="H37" s="2"/>
      <c r="I37" s="2"/>
      <c r="J37" s="19"/>
      <c r="K37" s="2"/>
      <c r="L37" s="2">
        <f t="shared" si="0"/>
        <v>4302.17</v>
      </c>
      <c r="M37" s="2"/>
      <c r="N37" s="19">
        <f t="shared" si="1"/>
        <v>0</v>
      </c>
      <c r="O37" s="11"/>
      <c r="P37" s="2">
        <f>--4823.02</f>
        <v>4823.0200000000004</v>
      </c>
      <c r="Q37" s="2"/>
      <c r="R37" s="19"/>
      <c r="S37" s="2"/>
      <c r="T37" s="2"/>
      <c r="U37" s="2"/>
      <c r="V37" s="19"/>
      <c r="W37" s="2"/>
      <c r="X37" s="2">
        <f t="shared" si="2"/>
        <v>4823.0200000000004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--8230.63</f>
        <v>8230.6299999999992</v>
      </c>
      <c r="E38" s="2"/>
      <c r="F38" s="19"/>
      <c r="G38" s="2"/>
      <c r="H38" s="2"/>
      <c r="I38" s="2"/>
      <c r="J38" s="19"/>
      <c r="K38" s="2"/>
      <c r="L38" s="2">
        <f t="shared" si="0"/>
        <v>8230.6299999999992</v>
      </c>
      <c r="M38" s="2"/>
      <c r="N38" s="19">
        <f t="shared" si="1"/>
        <v>0</v>
      </c>
      <c r="O38" s="11"/>
      <c r="P38" s="2">
        <f>--41297.78</f>
        <v>41297.78</v>
      </c>
      <c r="Q38" s="2"/>
      <c r="R38" s="19"/>
      <c r="S38" s="2"/>
      <c r="T38" s="2"/>
      <c r="U38" s="2"/>
      <c r="V38" s="19"/>
      <c r="W38" s="2"/>
      <c r="X38" s="2">
        <f t="shared" si="2"/>
        <v>41297.78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--18665.34</f>
        <v>18665.34</v>
      </c>
      <c r="E39" s="2"/>
      <c r="F39" s="19"/>
      <c r="G39" s="2"/>
      <c r="H39" s="2"/>
      <c r="I39" s="2"/>
      <c r="J39" s="19"/>
      <c r="K39" s="2"/>
      <c r="L39" s="2">
        <f t="shared" si="0"/>
        <v>18665.34</v>
      </c>
      <c r="M39" s="2"/>
      <c r="N39" s="19">
        <f t="shared" si="1"/>
        <v>0</v>
      </c>
      <c r="O39" s="11"/>
      <c r="P39" s="2">
        <f>--54518.44</f>
        <v>54518.44</v>
      </c>
      <c r="Q39" s="2"/>
      <c r="R39" s="19"/>
      <c r="S39" s="2"/>
      <c r="T39" s="2"/>
      <c r="U39" s="2"/>
      <c r="V39" s="19"/>
      <c r="W39" s="2"/>
      <c r="X39" s="2">
        <f t="shared" si="2"/>
        <v>54518.44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--304.55</f>
        <v>304.55</v>
      </c>
      <c r="E40" s="2"/>
      <c r="F40" s="19"/>
      <c r="G40" s="2"/>
      <c r="H40" s="2"/>
      <c r="I40" s="2"/>
      <c r="J40" s="19"/>
      <c r="K40" s="2"/>
      <c r="L40" s="2">
        <f t="shared" si="0"/>
        <v>304.55</v>
      </c>
      <c r="M40" s="2"/>
      <c r="N40" s="19">
        <f t="shared" si="1"/>
        <v>0</v>
      </c>
      <c r="O40" s="11"/>
      <c r="P40" s="2">
        <f>--1678.55</f>
        <v>1678.55</v>
      </c>
      <c r="Q40" s="2"/>
      <c r="R40" s="19"/>
      <c r="S40" s="2"/>
      <c r="T40" s="2"/>
      <c r="U40" s="2"/>
      <c r="V40" s="19"/>
      <c r="W40" s="2"/>
      <c r="X40" s="2">
        <f t="shared" si="2"/>
        <v>1678.55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--430.76</f>
        <v>430.76</v>
      </c>
      <c r="E41" s="2"/>
      <c r="F41" s="19"/>
      <c r="G41" s="2"/>
      <c r="H41" s="2"/>
      <c r="I41" s="2"/>
      <c r="J41" s="19"/>
      <c r="K41" s="2"/>
      <c r="L41" s="2">
        <f t="shared" si="0"/>
        <v>430.76</v>
      </c>
      <c r="M41" s="2"/>
      <c r="N41" s="19">
        <f t="shared" si="1"/>
        <v>0</v>
      </c>
      <c r="O41" s="11"/>
      <c r="P41" s="2">
        <f>--2223.67</f>
        <v>2223.67</v>
      </c>
      <c r="Q41" s="2"/>
      <c r="R41" s="19"/>
      <c r="S41" s="2"/>
      <c r="T41" s="2"/>
      <c r="U41" s="2"/>
      <c r="V41" s="19"/>
      <c r="W41" s="2"/>
      <c r="X41" s="2">
        <f t="shared" si="2"/>
        <v>2223.67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0</f>
        <v>0</v>
      </c>
      <c r="E42" s="2"/>
      <c r="F42" s="19"/>
      <c r="G42" s="2"/>
      <c r="H42" s="2"/>
      <c r="I42" s="2"/>
      <c r="J42" s="19"/>
      <c r="K42" s="2"/>
      <c r="L42" s="2">
        <f t="shared" si="0"/>
        <v>0</v>
      </c>
      <c r="M42" s="2"/>
      <c r="N42" s="19">
        <f t="shared" si="1"/>
        <v>0</v>
      </c>
      <c r="O42" s="11"/>
      <c r="P42" s="2">
        <f>--162</f>
        <v>162</v>
      </c>
      <c r="Q42" s="2"/>
      <c r="R42" s="19"/>
      <c r="S42" s="2"/>
      <c r="T42" s="2"/>
      <c r="U42" s="2"/>
      <c r="V42" s="19"/>
      <c r="W42" s="2"/>
      <c r="X42" s="2">
        <f t="shared" si="2"/>
        <v>162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--139.91</f>
        <v>139.91</v>
      </c>
      <c r="E43" s="2"/>
      <c r="F43" s="19"/>
      <c r="G43" s="2"/>
      <c r="H43" s="2"/>
      <c r="I43" s="2"/>
      <c r="J43" s="19"/>
      <c r="K43" s="2"/>
      <c r="L43" s="2">
        <f t="shared" si="0"/>
        <v>139.91</v>
      </c>
      <c r="M43" s="2"/>
      <c r="N43" s="19">
        <f t="shared" si="1"/>
        <v>0</v>
      </c>
      <c r="O43" s="11"/>
      <c r="P43" s="2">
        <f>--569.6</f>
        <v>569.6</v>
      </c>
      <c r="Q43" s="2"/>
      <c r="R43" s="19"/>
      <c r="S43" s="2"/>
      <c r="T43" s="2"/>
      <c r="U43" s="2"/>
      <c r="V43" s="19"/>
      <c r="W43" s="2"/>
      <c r="X43" s="2">
        <f t="shared" si="2"/>
        <v>569.6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>--105</f>
        <v>105</v>
      </c>
      <c r="E44" s="2"/>
      <c r="F44" s="19"/>
      <c r="G44" s="2"/>
      <c r="H44" s="2"/>
      <c r="I44" s="2"/>
      <c r="J44" s="19"/>
      <c r="K44" s="2"/>
      <c r="L44" s="2">
        <f t="shared" si="0"/>
        <v>105</v>
      </c>
      <c r="M44" s="2"/>
      <c r="N44" s="19">
        <f t="shared" si="1"/>
        <v>0</v>
      </c>
      <c r="O44" s="11"/>
      <c r="P44" s="2">
        <f>--639.79</f>
        <v>639.79</v>
      </c>
      <c r="Q44" s="2"/>
      <c r="R44" s="19"/>
      <c r="S44" s="2"/>
      <c r="T44" s="2"/>
      <c r="U44" s="2"/>
      <c r="V44" s="19"/>
      <c r="W44" s="2"/>
      <c r="X44" s="2">
        <f t="shared" si="2"/>
        <v>639.79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"4092", " - ", "TAXABLE SALES-GRAD MERCH")</f>
        <v xml:space="preserve">          4092 - TAXABLE SALES-GRAD MERCH</v>
      </c>
      <c r="C45" s="11"/>
      <c r="D45" s="2">
        <f>--2389.54</f>
        <v>2389.54</v>
      </c>
      <c r="E45" s="2"/>
      <c r="F45" s="19"/>
      <c r="G45" s="2"/>
      <c r="H45" s="2"/>
      <c r="I45" s="2"/>
      <c r="J45" s="19"/>
      <c r="K45" s="2"/>
      <c r="L45" s="2">
        <f t="shared" si="0"/>
        <v>2389.54</v>
      </c>
      <c r="M45" s="2"/>
      <c r="N45" s="19">
        <f t="shared" si="1"/>
        <v>0</v>
      </c>
      <c r="O45" s="11"/>
      <c r="P45" s="2">
        <f>--7440.62</f>
        <v>7440.62</v>
      </c>
      <c r="Q45" s="2"/>
      <c r="R45" s="19"/>
      <c r="S45" s="2"/>
      <c r="T45" s="2"/>
      <c r="U45" s="2"/>
      <c r="V45" s="19"/>
      <c r="W45" s="2"/>
      <c r="X45" s="2">
        <f t="shared" si="2"/>
        <v>7440.62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>--31.83</f>
        <v>31.83</v>
      </c>
      <c r="E46" s="2"/>
      <c r="F46" s="19"/>
      <c r="G46" s="2"/>
      <c r="H46" s="2"/>
      <c r="I46" s="2"/>
      <c r="J46" s="19"/>
      <c r="K46" s="2"/>
      <c r="L46" s="2">
        <f t="shared" si="0"/>
        <v>31.83</v>
      </c>
      <c r="M46" s="2"/>
      <c r="N46" s="19">
        <f t="shared" si="1"/>
        <v>0</v>
      </c>
      <c r="O46" s="11"/>
      <c r="P46" s="2">
        <f>--276.44</f>
        <v>276.44</v>
      </c>
      <c r="Q46" s="2"/>
      <c r="R46" s="19"/>
      <c r="S46" s="2"/>
      <c r="T46" s="2"/>
      <c r="U46" s="2"/>
      <c r="V46" s="19"/>
      <c r="W46" s="2"/>
      <c r="X46" s="2">
        <f t="shared" si="2"/>
        <v>276.44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"4100", " - ", "NON-TAXABLE SALES")</f>
        <v xml:space="preserve">          4100 - NON-TAXABLE SALES</v>
      </c>
      <c r="C47" s="11"/>
      <c r="D47" s="2">
        <f>--458.89</f>
        <v>458.89</v>
      </c>
      <c r="E47" s="2"/>
      <c r="F47" s="19"/>
      <c r="G47" s="2"/>
      <c r="H47" s="2">
        <v>31119</v>
      </c>
      <c r="I47" s="2"/>
      <c r="J47" s="19"/>
      <c r="K47" s="2"/>
      <c r="L47" s="2">
        <f t="shared" si="0"/>
        <v>-30660.11</v>
      </c>
      <c r="M47" s="2"/>
      <c r="N47" s="19">
        <f t="shared" si="1"/>
        <v>-0.9852537035251776</v>
      </c>
      <c r="O47" s="11"/>
      <c r="P47" s="2">
        <f>--335840.56</f>
        <v>335840.56</v>
      </c>
      <c r="Q47" s="2"/>
      <c r="R47" s="19"/>
      <c r="S47" s="2"/>
      <c r="T47" s="2">
        <v>3245221</v>
      </c>
      <c r="U47" s="2"/>
      <c r="V47" s="19"/>
      <c r="W47" s="2"/>
      <c r="X47" s="2">
        <f t="shared" si="2"/>
        <v>-2909380.44</v>
      </c>
      <c r="Y47" s="2"/>
      <c r="Z47" s="19">
        <f t="shared" si="3"/>
        <v>-0.89651226834782594</v>
      </c>
    </row>
    <row r="48" spans="1:26" s="24" customFormat="1" hidden="1" outlineLevel="1" x14ac:dyDescent="0.25">
      <c r="A48" s="44"/>
      <c r="B48" s="11" t="str">
        <f>CONCATENATE("          ", "4101", " - ", "NON-TAXABLE SALES-NEW TEXT")</f>
        <v xml:space="preserve">          4101 - NON-TAXABLE SALES-NEW TEXT</v>
      </c>
      <c r="C48" s="11"/>
      <c r="D48" s="2">
        <f>--349.66</f>
        <v>349.66</v>
      </c>
      <c r="E48" s="2"/>
      <c r="F48" s="19"/>
      <c r="G48" s="2"/>
      <c r="H48" s="2"/>
      <c r="I48" s="2"/>
      <c r="J48" s="19"/>
      <c r="K48" s="2"/>
      <c r="L48" s="2">
        <f t="shared" si="0"/>
        <v>349.66</v>
      </c>
      <c r="M48" s="2"/>
      <c r="N48" s="19">
        <f t="shared" si="1"/>
        <v>0</v>
      </c>
      <c r="O48" s="11"/>
      <c r="P48" s="2">
        <f>--92680.75</f>
        <v>92680.75</v>
      </c>
      <c r="Q48" s="2"/>
      <c r="R48" s="19"/>
      <c r="S48" s="2"/>
      <c r="T48" s="2"/>
      <c r="U48" s="2"/>
      <c r="V48" s="19"/>
      <c r="W48" s="2"/>
      <c r="X48" s="2">
        <f t="shared" si="2"/>
        <v>92680.75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"4102", " - ", "NON-TAXABLE SALES-USED TEXT")</f>
        <v xml:space="preserve">          4102 - NON-TAXABLE SALES-USED TEXT</v>
      </c>
      <c r="C49" s="11"/>
      <c r="D49" s="2">
        <f>--584.52</f>
        <v>584.52</v>
      </c>
      <c r="E49" s="2"/>
      <c r="F49" s="19"/>
      <c r="G49" s="2"/>
      <c r="H49" s="2"/>
      <c r="I49" s="2"/>
      <c r="J49" s="19"/>
      <c r="K49" s="2"/>
      <c r="L49" s="2">
        <f t="shared" si="0"/>
        <v>584.52</v>
      </c>
      <c r="M49" s="2"/>
      <c r="N49" s="19">
        <f t="shared" si="1"/>
        <v>0</v>
      </c>
      <c r="O49" s="11"/>
      <c r="P49" s="2">
        <f>--37606.84</f>
        <v>37606.839999999997</v>
      </c>
      <c r="Q49" s="2"/>
      <c r="R49" s="19"/>
      <c r="S49" s="2"/>
      <c r="T49" s="2"/>
      <c r="U49" s="2"/>
      <c r="V49" s="19"/>
      <c r="W49" s="2"/>
      <c r="X49" s="2">
        <f t="shared" si="2"/>
        <v>37606.839999999997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0</f>
        <v>0</v>
      </c>
      <c r="E50" s="2"/>
      <c r="F50" s="19"/>
      <c r="G50" s="2"/>
      <c r="H50" s="2"/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>--329.98</f>
        <v>329.98</v>
      </c>
      <c r="Q50" s="2"/>
      <c r="R50" s="19"/>
      <c r="S50" s="2"/>
      <c r="T50" s="2"/>
      <c r="U50" s="2"/>
      <c r="V50" s="19"/>
      <c r="W50" s="2"/>
      <c r="X50" s="2">
        <f t="shared" si="2"/>
        <v>329.98</v>
      </c>
      <c r="Y50" s="2"/>
      <c r="Z50" s="19">
        <f t="shared" si="3"/>
        <v>0</v>
      </c>
    </row>
    <row r="51" spans="1:26" s="24" customFormat="1" hidden="1" outlineLevel="1" x14ac:dyDescent="0.25">
      <c r="A51" s="44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--206.24</f>
        <v>206.24</v>
      </c>
      <c r="E51" s="2"/>
      <c r="F51" s="19"/>
      <c r="G51" s="2"/>
      <c r="H51" s="2"/>
      <c r="I51" s="2"/>
      <c r="J51" s="19"/>
      <c r="K51" s="2"/>
      <c r="L51" s="2">
        <f t="shared" si="0"/>
        <v>206.24</v>
      </c>
      <c r="M51" s="2"/>
      <c r="N51" s="19">
        <f t="shared" si="1"/>
        <v>0</v>
      </c>
      <c r="O51" s="11"/>
      <c r="P51" s="2">
        <f>--320699.09</f>
        <v>320699.09000000003</v>
      </c>
      <c r="Q51" s="2"/>
      <c r="R51" s="19"/>
      <c r="S51" s="2"/>
      <c r="T51" s="2"/>
      <c r="U51" s="2"/>
      <c r="V51" s="19"/>
      <c r="W51" s="2"/>
      <c r="X51" s="2">
        <f t="shared" si="2"/>
        <v>320699.09000000003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--492.72</f>
        <v>492.72</v>
      </c>
      <c r="E52" s="2"/>
      <c r="F52" s="19"/>
      <c r="G52" s="2"/>
      <c r="H52" s="2"/>
      <c r="I52" s="2"/>
      <c r="J52" s="19"/>
      <c r="K52" s="2"/>
      <c r="L52" s="2">
        <f t="shared" si="0"/>
        <v>492.72</v>
      </c>
      <c r="M52" s="2"/>
      <c r="N52" s="19">
        <f t="shared" si="1"/>
        <v>0</v>
      </c>
      <c r="O52" s="11"/>
      <c r="P52" s="2">
        <f>--7592.19</f>
        <v>7592.19</v>
      </c>
      <c r="Q52" s="2"/>
      <c r="R52" s="19"/>
      <c r="S52" s="2"/>
      <c r="T52" s="2"/>
      <c r="U52" s="2"/>
      <c r="V52" s="19"/>
      <c r="W52" s="2"/>
      <c r="X52" s="2">
        <f t="shared" si="2"/>
        <v>7592.19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>0</f>
        <v>0</v>
      </c>
      <c r="E53" s="2"/>
      <c r="F53" s="19"/>
      <c r="G53" s="2"/>
      <c r="H53" s="2"/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--1146.72</f>
        <v>1146.72</v>
      </c>
      <c r="Q53" s="2"/>
      <c r="R53" s="19"/>
      <c r="S53" s="2"/>
      <c r="T53" s="2"/>
      <c r="U53" s="2"/>
      <c r="V53" s="19"/>
      <c r="W53" s="2"/>
      <c r="X53" s="2">
        <f t="shared" si="2"/>
        <v>1146.72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>--14.04</f>
        <v>14.04</v>
      </c>
      <c r="E54" s="2"/>
      <c r="F54" s="19"/>
      <c r="G54" s="2"/>
      <c r="H54" s="2"/>
      <c r="I54" s="2"/>
      <c r="J54" s="19"/>
      <c r="K54" s="2"/>
      <c r="L54" s="2">
        <f t="shared" si="0"/>
        <v>14.04</v>
      </c>
      <c r="M54" s="2"/>
      <c r="N54" s="19">
        <f t="shared" si="1"/>
        <v>0</v>
      </c>
      <c r="O54" s="11"/>
      <c r="P54" s="2">
        <f>--34.96</f>
        <v>34.96</v>
      </c>
      <c r="Q54" s="2"/>
      <c r="R54" s="19"/>
      <c r="S54" s="2"/>
      <c r="T54" s="2"/>
      <c r="U54" s="2"/>
      <c r="V54" s="19"/>
      <c r="W54" s="2"/>
      <c r="X54" s="2">
        <f t="shared" si="2"/>
        <v>34.96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"4125", " - ", "NON-TAXABLE SALES-TEST FORMS")</f>
        <v xml:space="preserve">          4125 - NON-TAXABLE SALES-TEST FORMS</v>
      </c>
      <c r="C55" s="11"/>
      <c r="D55" s="2">
        <f>0</f>
        <v>0</v>
      </c>
      <c r="E55" s="2"/>
      <c r="F55" s="19"/>
      <c r="G55" s="2"/>
      <c r="H55" s="2"/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>--124.18</f>
        <v>124.18</v>
      </c>
      <c r="Q55" s="2"/>
      <c r="R55" s="19"/>
      <c r="S55" s="2"/>
      <c r="T55" s="2"/>
      <c r="U55" s="2"/>
      <c r="V55" s="19"/>
      <c r="W55" s="2"/>
      <c r="X55" s="2">
        <f t="shared" si="2"/>
        <v>124.18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>--11.85</f>
        <v>11.85</v>
      </c>
      <c r="E56" s="2"/>
      <c r="F56" s="19"/>
      <c r="G56" s="2"/>
      <c r="H56" s="2"/>
      <c r="I56" s="2"/>
      <c r="J56" s="19"/>
      <c r="K56" s="2"/>
      <c r="L56" s="2">
        <f t="shared" si="0"/>
        <v>11.85</v>
      </c>
      <c r="M56" s="2"/>
      <c r="N56" s="19">
        <f t="shared" si="1"/>
        <v>0</v>
      </c>
      <c r="O56" s="11"/>
      <c r="P56" s="2">
        <f>--1470.38</f>
        <v>1470.38</v>
      </c>
      <c r="Q56" s="2"/>
      <c r="R56" s="19"/>
      <c r="S56" s="2"/>
      <c r="T56" s="2"/>
      <c r="U56" s="2"/>
      <c r="V56" s="19"/>
      <c r="W56" s="2"/>
      <c r="X56" s="2">
        <f t="shared" si="2"/>
        <v>1470.38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>--6.28</f>
        <v>6.28</v>
      </c>
      <c r="E57" s="2"/>
      <c r="F57" s="19"/>
      <c r="G57" s="2"/>
      <c r="H57" s="2"/>
      <c r="I57" s="2"/>
      <c r="J57" s="19"/>
      <c r="K57" s="2"/>
      <c r="L57" s="2">
        <f t="shared" si="0"/>
        <v>6.28</v>
      </c>
      <c r="M57" s="2"/>
      <c r="N57" s="19">
        <f t="shared" si="1"/>
        <v>0</v>
      </c>
      <c r="O57" s="11"/>
      <c r="P57" s="2">
        <f>--2603.4</f>
        <v>2603.4</v>
      </c>
      <c r="Q57" s="2"/>
      <c r="R57" s="19"/>
      <c r="S57" s="2"/>
      <c r="T57" s="2"/>
      <c r="U57" s="2"/>
      <c r="V57" s="19"/>
      <c r="W57" s="2"/>
      <c r="X57" s="2">
        <f t="shared" si="2"/>
        <v>2603.4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"4128", " - ", "NON-TAXABLE SALES-ART/TECH")</f>
        <v xml:space="preserve">          4128 - NON-TAXABLE SALES-ART/TECH</v>
      </c>
      <c r="C58" s="11"/>
      <c r="D58" s="2">
        <f>0</f>
        <v>0</v>
      </c>
      <c r="E58" s="2"/>
      <c r="F58" s="19"/>
      <c r="G58" s="2"/>
      <c r="H58" s="2"/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--348.72</f>
        <v>348.72</v>
      </c>
      <c r="Q58" s="2"/>
      <c r="R58" s="19"/>
      <c r="S58" s="2"/>
      <c r="T58" s="2"/>
      <c r="U58" s="2"/>
      <c r="V58" s="19"/>
      <c r="W58" s="2"/>
      <c r="X58" s="2">
        <f t="shared" si="2"/>
        <v>348.72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"4131", " - ", "NON-TAXABLE SALES-FOOD")</f>
        <v xml:space="preserve">          4131 - NON-TAXABLE SALES-FOOD</v>
      </c>
      <c r="C59" s="11"/>
      <c r="D59" s="2">
        <f>--8305.09</f>
        <v>8305.09</v>
      </c>
      <c r="E59" s="2"/>
      <c r="F59" s="19"/>
      <c r="G59" s="2"/>
      <c r="H59" s="2"/>
      <c r="I59" s="2"/>
      <c r="J59" s="19"/>
      <c r="K59" s="2"/>
      <c r="L59" s="2">
        <f t="shared" si="0"/>
        <v>8305.09</v>
      </c>
      <c r="M59" s="2"/>
      <c r="N59" s="19">
        <f t="shared" si="1"/>
        <v>0</v>
      </c>
      <c r="O59" s="11"/>
      <c r="P59" s="2">
        <f>--35027.51</f>
        <v>35027.51</v>
      </c>
      <c r="Q59" s="2"/>
      <c r="R59" s="19"/>
      <c r="S59" s="2"/>
      <c r="T59" s="2"/>
      <c r="U59" s="2"/>
      <c r="V59" s="19"/>
      <c r="W59" s="2"/>
      <c r="X59" s="2">
        <f t="shared" si="2"/>
        <v>35027.51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"4132", " - ", "NON-TAXABLE SALES-JUICE")</f>
        <v xml:space="preserve">          4132 - NON-TAXABLE SALES-JUICE</v>
      </c>
      <c r="C60" s="11"/>
      <c r="D60" s="2">
        <f>--2505.59</f>
        <v>2505.59</v>
      </c>
      <c r="E60" s="2"/>
      <c r="F60" s="19"/>
      <c r="G60" s="2"/>
      <c r="H60" s="2"/>
      <c r="I60" s="2"/>
      <c r="J60" s="19"/>
      <c r="K60" s="2"/>
      <c r="L60" s="2">
        <f t="shared" si="0"/>
        <v>2505.59</v>
      </c>
      <c r="M60" s="2"/>
      <c r="N60" s="19">
        <f t="shared" si="1"/>
        <v>0</v>
      </c>
      <c r="O60" s="11"/>
      <c r="P60" s="2">
        <f>--10274.39</f>
        <v>10274.39</v>
      </c>
      <c r="Q60" s="2"/>
      <c r="R60" s="19"/>
      <c r="S60" s="2"/>
      <c r="T60" s="2"/>
      <c r="U60" s="2"/>
      <c r="V60" s="19"/>
      <c r="W60" s="2"/>
      <c r="X60" s="2">
        <f t="shared" si="2"/>
        <v>10274.39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"4133", " - ", "NON-TAXABLE SALES-CANDY")</f>
        <v xml:space="preserve">          4133 - NON-TAXABLE SALES-CANDY</v>
      </c>
      <c r="C61" s="11"/>
      <c r="D61" s="2">
        <f>--2349.7</f>
        <v>2349.6999999999998</v>
      </c>
      <c r="E61" s="2"/>
      <c r="F61" s="19"/>
      <c r="G61" s="2"/>
      <c r="H61" s="2"/>
      <c r="I61" s="2"/>
      <c r="J61" s="19"/>
      <c r="K61" s="2"/>
      <c r="L61" s="2">
        <f t="shared" si="0"/>
        <v>2349.6999999999998</v>
      </c>
      <c r="M61" s="2"/>
      <c r="N61" s="19">
        <f t="shared" si="1"/>
        <v>0</v>
      </c>
      <c r="O61" s="11"/>
      <c r="P61" s="2">
        <f>--10816.56</f>
        <v>10816.56</v>
      </c>
      <c r="Q61" s="2"/>
      <c r="R61" s="19"/>
      <c r="S61" s="2"/>
      <c r="T61" s="2"/>
      <c r="U61" s="2"/>
      <c r="V61" s="19"/>
      <c r="W61" s="2"/>
      <c r="X61" s="2">
        <f t="shared" si="2"/>
        <v>10816.56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"4135", " - ", "NON-TAXABLE SALES")</f>
        <v xml:space="preserve">          4135 - NON-TAXABLE SALES</v>
      </c>
      <c r="C62" s="11"/>
      <c r="D62" s="2">
        <f>--10.77</f>
        <v>10.77</v>
      </c>
      <c r="E62" s="2"/>
      <c r="F62" s="19"/>
      <c r="G62" s="2"/>
      <c r="H62" s="2"/>
      <c r="I62" s="2"/>
      <c r="J62" s="19"/>
      <c r="K62" s="2"/>
      <c r="L62" s="2">
        <f t="shared" si="0"/>
        <v>10.77</v>
      </c>
      <c r="M62" s="2"/>
      <c r="N62" s="19">
        <f t="shared" si="1"/>
        <v>0</v>
      </c>
      <c r="O62" s="11"/>
      <c r="P62" s="2">
        <f>--114.73</f>
        <v>114.73</v>
      </c>
      <c r="Q62" s="2"/>
      <c r="R62" s="19"/>
      <c r="S62" s="2"/>
      <c r="T62" s="2"/>
      <c r="U62" s="2"/>
      <c r="V62" s="19"/>
      <c r="W62" s="2"/>
      <c r="X62" s="2">
        <f t="shared" si="2"/>
        <v>114.73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"4137", " - ", "NON-TAXABLE SALES-WATER")</f>
        <v xml:space="preserve">          4137 - NON-TAXABLE SALES-WATER</v>
      </c>
      <c r="C63" s="11"/>
      <c r="D63" s="2">
        <f>--1024.04</f>
        <v>1024.04</v>
      </c>
      <c r="E63" s="2"/>
      <c r="F63" s="19"/>
      <c r="G63" s="2"/>
      <c r="H63" s="2"/>
      <c r="I63" s="2"/>
      <c r="J63" s="19"/>
      <c r="K63" s="2"/>
      <c r="L63" s="2">
        <f t="shared" si="0"/>
        <v>1024.04</v>
      </c>
      <c r="M63" s="2"/>
      <c r="N63" s="19">
        <f t="shared" si="1"/>
        <v>0</v>
      </c>
      <c r="O63" s="11"/>
      <c r="P63" s="2">
        <f>--5289.34</f>
        <v>5289.34</v>
      </c>
      <c r="Q63" s="2"/>
      <c r="R63" s="19"/>
      <c r="S63" s="2"/>
      <c r="T63" s="2"/>
      <c r="U63" s="2"/>
      <c r="V63" s="19"/>
      <c r="W63" s="2"/>
      <c r="X63" s="2">
        <f t="shared" si="2"/>
        <v>5289.34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"4140", " - ", "NON-TAXABLE SALES-LOGO CLOTHIN")</f>
        <v xml:space="preserve">          4140 - NON-TAXABLE SALES-LOGO CLOTHIN</v>
      </c>
      <c r="C64" s="11"/>
      <c r="D64" s="2">
        <f>--7373.27</f>
        <v>7373.27</v>
      </c>
      <c r="E64" s="2"/>
      <c r="F64" s="19"/>
      <c r="G64" s="2"/>
      <c r="H64" s="2"/>
      <c r="I64" s="2"/>
      <c r="J64" s="19"/>
      <c r="K64" s="2"/>
      <c r="L64" s="2">
        <f t="shared" si="0"/>
        <v>7373.27</v>
      </c>
      <c r="M64" s="2"/>
      <c r="N64" s="19">
        <f t="shared" si="1"/>
        <v>0</v>
      </c>
      <c r="O64" s="11"/>
      <c r="P64" s="2">
        <f>--20008.79</f>
        <v>20008.79</v>
      </c>
      <c r="Q64" s="2"/>
      <c r="R64" s="19"/>
      <c r="S64" s="2"/>
      <c r="T64" s="2"/>
      <c r="U64" s="2"/>
      <c r="V64" s="19"/>
      <c r="W64" s="2"/>
      <c r="X64" s="2">
        <f t="shared" si="2"/>
        <v>20008.79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"4141", " - ", "NON-TAXABLE SALES-LOGO GIFTS")</f>
        <v xml:space="preserve">          4141 - NON-TAXABLE SALES-LOGO GIFTS</v>
      </c>
      <c r="C65" s="11"/>
      <c r="D65" s="2">
        <f>--434.35</f>
        <v>434.35</v>
      </c>
      <c r="E65" s="2"/>
      <c r="F65" s="19"/>
      <c r="G65" s="2"/>
      <c r="H65" s="2"/>
      <c r="I65" s="2"/>
      <c r="J65" s="19"/>
      <c r="K65" s="2"/>
      <c r="L65" s="2">
        <f t="shared" si="0"/>
        <v>434.35</v>
      </c>
      <c r="M65" s="2"/>
      <c r="N65" s="19">
        <f t="shared" si="1"/>
        <v>0</v>
      </c>
      <c r="O65" s="11"/>
      <c r="P65" s="2">
        <f>--1830.28</f>
        <v>1830.28</v>
      </c>
      <c r="Q65" s="2"/>
      <c r="R65" s="19"/>
      <c r="S65" s="2"/>
      <c r="T65" s="2"/>
      <c r="U65" s="2"/>
      <c r="V65" s="19"/>
      <c r="W65" s="2"/>
      <c r="X65" s="2">
        <f t="shared" si="2"/>
        <v>1830.28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"4142", " - ", "NON-TAXABLE SALES-EVERYDAY GIF")</f>
        <v xml:space="preserve">          4142 - NON-TAXABLE SALES-EVERYDAY GIF</v>
      </c>
      <c r="C66" s="11"/>
      <c r="D66" s="2">
        <f>--2013.22</f>
        <v>2013.22</v>
      </c>
      <c r="E66" s="2"/>
      <c r="F66" s="19"/>
      <c r="G66" s="2"/>
      <c r="H66" s="2"/>
      <c r="I66" s="2"/>
      <c r="J66" s="19"/>
      <c r="K66" s="2"/>
      <c r="L66" s="2">
        <f t="shared" si="0"/>
        <v>2013.22</v>
      </c>
      <c r="M66" s="2"/>
      <c r="N66" s="19">
        <f t="shared" si="1"/>
        <v>0</v>
      </c>
      <c r="O66" s="11"/>
      <c r="P66" s="2">
        <f>--7932.83</f>
        <v>7932.83</v>
      </c>
      <c r="Q66" s="2"/>
      <c r="R66" s="19"/>
      <c r="S66" s="2"/>
      <c r="T66" s="2"/>
      <c r="U66" s="2"/>
      <c r="V66" s="19"/>
      <c r="W66" s="2"/>
      <c r="X66" s="2">
        <f t="shared" si="2"/>
        <v>7932.83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"4144", " - ", "NON-TAXABLE SALES-ACCESSORIES")</f>
        <v xml:space="preserve">          4144 - NON-TAXABLE SALES-ACCESSORIES</v>
      </c>
      <c r="C67" s="11"/>
      <c r="D67" s="2">
        <f>--29.95</f>
        <v>29.95</v>
      </c>
      <c r="E67" s="2"/>
      <c r="F67" s="19"/>
      <c r="G67" s="2"/>
      <c r="H67" s="2"/>
      <c r="I67" s="2"/>
      <c r="J67" s="19"/>
      <c r="K67" s="2"/>
      <c r="L67" s="2">
        <f t="shared" si="0"/>
        <v>29.95</v>
      </c>
      <c r="M67" s="2"/>
      <c r="N67" s="19">
        <f t="shared" si="1"/>
        <v>0</v>
      </c>
      <c r="O67" s="11"/>
      <c r="P67" s="2">
        <f>--241.56</f>
        <v>241.56</v>
      </c>
      <c r="Q67" s="2"/>
      <c r="R67" s="19"/>
      <c r="S67" s="2"/>
      <c r="T67" s="2"/>
      <c r="U67" s="2"/>
      <c r="V67" s="19"/>
      <c r="W67" s="2"/>
      <c r="X67" s="2">
        <f t="shared" si="2"/>
        <v>241.56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"4145", " - ", "NON-TAXABLE SALES-SPECIAL ORDE")</f>
        <v xml:space="preserve">          4145 - NON-TAXABLE SALES-SPECIAL ORDE</v>
      </c>
      <c r="C68" s="11"/>
      <c r="D68" s="2">
        <f>--50</f>
        <v>50</v>
      </c>
      <c r="E68" s="2"/>
      <c r="F68" s="19"/>
      <c r="G68" s="2"/>
      <c r="H68" s="2"/>
      <c r="I68" s="2"/>
      <c r="J68" s="19"/>
      <c r="K68" s="2"/>
      <c r="L68" s="2">
        <f t="shared" si="0"/>
        <v>50</v>
      </c>
      <c r="M68" s="2"/>
      <c r="N68" s="19">
        <f t="shared" si="1"/>
        <v>0</v>
      </c>
      <c r="O68" s="11"/>
      <c r="P68" s="2">
        <f>--140</f>
        <v>140</v>
      </c>
      <c r="Q68" s="2"/>
      <c r="R68" s="19"/>
      <c r="S68" s="2"/>
      <c r="T68" s="2"/>
      <c r="U68" s="2"/>
      <c r="V68" s="19"/>
      <c r="W68" s="2"/>
      <c r="X68" s="2">
        <f t="shared" si="2"/>
        <v>140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"4146", " - ", "NON-TAXABLE SALES-COIN OP MACH")</f>
        <v xml:space="preserve">          4146 - NON-TAXABLE SALES-COIN OP MACH</v>
      </c>
      <c r="C69" s="11"/>
      <c r="D69" s="2">
        <f>--28930.75</f>
        <v>28930.75</v>
      </c>
      <c r="E69" s="2"/>
      <c r="F69" s="19"/>
      <c r="G69" s="2"/>
      <c r="H69" s="2"/>
      <c r="I69" s="2"/>
      <c r="J69" s="19"/>
      <c r="K69" s="2"/>
      <c r="L69" s="2">
        <f t="shared" si="0"/>
        <v>28930.75</v>
      </c>
      <c r="M69" s="2"/>
      <c r="N69" s="19">
        <f t="shared" si="1"/>
        <v>0</v>
      </c>
      <c r="O69" s="11"/>
      <c r="P69" s="2">
        <f>--119341.05</f>
        <v>119341.05</v>
      </c>
      <c r="Q69" s="2"/>
      <c r="R69" s="19"/>
      <c r="S69" s="2"/>
      <c r="T69" s="2"/>
      <c r="U69" s="2"/>
      <c r="V69" s="19"/>
      <c r="W69" s="2"/>
      <c r="X69" s="2">
        <f t="shared" si="2"/>
        <v>119341.05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"4147", " - ", "NON-TAXABLE SALES-MISC")</f>
        <v xml:space="preserve">          4147 - NON-TAXABLE SALES-MISC</v>
      </c>
      <c r="C70" s="11"/>
      <c r="D70" s="2">
        <f>--75</f>
        <v>75</v>
      </c>
      <c r="E70" s="2"/>
      <c r="F70" s="19"/>
      <c r="G70" s="2"/>
      <c r="H70" s="2"/>
      <c r="I70" s="2"/>
      <c r="J70" s="19"/>
      <c r="K70" s="2"/>
      <c r="L70" s="2">
        <f t="shared" si="0"/>
        <v>75</v>
      </c>
      <c r="M70" s="2"/>
      <c r="N70" s="19">
        <f t="shared" si="1"/>
        <v>0</v>
      </c>
      <c r="O70" s="11"/>
      <c r="P70" s="2">
        <f>--249.9</f>
        <v>249.9</v>
      </c>
      <c r="Q70" s="2"/>
      <c r="R70" s="19"/>
      <c r="S70" s="2"/>
      <c r="T70" s="2"/>
      <c r="U70" s="2"/>
      <c r="V70" s="19"/>
      <c r="W70" s="2"/>
      <c r="X70" s="2">
        <f t="shared" si="2"/>
        <v>249.9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"4186", " - ", "NON-TAXABLE SALES-COMPUTER SUP")</f>
        <v xml:space="preserve">          4186 - NON-TAXABLE SALES-COMPUTER SUP</v>
      </c>
      <c r="C71" s="11"/>
      <c r="D71" s="2">
        <f>0</f>
        <v>0</v>
      </c>
      <c r="E71" s="2"/>
      <c r="F71" s="19"/>
      <c r="G71" s="2"/>
      <c r="H71" s="2"/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-30.97</f>
        <v>-30.97</v>
      </c>
      <c r="Q71" s="2"/>
      <c r="R71" s="19"/>
      <c r="S71" s="2"/>
      <c r="T71" s="2"/>
      <c r="U71" s="2"/>
      <c r="V71" s="19"/>
      <c r="W71" s="2"/>
      <c r="X71" s="2">
        <f t="shared" si="2"/>
        <v>-30.97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"4201", " - ", "SALES RETURN TAXABLE-NEW TEXT")</f>
        <v xml:space="preserve">          4201 - SALES RETURN TAXABLE-NEW TEXT</v>
      </c>
      <c r="C72" s="11"/>
      <c r="D72" s="2">
        <f>-314.9</f>
        <v>-314.89999999999998</v>
      </c>
      <c r="E72" s="2"/>
      <c r="F72" s="19"/>
      <c r="G72" s="2"/>
      <c r="H72" s="2"/>
      <c r="I72" s="2"/>
      <c r="J72" s="19"/>
      <c r="K72" s="2"/>
      <c r="L72" s="2">
        <f t="shared" si="0"/>
        <v>-314.89999999999998</v>
      </c>
      <c r="M72" s="2"/>
      <c r="N72" s="19">
        <f t="shared" si="1"/>
        <v>0</v>
      </c>
      <c r="O72" s="11"/>
      <c r="P72" s="2">
        <f>-78098.57</f>
        <v>-78098.570000000007</v>
      </c>
      <c r="Q72" s="2"/>
      <c r="R72" s="19"/>
      <c r="S72" s="2"/>
      <c r="T72" s="2"/>
      <c r="U72" s="2"/>
      <c r="V72" s="19"/>
      <c r="W72" s="2"/>
      <c r="X72" s="2">
        <f t="shared" si="2"/>
        <v>-78098.570000000007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"4202", " - ", "SALES RETURN TAXABLE-USED TEXT")</f>
        <v xml:space="preserve">          4202 - SALES RETURN TAXABLE-USED TEXT</v>
      </c>
      <c r="C73" s="11"/>
      <c r="D73" s="2">
        <f>-113.2</f>
        <v>-113.2</v>
      </c>
      <c r="E73" s="2"/>
      <c r="F73" s="19"/>
      <c r="G73" s="2"/>
      <c r="H73" s="2"/>
      <c r="I73" s="2"/>
      <c r="J73" s="19"/>
      <c r="K73" s="2"/>
      <c r="L73" s="2">
        <f t="shared" si="0"/>
        <v>-113.2</v>
      </c>
      <c r="M73" s="2"/>
      <c r="N73" s="19">
        <f t="shared" si="1"/>
        <v>0</v>
      </c>
      <c r="O73" s="11"/>
      <c r="P73" s="2">
        <f>-27042.2</f>
        <v>-27042.2</v>
      </c>
      <c r="Q73" s="2"/>
      <c r="R73" s="19"/>
      <c r="S73" s="2"/>
      <c r="T73" s="2"/>
      <c r="U73" s="2"/>
      <c r="V73" s="19"/>
      <c r="W73" s="2"/>
      <c r="X73" s="2">
        <f t="shared" si="2"/>
        <v>-27042.2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"4203", " - ", "SALES RETURN TAXABLE-RENTAL TE")</f>
        <v xml:space="preserve">          4203 - SALES RETURN TAXABLE-RENTAL TE</v>
      </c>
      <c r="C74" s="11"/>
      <c r="D74" s="2">
        <f>0</f>
        <v>0</v>
      </c>
      <c r="E74" s="2"/>
      <c r="F74" s="19"/>
      <c r="G74" s="2"/>
      <c r="H74" s="2"/>
      <c r="I74" s="2"/>
      <c r="J74" s="19"/>
      <c r="K74" s="2"/>
      <c r="L74" s="2">
        <f t="shared" si="0"/>
        <v>0</v>
      </c>
      <c r="M74" s="2"/>
      <c r="N74" s="19">
        <f t="shared" si="1"/>
        <v>0</v>
      </c>
      <c r="O74" s="11"/>
      <c r="P74" s="2">
        <f>-144.99</f>
        <v>-144.99</v>
      </c>
      <c r="Q74" s="2"/>
      <c r="R74" s="19"/>
      <c r="S74" s="2"/>
      <c r="T74" s="2"/>
      <c r="U74" s="2"/>
      <c r="V74" s="19"/>
      <c r="W74" s="2"/>
      <c r="X74" s="2">
        <f t="shared" si="2"/>
        <v>-144.99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"4204", " - ", "SALES RETURN TAXABLE-DIGITAL T")</f>
        <v xml:space="preserve">          4204 - SALES RETURN TAXABLE-DIGITAL T</v>
      </c>
      <c r="C75" s="11"/>
      <c r="D75" s="2">
        <f>-119.4</f>
        <v>-119.4</v>
      </c>
      <c r="E75" s="2"/>
      <c r="F75" s="19"/>
      <c r="G75" s="2"/>
      <c r="H75" s="2"/>
      <c r="I75" s="2"/>
      <c r="J75" s="19"/>
      <c r="K75" s="2"/>
      <c r="L75" s="2">
        <f t="shared" si="0"/>
        <v>-119.4</v>
      </c>
      <c r="M75" s="2"/>
      <c r="N75" s="19">
        <f t="shared" si="1"/>
        <v>0</v>
      </c>
      <c r="O75" s="11"/>
      <c r="P75" s="2">
        <f>-11369.46</f>
        <v>-11369.46</v>
      </c>
      <c r="Q75" s="2"/>
      <c r="R75" s="19"/>
      <c r="S75" s="2"/>
      <c r="T75" s="2"/>
      <c r="U75" s="2"/>
      <c r="V75" s="19"/>
      <c r="W75" s="2"/>
      <c r="X75" s="2">
        <f t="shared" si="2"/>
        <v>-11369.46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"4213", " - ", "NON-TAXABLE SALES-TRADE BOOKS")</f>
        <v xml:space="preserve">          4213 - NON-TAXABLE SALES-TRADE BOOKS</v>
      </c>
      <c r="C76" s="11"/>
      <c r="D76" s="2">
        <f>-67.34</f>
        <v>-67.34</v>
      </c>
      <c r="E76" s="2"/>
      <c r="F76" s="19"/>
      <c r="G76" s="2"/>
      <c r="H76" s="2"/>
      <c r="I76" s="2"/>
      <c r="J76" s="19"/>
      <c r="K76" s="2"/>
      <c r="L76" s="2">
        <f t="shared" si="0"/>
        <v>-67.34</v>
      </c>
      <c r="M76" s="2"/>
      <c r="N76" s="19">
        <f t="shared" si="1"/>
        <v>0</v>
      </c>
      <c r="O76" s="11"/>
      <c r="P76" s="2">
        <f>-102.71</f>
        <v>-102.71</v>
      </c>
      <c r="Q76" s="2"/>
      <c r="R76" s="19"/>
      <c r="S76" s="2"/>
      <c r="T76" s="2"/>
      <c r="U76" s="2"/>
      <c r="V76" s="19"/>
      <c r="W76" s="2"/>
      <c r="X76" s="2">
        <f t="shared" si="2"/>
        <v>-102.71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"4217", " - ", "NON-TAXABLE SALES-DORM/HOUSEWA")</f>
        <v xml:space="preserve">          4217 - NON-TAXABLE SALES-DORM/HOUSEWA</v>
      </c>
      <c r="C77" s="11"/>
      <c r="D77" s="2">
        <f t="shared" ref="D77:D78" si="4">0</f>
        <v>0</v>
      </c>
      <c r="E77" s="2"/>
      <c r="F77" s="19"/>
      <c r="G77" s="2"/>
      <c r="H77" s="2"/>
      <c r="I77" s="2"/>
      <c r="J77" s="19"/>
      <c r="K77" s="2"/>
      <c r="L77" s="2">
        <f t="shared" si="0"/>
        <v>0</v>
      </c>
      <c r="M77" s="2"/>
      <c r="N77" s="19">
        <f t="shared" si="1"/>
        <v>0</v>
      </c>
      <c r="O77" s="11"/>
      <c r="P77" s="2">
        <f>-2.98</f>
        <v>-2.98</v>
      </c>
      <c r="Q77" s="2"/>
      <c r="R77" s="19"/>
      <c r="S77" s="2"/>
      <c r="T77" s="2"/>
      <c r="U77" s="2"/>
      <c r="V77" s="19"/>
      <c r="W77" s="2"/>
      <c r="X77" s="2">
        <f t="shared" si="2"/>
        <v>-2.98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"4218", " - ", "SALES RETURN TAXABLE-STUDY GUI")</f>
        <v xml:space="preserve">          4218 - SALES RETURN TAXABLE-STUDY GUI</v>
      </c>
      <c r="C78" s="11"/>
      <c r="D78" s="2">
        <f t="shared" si="4"/>
        <v>0</v>
      </c>
      <c r="E78" s="2"/>
      <c r="F78" s="19"/>
      <c r="G78" s="2"/>
      <c r="H78" s="2"/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-32.75</f>
        <v>-32.75</v>
      </c>
      <c r="Q78" s="2"/>
      <c r="R78" s="19"/>
      <c r="S78" s="2"/>
      <c r="T78" s="2"/>
      <c r="U78" s="2"/>
      <c r="V78" s="19"/>
      <c r="W78" s="2"/>
      <c r="X78" s="2">
        <f t="shared" si="2"/>
        <v>-32.75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"4225", " - ", "SALES RETURN TAXABLE-TEST FORM")</f>
        <v xml:space="preserve">          4225 - SALES RETURN TAXABLE-TEST FORM</v>
      </c>
      <c r="C79" s="11"/>
      <c r="D79" s="2">
        <f>-23.91</f>
        <v>-23.91</v>
      </c>
      <c r="E79" s="2"/>
      <c r="F79" s="19"/>
      <c r="G79" s="2"/>
      <c r="H79" s="2"/>
      <c r="I79" s="2"/>
      <c r="J79" s="19"/>
      <c r="K79" s="2"/>
      <c r="L79" s="2">
        <f t="shared" si="0"/>
        <v>-23.91</v>
      </c>
      <c r="M79" s="2"/>
      <c r="N79" s="19">
        <f t="shared" si="1"/>
        <v>0</v>
      </c>
      <c r="O79" s="11"/>
      <c r="P79" s="2">
        <f>-65.46</f>
        <v>-65.459999999999994</v>
      </c>
      <c r="Q79" s="2"/>
      <c r="R79" s="19"/>
      <c r="S79" s="2"/>
      <c r="T79" s="2"/>
      <c r="U79" s="2"/>
      <c r="V79" s="19"/>
      <c r="W79" s="2"/>
      <c r="X79" s="2">
        <f t="shared" si="2"/>
        <v>-65.459999999999994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"4226", " - ", "SALES RETURN TAXABLE-WRITING I")</f>
        <v xml:space="preserve">          4226 - SALES RETURN TAXABLE-WRITING I</v>
      </c>
      <c r="C80" s="11"/>
      <c r="D80" s="2">
        <f>-13.74</f>
        <v>-13.74</v>
      </c>
      <c r="E80" s="2"/>
      <c r="F80" s="19"/>
      <c r="G80" s="2"/>
      <c r="H80" s="2"/>
      <c r="I80" s="2"/>
      <c r="J80" s="19"/>
      <c r="K80" s="2"/>
      <c r="L80" s="2">
        <f t="shared" si="0"/>
        <v>-13.74</v>
      </c>
      <c r="M80" s="2"/>
      <c r="N80" s="19">
        <f t="shared" si="1"/>
        <v>0</v>
      </c>
      <c r="O80" s="11"/>
      <c r="P80" s="2">
        <f>-489.71</f>
        <v>-489.71</v>
      </c>
      <c r="Q80" s="2"/>
      <c r="R80" s="19"/>
      <c r="S80" s="2"/>
      <c r="T80" s="2"/>
      <c r="U80" s="2"/>
      <c r="V80" s="19"/>
      <c r="W80" s="2"/>
      <c r="X80" s="2">
        <f t="shared" si="2"/>
        <v>-489.71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"4227", " - ", "SALES RETURN TAXABLE-SCHOOL SU")</f>
        <v xml:space="preserve">          4227 - SALES RETURN TAXABLE-SCHOOL SU</v>
      </c>
      <c r="C81" s="11"/>
      <c r="D81" s="2">
        <f>-917.34</f>
        <v>-917.34</v>
      </c>
      <c r="E81" s="2"/>
      <c r="F81" s="19"/>
      <c r="G81" s="2"/>
      <c r="H81" s="2"/>
      <c r="I81" s="2"/>
      <c r="J81" s="19"/>
      <c r="K81" s="2"/>
      <c r="L81" s="2">
        <f t="shared" si="0"/>
        <v>-917.34</v>
      </c>
      <c r="M81" s="2"/>
      <c r="N81" s="19">
        <f t="shared" si="1"/>
        <v>0</v>
      </c>
      <c r="O81" s="11"/>
      <c r="P81" s="2">
        <f>-5743.82</f>
        <v>-5743.82</v>
      </c>
      <c r="Q81" s="2"/>
      <c r="R81" s="19"/>
      <c r="S81" s="2"/>
      <c r="T81" s="2"/>
      <c r="U81" s="2"/>
      <c r="V81" s="19"/>
      <c r="W81" s="2"/>
      <c r="X81" s="2">
        <f t="shared" si="2"/>
        <v>-5743.82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"4228", " - ", "SALES RETURN TAXABLE-ART/TECH")</f>
        <v xml:space="preserve">          4228 - SALES RETURN TAXABLE-ART/TECH</v>
      </c>
      <c r="C82" s="11"/>
      <c r="D82" s="2">
        <f>-441.03</f>
        <v>-441.03</v>
      </c>
      <c r="E82" s="2"/>
      <c r="F82" s="19"/>
      <c r="G82" s="2"/>
      <c r="H82" s="2"/>
      <c r="I82" s="2"/>
      <c r="J82" s="19"/>
      <c r="K82" s="2"/>
      <c r="L82" s="2">
        <f t="shared" si="0"/>
        <v>-441.03</v>
      </c>
      <c r="M82" s="2"/>
      <c r="N82" s="19">
        <f t="shared" si="1"/>
        <v>0</v>
      </c>
      <c r="O82" s="11"/>
      <c r="P82" s="2">
        <f>-2871.29</f>
        <v>-2871.29</v>
      </c>
      <c r="Q82" s="2"/>
      <c r="R82" s="19"/>
      <c r="S82" s="2"/>
      <c r="T82" s="2"/>
      <c r="U82" s="2"/>
      <c r="V82" s="19"/>
      <c r="W82" s="2"/>
      <c r="X82" s="2">
        <f t="shared" si="2"/>
        <v>-2871.29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"4233", " - ", "SALES RETURN TAXABLE-CANDY")</f>
        <v xml:space="preserve">          4233 - SALES RETURN TAXABLE-CANDY</v>
      </c>
      <c r="C83" s="11"/>
      <c r="D83" s="2">
        <f>-1.29</f>
        <v>-1.29</v>
      </c>
      <c r="E83" s="2"/>
      <c r="F83" s="19"/>
      <c r="G83" s="2"/>
      <c r="H83" s="2"/>
      <c r="I83" s="2"/>
      <c r="J83" s="19"/>
      <c r="K83" s="2"/>
      <c r="L83" s="2">
        <f t="shared" si="0"/>
        <v>-1.29</v>
      </c>
      <c r="M83" s="2"/>
      <c r="N83" s="19">
        <f t="shared" si="1"/>
        <v>0</v>
      </c>
      <c r="O83" s="11"/>
      <c r="P83" s="2">
        <f>-1.29</f>
        <v>-1.29</v>
      </c>
      <c r="Q83" s="2"/>
      <c r="R83" s="19"/>
      <c r="S83" s="2"/>
      <c r="T83" s="2"/>
      <c r="U83" s="2"/>
      <c r="V83" s="19"/>
      <c r="W83" s="2"/>
      <c r="X83" s="2">
        <f t="shared" si="2"/>
        <v>-1.29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"4240", " - ", "SALES RETURN TAXABLE-LOGO CLOT")</f>
        <v xml:space="preserve">          4240 - SALES RETURN TAXABLE-LOGO CLOT</v>
      </c>
      <c r="C84" s="11"/>
      <c r="D84" s="2">
        <f>-10814.23</f>
        <v>-10814.23</v>
      </c>
      <c r="E84" s="2"/>
      <c r="F84" s="19"/>
      <c r="G84" s="2"/>
      <c r="H84" s="2"/>
      <c r="I84" s="2"/>
      <c r="J84" s="19"/>
      <c r="K84" s="2"/>
      <c r="L84" s="2">
        <f t="shared" si="0"/>
        <v>-10814.23</v>
      </c>
      <c r="M84" s="2"/>
      <c r="N84" s="19">
        <f t="shared" si="1"/>
        <v>0</v>
      </c>
      <c r="O84" s="11"/>
      <c r="P84" s="2">
        <f>-41109.03</f>
        <v>-41109.03</v>
      </c>
      <c r="Q84" s="2"/>
      <c r="R84" s="19"/>
      <c r="S84" s="2"/>
      <c r="T84" s="2"/>
      <c r="U84" s="2"/>
      <c r="V84" s="19"/>
      <c r="W84" s="2"/>
      <c r="X84" s="2">
        <f t="shared" si="2"/>
        <v>-41109.03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"4241", " - ", "SALES RETURN TAXABLE-LOGO GIFT")</f>
        <v xml:space="preserve">          4241 - SALES RETURN TAXABLE-LOGO GIFT</v>
      </c>
      <c r="C85" s="11"/>
      <c r="D85" s="2">
        <f>-491.64</f>
        <v>-491.64</v>
      </c>
      <c r="E85" s="2"/>
      <c r="F85" s="19"/>
      <c r="G85" s="2"/>
      <c r="H85" s="2"/>
      <c r="I85" s="2"/>
      <c r="J85" s="19"/>
      <c r="K85" s="2"/>
      <c r="L85" s="2">
        <f t="shared" si="0"/>
        <v>-491.64</v>
      </c>
      <c r="M85" s="2"/>
      <c r="N85" s="19">
        <f t="shared" si="1"/>
        <v>0</v>
      </c>
      <c r="O85" s="11"/>
      <c r="P85" s="2">
        <f>-3209.59</f>
        <v>-3209.59</v>
      </c>
      <c r="Q85" s="2"/>
      <c r="R85" s="19"/>
      <c r="S85" s="2"/>
      <c r="T85" s="2"/>
      <c r="U85" s="2"/>
      <c r="V85" s="19"/>
      <c r="W85" s="2"/>
      <c r="X85" s="2">
        <f t="shared" si="2"/>
        <v>-3209.59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"4242", " - ", "SALES RETURN TAXABLE-EVERYDAY")</f>
        <v xml:space="preserve">          4242 - SALES RETURN TAXABLE-EVERYDAY</v>
      </c>
      <c r="C86" s="11"/>
      <c r="D86" s="2">
        <f>-532.3</f>
        <v>-532.29999999999995</v>
      </c>
      <c r="E86" s="2"/>
      <c r="F86" s="19"/>
      <c r="G86" s="2"/>
      <c r="H86" s="2"/>
      <c r="I86" s="2"/>
      <c r="J86" s="19"/>
      <c r="K86" s="2"/>
      <c r="L86" s="2">
        <f t="shared" si="0"/>
        <v>-532.29999999999995</v>
      </c>
      <c r="M86" s="2"/>
      <c r="N86" s="19">
        <f t="shared" si="1"/>
        <v>0</v>
      </c>
      <c r="O86" s="11"/>
      <c r="P86" s="2">
        <f>-1691.87</f>
        <v>-1691.87</v>
      </c>
      <c r="Q86" s="2"/>
      <c r="R86" s="19"/>
      <c r="S86" s="2"/>
      <c r="T86" s="2"/>
      <c r="U86" s="2"/>
      <c r="V86" s="19"/>
      <c r="W86" s="2"/>
      <c r="X86" s="2">
        <f t="shared" si="2"/>
        <v>-1691.87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"4243", " - ", "SALES RETURN TAXABLE-CARDS")</f>
        <v xml:space="preserve">          4243 - SALES RETURN TAXABLE-CARDS</v>
      </c>
      <c r="C87" s="11"/>
      <c r="D87" s="2">
        <f>-316.34</f>
        <v>-316.33999999999997</v>
      </c>
      <c r="E87" s="2"/>
      <c r="F87" s="19"/>
      <c r="G87" s="2"/>
      <c r="H87" s="2"/>
      <c r="I87" s="2"/>
      <c r="J87" s="19"/>
      <c r="K87" s="2"/>
      <c r="L87" s="2">
        <f t="shared" si="0"/>
        <v>-316.33999999999997</v>
      </c>
      <c r="M87" s="2"/>
      <c r="N87" s="19">
        <f t="shared" si="1"/>
        <v>0</v>
      </c>
      <c r="O87" s="11"/>
      <c r="P87" s="2">
        <f>-320.84</f>
        <v>-320.83999999999997</v>
      </c>
      <c r="Q87" s="2"/>
      <c r="R87" s="19"/>
      <c r="S87" s="2"/>
      <c r="T87" s="2"/>
      <c r="U87" s="2"/>
      <c r="V87" s="19"/>
      <c r="W87" s="2"/>
      <c r="X87" s="2">
        <f t="shared" si="2"/>
        <v>-320.83999999999997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"4244", " - ", "SALES RETURN TAXABLE-ACCESSORI")</f>
        <v xml:space="preserve">          4244 - SALES RETURN TAXABLE-ACCESSORI</v>
      </c>
      <c r="C88" s="11"/>
      <c r="D88" s="2">
        <f>-96.7</f>
        <v>-96.7</v>
      </c>
      <c r="E88" s="2"/>
      <c r="F88" s="19"/>
      <c r="G88" s="2"/>
      <c r="H88" s="2"/>
      <c r="I88" s="2"/>
      <c r="J88" s="19"/>
      <c r="K88" s="2"/>
      <c r="L88" s="2">
        <f t="shared" si="0"/>
        <v>-96.7</v>
      </c>
      <c r="M88" s="2"/>
      <c r="N88" s="19">
        <f t="shared" si="1"/>
        <v>0</v>
      </c>
      <c r="O88" s="11"/>
      <c r="P88" s="2">
        <f>-1529.06</f>
        <v>-1529.06</v>
      </c>
      <c r="Q88" s="2"/>
      <c r="R88" s="19"/>
      <c r="S88" s="2"/>
      <c r="T88" s="2"/>
      <c r="U88" s="2"/>
      <c r="V88" s="19"/>
      <c r="W88" s="2"/>
      <c r="X88" s="2">
        <f t="shared" si="2"/>
        <v>-1529.06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"4245", " - ", "SALES RETURN TAXABLE-SPECIAL O")</f>
        <v xml:space="preserve">          4245 - SALES RETURN TAXABLE-SPECIAL O</v>
      </c>
      <c r="C89" s="11"/>
      <c r="D89" s="2">
        <f t="shared" ref="D89:D90" si="5">0</f>
        <v>0</v>
      </c>
      <c r="E89" s="2"/>
      <c r="F89" s="19"/>
      <c r="G89" s="2"/>
      <c r="H89" s="2"/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-91.96</f>
        <v>-91.96</v>
      </c>
      <c r="Q89" s="2"/>
      <c r="R89" s="19"/>
      <c r="S89" s="2"/>
      <c r="T89" s="2"/>
      <c r="U89" s="2"/>
      <c r="V89" s="19"/>
      <c r="W89" s="2"/>
      <c r="X89" s="2">
        <f t="shared" si="2"/>
        <v>-91.96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"4281", " - ", "SALES RETURN TAXABLE-ELECTRONI")</f>
        <v xml:space="preserve">          4281 - SALES RETURN TAXABLE-ELECTRONI</v>
      </c>
      <c r="C90" s="11"/>
      <c r="D90" s="2">
        <f t="shared" si="5"/>
        <v>0</v>
      </c>
      <c r="E90" s="2"/>
      <c r="F90" s="19"/>
      <c r="G90" s="2"/>
      <c r="H90" s="2"/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>-44.98</f>
        <v>-44.98</v>
      </c>
      <c r="Q90" s="2"/>
      <c r="R90" s="19"/>
      <c r="S90" s="2"/>
      <c r="T90" s="2"/>
      <c r="U90" s="2"/>
      <c r="V90" s="19"/>
      <c r="W90" s="2"/>
      <c r="X90" s="2">
        <f t="shared" si="2"/>
        <v>-44.98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"4292", " - ", "SALES RETURN TAXABLE-GRAD MERC")</f>
        <v xml:space="preserve">          4292 - SALES RETURN TAXABLE-GRAD MERC</v>
      </c>
      <c r="C91" s="11"/>
      <c r="D91" s="2">
        <f>-9.95</f>
        <v>-9.9499999999999993</v>
      </c>
      <c r="E91" s="2"/>
      <c r="F91" s="19"/>
      <c r="G91" s="2"/>
      <c r="H91" s="2"/>
      <c r="I91" s="2"/>
      <c r="J91" s="19"/>
      <c r="K91" s="2"/>
      <c r="L91" s="2">
        <f t="shared" si="0"/>
        <v>-9.9499999999999993</v>
      </c>
      <c r="M91" s="2"/>
      <c r="N91" s="19">
        <f t="shared" si="1"/>
        <v>0</v>
      </c>
      <c r="O91" s="11"/>
      <c r="P91" s="2">
        <f>-419.05</f>
        <v>-419.05</v>
      </c>
      <c r="Q91" s="2"/>
      <c r="R91" s="19"/>
      <c r="S91" s="2"/>
      <c r="T91" s="2"/>
      <c r="U91" s="2"/>
      <c r="V91" s="19"/>
      <c r="W91" s="2"/>
      <c r="X91" s="2">
        <f t="shared" si="2"/>
        <v>-419.05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"4295", " - ", "SALES RETURN TAXABLE-CUSTOMER")</f>
        <v xml:space="preserve">          4295 - SALES RETURN TAXABLE-CUSTOMER</v>
      </c>
      <c r="C92" s="11"/>
      <c r="D92" s="2">
        <f t="shared" ref="D92:D95" si="6">0</f>
        <v>0</v>
      </c>
      <c r="E92" s="2"/>
      <c r="F92" s="19"/>
      <c r="G92" s="2"/>
      <c r="H92" s="2"/>
      <c r="I92" s="2"/>
      <c r="J92" s="19"/>
      <c r="K92" s="2"/>
      <c r="L92" s="2">
        <f t="shared" si="0"/>
        <v>0</v>
      </c>
      <c r="M92" s="2"/>
      <c r="N92" s="19">
        <f t="shared" si="1"/>
        <v>0</v>
      </c>
      <c r="O92" s="11"/>
      <c r="P92" s="2">
        <f>--0.99</f>
        <v>0.99</v>
      </c>
      <c r="Q92" s="2"/>
      <c r="R92" s="19"/>
      <c r="S92" s="2"/>
      <c r="T92" s="2"/>
      <c r="U92" s="2"/>
      <c r="V92" s="19"/>
      <c r="W92" s="2"/>
      <c r="X92" s="2">
        <f t="shared" si="2"/>
        <v>0.99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"4301", " - ", "SALES RETURN NON TAXABLE-NEW T")</f>
        <v xml:space="preserve">          4301 - SALES RETURN NON TAXABLE-NEW T</v>
      </c>
      <c r="C93" s="11"/>
      <c r="D93" s="2">
        <f t="shared" si="6"/>
        <v>0</v>
      </c>
      <c r="E93" s="2"/>
      <c r="F93" s="19"/>
      <c r="G93" s="2"/>
      <c r="H93" s="2"/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>-12310.98</f>
        <v>-12310.98</v>
      </c>
      <c r="Q93" s="2"/>
      <c r="R93" s="19"/>
      <c r="S93" s="2"/>
      <c r="T93" s="2"/>
      <c r="U93" s="2"/>
      <c r="V93" s="19"/>
      <c r="W93" s="2"/>
      <c r="X93" s="2">
        <f t="shared" si="2"/>
        <v>-12310.98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"4302", " - ", "SALES RETURN NON TAXABLE-TEXT")</f>
        <v xml:space="preserve">          4302 - SALES RETURN NON TAXABLE-TEXT</v>
      </c>
      <c r="C94" s="11"/>
      <c r="D94" s="2">
        <f t="shared" si="6"/>
        <v>0</v>
      </c>
      <c r="E94" s="2"/>
      <c r="F94" s="19"/>
      <c r="G94" s="2"/>
      <c r="H94" s="2"/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>-683.8</f>
        <v>-683.8</v>
      </c>
      <c r="Q94" s="2"/>
      <c r="R94" s="19"/>
      <c r="S94" s="2"/>
      <c r="T94" s="2"/>
      <c r="U94" s="2"/>
      <c r="V94" s="19"/>
      <c r="W94" s="2"/>
      <c r="X94" s="2">
        <f t="shared" si="2"/>
        <v>-683.8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"4303", " - ", "SALES RETURN NON-TAXABLE-RENTA")</f>
        <v xml:space="preserve">          4303 - SALES RETURN NON-TAXABLE-RENTA</v>
      </c>
      <c r="C95" s="11"/>
      <c r="D95" s="2">
        <f t="shared" si="6"/>
        <v>0</v>
      </c>
      <c r="E95" s="2"/>
      <c r="F95" s="19"/>
      <c r="G95" s="2"/>
      <c r="H95" s="2"/>
      <c r="I95" s="2"/>
      <c r="J95" s="19"/>
      <c r="K95" s="2"/>
      <c r="L95" s="2">
        <f t="shared" si="0"/>
        <v>0</v>
      </c>
      <c r="M95" s="2"/>
      <c r="N95" s="19">
        <f t="shared" si="1"/>
        <v>0</v>
      </c>
      <c r="O95" s="11"/>
      <c r="P95" s="2">
        <f>-184.99</f>
        <v>-184.99</v>
      </c>
      <c r="Q95" s="2"/>
      <c r="R95" s="19"/>
      <c r="S95" s="2"/>
      <c r="T95" s="2"/>
      <c r="U95" s="2"/>
      <c r="V95" s="19"/>
      <c r="W95" s="2"/>
      <c r="X95" s="2">
        <f t="shared" si="2"/>
        <v>-184.99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"4304", " - ", "SALES RETURN NON TAXABLE-DIGIT")</f>
        <v xml:space="preserve">          4304 - SALES RETURN NON TAXABLE-DIGIT</v>
      </c>
      <c r="C96" s="11"/>
      <c r="D96" s="2">
        <f>-70.58</f>
        <v>-70.58</v>
      </c>
      <c r="E96" s="2"/>
      <c r="F96" s="19"/>
      <c r="G96" s="2"/>
      <c r="H96" s="2"/>
      <c r="I96" s="2"/>
      <c r="J96" s="19"/>
      <c r="K96" s="2"/>
      <c r="L96" s="2">
        <f t="shared" si="0"/>
        <v>-70.58</v>
      </c>
      <c r="M96" s="2"/>
      <c r="N96" s="19">
        <f t="shared" si="1"/>
        <v>0</v>
      </c>
      <c r="O96" s="11"/>
      <c r="P96" s="2">
        <f>-13203.87</f>
        <v>-13203.87</v>
      </c>
      <c r="Q96" s="2"/>
      <c r="R96" s="19"/>
      <c r="S96" s="2"/>
      <c r="T96" s="2"/>
      <c r="U96" s="2"/>
      <c r="V96" s="19"/>
      <c r="W96" s="2"/>
      <c r="X96" s="2">
        <f t="shared" si="2"/>
        <v>-13203.87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"4311", " - ", "SALES RETURN NON TAXABLE-NO VA")</f>
        <v xml:space="preserve">          4311 - SALES RETURN NON TAXABLE-NO VA</v>
      </c>
      <c r="C97" s="11"/>
      <c r="D97" s="2">
        <f t="shared" ref="D97:D98" si="7">0</f>
        <v>0</v>
      </c>
      <c r="E97" s="2"/>
      <c r="F97" s="19"/>
      <c r="G97" s="2"/>
      <c r="H97" s="2"/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>-387.96</f>
        <v>-387.96</v>
      </c>
      <c r="Q97" s="2"/>
      <c r="R97" s="19"/>
      <c r="S97" s="2"/>
      <c r="T97" s="2"/>
      <c r="U97" s="2"/>
      <c r="V97" s="19"/>
      <c r="W97" s="2"/>
      <c r="X97" s="2">
        <f t="shared" si="2"/>
        <v>-387.96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"4327", " - ", "SALES RETURN NON TAXABLE-SCHOO")</f>
        <v xml:space="preserve">          4327 - SALES RETURN NON TAXABLE-SCHOO</v>
      </c>
      <c r="C98" s="11"/>
      <c r="D98" s="2">
        <f t="shared" si="7"/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-21.87</f>
        <v>-21.87</v>
      </c>
      <c r="Q98" s="2"/>
      <c r="R98" s="19"/>
      <c r="S98" s="2"/>
      <c r="T98" s="2"/>
      <c r="U98" s="2"/>
      <c r="V98" s="19"/>
      <c r="W98" s="2"/>
      <c r="X98" s="2">
        <f t="shared" si="2"/>
        <v>-21.87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"4340", " - ", "SALES RETURN NON TAXABLE-LOGO")</f>
        <v xml:space="preserve">          4340 - SALES RETURN NON TAXABLE-LOGO</v>
      </c>
      <c r="C99" s="11"/>
      <c r="D99" s="2">
        <f>-29.95</f>
        <v>-29.95</v>
      </c>
      <c r="E99" s="2"/>
      <c r="F99" s="19"/>
      <c r="G99" s="2"/>
      <c r="H99" s="2"/>
      <c r="I99" s="2"/>
      <c r="J99" s="19"/>
      <c r="K99" s="2"/>
      <c r="L99" s="2">
        <f t="shared" si="0"/>
        <v>-29.95</v>
      </c>
      <c r="M99" s="2"/>
      <c r="N99" s="19">
        <f t="shared" si="1"/>
        <v>0</v>
      </c>
      <c r="O99" s="11"/>
      <c r="P99" s="2">
        <f>-323.4</f>
        <v>-323.39999999999998</v>
      </c>
      <c r="Q99" s="2"/>
      <c r="R99" s="19"/>
      <c r="S99" s="2"/>
      <c r="T99" s="2"/>
      <c r="U99" s="2"/>
      <c r="V99" s="19"/>
      <c r="W99" s="2"/>
      <c r="X99" s="2">
        <f t="shared" si="2"/>
        <v>-323.39999999999998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"4341", " - ", "SALES RETURN NON TAXABLE-LOGO")</f>
        <v xml:space="preserve">          4341 - SALES RETURN NON TAXABLE-LOGO</v>
      </c>
      <c r="C100" s="11"/>
      <c r="D100" s="2">
        <f>0</f>
        <v>0</v>
      </c>
      <c r="E100" s="2"/>
      <c r="F100" s="19"/>
      <c r="G100" s="2"/>
      <c r="H100" s="2"/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>-10.9</f>
        <v>-10.9</v>
      </c>
      <c r="Q100" s="2"/>
      <c r="R100" s="19"/>
      <c r="S100" s="2"/>
      <c r="T100" s="2"/>
      <c r="U100" s="2"/>
      <c r="V100" s="19"/>
      <c r="W100" s="2"/>
      <c r="X100" s="2">
        <f t="shared" si="2"/>
        <v>-10.9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"4342", " - ", "SALES RETURN NON TAXABLE-EVERY")</f>
        <v xml:space="preserve">          4342 - SALES RETURN NON TAXABLE-EVERY</v>
      </c>
      <c r="C101" s="11"/>
      <c r="D101" s="2">
        <f>-6.95</f>
        <v>-6.95</v>
      </c>
      <c r="E101" s="2"/>
      <c r="F101" s="19"/>
      <c r="G101" s="2"/>
      <c r="H101" s="2"/>
      <c r="I101" s="2"/>
      <c r="J101" s="19"/>
      <c r="K101" s="2"/>
      <c r="L101" s="2">
        <f t="shared" si="0"/>
        <v>-6.95</v>
      </c>
      <c r="M101" s="2"/>
      <c r="N101" s="19">
        <f t="shared" si="1"/>
        <v>0</v>
      </c>
      <c r="O101" s="11"/>
      <c r="P101" s="2">
        <f>-109.8</f>
        <v>-109.8</v>
      </c>
      <c r="Q101" s="2"/>
      <c r="R101" s="19"/>
      <c r="S101" s="2"/>
      <c r="T101" s="2"/>
      <c r="U101" s="2"/>
      <c r="V101" s="19"/>
      <c r="W101" s="2"/>
      <c r="X101" s="2">
        <f t="shared" si="2"/>
        <v>-109.8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"4346", " - ", "SALES RETURN NON TAXABLE-COIN-")</f>
        <v xml:space="preserve">          4346 - SALES RETURN NON TAXABLE-COIN-</v>
      </c>
      <c r="C102" s="11"/>
      <c r="D102" s="2">
        <f>0</f>
        <v>0</v>
      </c>
      <c r="E102" s="2"/>
      <c r="F102" s="19"/>
      <c r="G102" s="2"/>
      <c r="H102" s="2"/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-8.15</f>
        <v>-8.15</v>
      </c>
      <c r="Q102" s="2"/>
      <c r="R102" s="19"/>
      <c r="S102" s="2"/>
      <c r="T102" s="2"/>
      <c r="U102" s="2"/>
      <c r="V102" s="19"/>
      <c r="W102" s="2"/>
      <c r="X102" s="2">
        <f t="shared" si="2"/>
        <v>-8.15</v>
      </c>
      <c r="Y102" s="2"/>
      <c r="Z102" s="19">
        <f t="shared" si="3"/>
        <v>0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collapsed="1" x14ac:dyDescent="0.25">
      <c r="A104" s="10"/>
      <c r="B104" s="29" t="s">
        <v>8</v>
      </c>
      <c r="C104" s="10"/>
      <c r="D104" s="4">
        <f>SUM(OSRRefD16x_0)</f>
        <v>211070.68000000014</v>
      </c>
      <c r="E104" s="4"/>
      <c r="F104" s="12">
        <f t="shared" ref="F104:F155" si="8">IF(D$12=0,0,D104/D$12)</f>
        <v>0.46866804247579436</v>
      </c>
      <c r="G104" s="4"/>
      <c r="H104" s="4">
        <f>SUM(OSRRefH16x_0)</f>
        <v>156546.33171999999</v>
      </c>
      <c r="I104" s="4"/>
      <c r="J104" s="12">
        <f t="shared" ref="J104:J155" si="9">IF(H$12=0,0,H104/H$12)</f>
        <v>0.40090171616769005</v>
      </c>
      <c r="K104" s="4"/>
      <c r="L104" s="4">
        <f t="shared" ref="L104:L155" si="10">+D104-H104</f>
        <v>54524.348280000151</v>
      </c>
      <c r="M104" s="4"/>
      <c r="N104" s="12">
        <f t="shared" ref="N104:N155" si="11">IF(H104=0,0,L104/H104)</f>
        <v>0.34829527898183416</v>
      </c>
      <c r="O104" s="10"/>
      <c r="P104" s="4">
        <f>SUM(OSRRefP16x_0)</f>
        <v>3026263.9000000008</v>
      </c>
      <c r="Q104" s="4"/>
      <c r="R104" s="12">
        <f t="shared" ref="R104:R155" si="12">IF(P$12=0,0,P104/P$12)</f>
        <v>0.59675746838615351</v>
      </c>
      <c r="S104" s="4"/>
      <c r="T104" s="4">
        <f>SUM(OSRRefT16x_0)</f>
        <v>3099382.0501900003</v>
      </c>
      <c r="U104" s="4"/>
      <c r="V104" s="12">
        <f t="shared" ref="V104:V155" si="13">IF(T$12=0,0,T104/T$12)</f>
        <v>0.58747427294091259</v>
      </c>
      <c r="W104" s="4"/>
      <c r="X104" s="4">
        <f t="shared" ref="X104:X155" si="14">+P104-T104</f>
        <v>-73118.150189999491</v>
      </c>
      <c r="Y104" s="4"/>
      <c r="Z104" s="12">
        <f t="shared" ref="Z104:Z155" si="15">IF(T104=0,0,X104/T104)</f>
        <v>-2.3591202699750149E-2</v>
      </c>
    </row>
    <row r="105" spans="1:26" s="24" customFormat="1" hidden="1" outlineLevel="1" x14ac:dyDescent="0.25">
      <c r="A105" s="44"/>
      <c r="B105" s="11" t="str">
        <f>CONCATENATE("          ", "5000", " - ", "PURCHASES @ COST")</f>
        <v xml:space="preserve">          5000 - PURCHASES @ COST</v>
      </c>
      <c r="C105" s="11"/>
      <c r="D105" s="2"/>
      <c r="E105" s="2"/>
      <c r="F105" s="19">
        <f t="shared" si="8"/>
        <v>0</v>
      </c>
      <c r="G105" s="2"/>
      <c r="H105" s="2">
        <v>156546.33171999999</v>
      </c>
      <c r="I105" s="2"/>
      <c r="J105" s="19">
        <f t="shared" si="9"/>
        <v>0.40090171616769005</v>
      </c>
      <c r="K105" s="2"/>
      <c r="L105" s="2">
        <f t="shared" si="10"/>
        <v>-156546.33171999999</v>
      </c>
      <c r="M105" s="2"/>
      <c r="N105" s="19">
        <f t="shared" si="11"/>
        <v>-1</v>
      </c>
      <c r="O105" s="11"/>
      <c r="P105" s="2"/>
      <c r="Q105" s="2"/>
      <c r="R105" s="19">
        <f t="shared" si="12"/>
        <v>0</v>
      </c>
      <c r="S105" s="2"/>
      <c r="T105" s="2">
        <v>3099382.0501900003</v>
      </c>
      <c r="U105" s="2"/>
      <c r="V105" s="19">
        <f t="shared" si="13"/>
        <v>0.58747427294091259</v>
      </c>
      <c r="W105" s="2"/>
      <c r="X105" s="2">
        <f t="shared" si="14"/>
        <v>-3099382.0501900003</v>
      </c>
      <c r="Y105" s="2"/>
      <c r="Z105" s="19">
        <f t="shared" si="15"/>
        <v>-1</v>
      </c>
    </row>
    <row r="106" spans="1:26" s="24" customFormat="1" hidden="1" outlineLevel="1" x14ac:dyDescent="0.25">
      <c r="A106" s="44"/>
      <c r="B106" s="11" t="str">
        <f>CONCATENATE("          ", "5001", " - ", "PURCHASES @ COST-NEW TEXT")</f>
        <v xml:space="preserve">          5001 - PURCHASES @ COST-NEW TEXT</v>
      </c>
      <c r="C106" s="11"/>
      <c r="D106" s="2">
        <v>-175297.72999999998</v>
      </c>
      <c r="E106" s="2"/>
      <c r="F106" s="19">
        <f t="shared" si="8"/>
        <v>-0.38923664797758867</v>
      </c>
      <c r="G106" s="2"/>
      <c r="H106" s="2"/>
      <c r="I106" s="2"/>
      <c r="J106" s="19">
        <f t="shared" si="9"/>
        <v>0</v>
      </c>
      <c r="K106" s="2"/>
      <c r="L106" s="2">
        <f t="shared" si="10"/>
        <v>-175297.72999999998</v>
      </c>
      <c r="M106" s="2"/>
      <c r="N106" s="19">
        <f t="shared" si="11"/>
        <v>0</v>
      </c>
      <c r="O106" s="11"/>
      <c r="P106" s="2">
        <v>1581850.69</v>
      </c>
      <c r="Q106" s="2"/>
      <c r="R106" s="19">
        <f t="shared" si="12"/>
        <v>0.31192957531869242</v>
      </c>
      <c r="S106" s="2"/>
      <c r="T106" s="2"/>
      <c r="U106" s="2"/>
      <c r="V106" s="19">
        <f t="shared" si="13"/>
        <v>0</v>
      </c>
      <c r="W106" s="2"/>
      <c r="X106" s="2">
        <f t="shared" si="14"/>
        <v>1581850.69</v>
      </c>
      <c r="Y106" s="2"/>
      <c r="Z106" s="19">
        <f t="shared" si="15"/>
        <v>0</v>
      </c>
    </row>
    <row r="107" spans="1:26" s="24" customFormat="1" hidden="1" outlineLevel="1" x14ac:dyDescent="0.25">
      <c r="A107" s="44"/>
      <c r="B107" s="11" t="str">
        <f>CONCATENATE("          ", "5002", " - ", "PURCHASES @ COST-USED TEXT")</f>
        <v xml:space="preserve">          5002 - PURCHASES @ COST-USED TEXT</v>
      </c>
      <c r="C107" s="11"/>
      <c r="D107" s="2">
        <v>-155785.26999999999</v>
      </c>
      <c r="E107" s="2"/>
      <c r="F107" s="19">
        <f t="shared" si="8"/>
        <v>-0.34591056198550663</v>
      </c>
      <c r="G107" s="2"/>
      <c r="H107" s="2"/>
      <c r="I107" s="2"/>
      <c r="J107" s="19">
        <f t="shared" si="9"/>
        <v>0</v>
      </c>
      <c r="K107" s="2"/>
      <c r="L107" s="2">
        <f t="shared" si="10"/>
        <v>-155785.26999999999</v>
      </c>
      <c r="M107" s="2"/>
      <c r="N107" s="19">
        <f t="shared" si="11"/>
        <v>0</v>
      </c>
      <c r="O107" s="11"/>
      <c r="P107" s="2">
        <v>212247.9</v>
      </c>
      <c r="Q107" s="2"/>
      <c r="R107" s="19">
        <f t="shared" si="12"/>
        <v>4.1853758845775954E-2</v>
      </c>
      <c r="S107" s="2"/>
      <c r="T107" s="2"/>
      <c r="U107" s="2"/>
      <c r="V107" s="19">
        <f t="shared" si="13"/>
        <v>0</v>
      </c>
      <c r="W107" s="2"/>
      <c r="X107" s="2">
        <f t="shared" si="14"/>
        <v>212247.9</v>
      </c>
      <c r="Y107" s="2"/>
      <c r="Z107" s="19">
        <f t="shared" si="15"/>
        <v>0</v>
      </c>
    </row>
    <row r="108" spans="1:26" s="24" customFormat="1" hidden="1" outlineLevel="1" x14ac:dyDescent="0.25">
      <c r="A108" s="44"/>
      <c r="B108" s="11" t="str">
        <f>CONCATENATE("          ", "5003", " - ", "PURCHASES @ COST-RENTAL TEXT")</f>
        <v xml:space="preserve">          5003 - PURCHASES @ COST-RENTAL TEXT</v>
      </c>
      <c r="C108" s="11"/>
      <c r="D108" s="2"/>
      <c r="E108" s="2"/>
      <c r="F108" s="19">
        <f t="shared" si="8"/>
        <v>0</v>
      </c>
      <c r="G108" s="2"/>
      <c r="H108" s="2"/>
      <c r="I108" s="2"/>
      <c r="J108" s="19">
        <f t="shared" si="9"/>
        <v>0</v>
      </c>
      <c r="K108" s="2"/>
      <c r="L108" s="2">
        <f t="shared" si="10"/>
        <v>0</v>
      </c>
      <c r="M108" s="2"/>
      <c r="N108" s="19">
        <f t="shared" si="11"/>
        <v>0</v>
      </c>
      <c r="O108" s="11"/>
      <c r="P108" s="2">
        <v>-78.400000000000006</v>
      </c>
      <c r="Q108" s="2"/>
      <c r="R108" s="19">
        <f t="shared" si="12"/>
        <v>-1.5459915945028596E-5</v>
      </c>
      <c r="S108" s="2"/>
      <c r="T108" s="2"/>
      <c r="U108" s="2"/>
      <c r="V108" s="19">
        <f t="shared" si="13"/>
        <v>0</v>
      </c>
      <c r="W108" s="2"/>
      <c r="X108" s="2">
        <f t="shared" si="14"/>
        <v>-78.400000000000006</v>
      </c>
      <c r="Y108" s="2"/>
      <c r="Z108" s="19">
        <f t="shared" si="15"/>
        <v>0</v>
      </c>
    </row>
    <row r="109" spans="1:26" s="24" customFormat="1" hidden="1" outlineLevel="1" x14ac:dyDescent="0.25">
      <c r="A109" s="44"/>
      <c r="B109" s="11" t="str">
        <f>CONCATENATE("          ", "5004", " - ", "PURCHASES @ COST-DIGITAL TEXT")</f>
        <v xml:space="preserve">          5004 - PURCHASES @ COST-DIGITAL TEXT</v>
      </c>
      <c r="C109" s="11"/>
      <c r="D109" s="2">
        <v>0.94</v>
      </c>
      <c r="E109" s="2"/>
      <c r="F109" s="19">
        <f t="shared" si="8"/>
        <v>2.0872058588490188E-6</v>
      </c>
      <c r="G109" s="2"/>
      <c r="H109" s="2"/>
      <c r="I109" s="2"/>
      <c r="J109" s="19">
        <f t="shared" si="9"/>
        <v>0</v>
      </c>
      <c r="K109" s="2"/>
      <c r="L109" s="2">
        <f t="shared" si="10"/>
        <v>0.94</v>
      </c>
      <c r="M109" s="2"/>
      <c r="N109" s="19">
        <f t="shared" si="11"/>
        <v>0</v>
      </c>
      <c r="O109" s="11"/>
      <c r="P109" s="2">
        <v>322779.97000000003</v>
      </c>
      <c r="Q109" s="2"/>
      <c r="R109" s="19">
        <f t="shared" si="12"/>
        <v>6.3649887818097606E-2</v>
      </c>
      <c r="S109" s="2"/>
      <c r="T109" s="2"/>
      <c r="U109" s="2"/>
      <c r="V109" s="19">
        <f t="shared" si="13"/>
        <v>0</v>
      </c>
      <c r="W109" s="2"/>
      <c r="X109" s="2">
        <f t="shared" si="14"/>
        <v>322779.97000000003</v>
      </c>
      <c r="Y109" s="2"/>
      <c r="Z109" s="19">
        <f t="shared" si="15"/>
        <v>0</v>
      </c>
    </row>
    <row r="110" spans="1:26" s="24" customFormat="1" hidden="1" outlineLevel="1" x14ac:dyDescent="0.25">
      <c r="A110" s="44"/>
      <c r="B110" s="11" t="str">
        <f>CONCATENATE("          ", "5011", " - ", "PURCHASES @ COST-NO VALUE TEXT")</f>
        <v xml:space="preserve">          5011 - PURCHASES @ COST-NO VALUE TEXT</v>
      </c>
      <c r="C110" s="11"/>
      <c r="D110" s="2">
        <v>66</v>
      </c>
      <c r="E110" s="2"/>
      <c r="F110" s="19">
        <f t="shared" si="8"/>
        <v>1.4654849647237792E-4</v>
      </c>
      <c r="G110" s="2"/>
      <c r="H110" s="2"/>
      <c r="I110" s="2"/>
      <c r="J110" s="19">
        <f t="shared" si="9"/>
        <v>0</v>
      </c>
      <c r="K110" s="2"/>
      <c r="L110" s="2">
        <f t="shared" si="10"/>
        <v>66</v>
      </c>
      <c r="M110" s="2"/>
      <c r="N110" s="19">
        <f t="shared" si="11"/>
        <v>0</v>
      </c>
      <c r="O110" s="11"/>
      <c r="P110" s="2">
        <v>3741</v>
      </c>
      <c r="Q110" s="2"/>
      <c r="R110" s="19">
        <f t="shared" si="12"/>
        <v>7.3769828508102005E-4</v>
      </c>
      <c r="S110" s="2"/>
      <c r="T110" s="2"/>
      <c r="U110" s="2"/>
      <c r="V110" s="19">
        <f t="shared" si="13"/>
        <v>0</v>
      </c>
      <c r="W110" s="2"/>
      <c r="X110" s="2">
        <f t="shared" si="14"/>
        <v>3741</v>
      </c>
      <c r="Y110" s="2"/>
      <c r="Z110" s="19">
        <f t="shared" si="15"/>
        <v>0</v>
      </c>
    </row>
    <row r="111" spans="1:26" s="24" customFormat="1" hidden="1" outlineLevel="1" x14ac:dyDescent="0.25">
      <c r="A111" s="44"/>
      <c r="B111" s="11" t="str">
        <f>CONCATENATE("          ", "5013", " - ", "PURCHASES @ COST-TRADE BOOKS")</f>
        <v xml:space="preserve">          5013 - PURCHASES @ COST-TRADE BOOKS</v>
      </c>
      <c r="C111" s="11"/>
      <c r="D111" s="2">
        <v>10.79</v>
      </c>
      <c r="E111" s="2"/>
      <c r="F111" s="19">
        <f t="shared" si="8"/>
        <v>2.3958458741469053E-5</v>
      </c>
      <c r="G111" s="2"/>
      <c r="H111" s="2"/>
      <c r="I111" s="2"/>
      <c r="J111" s="19">
        <f t="shared" si="9"/>
        <v>0</v>
      </c>
      <c r="K111" s="2"/>
      <c r="L111" s="2">
        <f t="shared" si="10"/>
        <v>10.79</v>
      </c>
      <c r="M111" s="2"/>
      <c r="N111" s="19">
        <f t="shared" si="11"/>
        <v>0</v>
      </c>
      <c r="O111" s="11"/>
      <c r="P111" s="2">
        <v>698.14</v>
      </c>
      <c r="Q111" s="2"/>
      <c r="R111" s="19">
        <f t="shared" si="12"/>
        <v>1.3766818517681458E-4</v>
      </c>
      <c r="S111" s="2"/>
      <c r="T111" s="2"/>
      <c r="U111" s="2"/>
      <c r="V111" s="19">
        <f t="shared" si="13"/>
        <v>0</v>
      </c>
      <c r="W111" s="2"/>
      <c r="X111" s="2">
        <f t="shared" si="14"/>
        <v>698.14</v>
      </c>
      <c r="Y111" s="2"/>
      <c r="Z111" s="19">
        <f t="shared" si="15"/>
        <v>0</v>
      </c>
    </row>
    <row r="112" spans="1:26" s="24" customFormat="1" hidden="1" outlineLevel="1" x14ac:dyDescent="0.25">
      <c r="A112" s="44"/>
      <c r="B112" s="11" t="str">
        <f>CONCATENATE("          ", "5014", " - ", "PURCHASES @ COST-REMAINDERS")</f>
        <v xml:space="preserve">          5014 - PURCHASES @ COST-REMAINDERS</v>
      </c>
      <c r="C112" s="11"/>
      <c r="D112" s="2">
        <v>114.84</v>
      </c>
      <c r="E112" s="2"/>
      <c r="F112" s="19">
        <f t="shared" si="8"/>
        <v>2.5499438386193755E-4</v>
      </c>
      <c r="G112" s="2"/>
      <c r="H112" s="2"/>
      <c r="I112" s="2"/>
      <c r="J112" s="19">
        <f t="shared" si="9"/>
        <v>0</v>
      </c>
      <c r="K112" s="2"/>
      <c r="L112" s="2">
        <f t="shared" si="10"/>
        <v>114.84</v>
      </c>
      <c r="M112" s="2"/>
      <c r="N112" s="19">
        <f t="shared" si="11"/>
        <v>0</v>
      </c>
      <c r="O112" s="11"/>
      <c r="P112" s="2">
        <v>456.81</v>
      </c>
      <c r="Q112" s="2"/>
      <c r="R112" s="19">
        <f t="shared" si="12"/>
        <v>9.0079645444496328E-5</v>
      </c>
      <c r="S112" s="2"/>
      <c r="T112" s="2"/>
      <c r="U112" s="2"/>
      <c r="V112" s="19">
        <f t="shared" si="13"/>
        <v>0</v>
      </c>
      <c r="W112" s="2"/>
      <c r="X112" s="2">
        <f t="shared" si="14"/>
        <v>456.81</v>
      </c>
      <c r="Y112" s="2"/>
      <c r="Z112" s="19">
        <f t="shared" si="15"/>
        <v>0</v>
      </c>
    </row>
    <row r="113" spans="1:26" s="24" customFormat="1" hidden="1" outlineLevel="1" x14ac:dyDescent="0.25">
      <c r="A113" s="44"/>
      <c r="B113" s="11" t="str">
        <f>CONCATENATE("          ", "5017", " - ", "PURCHASES @ COST-DORM/HOUSEWAR")</f>
        <v xml:space="preserve">          5017 - PURCHASES @ COST-DORM/HOUSEWAR</v>
      </c>
      <c r="C113" s="11"/>
      <c r="D113" s="2"/>
      <c r="E113" s="2"/>
      <c r="F113" s="19">
        <f t="shared" si="8"/>
        <v>0</v>
      </c>
      <c r="G113" s="2"/>
      <c r="H113" s="2"/>
      <c r="I113" s="2"/>
      <c r="J113" s="19">
        <f t="shared" si="9"/>
        <v>0</v>
      </c>
      <c r="K113" s="2"/>
      <c r="L113" s="2">
        <f t="shared" si="10"/>
        <v>0</v>
      </c>
      <c r="M113" s="2"/>
      <c r="N113" s="19">
        <f t="shared" si="11"/>
        <v>0</v>
      </c>
      <c r="O113" s="11"/>
      <c r="P113" s="2">
        <v>0</v>
      </c>
      <c r="Q113" s="2"/>
      <c r="R113" s="19">
        <f t="shared" si="12"/>
        <v>0</v>
      </c>
      <c r="S113" s="2"/>
      <c r="T113" s="2"/>
      <c r="U113" s="2"/>
      <c r="V113" s="19">
        <f t="shared" si="13"/>
        <v>0</v>
      </c>
      <c r="W113" s="2"/>
      <c r="X113" s="2">
        <f t="shared" si="14"/>
        <v>0</v>
      </c>
      <c r="Y113" s="2"/>
      <c r="Z113" s="19">
        <f t="shared" si="15"/>
        <v>0</v>
      </c>
    </row>
    <row r="114" spans="1:26" s="24" customFormat="1" hidden="1" outlineLevel="1" x14ac:dyDescent="0.25">
      <c r="A114" s="44"/>
      <c r="B114" s="11" t="str">
        <f>CONCATENATE("          ", "5018", " - ", "PURCHASES @ COST-STUDY GUIDES")</f>
        <v xml:space="preserve">          5018 - PURCHASES @ COST-STUDY GUIDES</v>
      </c>
      <c r="C114" s="11"/>
      <c r="D114" s="2"/>
      <c r="E114" s="2"/>
      <c r="F114" s="19">
        <f t="shared" si="8"/>
        <v>0</v>
      </c>
      <c r="G114" s="2"/>
      <c r="H114" s="2"/>
      <c r="I114" s="2"/>
      <c r="J114" s="19">
        <f t="shared" si="9"/>
        <v>0</v>
      </c>
      <c r="K114" s="2"/>
      <c r="L114" s="2">
        <f t="shared" si="10"/>
        <v>0</v>
      </c>
      <c r="M114" s="2"/>
      <c r="N114" s="19">
        <f t="shared" si="11"/>
        <v>0</v>
      </c>
      <c r="O114" s="11"/>
      <c r="P114" s="2">
        <v>802.09</v>
      </c>
      <c r="Q114" s="2"/>
      <c r="R114" s="19">
        <f t="shared" si="12"/>
        <v>1.5816637730035698E-4</v>
      </c>
      <c r="S114" s="2"/>
      <c r="T114" s="2"/>
      <c r="U114" s="2"/>
      <c r="V114" s="19">
        <f t="shared" si="13"/>
        <v>0</v>
      </c>
      <c r="W114" s="2"/>
      <c r="X114" s="2">
        <f t="shared" si="14"/>
        <v>802.09</v>
      </c>
      <c r="Y114" s="2"/>
      <c r="Z114" s="19">
        <f t="shared" si="15"/>
        <v>0</v>
      </c>
    </row>
    <row r="115" spans="1:26" s="24" customFormat="1" hidden="1" outlineLevel="1" x14ac:dyDescent="0.25">
      <c r="A115" s="44"/>
      <c r="B115" s="11" t="str">
        <f>CONCATENATE("          ", "5025", " - ", "PURCHASES @ COST-TEST FORMS")</f>
        <v xml:space="preserve">          5025 - PURCHASES @ COST-TEST FORMS</v>
      </c>
      <c r="C115" s="11"/>
      <c r="D115" s="2">
        <v>18846</v>
      </c>
      <c r="E115" s="2"/>
      <c r="F115" s="19">
        <f t="shared" si="8"/>
        <v>4.1846257038158093E-2</v>
      </c>
      <c r="G115" s="2"/>
      <c r="H115" s="2"/>
      <c r="I115" s="2"/>
      <c r="J115" s="19">
        <f t="shared" si="9"/>
        <v>0</v>
      </c>
      <c r="K115" s="2"/>
      <c r="L115" s="2">
        <f t="shared" si="10"/>
        <v>18846</v>
      </c>
      <c r="M115" s="2"/>
      <c r="N115" s="19">
        <f t="shared" si="11"/>
        <v>0</v>
      </c>
      <c r="O115" s="11"/>
      <c r="P115" s="2">
        <v>22098.390000000003</v>
      </c>
      <c r="Q115" s="2"/>
      <c r="R115" s="19">
        <f t="shared" si="12"/>
        <v>4.3576435193936284E-3</v>
      </c>
      <c r="S115" s="2"/>
      <c r="T115" s="2"/>
      <c r="U115" s="2"/>
      <c r="V115" s="19">
        <f t="shared" si="13"/>
        <v>0</v>
      </c>
      <c r="W115" s="2"/>
      <c r="X115" s="2">
        <f t="shared" si="14"/>
        <v>22098.390000000003</v>
      </c>
      <c r="Y115" s="2"/>
      <c r="Z115" s="19">
        <f t="shared" si="15"/>
        <v>0</v>
      </c>
    </row>
    <row r="116" spans="1:26" s="24" customFormat="1" hidden="1" outlineLevel="1" x14ac:dyDescent="0.25">
      <c r="A116" s="44"/>
      <c r="B116" s="11" t="str">
        <f>CONCATENATE("          ", "5026", " - ", "PURCHASES @ COST-WRITING INSTR")</f>
        <v xml:space="preserve">          5026 - PURCHASES @ COST-WRITING INSTR</v>
      </c>
      <c r="C116" s="11"/>
      <c r="D116" s="2">
        <v>4633</v>
      </c>
      <c r="E116" s="2"/>
      <c r="F116" s="19">
        <f t="shared" si="8"/>
        <v>1.0287260366007982E-2</v>
      </c>
      <c r="G116" s="2"/>
      <c r="H116" s="2"/>
      <c r="I116" s="2"/>
      <c r="J116" s="19">
        <f t="shared" si="9"/>
        <v>0</v>
      </c>
      <c r="K116" s="2"/>
      <c r="L116" s="2">
        <f t="shared" si="10"/>
        <v>4633</v>
      </c>
      <c r="M116" s="2"/>
      <c r="N116" s="19">
        <f t="shared" si="11"/>
        <v>0</v>
      </c>
      <c r="O116" s="11"/>
      <c r="P116" s="2">
        <v>29950.57</v>
      </c>
      <c r="Q116" s="2"/>
      <c r="R116" s="19">
        <f t="shared" si="12"/>
        <v>5.9060369222665192E-3</v>
      </c>
      <c r="S116" s="2"/>
      <c r="T116" s="2"/>
      <c r="U116" s="2"/>
      <c r="V116" s="19">
        <f t="shared" si="13"/>
        <v>0</v>
      </c>
      <c r="W116" s="2"/>
      <c r="X116" s="2">
        <f t="shared" si="14"/>
        <v>29950.57</v>
      </c>
      <c r="Y116" s="2"/>
      <c r="Z116" s="19">
        <f t="shared" si="15"/>
        <v>0</v>
      </c>
    </row>
    <row r="117" spans="1:26" s="24" customFormat="1" hidden="1" outlineLevel="1" x14ac:dyDescent="0.25">
      <c r="A117" s="44"/>
      <c r="B117" s="11" t="str">
        <f>CONCATENATE("          ", "5027", " - ", "PURCHASES @ COST-SCHOOL SUPPLI")</f>
        <v xml:space="preserve">          5027 - PURCHASES @ COST-SCHOOL SUPPLI</v>
      </c>
      <c r="C117" s="11"/>
      <c r="D117" s="2">
        <v>3483.98</v>
      </c>
      <c r="E117" s="2"/>
      <c r="F117" s="19">
        <f t="shared" si="8"/>
        <v>7.7359398596944726E-3</v>
      </c>
      <c r="G117" s="2"/>
      <c r="H117" s="2"/>
      <c r="I117" s="2"/>
      <c r="J117" s="19">
        <f t="shared" si="9"/>
        <v>0</v>
      </c>
      <c r="K117" s="2"/>
      <c r="L117" s="2">
        <f t="shared" si="10"/>
        <v>3483.98</v>
      </c>
      <c r="M117" s="2"/>
      <c r="N117" s="19">
        <f t="shared" si="11"/>
        <v>0</v>
      </c>
      <c r="O117" s="11"/>
      <c r="P117" s="2">
        <v>75506.36</v>
      </c>
      <c r="Q117" s="2"/>
      <c r="R117" s="19">
        <f t="shared" si="12"/>
        <v>1.4889310955549353E-2</v>
      </c>
      <c r="S117" s="2"/>
      <c r="T117" s="2"/>
      <c r="U117" s="2"/>
      <c r="V117" s="19">
        <f t="shared" si="13"/>
        <v>0</v>
      </c>
      <c r="W117" s="2"/>
      <c r="X117" s="2">
        <f t="shared" si="14"/>
        <v>75506.36</v>
      </c>
      <c r="Y117" s="2"/>
      <c r="Z117" s="19">
        <f t="shared" si="15"/>
        <v>0</v>
      </c>
    </row>
    <row r="118" spans="1:26" s="24" customFormat="1" hidden="1" outlineLevel="1" x14ac:dyDescent="0.25">
      <c r="A118" s="44"/>
      <c r="B118" s="11" t="str">
        <f>CONCATENATE("          ", "5028", " - ", "PURCHASES @ COST-ART/TECH")</f>
        <v xml:space="preserve">          5028 - PURCHASES @ COST-ART/TECH</v>
      </c>
      <c r="C118" s="11"/>
      <c r="D118" s="2">
        <v>4931.4399999999996</v>
      </c>
      <c r="E118" s="2"/>
      <c r="F118" s="19">
        <f t="shared" si="8"/>
        <v>1.0949926021874898E-2</v>
      </c>
      <c r="G118" s="2"/>
      <c r="H118" s="2"/>
      <c r="I118" s="2"/>
      <c r="J118" s="19">
        <f t="shared" si="9"/>
        <v>0</v>
      </c>
      <c r="K118" s="2"/>
      <c r="L118" s="2">
        <f t="shared" si="10"/>
        <v>4931.4399999999996</v>
      </c>
      <c r="M118" s="2"/>
      <c r="N118" s="19">
        <f t="shared" si="11"/>
        <v>0</v>
      </c>
      <c r="O118" s="11"/>
      <c r="P118" s="2">
        <v>95270.51</v>
      </c>
      <c r="Q118" s="2"/>
      <c r="R118" s="19">
        <f t="shared" si="12"/>
        <v>1.8786659140816404E-2</v>
      </c>
      <c r="S118" s="2"/>
      <c r="T118" s="2"/>
      <c r="U118" s="2"/>
      <c r="V118" s="19">
        <f t="shared" si="13"/>
        <v>0</v>
      </c>
      <c r="W118" s="2"/>
      <c r="X118" s="2">
        <f t="shared" si="14"/>
        <v>95270.51</v>
      </c>
      <c r="Y118" s="2"/>
      <c r="Z118" s="19">
        <f t="shared" si="15"/>
        <v>0</v>
      </c>
    </row>
    <row r="119" spans="1:26" s="24" customFormat="1" hidden="1" outlineLevel="1" x14ac:dyDescent="0.25">
      <c r="A119" s="44"/>
      <c r="B119" s="11" t="str">
        <f>CONCATENATE("          ", "5031", " - ", "PURCHASES @ COST-FOOD")</f>
        <v xml:space="preserve">          5031 - PURCHASES @ COST-FOOD</v>
      </c>
      <c r="C119" s="11"/>
      <c r="D119" s="2">
        <v>4825.3999999999996</v>
      </c>
      <c r="E119" s="2"/>
      <c r="F119" s="19">
        <f t="shared" si="8"/>
        <v>1.0714471437542611E-2</v>
      </c>
      <c r="G119" s="2"/>
      <c r="H119" s="2"/>
      <c r="I119" s="2"/>
      <c r="J119" s="19">
        <f t="shared" si="9"/>
        <v>0</v>
      </c>
      <c r="K119" s="2"/>
      <c r="L119" s="2">
        <f t="shared" si="10"/>
        <v>4825.3999999999996</v>
      </c>
      <c r="M119" s="2"/>
      <c r="N119" s="19">
        <f t="shared" si="11"/>
        <v>0</v>
      </c>
      <c r="O119" s="11"/>
      <c r="P119" s="2">
        <v>20814.489999999998</v>
      </c>
      <c r="Q119" s="2"/>
      <c r="R119" s="19">
        <f t="shared" si="12"/>
        <v>4.1044676765132427E-3</v>
      </c>
      <c r="S119" s="2"/>
      <c r="T119" s="2"/>
      <c r="U119" s="2"/>
      <c r="V119" s="19">
        <f t="shared" si="13"/>
        <v>0</v>
      </c>
      <c r="W119" s="2"/>
      <c r="X119" s="2">
        <f t="shared" si="14"/>
        <v>20814.489999999998</v>
      </c>
      <c r="Y119" s="2"/>
      <c r="Z119" s="19">
        <f t="shared" si="15"/>
        <v>0</v>
      </c>
    </row>
    <row r="120" spans="1:26" s="24" customFormat="1" hidden="1" outlineLevel="1" x14ac:dyDescent="0.25">
      <c r="A120" s="44"/>
      <c r="B120" s="11" t="str">
        <f>CONCATENATE("          ", "5032", " - ", "PURCHASES @ COST-JUICE")</f>
        <v xml:space="preserve">          5032 - PURCHASES @ COST-JUICE</v>
      </c>
      <c r="C120" s="11"/>
      <c r="D120" s="2">
        <v>1278.21</v>
      </c>
      <c r="E120" s="2"/>
      <c r="F120" s="19">
        <f t="shared" si="8"/>
        <v>2.8381780859993663E-3</v>
      </c>
      <c r="G120" s="2"/>
      <c r="H120" s="2"/>
      <c r="I120" s="2"/>
      <c r="J120" s="19">
        <f t="shared" si="9"/>
        <v>0</v>
      </c>
      <c r="K120" s="2"/>
      <c r="L120" s="2">
        <f t="shared" si="10"/>
        <v>1278.21</v>
      </c>
      <c r="M120" s="2"/>
      <c r="N120" s="19">
        <f t="shared" si="11"/>
        <v>0</v>
      </c>
      <c r="O120" s="11"/>
      <c r="P120" s="2">
        <v>4662.49</v>
      </c>
      <c r="Q120" s="2"/>
      <c r="R120" s="19">
        <f t="shared" si="12"/>
        <v>9.1940948334867819E-4</v>
      </c>
      <c r="S120" s="2"/>
      <c r="T120" s="2"/>
      <c r="U120" s="2"/>
      <c r="V120" s="19">
        <f t="shared" si="13"/>
        <v>0</v>
      </c>
      <c r="W120" s="2"/>
      <c r="X120" s="2">
        <f t="shared" si="14"/>
        <v>4662.49</v>
      </c>
      <c r="Y120" s="2"/>
      <c r="Z120" s="19">
        <f t="shared" si="15"/>
        <v>0</v>
      </c>
    </row>
    <row r="121" spans="1:26" s="24" customFormat="1" hidden="1" outlineLevel="1" x14ac:dyDescent="0.25">
      <c r="A121" s="44"/>
      <c r="B121" s="11" t="str">
        <f>CONCATENATE("          ", "5033", " - ", "PURCHASES @ COST-CANDY")</f>
        <v xml:space="preserve">          5033 - PURCHASES @ COST-CANDY</v>
      </c>
      <c r="C121" s="11"/>
      <c r="D121" s="2">
        <v>1482.54</v>
      </c>
      <c r="E121" s="2"/>
      <c r="F121" s="19">
        <f t="shared" si="8"/>
        <v>3.2918789084872596E-3</v>
      </c>
      <c r="G121" s="2"/>
      <c r="H121" s="2"/>
      <c r="I121" s="2"/>
      <c r="J121" s="19">
        <f t="shared" si="9"/>
        <v>0</v>
      </c>
      <c r="K121" s="2"/>
      <c r="L121" s="2">
        <f t="shared" si="10"/>
        <v>1482.54</v>
      </c>
      <c r="M121" s="2"/>
      <c r="N121" s="19">
        <f t="shared" si="11"/>
        <v>0</v>
      </c>
      <c r="O121" s="11"/>
      <c r="P121" s="2">
        <v>5937.74</v>
      </c>
      <c r="Q121" s="2"/>
      <c r="R121" s="19">
        <f t="shared" si="12"/>
        <v>1.1708796084621694E-3</v>
      </c>
      <c r="S121" s="2"/>
      <c r="T121" s="2"/>
      <c r="U121" s="2"/>
      <c r="V121" s="19">
        <f t="shared" si="13"/>
        <v>0</v>
      </c>
      <c r="W121" s="2"/>
      <c r="X121" s="2">
        <f t="shared" si="14"/>
        <v>5937.74</v>
      </c>
      <c r="Y121" s="2"/>
      <c r="Z121" s="19">
        <f t="shared" si="15"/>
        <v>0</v>
      </c>
    </row>
    <row r="122" spans="1:26" s="24" customFormat="1" hidden="1" outlineLevel="1" x14ac:dyDescent="0.25">
      <c r="A122" s="44"/>
      <c r="B122" s="11" t="str">
        <f>CONCATENATE("          ", "5034", " - ", "PURCHASES @ COST-SODA")</f>
        <v xml:space="preserve">          5034 - PURCHASES @ COST-SODA</v>
      </c>
      <c r="C122" s="11"/>
      <c r="D122" s="2">
        <v>587.38</v>
      </c>
      <c r="E122" s="2"/>
      <c r="F122" s="19">
        <f t="shared" si="8"/>
        <v>1.3042372099688687E-3</v>
      </c>
      <c r="G122" s="2"/>
      <c r="H122" s="2"/>
      <c r="I122" s="2"/>
      <c r="J122" s="19">
        <f t="shared" si="9"/>
        <v>0</v>
      </c>
      <c r="K122" s="2"/>
      <c r="L122" s="2">
        <f t="shared" si="10"/>
        <v>587.38</v>
      </c>
      <c r="M122" s="2"/>
      <c r="N122" s="19">
        <f t="shared" si="11"/>
        <v>0</v>
      </c>
      <c r="O122" s="11"/>
      <c r="P122" s="2">
        <v>2081.92</v>
      </c>
      <c r="Q122" s="2"/>
      <c r="R122" s="19">
        <f t="shared" si="12"/>
        <v>4.1053964546267774E-4</v>
      </c>
      <c r="S122" s="2"/>
      <c r="T122" s="2"/>
      <c r="U122" s="2"/>
      <c r="V122" s="19">
        <f t="shared" si="13"/>
        <v>0</v>
      </c>
      <c r="W122" s="2"/>
      <c r="X122" s="2">
        <f t="shared" si="14"/>
        <v>2081.92</v>
      </c>
      <c r="Y122" s="2"/>
      <c r="Z122" s="19">
        <f t="shared" si="15"/>
        <v>0</v>
      </c>
    </row>
    <row r="123" spans="1:26" s="24" customFormat="1" hidden="1" outlineLevel="1" x14ac:dyDescent="0.25">
      <c r="A123" s="44"/>
      <c r="B123" s="11" t="str">
        <f>CONCATENATE("          ", "5035", " - ", "PURCHASES @ COST-HEALTH &amp; BEAU")</f>
        <v xml:space="preserve">          5035 - PURCHASES @ COST-HEALTH &amp; BEAU</v>
      </c>
      <c r="C123" s="11"/>
      <c r="D123" s="2">
        <v>222.52</v>
      </c>
      <c r="E123" s="2"/>
      <c r="F123" s="19">
        <f t="shared" si="8"/>
        <v>4.9409047628838686E-4</v>
      </c>
      <c r="G123" s="2"/>
      <c r="H123" s="2"/>
      <c r="I123" s="2"/>
      <c r="J123" s="19">
        <f t="shared" si="9"/>
        <v>0</v>
      </c>
      <c r="K123" s="2"/>
      <c r="L123" s="2">
        <f t="shared" si="10"/>
        <v>222.52</v>
      </c>
      <c r="M123" s="2"/>
      <c r="N123" s="19">
        <f t="shared" si="11"/>
        <v>0</v>
      </c>
      <c r="O123" s="11"/>
      <c r="P123" s="2">
        <v>801.21</v>
      </c>
      <c r="Q123" s="2"/>
      <c r="R123" s="19">
        <f t="shared" si="12"/>
        <v>1.5799284763158623E-4</v>
      </c>
      <c r="S123" s="2"/>
      <c r="T123" s="2"/>
      <c r="U123" s="2"/>
      <c r="V123" s="19">
        <f t="shared" si="13"/>
        <v>0</v>
      </c>
      <c r="W123" s="2"/>
      <c r="X123" s="2">
        <f t="shared" si="14"/>
        <v>801.21</v>
      </c>
      <c r="Y123" s="2"/>
      <c r="Z123" s="19">
        <f t="shared" si="15"/>
        <v>0</v>
      </c>
    </row>
    <row r="124" spans="1:26" s="24" customFormat="1" hidden="1" outlineLevel="1" x14ac:dyDescent="0.25">
      <c r="A124" s="44"/>
      <c r="B124" s="11" t="str">
        <f>CONCATENATE("          ", "5037", " - ", "PURCHASES @ COST-WATER")</f>
        <v xml:space="preserve">          5037 - PURCHASES @ COST-WATER</v>
      </c>
      <c r="C124" s="11"/>
      <c r="D124" s="2">
        <v>667.52</v>
      </c>
      <c r="E124" s="2"/>
      <c r="F124" s="19">
        <f t="shared" si="8"/>
        <v>1.4821826115945713E-3</v>
      </c>
      <c r="G124" s="2"/>
      <c r="H124" s="2"/>
      <c r="I124" s="2"/>
      <c r="J124" s="19">
        <f t="shared" si="9"/>
        <v>0</v>
      </c>
      <c r="K124" s="2"/>
      <c r="L124" s="2">
        <f t="shared" si="10"/>
        <v>667.52</v>
      </c>
      <c r="M124" s="2"/>
      <c r="N124" s="19">
        <f t="shared" si="11"/>
        <v>0</v>
      </c>
      <c r="O124" s="11"/>
      <c r="P124" s="2">
        <v>3523.37</v>
      </c>
      <c r="Q124" s="2"/>
      <c r="R124" s="19">
        <f t="shared" si="12"/>
        <v>6.9478321483718616E-4</v>
      </c>
      <c r="S124" s="2"/>
      <c r="T124" s="2"/>
      <c r="U124" s="2"/>
      <c r="V124" s="19">
        <f t="shared" si="13"/>
        <v>0</v>
      </c>
      <c r="W124" s="2"/>
      <c r="X124" s="2">
        <f t="shared" si="14"/>
        <v>3523.37</v>
      </c>
      <c r="Y124" s="2"/>
      <c r="Z124" s="19">
        <f t="shared" si="15"/>
        <v>0</v>
      </c>
    </row>
    <row r="125" spans="1:26" s="24" customFormat="1" hidden="1" outlineLevel="1" x14ac:dyDescent="0.25">
      <c r="A125" s="44"/>
      <c r="B125" s="11" t="str">
        <f>CONCATENATE("          ", "5040", " - ", "PURCHASES @ COST-LOGO CLOTHING")</f>
        <v xml:space="preserve">          5040 - PURCHASES @ COST-LOGO CLOTHING</v>
      </c>
      <c r="C125" s="11"/>
      <c r="D125" s="2">
        <v>105691.4</v>
      </c>
      <c r="E125" s="2"/>
      <c r="F125" s="19">
        <f t="shared" si="8"/>
        <v>0.23468054181910125</v>
      </c>
      <c r="G125" s="2"/>
      <c r="H125" s="2"/>
      <c r="I125" s="2"/>
      <c r="J125" s="19">
        <f t="shared" si="9"/>
        <v>0</v>
      </c>
      <c r="K125" s="2"/>
      <c r="L125" s="2">
        <f t="shared" si="10"/>
        <v>105691.4</v>
      </c>
      <c r="M125" s="2"/>
      <c r="N125" s="19">
        <f t="shared" si="11"/>
        <v>0</v>
      </c>
      <c r="O125" s="11"/>
      <c r="P125" s="2">
        <v>618292.30999999994</v>
      </c>
      <c r="Q125" s="2"/>
      <c r="R125" s="19">
        <f t="shared" si="12"/>
        <v>0.12192279517930564</v>
      </c>
      <c r="S125" s="2"/>
      <c r="T125" s="2"/>
      <c r="U125" s="2"/>
      <c r="V125" s="19">
        <f t="shared" si="13"/>
        <v>0</v>
      </c>
      <c r="W125" s="2"/>
      <c r="X125" s="2">
        <f t="shared" si="14"/>
        <v>618292.30999999994</v>
      </c>
      <c r="Y125" s="2"/>
      <c r="Z125" s="19">
        <f t="shared" si="15"/>
        <v>0</v>
      </c>
    </row>
    <row r="126" spans="1:26" s="24" customFormat="1" hidden="1" outlineLevel="1" x14ac:dyDescent="0.25">
      <c r="A126" s="44"/>
      <c r="B126" s="11" t="str">
        <f>CONCATENATE("          ", "5041", " - ", "PURCHASES @ COST-LOGO GIFTS")</f>
        <v xml:space="preserve">          5041 - PURCHASES @ COST-LOGO GIFTS</v>
      </c>
      <c r="C126" s="11"/>
      <c r="D126" s="2">
        <v>18340.09</v>
      </c>
      <c r="E126" s="2"/>
      <c r="F126" s="19">
        <f t="shared" si="8"/>
        <v>4.0722918404062024E-2</v>
      </c>
      <c r="G126" s="2"/>
      <c r="H126" s="2"/>
      <c r="I126" s="2"/>
      <c r="J126" s="19">
        <f t="shared" si="9"/>
        <v>0</v>
      </c>
      <c r="K126" s="2"/>
      <c r="L126" s="2">
        <f t="shared" si="10"/>
        <v>18340.09</v>
      </c>
      <c r="M126" s="2"/>
      <c r="N126" s="19">
        <f t="shared" si="11"/>
        <v>0</v>
      </c>
      <c r="O126" s="11"/>
      <c r="P126" s="2">
        <v>88796.55</v>
      </c>
      <c r="Q126" s="2"/>
      <c r="R126" s="19">
        <f t="shared" si="12"/>
        <v>1.7510040806231236E-2</v>
      </c>
      <c r="S126" s="2"/>
      <c r="T126" s="2"/>
      <c r="U126" s="2"/>
      <c r="V126" s="19">
        <f t="shared" si="13"/>
        <v>0</v>
      </c>
      <c r="W126" s="2"/>
      <c r="X126" s="2">
        <f t="shared" si="14"/>
        <v>88796.55</v>
      </c>
      <c r="Y126" s="2"/>
      <c r="Z126" s="19">
        <f t="shared" si="15"/>
        <v>0</v>
      </c>
    </row>
    <row r="127" spans="1:26" s="24" customFormat="1" hidden="1" outlineLevel="1" x14ac:dyDescent="0.25">
      <c r="A127" s="44"/>
      <c r="B127" s="11" t="str">
        <f>CONCATENATE("          ", "5042", " - ", "PURCHASES @ COST-EVERYDAY GIFT")</f>
        <v xml:space="preserve">          5042 - PURCHASES @ COST-EVERYDAY GIFT</v>
      </c>
      <c r="C127" s="11"/>
      <c r="D127" s="2">
        <v>31316.85</v>
      </c>
      <c r="E127" s="2"/>
      <c r="F127" s="19">
        <f t="shared" si="8"/>
        <v>6.9536928511378604E-2</v>
      </c>
      <c r="G127" s="2"/>
      <c r="H127" s="2"/>
      <c r="I127" s="2"/>
      <c r="J127" s="19">
        <f t="shared" si="9"/>
        <v>0</v>
      </c>
      <c r="K127" s="2"/>
      <c r="L127" s="2">
        <f t="shared" si="10"/>
        <v>31316.85</v>
      </c>
      <c r="M127" s="2"/>
      <c r="N127" s="19">
        <f t="shared" si="11"/>
        <v>0</v>
      </c>
      <c r="O127" s="11"/>
      <c r="P127" s="2">
        <v>80565.319999999992</v>
      </c>
      <c r="Q127" s="2"/>
      <c r="R127" s="19">
        <f t="shared" si="12"/>
        <v>1.5886901470463406E-2</v>
      </c>
      <c r="S127" s="2"/>
      <c r="T127" s="2"/>
      <c r="U127" s="2"/>
      <c r="V127" s="19">
        <f t="shared" si="13"/>
        <v>0</v>
      </c>
      <c r="W127" s="2"/>
      <c r="X127" s="2">
        <f t="shared" si="14"/>
        <v>80565.319999999992</v>
      </c>
      <c r="Y127" s="2"/>
      <c r="Z127" s="19">
        <f t="shared" si="15"/>
        <v>0</v>
      </c>
    </row>
    <row r="128" spans="1:26" s="24" customFormat="1" hidden="1" outlineLevel="1" x14ac:dyDescent="0.25">
      <c r="A128" s="44"/>
      <c r="B128" s="11" t="str">
        <f>CONCATENATE("          ", "5043", " - ", "PURCHASES @ COST-CARDS")</f>
        <v xml:space="preserve">          5043 - PURCHASES @ COST-CARDS</v>
      </c>
      <c r="C128" s="11"/>
      <c r="D128" s="2">
        <v>2188.66</v>
      </c>
      <c r="E128" s="2"/>
      <c r="F128" s="19">
        <f t="shared" si="8"/>
        <v>4.8597701862005249E-3</v>
      </c>
      <c r="G128" s="2"/>
      <c r="H128" s="2"/>
      <c r="I128" s="2"/>
      <c r="J128" s="19">
        <f t="shared" si="9"/>
        <v>0</v>
      </c>
      <c r="K128" s="2"/>
      <c r="L128" s="2">
        <f t="shared" si="10"/>
        <v>2188.66</v>
      </c>
      <c r="M128" s="2"/>
      <c r="N128" s="19">
        <f t="shared" si="11"/>
        <v>0</v>
      </c>
      <c r="O128" s="11"/>
      <c r="P128" s="2">
        <v>3528.74</v>
      </c>
      <c r="Q128" s="2"/>
      <c r="R128" s="19">
        <f t="shared" si="12"/>
        <v>6.9584214020229846E-4</v>
      </c>
      <c r="S128" s="2"/>
      <c r="T128" s="2"/>
      <c r="U128" s="2"/>
      <c r="V128" s="19">
        <f t="shared" si="13"/>
        <v>0</v>
      </c>
      <c r="W128" s="2"/>
      <c r="X128" s="2">
        <f t="shared" si="14"/>
        <v>3528.74</v>
      </c>
      <c r="Y128" s="2"/>
      <c r="Z128" s="19">
        <f t="shared" si="15"/>
        <v>0</v>
      </c>
    </row>
    <row r="129" spans="1:26" s="24" customFormat="1" hidden="1" outlineLevel="1" x14ac:dyDescent="0.25">
      <c r="A129" s="44"/>
      <c r="B129" s="11" t="str">
        <f>CONCATENATE("          ", "5044", " - ", "PURCHASES @ COST-ACCESSORIES")</f>
        <v xml:space="preserve">          5044 - PURCHASES @ COST-ACCESSORIES</v>
      </c>
      <c r="C129" s="11"/>
      <c r="D129" s="2">
        <v>-6895.55</v>
      </c>
      <c r="E129" s="2"/>
      <c r="F129" s="19">
        <f t="shared" si="8"/>
        <v>-1.5311098255304629E-2</v>
      </c>
      <c r="G129" s="2"/>
      <c r="H129" s="2"/>
      <c r="I129" s="2"/>
      <c r="J129" s="19">
        <f t="shared" si="9"/>
        <v>0</v>
      </c>
      <c r="K129" s="2"/>
      <c r="L129" s="2">
        <f t="shared" si="10"/>
        <v>-6895.55</v>
      </c>
      <c r="M129" s="2"/>
      <c r="N129" s="19">
        <f t="shared" si="11"/>
        <v>0</v>
      </c>
      <c r="O129" s="11"/>
      <c r="P129" s="2">
        <v>17255.580000000002</v>
      </c>
      <c r="Q129" s="2"/>
      <c r="R129" s="19">
        <f t="shared" si="12"/>
        <v>3.4026762293713846E-3</v>
      </c>
      <c r="S129" s="2"/>
      <c r="T129" s="2"/>
      <c r="U129" s="2"/>
      <c r="V129" s="19">
        <f t="shared" si="13"/>
        <v>0</v>
      </c>
      <c r="W129" s="2"/>
      <c r="X129" s="2">
        <f t="shared" si="14"/>
        <v>17255.580000000002</v>
      </c>
      <c r="Y129" s="2"/>
      <c r="Z129" s="19">
        <f t="shared" si="15"/>
        <v>0</v>
      </c>
    </row>
    <row r="130" spans="1:26" s="24" customFormat="1" hidden="1" outlineLevel="1" x14ac:dyDescent="0.25">
      <c r="A130" s="44"/>
      <c r="B130" s="11" t="str">
        <f>CONCATENATE("          ", "5045", " - ", "PURCHASES @ COST-SPECIAL ORDER")</f>
        <v xml:space="preserve">          5045 - PURCHASES @ COST-SPECIAL ORDER</v>
      </c>
      <c r="C130" s="11"/>
      <c r="D130" s="2">
        <v>14163.29</v>
      </c>
      <c r="E130" s="2"/>
      <c r="F130" s="19">
        <f t="shared" si="8"/>
        <v>3.1448619009125232E-2</v>
      </c>
      <c r="G130" s="2"/>
      <c r="H130" s="2"/>
      <c r="I130" s="2"/>
      <c r="J130" s="19">
        <f t="shared" si="9"/>
        <v>0</v>
      </c>
      <c r="K130" s="2"/>
      <c r="L130" s="2">
        <f t="shared" si="10"/>
        <v>14163.29</v>
      </c>
      <c r="M130" s="2"/>
      <c r="N130" s="19">
        <f t="shared" si="11"/>
        <v>0</v>
      </c>
      <c r="O130" s="11"/>
      <c r="P130" s="2">
        <v>42226.49</v>
      </c>
      <c r="Q130" s="2"/>
      <c r="R130" s="19">
        <f t="shared" si="12"/>
        <v>8.3267600261937563E-3</v>
      </c>
      <c r="S130" s="2"/>
      <c r="T130" s="2"/>
      <c r="U130" s="2"/>
      <c r="V130" s="19">
        <f t="shared" si="13"/>
        <v>0</v>
      </c>
      <c r="W130" s="2"/>
      <c r="X130" s="2">
        <f t="shared" si="14"/>
        <v>42226.49</v>
      </c>
      <c r="Y130" s="2"/>
      <c r="Z130" s="19">
        <f t="shared" si="15"/>
        <v>0</v>
      </c>
    </row>
    <row r="131" spans="1:26" s="24" customFormat="1" hidden="1" outlineLevel="1" x14ac:dyDescent="0.25">
      <c r="A131" s="44"/>
      <c r="B131" s="11" t="str">
        <f>CONCATENATE("          ", "5081", " - ", "PURCHASES @ COST-ELECTRONICS")</f>
        <v xml:space="preserve">          5081 - PURCHASES @ COST-ELECTRONICS</v>
      </c>
      <c r="C131" s="11"/>
      <c r="D131" s="2">
        <v>281.74</v>
      </c>
      <c r="E131" s="2"/>
      <c r="F131" s="19">
        <f t="shared" si="8"/>
        <v>6.2558444539587501E-4</v>
      </c>
      <c r="G131" s="2"/>
      <c r="H131" s="2"/>
      <c r="I131" s="2"/>
      <c r="J131" s="19">
        <f t="shared" si="9"/>
        <v>0</v>
      </c>
      <c r="K131" s="2"/>
      <c r="L131" s="2">
        <f t="shared" si="10"/>
        <v>281.74</v>
      </c>
      <c r="M131" s="2"/>
      <c r="N131" s="19">
        <f t="shared" si="11"/>
        <v>0</v>
      </c>
      <c r="O131" s="11"/>
      <c r="P131" s="2">
        <v>1244.81</v>
      </c>
      <c r="Q131" s="2"/>
      <c r="R131" s="19">
        <f t="shared" si="12"/>
        <v>2.4546757611646738E-4</v>
      </c>
      <c r="S131" s="2"/>
      <c r="T131" s="2"/>
      <c r="U131" s="2"/>
      <c r="V131" s="19">
        <f t="shared" si="13"/>
        <v>0</v>
      </c>
      <c r="W131" s="2"/>
      <c r="X131" s="2">
        <f t="shared" si="14"/>
        <v>1244.81</v>
      </c>
      <c r="Y131" s="2"/>
      <c r="Z131" s="19">
        <f t="shared" si="15"/>
        <v>0</v>
      </c>
    </row>
    <row r="132" spans="1:26" s="24" customFormat="1" hidden="1" outlineLevel="1" x14ac:dyDescent="0.25">
      <c r="A132" s="44"/>
      <c r="B132" s="11" t="str">
        <f>CONCATENATE("          ", "5082", " - ", "PURCHASES @ COST-COMPUTER HARD")</f>
        <v xml:space="preserve">          5082 - PURCHASES @ COST-COMPUTER HARD</v>
      </c>
      <c r="C132" s="11"/>
      <c r="D132" s="2">
        <v>95</v>
      </c>
      <c r="E132" s="2"/>
      <c r="F132" s="19">
        <f t="shared" si="8"/>
        <v>2.1094101764963487E-4</v>
      </c>
      <c r="G132" s="2"/>
      <c r="H132" s="2"/>
      <c r="I132" s="2"/>
      <c r="J132" s="19">
        <f t="shared" si="9"/>
        <v>0</v>
      </c>
      <c r="K132" s="2"/>
      <c r="L132" s="2">
        <f t="shared" si="10"/>
        <v>95</v>
      </c>
      <c r="M132" s="2"/>
      <c r="N132" s="19">
        <f t="shared" si="11"/>
        <v>0</v>
      </c>
      <c r="O132" s="11"/>
      <c r="P132" s="2">
        <v>244.6</v>
      </c>
      <c r="Q132" s="2"/>
      <c r="R132" s="19">
        <f t="shared" si="12"/>
        <v>4.8233360206045842E-5</v>
      </c>
      <c r="S132" s="2"/>
      <c r="T132" s="2"/>
      <c r="U132" s="2"/>
      <c r="V132" s="19">
        <f t="shared" si="13"/>
        <v>0</v>
      </c>
      <c r="W132" s="2"/>
      <c r="X132" s="2">
        <f t="shared" si="14"/>
        <v>244.6</v>
      </c>
      <c r="Y132" s="2"/>
      <c r="Z132" s="19">
        <f t="shared" si="15"/>
        <v>0</v>
      </c>
    </row>
    <row r="133" spans="1:26" s="24" customFormat="1" hidden="1" outlineLevel="1" x14ac:dyDescent="0.25">
      <c r="A133" s="44"/>
      <c r="B133" s="11" t="str">
        <f>CONCATENATE("          ", "5083", " - ", "PURCHASES @ COST-COMPUTER EQUI")</f>
        <v xml:space="preserve">          5083 - PURCHASES @ COST-COMPUTER EQUI</v>
      </c>
      <c r="C133" s="11"/>
      <c r="D133" s="2"/>
      <c r="E133" s="2"/>
      <c r="F133" s="19">
        <f t="shared" si="8"/>
        <v>0</v>
      </c>
      <c r="G133" s="2"/>
      <c r="H133" s="2"/>
      <c r="I133" s="2"/>
      <c r="J133" s="19">
        <f t="shared" si="9"/>
        <v>0</v>
      </c>
      <c r="K133" s="2"/>
      <c r="L133" s="2">
        <f t="shared" si="10"/>
        <v>0</v>
      </c>
      <c r="M133" s="2"/>
      <c r="N133" s="19">
        <f t="shared" si="11"/>
        <v>0</v>
      </c>
      <c r="O133" s="11"/>
      <c r="P133" s="2">
        <v>232.15</v>
      </c>
      <c r="Q133" s="2"/>
      <c r="R133" s="19">
        <f t="shared" si="12"/>
        <v>4.5778309778550869E-5</v>
      </c>
      <c r="S133" s="2"/>
      <c r="T133" s="2"/>
      <c r="U133" s="2"/>
      <c r="V133" s="19">
        <f t="shared" si="13"/>
        <v>0</v>
      </c>
      <c r="W133" s="2"/>
      <c r="X133" s="2">
        <f t="shared" si="14"/>
        <v>232.15</v>
      </c>
      <c r="Y133" s="2"/>
      <c r="Z133" s="19">
        <f t="shared" si="15"/>
        <v>0</v>
      </c>
    </row>
    <row r="134" spans="1:26" s="24" customFormat="1" hidden="1" outlineLevel="1" x14ac:dyDescent="0.25">
      <c r="A134" s="44"/>
      <c r="B134" s="11" t="str">
        <f>CONCATENATE("          ", "5086", " - ", "PURCHASES @ COST-COMPUTER SUPP")</f>
        <v xml:space="preserve">          5086 - PURCHASES @ COST-COMPUTER SUPP</v>
      </c>
      <c r="C134" s="11"/>
      <c r="D134" s="2">
        <v>87</v>
      </c>
      <c r="E134" s="2"/>
      <c r="F134" s="19">
        <f t="shared" si="8"/>
        <v>1.9317756353177089E-4</v>
      </c>
      <c r="G134" s="2"/>
      <c r="H134" s="2"/>
      <c r="I134" s="2"/>
      <c r="J134" s="19">
        <f t="shared" si="9"/>
        <v>0</v>
      </c>
      <c r="K134" s="2"/>
      <c r="L134" s="2">
        <f t="shared" si="10"/>
        <v>87</v>
      </c>
      <c r="M134" s="2"/>
      <c r="N134" s="19">
        <f t="shared" si="11"/>
        <v>0</v>
      </c>
      <c r="O134" s="11"/>
      <c r="P134" s="2">
        <v>228</v>
      </c>
      <c r="Q134" s="2"/>
      <c r="R134" s="19">
        <f t="shared" si="12"/>
        <v>4.4959959636052549E-5</v>
      </c>
      <c r="S134" s="2"/>
      <c r="T134" s="2"/>
      <c r="U134" s="2"/>
      <c r="V134" s="19">
        <f t="shared" si="13"/>
        <v>0</v>
      </c>
      <c r="W134" s="2"/>
      <c r="X134" s="2">
        <f t="shared" si="14"/>
        <v>228</v>
      </c>
      <c r="Y134" s="2"/>
      <c r="Z134" s="19">
        <f t="shared" si="15"/>
        <v>0</v>
      </c>
    </row>
    <row r="135" spans="1:26" s="24" customFormat="1" hidden="1" outlineLevel="1" x14ac:dyDescent="0.25">
      <c r="A135" s="44"/>
      <c r="B135" s="11" t="str">
        <f>CONCATENATE("          ", "5092", " - ", "PURCHASES @ COST-GRAD MERCH")</f>
        <v xml:space="preserve">          5092 - PURCHASES @ COST-GRAD MERCH</v>
      </c>
      <c r="C135" s="11"/>
      <c r="D135" s="2">
        <v>628</v>
      </c>
      <c r="E135" s="2"/>
      <c r="F135" s="19">
        <f t="shared" si="8"/>
        <v>1.3944311482523232E-3</v>
      </c>
      <c r="G135" s="2"/>
      <c r="H135" s="2"/>
      <c r="I135" s="2"/>
      <c r="J135" s="19">
        <f t="shared" si="9"/>
        <v>0</v>
      </c>
      <c r="K135" s="2"/>
      <c r="L135" s="2">
        <f t="shared" si="10"/>
        <v>628</v>
      </c>
      <c r="M135" s="2"/>
      <c r="N135" s="19">
        <f t="shared" si="11"/>
        <v>0</v>
      </c>
      <c r="O135" s="11"/>
      <c r="P135" s="2">
        <v>1924.14</v>
      </c>
      <c r="Q135" s="2"/>
      <c r="R135" s="19">
        <f t="shared" si="12"/>
        <v>3.7942656462330767E-4</v>
      </c>
      <c r="S135" s="2"/>
      <c r="T135" s="2"/>
      <c r="U135" s="2"/>
      <c r="V135" s="19">
        <f t="shared" si="13"/>
        <v>0</v>
      </c>
      <c r="W135" s="2"/>
      <c r="X135" s="2">
        <f t="shared" si="14"/>
        <v>1924.14</v>
      </c>
      <c r="Y135" s="2"/>
      <c r="Z135" s="19">
        <f t="shared" si="15"/>
        <v>0</v>
      </c>
    </row>
    <row r="136" spans="1:26" s="24" customFormat="1" hidden="1" outlineLevel="1" x14ac:dyDescent="0.25">
      <c r="A136" s="44"/>
      <c r="B136" s="11" t="str">
        <f>CONCATENATE("          ", "5095", " - ", "PURCHASES @ COST-CUSTOMER SERV")</f>
        <v xml:space="preserve">          5095 - PURCHASES @ COST-CUSTOMER SERV</v>
      </c>
      <c r="C136" s="11"/>
      <c r="D136" s="2"/>
      <c r="E136" s="2"/>
      <c r="F136" s="19">
        <f t="shared" si="8"/>
        <v>0</v>
      </c>
      <c r="G136" s="2"/>
      <c r="H136" s="2"/>
      <c r="I136" s="2"/>
      <c r="J136" s="19">
        <f t="shared" si="9"/>
        <v>0</v>
      </c>
      <c r="K136" s="2"/>
      <c r="L136" s="2">
        <f t="shared" si="10"/>
        <v>0</v>
      </c>
      <c r="M136" s="2"/>
      <c r="N136" s="19">
        <f t="shared" si="11"/>
        <v>0</v>
      </c>
      <c r="O136" s="11"/>
      <c r="P136" s="2">
        <v>0</v>
      </c>
      <c r="Q136" s="2"/>
      <c r="R136" s="19">
        <f t="shared" si="12"/>
        <v>0</v>
      </c>
      <c r="S136" s="2"/>
      <c r="T136" s="2"/>
      <c r="U136" s="2"/>
      <c r="V136" s="19">
        <f t="shared" si="13"/>
        <v>0</v>
      </c>
      <c r="W136" s="2"/>
      <c r="X136" s="2">
        <f t="shared" si="14"/>
        <v>0</v>
      </c>
      <c r="Y136" s="2"/>
      <c r="Z136" s="19">
        <f t="shared" si="15"/>
        <v>0</v>
      </c>
    </row>
    <row r="137" spans="1:26" s="24" customFormat="1" hidden="1" outlineLevel="1" x14ac:dyDescent="0.25">
      <c r="A137" s="44"/>
      <c r="B137" s="11" t="str">
        <f>CONCATENATE("          ", "5200", " - ", "PURCHASES OFFSET")</f>
        <v xml:space="preserve">          5200 - PURCHASES OFFSET</v>
      </c>
      <c r="C137" s="11"/>
      <c r="D137" s="2">
        <v>114626</v>
      </c>
      <c r="E137" s="2"/>
      <c r="F137" s="19">
        <f t="shared" si="8"/>
        <v>0.25451921146428469</v>
      </c>
      <c r="G137" s="2"/>
      <c r="H137" s="2"/>
      <c r="I137" s="2"/>
      <c r="J137" s="19">
        <f t="shared" si="9"/>
        <v>0</v>
      </c>
      <c r="K137" s="2"/>
      <c r="L137" s="2">
        <f t="shared" si="10"/>
        <v>114626</v>
      </c>
      <c r="M137" s="2"/>
      <c r="N137" s="19">
        <f t="shared" si="11"/>
        <v>0</v>
      </c>
      <c r="O137" s="11"/>
      <c r="P137" s="2">
        <v>-2624146</v>
      </c>
      <c r="Q137" s="2"/>
      <c r="R137" s="19">
        <f t="shared" si="12"/>
        <v>-0.51746271157503831</v>
      </c>
      <c r="S137" s="2"/>
      <c r="T137" s="2"/>
      <c r="U137" s="2"/>
      <c r="V137" s="19">
        <f t="shared" si="13"/>
        <v>0</v>
      </c>
      <c r="W137" s="2"/>
      <c r="X137" s="2">
        <f t="shared" si="14"/>
        <v>-2624146</v>
      </c>
      <c r="Y137" s="2"/>
      <c r="Z137" s="19">
        <f t="shared" si="15"/>
        <v>0</v>
      </c>
    </row>
    <row r="138" spans="1:26" s="24" customFormat="1" hidden="1" outlineLevel="1" x14ac:dyDescent="0.25">
      <c r="A138" s="44"/>
      <c r="B138" s="11" t="str">
        <f>CONCATENATE("          ", "5300", " - ", "COG$ OFFSET")</f>
        <v xml:space="preserve">          5300 - COG$ OFFSET</v>
      </c>
      <c r="C138" s="11"/>
      <c r="D138" s="2">
        <v>210505</v>
      </c>
      <c r="E138" s="2"/>
      <c r="F138" s="19">
        <f t="shared" si="8"/>
        <v>0.4674119886351199</v>
      </c>
      <c r="G138" s="2"/>
      <c r="H138" s="2"/>
      <c r="I138" s="2"/>
      <c r="J138" s="19">
        <f t="shared" si="9"/>
        <v>0</v>
      </c>
      <c r="K138" s="2"/>
      <c r="L138" s="2">
        <f t="shared" si="10"/>
        <v>210505</v>
      </c>
      <c r="M138" s="2"/>
      <c r="N138" s="19">
        <f t="shared" si="11"/>
        <v>0</v>
      </c>
      <c r="O138" s="11"/>
      <c r="P138" s="2">
        <v>2342898</v>
      </c>
      <c r="Q138" s="2"/>
      <c r="R138" s="19">
        <f t="shared" si="12"/>
        <v>0.4620026294359133</v>
      </c>
      <c r="S138" s="2"/>
      <c r="T138" s="2"/>
      <c r="U138" s="2"/>
      <c r="V138" s="19">
        <f t="shared" si="13"/>
        <v>0</v>
      </c>
      <c r="W138" s="2"/>
      <c r="X138" s="2">
        <f t="shared" si="14"/>
        <v>2342898</v>
      </c>
      <c r="Y138" s="2"/>
      <c r="Z138" s="19">
        <f t="shared" si="15"/>
        <v>0</v>
      </c>
    </row>
    <row r="139" spans="1:26" s="24" customFormat="1" hidden="1" outlineLevel="1" x14ac:dyDescent="0.25">
      <c r="A139" s="44"/>
      <c r="B139" s="11" t="str">
        <f>CONCATENATE("          ", "5500", " - ", "FREIGHT-IN")</f>
        <v xml:space="preserve">          5500 - FREIGHT-IN</v>
      </c>
      <c r="C139" s="11"/>
      <c r="D139" s="2"/>
      <c r="E139" s="2"/>
      <c r="F139" s="19">
        <f t="shared" si="8"/>
        <v>0</v>
      </c>
      <c r="G139" s="2"/>
      <c r="H139" s="2"/>
      <c r="I139" s="2"/>
      <c r="J139" s="19">
        <f t="shared" si="9"/>
        <v>0</v>
      </c>
      <c r="K139" s="2"/>
      <c r="L139" s="2">
        <f t="shared" si="10"/>
        <v>0</v>
      </c>
      <c r="M139" s="2"/>
      <c r="N139" s="19">
        <f t="shared" si="11"/>
        <v>0</v>
      </c>
      <c r="O139" s="11"/>
      <c r="P139" s="2">
        <v>35.229999999999997</v>
      </c>
      <c r="Q139" s="2"/>
      <c r="R139" s="19">
        <f t="shared" si="12"/>
        <v>6.9471025349918028E-6</v>
      </c>
      <c r="S139" s="2"/>
      <c r="T139" s="2"/>
      <c r="U139" s="2"/>
      <c r="V139" s="19">
        <f t="shared" si="13"/>
        <v>0</v>
      </c>
      <c r="W139" s="2"/>
      <c r="X139" s="2">
        <f t="shared" si="14"/>
        <v>35.229999999999997</v>
      </c>
      <c r="Y139" s="2"/>
      <c r="Z139" s="19">
        <f t="shared" si="15"/>
        <v>0</v>
      </c>
    </row>
    <row r="140" spans="1:26" s="24" customFormat="1" hidden="1" outlineLevel="1" x14ac:dyDescent="0.25">
      <c r="A140" s="44"/>
      <c r="B140" s="11" t="str">
        <f>CONCATENATE("          ", "5501", " - ", "FREIGHT-IN-NEW TEXT")</f>
        <v xml:space="preserve">          5501 - FREIGHT-IN-NEW TEXT</v>
      </c>
      <c r="C140" s="11"/>
      <c r="D140" s="2">
        <v>490.07</v>
      </c>
      <c r="E140" s="2"/>
      <c r="F140" s="19">
        <f t="shared" si="8"/>
        <v>1.0881669949427007E-3</v>
      </c>
      <c r="G140" s="2"/>
      <c r="H140" s="2"/>
      <c r="I140" s="2"/>
      <c r="J140" s="19">
        <f t="shared" si="9"/>
        <v>0</v>
      </c>
      <c r="K140" s="2"/>
      <c r="L140" s="2">
        <f t="shared" si="10"/>
        <v>490.07</v>
      </c>
      <c r="M140" s="2"/>
      <c r="N140" s="19">
        <f t="shared" si="11"/>
        <v>0</v>
      </c>
      <c r="O140" s="11"/>
      <c r="P140" s="2">
        <v>34507.550000000003</v>
      </c>
      <c r="Q140" s="2"/>
      <c r="R140" s="19">
        <f t="shared" si="12"/>
        <v>6.8046405927151979E-3</v>
      </c>
      <c r="S140" s="2"/>
      <c r="T140" s="2"/>
      <c r="U140" s="2"/>
      <c r="V140" s="19">
        <f t="shared" si="13"/>
        <v>0</v>
      </c>
      <c r="W140" s="2"/>
      <c r="X140" s="2">
        <f t="shared" si="14"/>
        <v>34507.550000000003</v>
      </c>
      <c r="Y140" s="2"/>
      <c r="Z140" s="19">
        <f t="shared" si="15"/>
        <v>0</v>
      </c>
    </row>
    <row r="141" spans="1:26" s="24" customFormat="1" hidden="1" outlineLevel="1" x14ac:dyDescent="0.25">
      <c r="A141" s="44"/>
      <c r="B141" s="11" t="str">
        <f>CONCATENATE("          ", "5502", " - ", "FREIGHT-IN-USED TEXT")</f>
        <v xml:space="preserve">          5502 - FREIGHT-IN-USED TEXT</v>
      </c>
      <c r="C141" s="11"/>
      <c r="D141" s="2">
        <v>237.65</v>
      </c>
      <c r="E141" s="2"/>
      <c r="F141" s="19">
        <f t="shared" si="8"/>
        <v>5.276856088887972E-4</v>
      </c>
      <c r="G141" s="2"/>
      <c r="H141" s="2"/>
      <c r="I141" s="2"/>
      <c r="J141" s="19">
        <f t="shared" si="9"/>
        <v>0</v>
      </c>
      <c r="K141" s="2"/>
      <c r="L141" s="2">
        <f t="shared" si="10"/>
        <v>237.65</v>
      </c>
      <c r="M141" s="2"/>
      <c r="N141" s="19">
        <f t="shared" si="11"/>
        <v>0</v>
      </c>
      <c r="O141" s="11"/>
      <c r="P141" s="2">
        <v>7090.12</v>
      </c>
      <c r="Q141" s="2"/>
      <c r="R141" s="19">
        <f t="shared" si="12"/>
        <v>1.3981206535735476E-3</v>
      </c>
      <c r="S141" s="2"/>
      <c r="T141" s="2"/>
      <c r="U141" s="2"/>
      <c r="V141" s="19">
        <f t="shared" si="13"/>
        <v>0</v>
      </c>
      <c r="W141" s="2"/>
      <c r="X141" s="2">
        <f t="shared" si="14"/>
        <v>7090.12</v>
      </c>
      <c r="Y141" s="2"/>
      <c r="Z141" s="19">
        <f t="shared" si="15"/>
        <v>0</v>
      </c>
    </row>
    <row r="142" spans="1:26" s="24" customFormat="1" hidden="1" outlineLevel="1" x14ac:dyDescent="0.25">
      <c r="A142" s="44"/>
      <c r="B142" s="11" t="str">
        <f>CONCATENATE("          ", "5504", " - ", "FREIGHT-IN-DIGITAL TEXT")</f>
        <v xml:space="preserve">          5504 - FREIGHT-IN-DIGITAL TEXT</v>
      </c>
      <c r="C142" s="11"/>
      <c r="D142" s="2">
        <v>5</v>
      </c>
      <c r="E142" s="2"/>
      <c r="F142" s="19">
        <f t="shared" si="8"/>
        <v>1.1102158823664994E-5</v>
      </c>
      <c r="G142" s="2"/>
      <c r="H142" s="2"/>
      <c r="I142" s="2"/>
      <c r="J142" s="19">
        <f t="shared" si="9"/>
        <v>0</v>
      </c>
      <c r="K142" s="2"/>
      <c r="L142" s="2">
        <f t="shared" si="10"/>
        <v>5</v>
      </c>
      <c r="M142" s="2"/>
      <c r="N142" s="19">
        <f t="shared" si="11"/>
        <v>0</v>
      </c>
      <c r="O142" s="11"/>
      <c r="P142" s="2">
        <v>105.97</v>
      </c>
      <c r="Q142" s="2"/>
      <c r="R142" s="19">
        <f t="shared" si="12"/>
        <v>2.0896521590493369E-5</v>
      </c>
      <c r="S142" s="2"/>
      <c r="T142" s="2"/>
      <c r="U142" s="2"/>
      <c r="V142" s="19">
        <f t="shared" si="13"/>
        <v>0</v>
      </c>
      <c r="W142" s="2"/>
      <c r="X142" s="2">
        <f t="shared" si="14"/>
        <v>105.97</v>
      </c>
      <c r="Y142" s="2"/>
      <c r="Z142" s="19">
        <f t="shared" si="15"/>
        <v>0</v>
      </c>
    </row>
    <row r="143" spans="1:26" s="24" customFormat="1" hidden="1" outlineLevel="1" x14ac:dyDescent="0.25">
      <c r="A143" s="44"/>
      <c r="B143" s="11" t="str">
        <f>CONCATENATE("          ", "5513", " - ", "FREIGHT-IN-TRADE BOOKS")</f>
        <v xml:space="preserve">          5513 - FREIGHT-IN-TRADE BOOKS</v>
      </c>
      <c r="C143" s="11"/>
      <c r="D143" s="2">
        <v>12.33</v>
      </c>
      <c r="E143" s="2"/>
      <c r="F143" s="19">
        <f t="shared" si="8"/>
        <v>2.7377923659157872E-5</v>
      </c>
      <c r="G143" s="2"/>
      <c r="H143" s="2"/>
      <c r="I143" s="2"/>
      <c r="J143" s="19">
        <f t="shared" si="9"/>
        <v>0</v>
      </c>
      <c r="K143" s="2"/>
      <c r="L143" s="2">
        <f t="shared" si="10"/>
        <v>12.33</v>
      </c>
      <c r="M143" s="2"/>
      <c r="N143" s="19">
        <f t="shared" si="11"/>
        <v>0</v>
      </c>
      <c r="O143" s="11"/>
      <c r="P143" s="2">
        <v>12.33</v>
      </c>
      <c r="Q143" s="2"/>
      <c r="R143" s="19">
        <f t="shared" si="12"/>
        <v>2.4313872908444207E-6</v>
      </c>
      <c r="S143" s="2"/>
      <c r="T143" s="2"/>
      <c r="U143" s="2"/>
      <c r="V143" s="19">
        <f t="shared" si="13"/>
        <v>0</v>
      </c>
      <c r="W143" s="2"/>
      <c r="X143" s="2">
        <f t="shared" si="14"/>
        <v>12.33</v>
      </c>
      <c r="Y143" s="2"/>
      <c r="Z143" s="19">
        <f t="shared" si="15"/>
        <v>0</v>
      </c>
    </row>
    <row r="144" spans="1:26" s="24" customFormat="1" hidden="1" outlineLevel="1" x14ac:dyDescent="0.25">
      <c r="A144" s="44"/>
      <c r="B144" s="11" t="str">
        <f>CONCATENATE("          ", "5518", " - ", "FREIGHT-IN-STUDY GUIDES")</f>
        <v xml:space="preserve">          5518 - FREIGHT-IN-STUDY GUIDES</v>
      </c>
      <c r="C144" s="11"/>
      <c r="D144" s="2">
        <v>12.26</v>
      </c>
      <c r="E144" s="2"/>
      <c r="F144" s="19">
        <f t="shared" si="8"/>
        <v>2.7222493435626565E-5</v>
      </c>
      <c r="G144" s="2"/>
      <c r="H144" s="2"/>
      <c r="I144" s="2"/>
      <c r="J144" s="19">
        <f t="shared" si="9"/>
        <v>0</v>
      </c>
      <c r="K144" s="2"/>
      <c r="L144" s="2">
        <f t="shared" si="10"/>
        <v>12.26</v>
      </c>
      <c r="M144" s="2"/>
      <c r="N144" s="19">
        <f t="shared" si="11"/>
        <v>0</v>
      </c>
      <c r="O144" s="11"/>
      <c r="P144" s="2">
        <v>12.26</v>
      </c>
      <c r="Q144" s="2"/>
      <c r="R144" s="19">
        <f t="shared" si="12"/>
        <v>2.4175837944649307E-6</v>
      </c>
      <c r="S144" s="2"/>
      <c r="T144" s="2"/>
      <c r="U144" s="2"/>
      <c r="V144" s="19">
        <f t="shared" si="13"/>
        <v>0</v>
      </c>
      <c r="W144" s="2"/>
      <c r="X144" s="2">
        <f t="shared" si="14"/>
        <v>12.26</v>
      </c>
      <c r="Y144" s="2"/>
      <c r="Z144" s="19">
        <f t="shared" si="15"/>
        <v>0</v>
      </c>
    </row>
    <row r="145" spans="1:26" s="24" customFormat="1" hidden="1" outlineLevel="1" x14ac:dyDescent="0.25">
      <c r="A145" s="44"/>
      <c r="B145" s="11" t="str">
        <f>CONCATENATE("          ", "5525", " - ", "FREIGHT-IN-TEST FORMS")</f>
        <v xml:space="preserve">          5525 - FREIGHT-IN-TEST FORMS</v>
      </c>
      <c r="C145" s="11"/>
      <c r="D145" s="2">
        <v>335.7</v>
      </c>
      <c r="E145" s="2"/>
      <c r="F145" s="19">
        <f t="shared" si="8"/>
        <v>7.4539894342086767E-4</v>
      </c>
      <c r="G145" s="2"/>
      <c r="H145" s="2"/>
      <c r="I145" s="2"/>
      <c r="J145" s="19">
        <f t="shared" si="9"/>
        <v>0</v>
      </c>
      <c r="K145" s="2"/>
      <c r="L145" s="2">
        <f t="shared" si="10"/>
        <v>335.7</v>
      </c>
      <c r="M145" s="2"/>
      <c r="N145" s="19">
        <f t="shared" si="11"/>
        <v>0</v>
      </c>
      <c r="O145" s="11"/>
      <c r="P145" s="2">
        <v>374.92</v>
      </c>
      <c r="Q145" s="2"/>
      <c r="R145" s="19">
        <f t="shared" si="12"/>
        <v>7.3931526608547466E-5</v>
      </c>
      <c r="S145" s="2"/>
      <c r="T145" s="2"/>
      <c r="U145" s="2"/>
      <c r="V145" s="19">
        <f t="shared" si="13"/>
        <v>0</v>
      </c>
      <c r="W145" s="2"/>
      <c r="X145" s="2">
        <f t="shared" si="14"/>
        <v>374.92</v>
      </c>
      <c r="Y145" s="2"/>
      <c r="Z145" s="19">
        <f t="shared" si="15"/>
        <v>0</v>
      </c>
    </row>
    <row r="146" spans="1:26" s="24" customFormat="1" hidden="1" outlineLevel="1" x14ac:dyDescent="0.25">
      <c r="A146" s="44"/>
      <c r="B146" s="11" t="str">
        <f>CONCATENATE("          ", "5526", " - ", "FREIGHT-IN-WRITING INSTRUMENTS")</f>
        <v xml:space="preserve">          5526 - FREIGHT-IN-WRITING INSTRUMENTS</v>
      </c>
      <c r="C146" s="11"/>
      <c r="D146" s="2">
        <v>160.91999999999999</v>
      </c>
      <c r="E146" s="2"/>
      <c r="F146" s="19">
        <f t="shared" si="8"/>
        <v>3.5731187958083413E-4</v>
      </c>
      <c r="G146" s="2"/>
      <c r="H146" s="2"/>
      <c r="I146" s="2"/>
      <c r="J146" s="19">
        <f t="shared" si="9"/>
        <v>0</v>
      </c>
      <c r="K146" s="2"/>
      <c r="L146" s="2">
        <f t="shared" si="10"/>
        <v>160.91999999999999</v>
      </c>
      <c r="M146" s="2"/>
      <c r="N146" s="19">
        <f t="shared" si="11"/>
        <v>0</v>
      </c>
      <c r="O146" s="11"/>
      <c r="P146" s="2">
        <v>217.49</v>
      </c>
      <c r="Q146" s="2"/>
      <c r="R146" s="19">
        <f t="shared" si="12"/>
        <v>4.2887463251074861E-5</v>
      </c>
      <c r="S146" s="2"/>
      <c r="T146" s="2"/>
      <c r="U146" s="2"/>
      <c r="V146" s="19">
        <f t="shared" si="13"/>
        <v>0</v>
      </c>
      <c r="W146" s="2"/>
      <c r="X146" s="2">
        <f t="shared" si="14"/>
        <v>217.49</v>
      </c>
      <c r="Y146" s="2"/>
      <c r="Z146" s="19">
        <f t="shared" si="15"/>
        <v>0</v>
      </c>
    </row>
    <row r="147" spans="1:26" s="24" customFormat="1" hidden="1" outlineLevel="1" x14ac:dyDescent="0.25">
      <c r="A147" s="44"/>
      <c r="B147" s="11" t="str">
        <f>CONCATENATE("          ", "5527", " - ", "FREIGHT-IN-SCHOOL SUPPLIES")</f>
        <v xml:space="preserve">          5527 - FREIGHT-IN-SCHOOL SUPPLIES</v>
      </c>
      <c r="C147" s="11"/>
      <c r="D147" s="2">
        <v>134.09</v>
      </c>
      <c r="E147" s="2"/>
      <c r="F147" s="19">
        <f t="shared" si="8"/>
        <v>2.9773769533304783E-4</v>
      </c>
      <c r="G147" s="2"/>
      <c r="H147" s="2"/>
      <c r="I147" s="2"/>
      <c r="J147" s="19">
        <f t="shared" si="9"/>
        <v>0</v>
      </c>
      <c r="K147" s="2"/>
      <c r="L147" s="2">
        <f t="shared" si="10"/>
        <v>134.09</v>
      </c>
      <c r="M147" s="2"/>
      <c r="N147" s="19">
        <f t="shared" si="11"/>
        <v>0</v>
      </c>
      <c r="O147" s="11"/>
      <c r="P147" s="2">
        <v>872.58</v>
      </c>
      <c r="Q147" s="2"/>
      <c r="R147" s="19">
        <f t="shared" si="12"/>
        <v>1.7206649815450321E-4</v>
      </c>
      <c r="S147" s="2"/>
      <c r="T147" s="2"/>
      <c r="U147" s="2"/>
      <c r="V147" s="19">
        <f t="shared" si="13"/>
        <v>0</v>
      </c>
      <c r="W147" s="2"/>
      <c r="X147" s="2">
        <f t="shared" si="14"/>
        <v>872.58</v>
      </c>
      <c r="Y147" s="2"/>
      <c r="Z147" s="19">
        <f t="shared" si="15"/>
        <v>0</v>
      </c>
    </row>
    <row r="148" spans="1:26" s="24" customFormat="1" hidden="1" outlineLevel="1" x14ac:dyDescent="0.25">
      <c r="A148" s="44"/>
      <c r="B148" s="11" t="str">
        <f>CONCATENATE("          ", "5528", " - ", "FREIGHT-IN-ART/TECH")</f>
        <v xml:space="preserve">          5528 - FREIGHT-IN-ART/TECH</v>
      </c>
      <c r="C148" s="11"/>
      <c r="D148" s="2">
        <v>105.06</v>
      </c>
      <c r="E148" s="2"/>
      <c r="F148" s="19">
        <f t="shared" si="8"/>
        <v>2.3327856120284885E-4</v>
      </c>
      <c r="G148" s="2"/>
      <c r="H148" s="2"/>
      <c r="I148" s="2"/>
      <c r="J148" s="19">
        <f t="shared" si="9"/>
        <v>0</v>
      </c>
      <c r="K148" s="2"/>
      <c r="L148" s="2">
        <f t="shared" si="10"/>
        <v>105.06</v>
      </c>
      <c r="M148" s="2"/>
      <c r="N148" s="19">
        <f t="shared" si="11"/>
        <v>0</v>
      </c>
      <c r="O148" s="11"/>
      <c r="P148" s="2">
        <v>923.5</v>
      </c>
      <c r="Q148" s="2"/>
      <c r="R148" s="19">
        <f t="shared" si="12"/>
        <v>1.8210755580655495E-4</v>
      </c>
      <c r="S148" s="2"/>
      <c r="T148" s="2"/>
      <c r="U148" s="2"/>
      <c r="V148" s="19">
        <f t="shared" si="13"/>
        <v>0</v>
      </c>
      <c r="W148" s="2"/>
      <c r="X148" s="2">
        <f t="shared" si="14"/>
        <v>923.5</v>
      </c>
      <c r="Y148" s="2"/>
      <c r="Z148" s="19">
        <f t="shared" si="15"/>
        <v>0</v>
      </c>
    </row>
    <row r="149" spans="1:26" s="24" customFormat="1" hidden="1" outlineLevel="1" x14ac:dyDescent="0.25">
      <c r="A149" s="44"/>
      <c r="B149" s="11" t="str">
        <f>CONCATENATE("          ", "5540", " - ", "FREIGHT-IN-LOGO CLOTHING")</f>
        <v xml:space="preserve">          5540 - FREIGHT-IN-LOGO CLOTHING</v>
      </c>
      <c r="C149" s="11"/>
      <c r="D149" s="2">
        <v>6133.89</v>
      </c>
      <c r="E149" s="2"/>
      <c r="F149" s="19">
        <f t="shared" si="8"/>
        <v>1.3619884197378094E-2</v>
      </c>
      <c r="G149" s="2"/>
      <c r="H149" s="2"/>
      <c r="I149" s="2"/>
      <c r="J149" s="19">
        <f t="shared" si="9"/>
        <v>0</v>
      </c>
      <c r="K149" s="2"/>
      <c r="L149" s="2">
        <f t="shared" si="10"/>
        <v>6133.89</v>
      </c>
      <c r="M149" s="2"/>
      <c r="N149" s="19">
        <f t="shared" si="11"/>
        <v>0</v>
      </c>
      <c r="O149" s="11"/>
      <c r="P149" s="2">
        <v>20241.329999999998</v>
      </c>
      <c r="Q149" s="2"/>
      <c r="R149" s="19">
        <f t="shared" si="12"/>
        <v>3.9914446481579798E-3</v>
      </c>
      <c r="S149" s="2"/>
      <c r="T149" s="2"/>
      <c r="U149" s="2"/>
      <c r="V149" s="19">
        <f t="shared" si="13"/>
        <v>0</v>
      </c>
      <c r="W149" s="2"/>
      <c r="X149" s="2">
        <f t="shared" si="14"/>
        <v>20241.329999999998</v>
      </c>
      <c r="Y149" s="2"/>
      <c r="Z149" s="19">
        <f t="shared" si="15"/>
        <v>0</v>
      </c>
    </row>
    <row r="150" spans="1:26" s="24" customFormat="1" hidden="1" outlineLevel="1" x14ac:dyDescent="0.25">
      <c r="A150" s="44"/>
      <c r="B150" s="11" t="str">
        <f>CONCATENATE("          ", "5541", " - ", "FREIGHT-IN-LOGO GIFTS")</f>
        <v xml:space="preserve">          5541 - FREIGHT-IN-LOGO GIFTS</v>
      </c>
      <c r="C150" s="11"/>
      <c r="D150" s="2">
        <v>1315.98</v>
      </c>
      <c r="E150" s="2"/>
      <c r="F150" s="19">
        <f t="shared" si="8"/>
        <v>2.9220437937533318E-3</v>
      </c>
      <c r="G150" s="2"/>
      <c r="H150" s="2"/>
      <c r="I150" s="2"/>
      <c r="J150" s="19">
        <f t="shared" si="9"/>
        <v>0</v>
      </c>
      <c r="K150" s="2"/>
      <c r="L150" s="2">
        <f t="shared" si="10"/>
        <v>1315.98</v>
      </c>
      <c r="M150" s="2"/>
      <c r="N150" s="19">
        <f t="shared" si="11"/>
        <v>0</v>
      </c>
      <c r="O150" s="11"/>
      <c r="P150" s="2">
        <v>2852.83</v>
      </c>
      <c r="Q150" s="2"/>
      <c r="R150" s="19">
        <f t="shared" si="12"/>
        <v>5.6255755108999903E-4</v>
      </c>
      <c r="S150" s="2"/>
      <c r="T150" s="2"/>
      <c r="U150" s="2"/>
      <c r="V150" s="19">
        <f t="shared" si="13"/>
        <v>0</v>
      </c>
      <c r="W150" s="2"/>
      <c r="X150" s="2">
        <f t="shared" si="14"/>
        <v>2852.83</v>
      </c>
      <c r="Y150" s="2"/>
      <c r="Z150" s="19">
        <f t="shared" si="15"/>
        <v>0</v>
      </c>
    </row>
    <row r="151" spans="1:26" s="24" customFormat="1" hidden="1" outlineLevel="1" x14ac:dyDescent="0.25">
      <c r="A151" s="44"/>
      <c r="B151" s="11" t="str">
        <f>CONCATENATE("          ", "5542", " - ", "FREIGHT-IN-EVERYDAY GIFTS")</f>
        <v xml:space="preserve">          5542 - FREIGHT-IN-EVERYDAY GIFTS</v>
      </c>
      <c r="C151" s="11"/>
      <c r="D151" s="2">
        <v>745.78</v>
      </c>
      <c r="E151" s="2"/>
      <c r="F151" s="19">
        <f t="shared" si="8"/>
        <v>1.6559536015025758E-3</v>
      </c>
      <c r="G151" s="2"/>
      <c r="H151" s="2"/>
      <c r="I151" s="2"/>
      <c r="J151" s="19">
        <f t="shared" si="9"/>
        <v>0</v>
      </c>
      <c r="K151" s="2"/>
      <c r="L151" s="2">
        <f t="shared" si="10"/>
        <v>745.78</v>
      </c>
      <c r="M151" s="2"/>
      <c r="N151" s="19">
        <f t="shared" si="11"/>
        <v>0</v>
      </c>
      <c r="O151" s="11"/>
      <c r="P151" s="2">
        <v>1513.51</v>
      </c>
      <c r="Q151" s="2"/>
      <c r="R151" s="19">
        <f t="shared" si="12"/>
        <v>2.9845328293316616E-4</v>
      </c>
      <c r="S151" s="2"/>
      <c r="T151" s="2"/>
      <c r="U151" s="2"/>
      <c r="V151" s="19">
        <f t="shared" si="13"/>
        <v>0</v>
      </c>
      <c r="W151" s="2"/>
      <c r="X151" s="2">
        <f t="shared" si="14"/>
        <v>1513.51</v>
      </c>
      <c r="Y151" s="2"/>
      <c r="Z151" s="19">
        <f t="shared" si="15"/>
        <v>0</v>
      </c>
    </row>
    <row r="152" spans="1:26" s="24" customFormat="1" hidden="1" outlineLevel="1" x14ac:dyDescent="0.25">
      <c r="A152" s="44"/>
      <c r="B152" s="11" t="str">
        <f>CONCATENATE("          ", "5543", " - ", "FREIGHT-IN-CARDS")</f>
        <v xml:space="preserve">          5543 - FREIGHT-IN-CARDS</v>
      </c>
      <c r="C152" s="11"/>
      <c r="D152" s="2">
        <v>39.01</v>
      </c>
      <c r="E152" s="2"/>
      <c r="F152" s="19">
        <f t="shared" si="8"/>
        <v>8.661904314223427E-5</v>
      </c>
      <c r="G152" s="2"/>
      <c r="H152" s="2"/>
      <c r="I152" s="2"/>
      <c r="J152" s="19">
        <f t="shared" si="9"/>
        <v>0</v>
      </c>
      <c r="K152" s="2"/>
      <c r="L152" s="2">
        <f t="shared" si="10"/>
        <v>39.01</v>
      </c>
      <c r="M152" s="2"/>
      <c r="N152" s="19">
        <f t="shared" si="11"/>
        <v>0</v>
      </c>
      <c r="O152" s="11"/>
      <c r="P152" s="2">
        <v>43.59</v>
      </c>
      <c r="Q152" s="2"/>
      <c r="R152" s="19">
        <f t="shared" si="12"/>
        <v>8.595634388313731E-6</v>
      </c>
      <c r="S152" s="2"/>
      <c r="T152" s="2"/>
      <c r="U152" s="2"/>
      <c r="V152" s="19">
        <f t="shared" si="13"/>
        <v>0</v>
      </c>
      <c r="W152" s="2"/>
      <c r="X152" s="2">
        <f t="shared" si="14"/>
        <v>43.59</v>
      </c>
      <c r="Y152" s="2"/>
      <c r="Z152" s="19">
        <f t="shared" si="15"/>
        <v>0</v>
      </c>
    </row>
    <row r="153" spans="1:26" s="24" customFormat="1" hidden="1" outlineLevel="1" x14ac:dyDescent="0.25">
      <c r="A153" s="44"/>
      <c r="B153" s="11" t="str">
        <f>CONCATENATE("          ", "5544", " - ", "FREIGHT-IN-ACCESSORIES")</f>
        <v xml:space="preserve">          5544 - FREIGHT-IN-ACCESSORIES</v>
      </c>
      <c r="C153" s="11"/>
      <c r="D153" s="2">
        <v>54.82</v>
      </c>
      <c r="E153" s="2"/>
      <c r="F153" s="19">
        <f t="shared" si="8"/>
        <v>1.2172406934266299E-4</v>
      </c>
      <c r="G153" s="2"/>
      <c r="H153" s="2"/>
      <c r="I153" s="2"/>
      <c r="J153" s="19">
        <f t="shared" si="9"/>
        <v>0</v>
      </c>
      <c r="K153" s="2"/>
      <c r="L153" s="2">
        <f t="shared" si="10"/>
        <v>54.82</v>
      </c>
      <c r="M153" s="2"/>
      <c r="N153" s="19">
        <f t="shared" si="11"/>
        <v>0</v>
      </c>
      <c r="O153" s="11"/>
      <c r="P153" s="2">
        <v>413.91</v>
      </c>
      <c r="Q153" s="2"/>
      <c r="R153" s="19">
        <f t="shared" si="12"/>
        <v>8.1620074091923292E-5</v>
      </c>
      <c r="S153" s="2"/>
      <c r="T153" s="2"/>
      <c r="U153" s="2"/>
      <c r="V153" s="19">
        <f t="shared" si="13"/>
        <v>0</v>
      </c>
      <c r="W153" s="2"/>
      <c r="X153" s="2">
        <f t="shared" si="14"/>
        <v>413.91</v>
      </c>
      <c r="Y153" s="2"/>
      <c r="Z153" s="19">
        <f t="shared" si="15"/>
        <v>0</v>
      </c>
    </row>
    <row r="154" spans="1:26" s="24" customFormat="1" hidden="1" outlineLevel="1" x14ac:dyDescent="0.25">
      <c r="A154" s="44"/>
      <c r="B154" s="11" t="str">
        <f>CONCATENATE("          ", "5545", " - ", "FREIGHT-IN-SPECIAL ORDERS")</f>
        <v xml:space="preserve">          5545 - FREIGHT-IN-SPECIAL ORDERS</v>
      </c>
      <c r="C154" s="11"/>
      <c r="D154" s="2">
        <v>158.08000000000001</v>
      </c>
      <c r="E154" s="2"/>
      <c r="F154" s="19">
        <f t="shared" si="8"/>
        <v>3.5100585336899243E-4</v>
      </c>
      <c r="G154" s="2"/>
      <c r="H154" s="2"/>
      <c r="I154" s="2"/>
      <c r="J154" s="19">
        <f t="shared" si="9"/>
        <v>0</v>
      </c>
      <c r="K154" s="2"/>
      <c r="L154" s="2">
        <f t="shared" si="10"/>
        <v>158.08000000000001</v>
      </c>
      <c r="M154" s="2"/>
      <c r="N154" s="19">
        <f t="shared" si="11"/>
        <v>0</v>
      </c>
      <c r="O154" s="11"/>
      <c r="P154" s="2">
        <v>505.06</v>
      </c>
      <c r="Q154" s="2"/>
      <c r="R154" s="19">
        <f t="shared" si="12"/>
        <v>9.9594198306073245E-5</v>
      </c>
      <c r="S154" s="2"/>
      <c r="T154" s="2"/>
      <c r="U154" s="2"/>
      <c r="V154" s="19">
        <f t="shared" si="13"/>
        <v>0</v>
      </c>
      <c r="W154" s="2"/>
      <c r="X154" s="2">
        <f t="shared" si="14"/>
        <v>505.06</v>
      </c>
      <c r="Y154" s="2"/>
      <c r="Z154" s="19">
        <f t="shared" si="15"/>
        <v>0</v>
      </c>
    </row>
    <row r="155" spans="1:26" s="24" customFormat="1" hidden="1" outlineLevel="1" x14ac:dyDescent="0.25">
      <c r="A155" s="44"/>
      <c r="B155" s="11" t="str">
        <f>CONCATENATE("          ", "5592", " - ", "FREIGHT-IN-GRAD MERCH")</f>
        <v xml:space="preserve">          5592 - FREIGHT-IN-GRAD MERCH</v>
      </c>
      <c r="C155" s="11"/>
      <c r="D155" s="2">
        <v>35</v>
      </c>
      <c r="E155" s="2"/>
      <c r="F155" s="19">
        <f t="shared" si="8"/>
        <v>7.7715111765654956E-5</v>
      </c>
      <c r="G155" s="2"/>
      <c r="H155" s="2"/>
      <c r="I155" s="2"/>
      <c r="J155" s="19">
        <f t="shared" si="9"/>
        <v>0</v>
      </c>
      <c r="K155" s="2"/>
      <c r="L155" s="2">
        <f t="shared" si="10"/>
        <v>35</v>
      </c>
      <c r="M155" s="2"/>
      <c r="N155" s="19">
        <f t="shared" si="11"/>
        <v>0</v>
      </c>
      <c r="O155" s="11"/>
      <c r="P155" s="2">
        <v>105.78</v>
      </c>
      <c r="Q155" s="2"/>
      <c r="R155" s="19">
        <f t="shared" si="12"/>
        <v>2.0859054957463325E-5</v>
      </c>
      <c r="S155" s="2"/>
      <c r="T155" s="2"/>
      <c r="U155" s="2"/>
      <c r="V155" s="19">
        <f t="shared" si="13"/>
        <v>0</v>
      </c>
      <c r="W155" s="2"/>
      <c r="X155" s="2">
        <f t="shared" si="14"/>
        <v>105.78</v>
      </c>
      <c r="Y155" s="2"/>
      <c r="Z155" s="19">
        <f t="shared" si="15"/>
        <v>0</v>
      </c>
    </row>
    <row r="156" spans="1:26" x14ac:dyDescent="0.25">
      <c r="A156" s="9"/>
      <c r="B156" s="10"/>
      <c r="C156" s="10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O156" s="10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s="23" customFormat="1" x14ac:dyDescent="0.25">
      <c r="A157" s="10"/>
      <c r="B157" s="28" t="s">
        <v>6</v>
      </c>
      <c r="C157" s="28"/>
      <c r="D157" s="20">
        <f>D12-D104</f>
        <v>239292.17999999967</v>
      </c>
      <c r="E157" s="14"/>
      <c r="F157" s="22">
        <f>IF(D$12=0,0,D157/D$12)</f>
        <v>0.53133195752420559</v>
      </c>
      <c r="G157" s="14"/>
      <c r="H157" s="20">
        <f>H12-H104</f>
        <v>233939.22972000003</v>
      </c>
      <c r="I157" s="14"/>
      <c r="J157" s="22">
        <f>IF(H$12=0,0,H157/H$12)</f>
        <v>0.5990982838323099</v>
      </c>
      <c r="K157" s="16"/>
      <c r="L157" s="20">
        <f>+D157-H157</f>
        <v>5352.9502799996408</v>
      </c>
      <c r="M157" s="16"/>
      <c r="N157" s="22">
        <f>IF(H157=0,0,L157/H157)</f>
        <v>2.2881798347402203E-2</v>
      </c>
      <c r="O157" s="29"/>
      <c r="P157" s="20">
        <f>P12-P104</f>
        <v>2044915.0299999961</v>
      </c>
      <c r="Q157" s="14"/>
      <c r="R157" s="22">
        <f>IF(P$12=0,0,P157/P$12)</f>
        <v>0.40324253161384649</v>
      </c>
      <c r="S157" s="14"/>
      <c r="T157" s="20">
        <f>T12-T104</f>
        <v>2176392.8951099995</v>
      </c>
      <c r="U157" s="14"/>
      <c r="V157" s="22">
        <f>IF(T$12=0,0,T157/T$12)</f>
        <v>0.41252572705908741</v>
      </c>
      <c r="W157" s="16"/>
      <c r="X157" s="20">
        <f>+P157-T157</f>
        <v>-131477.86511000339</v>
      </c>
      <c r="Y157" s="16"/>
      <c r="Z157" s="22">
        <f>IF(T157=0,0,X157/T157)</f>
        <v>-6.0410905312828743E-2</v>
      </c>
    </row>
    <row r="158" spans="1:26" x14ac:dyDescent="0.25">
      <c r="A158" s="9"/>
      <c r="B158" s="10"/>
      <c r="C158" s="9"/>
      <c r="D158" s="1"/>
      <c r="E158" s="1"/>
      <c r="F158" s="5"/>
      <c r="G158" s="1"/>
      <c r="H158" s="1"/>
      <c r="I158" s="1"/>
      <c r="J158" s="5"/>
      <c r="K158" s="1"/>
      <c r="L158" s="1"/>
      <c r="M158" s="1"/>
      <c r="N158" s="5"/>
      <c r="O158" s="36"/>
      <c r="P158" s="1"/>
      <c r="Q158" s="1"/>
      <c r="R158" s="5"/>
      <c r="S158" s="1"/>
      <c r="T158" s="1"/>
      <c r="U158" s="1"/>
      <c r="V158" s="5"/>
      <c r="W158" s="1"/>
      <c r="X158" s="1"/>
      <c r="Y158" s="1"/>
      <c r="Z158" s="5"/>
    </row>
    <row r="159" spans="1:26" s="23" customFormat="1" x14ac:dyDescent="0.25">
      <c r="A159" s="10"/>
      <c r="B159" s="29" t="s">
        <v>9</v>
      </c>
      <c r="C159" s="10"/>
      <c r="D159" s="21">
        <f>SUM(OSRRefD22x_0)</f>
        <v>372980.02</v>
      </c>
      <c r="E159" s="21"/>
      <c r="F159" s="33">
        <f t="shared" ref="F159:F170" si="16">IF(D$12=0,0,D159/D$12)</f>
        <v>0.82817668401874922</v>
      </c>
      <c r="G159" s="21"/>
      <c r="H159" s="21">
        <f>SUM(OSRRefH22x_0)</f>
        <v>376195.05541531218</v>
      </c>
      <c r="I159" s="21"/>
      <c r="J159" s="33">
        <f t="shared" ref="J159:J170" si="17">IF(H$12=0,0,H159/H$12)</f>
        <v>0.96340324089836127</v>
      </c>
      <c r="K159" s="4"/>
      <c r="L159" s="21">
        <f t="shared" ref="L159:L170" si="18">+D159-H159</f>
        <v>-3215.0354153121589</v>
      </c>
      <c r="M159" s="4"/>
      <c r="N159" s="33">
        <f t="shared" ref="N159:N170" si="19">IF(H159=0,0,L159/H159)</f>
        <v>-8.546192644033614E-3</v>
      </c>
      <c r="O159" s="10"/>
      <c r="P159" s="21">
        <f>SUM(OSRRefP22x_0)</f>
        <v>1896003.7299999995</v>
      </c>
      <c r="Q159" s="21"/>
      <c r="R159" s="33">
        <f t="shared" ref="R159:R170" si="20">IF(P$12=0,0,P159/P$12)</f>
        <v>0.37387829460791688</v>
      </c>
      <c r="S159" s="21"/>
      <c r="T159" s="21">
        <f>SUM(OSRRefT22x_0)</f>
        <v>2012873.1716387356</v>
      </c>
      <c r="U159" s="21"/>
      <c r="V159" s="33">
        <f t="shared" ref="V159:V170" si="21">IF(T$12=0,0,T159/T$12)</f>
        <v>0.38153128071392295</v>
      </c>
      <c r="W159" s="4"/>
      <c r="X159" s="21">
        <f t="shared" ref="X159:X170" si="22">+P159-T159</f>
        <v>-116869.44163873605</v>
      </c>
      <c r="Y159" s="4"/>
      <c r="Z159" s="33">
        <f t="shared" ref="Z159:Z170" si="23">IF(T159=0,0,X159/T159)</f>
        <v>-5.8061006170393448E-2</v>
      </c>
    </row>
    <row r="160" spans="1:26" s="26" customFormat="1" outlineLevel="1" collapsed="1" x14ac:dyDescent="0.25">
      <c r="A160" s="27"/>
      <c r="B160" s="13" t="str">
        <f>CONCATENATE("     ","*Benefits                                         ")</f>
        <v xml:space="preserve">     *Benefits                                         </v>
      </c>
      <c r="C160" s="13"/>
      <c r="D160" s="1">
        <f>SUM(OSRRefD22_0x_0)</f>
        <v>42703.780000000006</v>
      </c>
      <c r="E160" s="1"/>
      <c r="F160" s="5">
        <f t="shared" si="16"/>
        <v>9.4820829586169747E-2</v>
      </c>
      <c r="G160" s="1"/>
      <c r="H160" s="1">
        <f>SUM(OSRRefH22_0x_0)</f>
        <v>44949.37837529985</v>
      </c>
      <c r="I160" s="1"/>
      <c r="J160" s="5">
        <f t="shared" si="17"/>
        <v>0.11511149915387214</v>
      </c>
      <c r="K160" s="1"/>
      <c r="L160" s="1">
        <f t="shared" si="18"/>
        <v>-2245.5983752998436</v>
      </c>
      <c r="M160" s="1"/>
      <c r="N160" s="5">
        <f t="shared" si="19"/>
        <v>-4.9958385554311098E-2</v>
      </c>
      <c r="O160" s="13"/>
      <c r="P160" s="1">
        <f>SUM(OSRRefP22_0x_0)</f>
        <v>260129.24000000002</v>
      </c>
      <c r="Q160" s="1"/>
      <c r="R160" s="5">
        <f t="shared" si="20"/>
        <v>5.1295614607706257E-2</v>
      </c>
      <c r="S160" s="1"/>
      <c r="T160" s="1">
        <f>SUM(OSRRefT22_0x_0)</f>
        <v>249271.75755732768</v>
      </c>
      <c r="U160" s="1"/>
      <c r="V160" s="5">
        <f t="shared" si="21"/>
        <v>4.7248368276094688E-2</v>
      </c>
      <c r="W160" s="1"/>
      <c r="X160" s="1">
        <f t="shared" si="22"/>
        <v>10857.482442672335</v>
      </c>
      <c r="Y160" s="1"/>
      <c r="Z160" s="5">
        <f t="shared" si="23"/>
        <v>4.3556809439895428E-2</v>
      </c>
    </row>
    <row r="161" spans="1:26" s="24" customFormat="1" hidden="1" outlineLevel="2" x14ac:dyDescent="0.25">
      <c r="A161" s="25"/>
      <c r="B161" s="11" t="str">
        <f>CONCATENATE("          ", "6111", " - ", "F.I.C.A.")</f>
        <v xml:space="preserve">          6111 - F.I.C.A.</v>
      </c>
      <c r="C161" s="11"/>
      <c r="D161" s="6">
        <v>6114.18</v>
      </c>
      <c r="E161" s="2"/>
      <c r="F161" s="7">
        <f t="shared" si="16"/>
        <v>1.3576119487295207E-2</v>
      </c>
      <c r="G161" s="2"/>
      <c r="H161" s="6">
        <v>7431.4853013703905</v>
      </c>
      <c r="I161" s="2"/>
      <c r="J161" s="7">
        <f t="shared" si="17"/>
        <v>1.903139587022163E-2</v>
      </c>
      <c r="K161" s="2"/>
      <c r="L161" s="6">
        <f t="shared" si="18"/>
        <v>-1317.3053013703902</v>
      </c>
      <c r="M161" s="2"/>
      <c r="N161" s="7">
        <f t="shared" si="19"/>
        <v>-0.17726002917982961</v>
      </c>
      <c r="O161" s="11"/>
      <c r="P161" s="6">
        <v>54314.93</v>
      </c>
      <c r="Q161" s="2"/>
      <c r="R161" s="7">
        <f t="shared" si="20"/>
        <v>1.0710513422960612E-2</v>
      </c>
      <c r="S161" s="2"/>
      <c r="T161" s="6">
        <v>49637.43824153782</v>
      </c>
      <c r="U161" s="2"/>
      <c r="V161" s="7">
        <f t="shared" si="21"/>
        <v>9.4085586963405347E-3</v>
      </c>
      <c r="W161" s="2"/>
      <c r="X161" s="6">
        <f t="shared" si="22"/>
        <v>4677.4917584621799</v>
      </c>
      <c r="Y161" s="2"/>
      <c r="Z161" s="7">
        <f t="shared" si="23"/>
        <v>9.4233141841472801E-2</v>
      </c>
    </row>
    <row r="162" spans="1:26" s="24" customFormat="1" hidden="1" outlineLevel="2" x14ac:dyDescent="0.25">
      <c r="A162" s="25"/>
      <c r="B162" s="11" t="str">
        <f>CONCATENATE("          ", "6112", " - ", "COMPENSATION INSURANCE")</f>
        <v xml:space="preserve">          6112 - COMPENSATION INSURANCE</v>
      </c>
      <c r="C162" s="11"/>
      <c r="D162" s="6">
        <v>2155.17</v>
      </c>
      <c r="E162" s="2"/>
      <c r="F162" s="7">
        <f t="shared" si="16"/>
        <v>4.7854079263996169E-3</v>
      </c>
      <c r="G162" s="2"/>
      <c r="H162" s="6">
        <v>2904.8485941923068</v>
      </c>
      <c r="I162" s="2"/>
      <c r="J162" s="7">
        <f t="shared" si="17"/>
        <v>7.4390678709861865E-3</v>
      </c>
      <c r="K162" s="2"/>
      <c r="L162" s="6">
        <f t="shared" si="18"/>
        <v>-749.67859419230672</v>
      </c>
      <c r="M162" s="2"/>
      <c r="N162" s="7">
        <f t="shared" si="19"/>
        <v>-0.25807837134477396</v>
      </c>
      <c r="O162" s="11"/>
      <c r="P162" s="6">
        <v>10404.049999999999</v>
      </c>
      <c r="Q162" s="2"/>
      <c r="R162" s="7">
        <f t="shared" si="20"/>
        <v>2.0516038072433004E-3</v>
      </c>
      <c r="S162" s="2"/>
      <c r="T162" s="6">
        <v>17436.346400557686</v>
      </c>
      <c r="U162" s="2"/>
      <c r="V162" s="7">
        <f t="shared" si="21"/>
        <v>3.3049829800058297E-3</v>
      </c>
      <c r="W162" s="2"/>
      <c r="X162" s="6">
        <f t="shared" si="22"/>
        <v>-7032.2964005576869</v>
      </c>
      <c r="Y162" s="2"/>
      <c r="Z162" s="7">
        <f t="shared" si="23"/>
        <v>-0.40331249672424291</v>
      </c>
    </row>
    <row r="163" spans="1:26" s="24" customFormat="1" hidden="1" outlineLevel="2" x14ac:dyDescent="0.25">
      <c r="A163" s="25"/>
      <c r="B163" s="11" t="str">
        <f>CONCATENATE("          ", "6113", " - ", "GROUP INSURANCE")</f>
        <v xml:space="preserve">          6113 - GROUP INSURANCE</v>
      </c>
      <c r="C163" s="11"/>
      <c r="D163" s="6">
        <v>18682.73</v>
      </c>
      <c r="E163" s="2"/>
      <c r="F163" s="7">
        <f t="shared" si="16"/>
        <v>4.1483727143930137E-2</v>
      </c>
      <c r="G163" s="2"/>
      <c r="H163" s="6">
        <v>18510.81923076923</v>
      </c>
      <c r="I163" s="2"/>
      <c r="J163" s="7">
        <f t="shared" si="17"/>
        <v>4.7404618912173291E-2</v>
      </c>
      <c r="K163" s="2"/>
      <c r="L163" s="6">
        <f t="shared" si="18"/>
        <v>171.9107692307698</v>
      </c>
      <c r="M163" s="2"/>
      <c r="N163" s="7">
        <f t="shared" si="19"/>
        <v>9.2870427336362651E-3</v>
      </c>
      <c r="O163" s="11"/>
      <c r="P163" s="6">
        <v>94252.33</v>
      </c>
      <c r="Q163" s="2"/>
      <c r="R163" s="7">
        <f t="shared" si="20"/>
        <v>1.8585881370192563E-2</v>
      </c>
      <c r="S163" s="2"/>
      <c r="T163" s="6">
        <v>93497.480769230766</v>
      </c>
      <c r="U163" s="2"/>
      <c r="V163" s="7">
        <f t="shared" si="21"/>
        <v>1.7722037376238793E-2</v>
      </c>
      <c r="W163" s="2"/>
      <c r="X163" s="6">
        <f t="shared" si="22"/>
        <v>754.84923076923587</v>
      </c>
      <c r="Y163" s="2"/>
      <c r="Z163" s="7">
        <f t="shared" si="23"/>
        <v>8.0734713337607955E-3</v>
      </c>
    </row>
    <row r="164" spans="1:26" s="24" customFormat="1" hidden="1" outlineLevel="2" x14ac:dyDescent="0.25">
      <c r="A164" s="25"/>
      <c r="B164" s="11" t="str">
        <f>CONCATENATE("          ", "6114", " - ", "STATE UNEMPLOYMENT INSURANCE")</f>
        <v xml:space="preserve">          6114 - STATE UNEMPLOYMENT INSURANCE</v>
      </c>
      <c r="C164" s="11"/>
      <c r="D164" s="6">
        <v>392.56</v>
      </c>
      <c r="E164" s="2"/>
      <c r="F164" s="7">
        <f t="shared" si="16"/>
        <v>8.7165269356358601E-4</v>
      </c>
      <c r="G164" s="2"/>
      <c r="H164" s="6">
        <v>413.706676047352</v>
      </c>
      <c r="I164" s="2"/>
      <c r="J164" s="7">
        <f t="shared" si="17"/>
        <v>1.059467280996816E-3</v>
      </c>
      <c r="K164" s="2"/>
      <c r="L164" s="6">
        <f t="shared" si="18"/>
        <v>-21.146676047352003</v>
      </c>
      <c r="M164" s="2"/>
      <c r="N164" s="7">
        <f t="shared" si="19"/>
        <v>-5.1115143341152171E-2</v>
      </c>
      <c r="O164" s="11"/>
      <c r="P164" s="6">
        <v>2398.8000000000002</v>
      </c>
      <c r="Q164" s="2"/>
      <c r="R164" s="7">
        <f t="shared" si="20"/>
        <v>4.7302610164457392E-4</v>
      </c>
      <c r="S164" s="2"/>
      <c r="T164" s="6">
        <v>2476.8948100749203</v>
      </c>
      <c r="U164" s="2"/>
      <c r="V164" s="7">
        <f t="shared" si="21"/>
        <v>4.694845469633798E-4</v>
      </c>
      <c r="W164" s="2"/>
      <c r="X164" s="6">
        <f t="shared" si="22"/>
        <v>-78.094810074920133</v>
      </c>
      <c r="Y164" s="2"/>
      <c r="Z164" s="7">
        <f t="shared" si="23"/>
        <v>-3.1529320404429267E-2</v>
      </c>
    </row>
    <row r="165" spans="1:26" s="24" customFormat="1" hidden="1" outlineLevel="2" x14ac:dyDescent="0.25">
      <c r="A165" s="25"/>
      <c r="B165" s="11" t="str">
        <f>CONCATENATE("          ", "6115", " - ", "P.E.R.S.")</f>
        <v xml:space="preserve">          6115 - P.E.R.S.</v>
      </c>
      <c r="C165" s="11"/>
      <c r="D165" s="6">
        <v>6181.43</v>
      </c>
      <c r="E165" s="2"/>
      <c r="F165" s="7">
        <f t="shared" si="16"/>
        <v>1.3725443523473501E-2</v>
      </c>
      <c r="G165" s="2"/>
      <c r="H165" s="6">
        <v>6008.5115279230686</v>
      </c>
      <c r="I165" s="2"/>
      <c r="J165" s="7">
        <f t="shared" si="17"/>
        <v>1.5387282197491201E-2</v>
      </c>
      <c r="K165" s="2"/>
      <c r="L165" s="6">
        <f t="shared" si="18"/>
        <v>172.91847207693172</v>
      </c>
      <c r="M165" s="2"/>
      <c r="N165" s="7">
        <f t="shared" si="19"/>
        <v>2.8778919916078376E-2</v>
      </c>
      <c r="O165" s="11"/>
      <c r="P165" s="6">
        <v>35822.460000000006</v>
      </c>
      <c r="Q165" s="2"/>
      <c r="R165" s="7">
        <f t="shared" si="20"/>
        <v>7.0639313844916979E-3</v>
      </c>
      <c r="S165" s="2"/>
      <c r="T165" s="6">
        <v>33046.813403576889</v>
      </c>
      <c r="U165" s="2"/>
      <c r="V165" s="7">
        <f t="shared" si="21"/>
        <v>6.2638785289765098E-3</v>
      </c>
      <c r="W165" s="2"/>
      <c r="X165" s="6">
        <f t="shared" si="22"/>
        <v>2775.6465964231174</v>
      </c>
      <c r="Y165" s="2"/>
      <c r="Z165" s="7">
        <f t="shared" si="23"/>
        <v>8.3991353796390236E-2</v>
      </c>
    </row>
    <row r="166" spans="1:26" s="24" customFormat="1" hidden="1" outlineLevel="2" x14ac:dyDescent="0.25">
      <c r="A166" s="25"/>
      <c r="B166" s="11" t="str">
        <f>CONCATENATE("          ", "6116", " - ", "EDUCATIONAL BENEFITS")</f>
        <v xml:space="preserve">          6116 - EDUCATIONAL BENEFITS</v>
      </c>
      <c r="C166" s="11"/>
      <c r="D166" s="6"/>
      <c r="E166" s="2"/>
      <c r="F166" s="7">
        <f t="shared" si="16"/>
        <v>0</v>
      </c>
      <c r="G166" s="2"/>
      <c r="H166" s="6">
        <v>0</v>
      </c>
      <c r="I166" s="2"/>
      <c r="J166" s="7">
        <f t="shared" si="17"/>
        <v>0</v>
      </c>
      <c r="K166" s="2"/>
      <c r="L166" s="6">
        <f t="shared" si="18"/>
        <v>0</v>
      </c>
      <c r="M166" s="2"/>
      <c r="N166" s="7">
        <f t="shared" si="19"/>
        <v>0</v>
      </c>
      <c r="O166" s="11"/>
      <c r="P166" s="6"/>
      <c r="Q166" s="2"/>
      <c r="R166" s="7">
        <f t="shared" si="20"/>
        <v>0</v>
      </c>
      <c r="S166" s="2"/>
      <c r="T166" s="6">
        <v>0</v>
      </c>
      <c r="U166" s="2"/>
      <c r="V166" s="7">
        <f t="shared" si="21"/>
        <v>0</v>
      </c>
      <c r="W166" s="2"/>
      <c r="X166" s="6">
        <f t="shared" si="22"/>
        <v>0</v>
      </c>
      <c r="Y166" s="2"/>
      <c r="Z166" s="7">
        <f t="shared" si="23"/>
        <v>0</v>
      </c>
    </row>
    <row r="167" spans="1:26" s="24" customFormat="1" hidden="1" outlineLevel="2" x14ac:dyDescent="0.25">
      <c r="A167" s="25"/>
      <c r="B167" s="11" t="str">
        <f>CONCATENATE("          ", "6117", " - ", "RETIREMENT STAFF HOURLY")</f>
        <v xml:space="preserve">          6117 - RETIREMENT STAFF HOURLY</v>
      </c>
      <c r="C167" s="11"/>
      <c r="D167" s="6">
        <v>93.57</v>
      </c>
      <c r="E167" s="2"/>
      <c r="F167" s="7">
        <f t="shared" si="16"/>
        <v>2.0776580022606667E-4</v>
      </c>
      <c r="G167" s="2"/>
      <c r="H167" s="6"/>
      <c r="I167" s="2"/>
      <c r="J167" s="7">
        <f t="shared" si="17"/>
        <v>0</v>
      </c>
      <c r="K167" s="2"/>
      <c r="L167" s="6">
        <f t="shared" si="18"/>
        <v>93.57</v>
      </c>
      <c r="M167" s="2"/>
      <c r="N167" s="7">
        <f t="shared" si="19"/>
        <v>0</v>
      </c>
      <c r="O167" s="11"/>
      <c r="P167" s="6">
        <v>646.20000000000005</v>
      </c>
      <c r="Q167" s="2"/>
      <c r="R167" s="7">
        <f t="shared" si="20"/>
        <v>1.2742599086323315E-4</v>
      </c>
      <c r="S167" s="2"/>
      <c r="T167" s="6"/>
      <c r="U167" s="2"/>
      <c r="V167" s="7">
        <f t="shared" si="21"/>
        <v>0</v>
      </c>
      <c r="W167" s="2"/>
      <c r="X167" s="6">
        <f t="shared" si="22"/>
        <v>646.20000000000005</v>
      </c>
      <c r="Y167" s="2"/>
      <c r="Z167" s="7">
        <f t="shared" si="23"/>
        <v>0</v>
      </c>
    </row>
    <row r="168" spans="1:26" s="24" customFormat="1" hidden="1" outlineLevel="2" x14ac:dyDescent="0.25">
      <c r="A168" s="25"/>
      <c r="B168" s="11" t="str">
        <f>CONCATENATE("          ", "6118", " - ", "VACATION")</f>
        <v xml:space="preserve">          6118 - VACATION</v>
      </c>
      <c r="C168" s="11"/>
      <c r="D168" s="6">
        <v>4811.3900000000003</v>
      </c>
      <c r="E168" s="2"/>
      <c r="F168" s="7">
        <f t="shared" si="16"/>
        <v>1.0683363188518704E-2</v>
      </c>
      <c r="G168" s="2"/>
      <c r="H168" s="6">
        <v>4376.602598938458</v>
      </c>
      <c r="I168" s="2"/>
      <c r="J168" s="7">
        <f t="shared" si="17"/>
        <v>1.1208103528332234E-2</v>
      </c>
      <c r="K168" s="2"/>
      <c r="L168" s="6">
        <f t="shared" si="18"/>
        <v>434.78740106154237</v>
      </c>
      <c r="M168" s="2"/>
      <c r="N168" s="7">
        <f t="shared" si="19"/>
        <v>9.9343587002164599E-2</v>
      </c>
      <c r="O168" s="11"/>
      <c r="P168" s="6">
        <v>29509.37</v>
      </c>
      <c r="Q168" s="2"/>
      <c r="R168" s="7">
        <f t="shared" si="20"/>
        <v>5.8190354565146483E-3</v>
      </c>
      <c r="S168" s="2"/>
      <c r="T168" s="6">
        <v>24071.314294161522</v>
      </c>
      <c r="U168" s="2"/>
      <c r="V168" s="7">
        <f t="shared" si="21"/>
        <v>4.5626120415932069E-3</v>
      </c>
      <c r="W168" s="2"/>
      <c r="X168" s="6">
        <f t="shared" si="22"/>
        <v>5438.0557058384766</v>
      </c>
      <c r="Y168" s="2"/>
      <c r="Z168" s="7">
        <f t="shared" si="23"/>
        <v>0.22591436592880484</v>
      </c>
    </row>
    <row r="169" spans="1:26" s="24" customFormat="1" hidden="1" outlineLevel="2" x14ac:dyDescent="0.25">
      <c r="A169" s="25"/>
      <c r="B169" s="11" t="str">
        <f>CONCATENATE("          ", "6119", " - ", "SICK LEAVE")</f>
        <v xml:space="preserve">          6119 - SICK LEAVE</v>
      </c>
      <c r="C169" s="11"/>
      <c r="D169" s="6">
        <v>2483.15</v>
      </c>
      <c r="E169" s="2"/>
      <c r="F169" s="7">
        <f t="shared" si="16"/>
        <v>5.5136651365967461E-3</v>
      </c>
      <c r="G169" s="2"/>
      <c r="H169" s="6">
        <v>3753.4044460590458</v>
      </c>
      <c r="I169" s="2"/>
      <c r="J169" s="7">
        <f t="shared" si="17"/>
        <v>9.6121465598306751E-3</v>
      </c>
      <c r="K169" s="2"/>
      <c r="L169" s="6">
        <f t="shared" si="18"/>
        <v>-1270.2544460590457</v>
      </c>
      <c r="M169" s="2"/>
      <c r="N169" s="7">
        <f t="shared" si="19"/>
        <v>-0.33842727697324815</v>
      </c>
      <c r="O169" s="11"/>
      <c r="P169" s="6">
        <v>23054.5</v>
      </c>
      <c r="Q169" s="2"/>
      <c r="R169" s="7">
        <f t="shared" si="20"/>
        <v>4.5461815325849707E-3</v>
      </c>
      <c r="S169" s="2"/>
      <c r="T169" s="6">
        <v>21355.469638188137</v>
      </c>
      <c r="U169" s="2"/>
      <c r="V169" s="7">
        <f t="shared" si="21"/>
        <v>4.0478355994341582E-3</v>
      </c>
      <c r="W169" s="2"/>
      <c r="X169" s="6">
        <f t="shared" si="22"/>
        <v>1699.0303618118633</v>
      </c>
      <c r="Y169" s="2"/>
      <c r="Z169" s="7">
        <f t="shared" si="23"/>
        <v>7.9559494152900034E-2</v>
      </c>
    </row>
    <row r="170" spans="1:26" s="24" customFormat="1" hidden="1" outlineLevel="2" x14ac:dyDescent="0.25">
      <c r="A170" s="25"/>
      <c r="B170" s="11" t="str">
        <f>CONCATENATE("          ", "6156", " - ", "EMPLOYEE MEALS")</f>
        <v xml:space="preserve">          6156 - EMPLOYEE MEALS</v>
      </c>
      <c r="C170" s="11"/>
      <c r="D170" s="6">
        <v>1789.6</v>
      </c>
      <c r="E170" s="2"/>
      <c r="F170" s="7">
        <f t="shared" si="16"/>
        <v>3.9736846861661741E-3</v>
      </c>
      <c r="G170" s="2"/>
      <c r="H170" s="6">
        <v>1550</v>
      </c>
      <c r="I170" s="2"/>
      <c r="J170" s="7">
        <f t="shared" si="17"/>
        <v>3.9694169338401128E-3</v>
      </c>
      <c r="K170" s="2"/>
      <c r="L170" s="6">
        <f t="shared" si="18"/>
        <v>239.59999999999991</v>
      </c>
      <c r="M170" s="2"/>
      <c r="N170" s="7">
        <f t="shared" si="19"/>
        <v>0.15458064516129028</v>
      </c>
      <c r="O170" s="11"/>
      <c r="P170" s="6">
        <v>9726.6</v>
      </c>
      <c r="Q170" s="2"/>
      <c r="R170" s="7">
        <f t="shared" si="20"/>
        <v>1.9180155412106522E-3</v>
      </c>
      <c r="S170" s="2"/>
      <c r="T170" s="6">
        <v>7750</v>
      </c>
      <c r="U170" s="2"/>
      <c r="V170" s="7">
        <f t="shared" si="21"/>
        <v>1.4689785065422852E-3</v>
      </c>
      <c r="W170" s="2"/>
      <c r="X170" s="6">
        <f t="shared" si="22"/>
        <v>1976.6000000000004</v>
      </c>
      <c r="Y170" s="2"/>
      <c r="Z170" s="7">
        <f t="shared" si="23"/>
        <v>0.25504516129032262</v>
      </c>
    </row>
    <row r="171" spans="1:26" s="26" customFormat="1" outlineLevel="1" collapsed="1" x14ac:dyDescent="0.25">
      <c r="A171" s="27"/>
      <c r="B171" s="13" t="str">
        <f>CONCATENATE("     ","*Payroll                                          ")</f>
        <v xml:space="preserve">     *Payroll                                          </v>
      </c>
      <c r="C171" s="13"/>
      <c r="D171" s="1">
        <f>SUM(OSRRefD22_1x_0)</f>
        <v>139539.44</v>
      </c>
      <c r="E171" s="1"/>
      <c r="F171" s="5">
        <f t="shared" ref="F171:F181" si="24">IF(D$12=0,0,D171/D$12)</f>
        <v>0.30983780500905439</v>
      </c>
      <c r="G171" s="1"/>
      <c r="H171" s="1">
        <f>SUM(OSRRefH22_1x_0)</f>
        <v>151864.17704001232</v>
      </c>
      <c r="I171" s="1"/>
      <c r="J171" s="5">
        <f t="shared" ref="J171:J181" si="25">IF(H$12=0,0,H171/H$12)</f>
        <v>0.38891111999117278</v>
      </c>
      <c r="K171" s="1"/>
      <c r="L171" s="1">
        <f t="shared" ref="L171:L181" si="26">+D171-H171</f>
        <v>-12324.737040012318</v>
      </c>
      <c r="M171" s="1"/>
      <c r="N171" s="5">
        <f t="shared" ref="N171:N181" si="27">IF(H171=0,0,L171/H171)</f>
        <v>-8.1156315335413606E-2</v>
      </c>
      <c r="O171" s="13"/>
      <c r="P171" s="1">
        <f>SUM(OSRRefP22_1x_0)</f>
        <v>890937.86</v>
      </c>
      <c r="Q171" s="1"/>
      <c r="R171" s="5">
        <f t="shared" ref="R171:R181" si="28">IF(P$12=0,0,P171/P$12)</f>
        <v>0.17568653606943435</v>
      </c>
      <c r="S171" s="1"/>
      <c r="T171" s="1">
        <f>SUM(OSRRefT22_1x_0)</f>
        <v>912874.91408140783</v>
      </c>
      <c r="U171" s="1"/>
      <c r="V171" s="5">
        <f t="shared" ref="V171:V181" si="29">IF(T$12=0,0,T171/T$12)</f>
        <v>0.17303143586415787</v>
      </c>
      <c r="W171" s="1"/>
      <c r="X171" s="1">
        <f t="shared" ref="X171:X181" si="30">+P171-T171</f>
        <v>-21937.054081407841</v>
      </c>
      <c r="Y171" s="1"/>
      <c r="Z171" s="5">
        <f t="shared" ref="Z171:Z181" si="31">IF(T171=0,0,X171/T171)</f>
        <v>-2.403073383113204E-2</v>
      </c>
    </row>
    <row r="172" spans="1:26" s="24" customFormat="1" hidden="1" outlineLevel="2" x14ac:dyDescent="0.25">
      <c r="A172" s="25"/>
      <c r="B172" s="11" t="str">
        <f>CONCATENATE("          ", "6001", " - ", "ADMINISTRATIVE SALARIES")</f>
        <v xml:space="preserve">          6001 - ADMINISTRATIVE SALARIES</v>
      </c>
      <c r="C172" s="11"/>
      <c r="D172" s="6">
        <v>10717.14</v>
      </c>
      <c r="E172" s="2"/>
      <c r="F172" s="7">
        <f t="shared" si="24"/>
        <v>2.3796678083090609E-2</v>
      </c>
      <c r="G172" s="2"/>
      <c r="H172" s="6">
        <v>24506.560901846147</v>
      </c>
      <c r="I172" s="2"/>
      <c r="J172" s="7">
        <f t="shared" si="25"/>
        <v>6.2759198602562669E-2</v>
      </c>
      <c r="K172" s="2"/>
      <c r="L172" s="6">
        <f t="shared" si="26"/>
        <v>-13789.420901846148</v>
      </c>
      <c r="M172" s="2"/>
      <c r="N172" s="7">
        <f t="shared" si="27"/>
        <v>-0.5626828242883869</v>
      </c>
      <c r="O172" s="11"/>
      <c r="P172" s="6">
        <v>56800.83</v>
      </c>
      <c r="Q172" s="2"/>
      <c r="R172" s="7">
        <f t="shared" si="28"/>
        <v>1.120071501795738E-2</v>
      </c>
      <c r="S172" s="2"/>
      <c r="T172" s="6">
        <v>134786.08496015385</v>
      </c>
      <c r="U172" s="2"/>
      <c r="V172" s="7">
        <f t="shared" si="29"/>
        <v>2.5548111198380435E-2</v>
      </c>
      <c r="W172" s="2"/>
      <c r="X172" s="6">
        <f t="shared" si="30"/>
        <v>-77985.254960153849</v>
      </c>
      <c r="Y172" s="2"/>
      <c r="Z172" s="7">
        <f t="shared" si="31"/>
        <v>-0.57858535607149841</v>
      </c>
    </row>
    <row r="173" spans="1:26" s="24" customFormat="1" hidden="1" outlineLevel="2" x14ac:dyDescent="0.25">
      <c r="A173" s="25"/>
      <c r="B173" s="11" t="str">
        <f>CONCATENATE("          ", "6002", " - ", "STAFF SALARIES")</f>
        <v xml:space="preserve">          6002 - STAFF SALARIES</v>
      </c>
      <c r="C173" s="11"/>
      <c r="D173" s="6">
        <v>52570.12</v>
      </c>
      <c r="E173" s="2"/>
      <c r="F173" s="7">
        <f t="shared" si="24"/>
        <v>0.11672836432382551</v>
      </c>
      <c r="G173" s="2"/>
      <c r="H173" s="6">
        <v>39132.03454564618</v>
      </c>
      <c r="I173" s="2"/>
      <c r="J173" s="7">
        <f t="shared" si="25"/>
        <v>0.10021378102006726</v>
      </c>
      <c r="K173" s="2"/>
      <c r="L173" s="6">
        <f t="shared" si="26"/>
        <v>13438.085454353823</v>
      </c>
      <c r="M173" s="2"/>
      <c r="N173" s="7">
        <f t="shared" si="27"/>
        <v>0.34340370007285859</v>
      </c>
      <c r="O173" s="11"/>
      <c r="P173" s="6">
        <v>297614.38</v>
      </c>
      <c r="Q173" s="2"/>
      <c r="R173" s="7">
        <f t="shared" si="28"/>
        <v>5.8687414525915811E-2</v>
      </c>
      <c r="S173" s="2"/>
      <c r="T173" s="6">
        <v>215226.19000105391</v>
      </c>
      <c r="U173" s="2"/>
      <c r="V173" s="7">
        <f t="shared" si="29"/>
        <v>4.079518027826249E-2</v>
      </c>
      <c r="W173" s="2"/>
      <c r="X173" s="6">
        <f t="shared" si="30"/>
        <v>82388.189998946094</v>
      </c>
      <c r="Y173" s="2"/>
      <c r="Z173" s="7">
        <f t="shared" si="31"/>
        <v>0.38279816224290669</v>
      </c>
    </row>
    <row r="174" spans="1:26" s="24" customFormat="1" hidden="1" outlineLevel="2" x14ac:dyDescent="0.25">
      <c r="A174" s="25"/>
      <c r="B174" s="11" t="str">
        <f>CONCATENATE("          ", "6003", " - ", "STAFF HOURLY-9 MONTH")</f>
        <v xml:space="preserve">          6003 - STAFF HOURLY-9 MONTH</v>
      </c>
      <c r="C174" s="11"/>
      <c r="D174" s="6"/>
      <c r="E174" s="2"/>
      <c r="F174" s="7">
        <f t="shared" si="24"/>
        <v>0</v>
      </c>
      <c r="G174" s="2"/>
      <c r="H174" s="6">
        <v>0</v>
      </c>
      <c r="I174" s="2"/>
      <c r="J174" s="7">
        <f t="shared" si="25"/>
        <v>0</v>
      </c>
      <c r="K174" s="2"/>
      <c r="L174" s="6">
        <f t="shared" si="26"/>
        <v>0</v>
      </c>
      <c r="M174" s="2"/>
      <c r="N174" s="7">
        <f t="shared" si="27"/>
        <v>0</v>
      </c>
      <c r="O174" s="11"/>
      <c r="P174" s="6"/>
      <c r="Q174" s="2"/>
      <c r="R174" s="7">
        <f t="shared" si="28"/>
        <v>0</v>
      </c>
      <c r="S174" s="2"/>
      <c r="T174" s="6">
        <v>0</v>
      </c>
      <c r="U174" s="2"/>
      <c r="V174" s="7">
        <f t="shared" si="29"/>
        <v>0</v>
      </c>
      <c r="W174" s="2"/>
      <c r="X174" s="6">
        <f t="shared" si="30"/>
        <v>0</v>
      </c>
      <c r="Y174" s="2"/>
      <c r="Z174" s="7">
        <f t="shared" si="31"/>
        <v>0</v>
      </c>
    </row>
    <row r="175" spans="1:26" s="24" customFormat="1" hidden="1" outlineLevel="2" x14ac:dyDescent="0.25">
      <c r="A175" s="25"/>
      <c r="B175" s="11" t="str">
        <f>CONCATENATE("          ", "6004", " - ", "STAFF HOURLY")</f>
        <v xml:space="preserve">          6004 - STAFF HOURLY</v>
      </c>
      <c r="C175" s="11"/>
      <c r="D175" s="6">
        <v>2163.25</v>
      </c>
      <c r="E175" s="2"/>
      <c r="F175" s="7">
        <f t="shared" si="24"/>
        <v>4.8033490150586593E-3</v>
      </c>
      <c r="G175" s="2"/>
      <c r="H175" s="6">
        <v>21561.512381999997</v>
      </c>
      <c r="I175" s="2"/>
      <c r="J175" s="7">
        <f t="shared" si="25"/>
        <v>5.5217182173105846E-2</v>
      </c>
      <c r="K175" s="2"/>
      <c r="L175" s="6">
        <f t="shared" si="26"/>
        <v>-19398.262381999997</v>
      </c>
      <c r="M175" s="2"/>
      <c r="N175" s="7">
        <f t="shared" si="27"/>
        <v>-0.89967076698172965</v>
      </c>
      <c r="O175" s="11"/>
      <c r="P175" s="6">
        <v>12705.41</v>
      </c>
      <c r="Q175" s="2"/>
      <c r="R175" s="7">
        <f t="shared" si="28"/>
        <v>2.5054154419276243E-3</v>
      </c>
      <c r="S175" s="2"/>
      <c r="T175" s="6">
        <v>117102.996226</v>
      </c>
      <c r="U175" s="2"/>
      <c r="V175" s="7">
        <f t="shared" si="29"/>
        <v>2.2196359291315658E-2</v>
      </c>
      <c r="W175" s="2"/>
      <c r="X175" s="6">
        <f t="shared" si="30"/>
        <v>-104397.586226</v>
      </c>
      <c r="Y175" s="2"/>
      <c r="Z175" s="7">
        <f t="shared" si="31"/>
        <v>-0.89150226373815822</v>
      </c>
    </row>
    <row r="176" spans="1:26" s="24" customFormat="1" hidden="1" outlineLevel="2" x14ac:dyDescent="0.25">
      <c r="A176" s="25"/>
      <c r="B176" s="11" t="str">
        <f>CONCATENATE("          ", "6005", " - ", "TEMPORARY WAGES-HOURLY")</f>
        <v xml:space="preserve">          6005 - TEMPORARY WAGES-HOURLY</v>
      </c>
      <c r="C176" s="11"/>
      <c r="D176" s="6">
        <v>16229.110000000002</v>
      </c>
      <c r="E176" s="2"/>
      <c r="F176" s="7">
        <f t="shared" si="24"/>
        <v>3.6035631357345964E-2</v>
      </c>
      <c r="G176" s="2"/>
      <c r="H176" s="6">
        <v>2792</v>
      </c>
      <c r="I176" s="2"/>
      <c r="J176" s="7">
        <f t="shared" si="25"/>
        <v>7.1500723092139326E-3</v>
      </c>
      <c r="K176" s="2"/>
      <c r="L176" s="6">
        <f t="shared" si="26"/>
        <v>13437.110000000002</v>
      </c>
      <c r="M176" s="2"/>
      <c r="N176" s="7">
        <f t="shared" si="27"/>
        <v>4.8127184813753594</v>
      </c>
      <c r="O176" s="11"/>
      <c r="P176" s="6">
        <v>90997.37999999999</v>
      </c>
      <c r="Q176" s="2"/>
      <c r="R176" s="7">
        <f t="shared" si="28"/>
        <v>1.7944028648186557E-2</v>
      </c>
      <c r="S176" s="2"/>
      <c r="T176" s="6">
        <v>16305.28</v>
      </c>
      <c r="U176" s="2"/>
      <c r="V176" s="7">
        <f t="shared" si="29"/>
        <v>3.0905943049230702E-3</v>
      </c>
      <c r="W176" s="2"/>
      <c r="X176" s="6">
        <f t="shared" si="30"/>
        <v>74692.099999999991</v>
      </c>
      <c r="Y176" s="2"/>
      <c r="Z176" s="7">
        <f t="shared" si="31"/>
        <v>4.5808535639989003</v>
      </c>
    </row>
    <row r="177" spans="1:26" s="24" customFormat="1" hidden="1" outlineLevel="2" x14ac:dyDescent="0.25">
      <c r="A177" s="25"/>
      <c r="B177" s="11" t="str">
        <f>CONCATENATE("          ", "6006", " - ", "TEMPORARY PART TIME")</f>
        <v xml:space="preserve">          6006 - TEMPORARY PART TIME</v>
      </c>
      <c r="C177" s="11"/>
      <c r="D177" s="6">
        <v>1297.75</v>
      </c>
      <c r="E177" s="2"/>
      <c r="F177" s="7">
        <f t="shared" si="24"/>
        <v>2.881565322682249E-3</v>
      </c>
      <c r="G177" s="2"/>
      <c r="H177" s="6">
        <v>0</v>
      </c>
      <c r="I177" s="2"/>
      <c r="J177" s="7">
        <f t="shared" si="25"/>
        <v>0</v>
      </c>
      <c r="K177" s="2"/>
      <c r="L177" s="6">
        <f t="shared" si="26"/>
        <v>1297.75</v>
      </c>
      <c r="M177" s="2"/>
      <c r="N177" s="7">
        <f t="shared" si="27"/>
        <v>0</v>
      </c>
      <c r="O177" s="11"/>
      <c r="P177" s="6">
        <v>19835.75</v>
      </c>
      <c r="Q177" s="2"/>
      <c r="R177" s="7">
        <f t="shared" si="28"/>
        <v>3.9114671901352158E-3</v>
      </c>
      <c r="S177" s="2"/>
      <c r="T177" s="6">
        <v>0</v>
      </c>
      <c r="U177" s="2"/>
      <c r="V177" s="7">
        <f t="shared" si="29"/>
        <v>0</v>
      </c>
      <c r="W177" s="2"/>
      <c r="X177" s="6">
        <f t="shared" si="30"/>
        <v>19835.75</v>
      </c>
      <c r="Y177" s="2"/>
      <c r="Z177" s="7">
        <f t="shared" si="31"/>
        <v>0</v>
      </c>
    </row>
    <row r="178" spans="1:26" s="24" customFormat="1" hidden="1" outlineLevel="2" x14ac:dyDescent="0.25">
      <c r="A178" s="25"/>
      <c r="B178" s="11" t="str">
        <f>CONCATENATE("          ", "6007", " - ", "STUDENT HOURLY")</f>
        <v xml:space="preserve">          6007 - STUDENT HOURLY</v>
      </c>
      <c r="C178" s="11"/>
      <c r="D178" s="6">
        <v>56010.07</v>
      </c>
      <c r="E178" s="2"/>
      <c r="F178" s="7">
        <f t="shared" si="24"/>
        <v>0.12436653857291878</v>
      </c>
      <c r="G178" s="2"/>
      <c r="H178" s="6">
        <v>4651.6350000000002</v>
      </c>
      <c r="I178" s="2"/>
      <c r="J178" s="7">
        <f t="shared" si="25"/>
        <v>1.1912437896157004E-2</v>
      </c>
      <c r="K178" s="2"/>
      <c r="L178" s="6">
        <f t="shared" si="26"/>
        <v>51358.434999999998</v>
      </c>
      <c r="M178" s="2"/>
      <c r="N178" s="7">
        <f t="shared" si="27"/>
        <v>11.040942593303214</v>
      </c>
      <c r="O178" s="11"/>
      <c r="P178" s="6">
        <v>407701.11</v>
      </c>
      <c r="Q178" s="2"/>
      <c r="R178" s="7">
        <f t="shared" si="28"/>
        <v>8.0395725654271138E-2</v>
      </c>
      <c r="S178" s="2"/>
      <c r="T178" s="6">
        <v>141760.00636319999</v>
      </c>
      <c r="U178" s="2"/>
      <c r="V178" s="7">
        <f t="shared" si="29"/>
        <v>2.6869987410946886E-2</v>
      </c>
      <c r="W178" s="2"/>
      <c r="X178" s="6">
        <f t="shared" si="30"/>
        <v>265941.10363679996</v>
      </c>
      <c r="Y178" s="2"/>
      <c r="Z178" s="7">
        <f t="shared" si="31"/>
        <v>1.8759952856903694</v>
      </c>
    </row>
    <row r="179" spans="1:26" s="24" customFormat="1" hidden="1" outlineLevel="2" x14ac:dyDescent="0.25">
      <c r="A179" s="25"/>
      <c r="B179" s="11" t="str">
        <f>CONCATENATE("          ", "6008", " - ", "STUDENT HOURLY-FICA EXEMPT")</f>
        <v xml:space="preserve">          6008 - STUDENT HOURLY-FICA EXEMPT</v>
      </c>
      <c r="C179" s="11"/>
      <c r="D179" s="6">
        <v>552</v>
      </c>
      <c r="E179" s="2"/>
      <c r="F179" s="7">
        <f t="shared" si="24"/>
        <v>1.2256783341326152E-3</v>
      </c>
      <c r="G179" s="2"/>
      <c r="H179" s="6">
        <v>59220.434210519998</v>
      </c>
      <c r="I179" s="2"/>
      <c r="J179" s="7">
        <f t="shared" si="25"/>
        <v>0.15165844799006609</v>
      </c>
      <c r="K179" s="2"/>
      <c r="L179" s="6">
        <f t="shared" si="26"/>
        <v>-58668.434210519998</v>
      </c>
      <c r="M179" s="2"/>
      <c r="N179" s="7">
        <f t="shared" si="27"/>
        <v>-0.99067889306522605</v>
      </c>
      <c r="O179" s="11"/>
      <c r="P179" s="6">
        <v>5283</v>
      </c>
      <c r="Q179" s="2"/>
      <c r="R179" s="7">
        <f t="shared" si="28"/>
        <v>1.0417695910406386E-3</v>
      </c>
      <c r="S179" s="2"/>
      <c r="T179" s="6">
        <v>287694.356531</v>
      </c>
      <c r="U179" s="2"/>
      <c r="V179" s="7">
        <f t="shared" si="29"/>
        <v>5.4531203380329303E-2</v>
      </c>
      <c r="W179" s="2"/>
      <c r="X179" s="6">
        <f t="shared" si="30"/>
        <v>-282411.356531</v>
      </c>
      <c r="Y179" s="2"/>
      <c r="Z179" s="7">
        <f t="shared" si="31"/>
        <v>-0.98163676179226433</v>
      </c>
    </row>
    <row r="180" spans="1:26" s="24" customFormat="1" hidden="1" outlineLevel="2" x14ac:dyDescent="0.25">
      <c r="A180" s="25"/>
      <c r="B180" s="11" t="str">
        <f>CONCATENATE("          ", "6009", " - ", "TEMPORARY-SEASONAL")</f>
        <v xml:space="preserve">          6009 - TEMPORARY-SEASONAL</v>
      </c>
      <c r="C180" s="11"/>
      <c r="D180" s="6"/>
      <c r="E180" s="2"/>
      <c r="F180" s="7">
        <f t="shared" si="24"/>
        <v>0</v>
      </c>
      <c r="G180" s="2"/>
      <c r="H180" s="6">
        <v>0</v>
      </c>
      <c r="I180" s="2"/>
      <c r="J180" s="7">
        <f t="shared" si="25"/>
        <v>0</v>
      </c>
      <c r="K180" s="2"/>
      <c r="L180" s="6">
        <f t="shared" si="26"/>
        <v>0</v>
      </c>
      <c r="M180" s="2"/>
      <c r="N180" s="7">
        <f t="shared" si="27"/>
        <v>0</v>
      </c>
      <c r="O180" s="11"/>
      <c r="P180" s="6"/>
      <c r="Q180" s="2"/>
      <c r="R180" s="7">
        <f t="shared" si="28"/>
        <v>0</v>
      </c>
      <c r="S180" s="2"/>
      <c r="T180" s="6">
        <v>0</v>
      </c>
      <c r="U180" s="2"/>
      <c r="V180" s="7">
        <f t="shared" si="29"/>
        <v>0</v>
      </c>
      <c r="W180" s="2"/>
      <c r="X180" s="6">
        <f t="shared" si="30"/>
        <v>0</v>
      </c>
      <c r="Y180" s="2"/>
      <c r="Z180" s="7">
        <f t="shared" si="31"/>
        <v>0</v>
      </c>
    </row>
    <row r="181" spans="1:26" s="24" customFormat="1" hidden="1" outlineLevel="2" x14ac:dyDescent="0.25">
      <c r="A181" s="25"/>
      <c r="B181" s="11" t="str">
        <f>CONCATENATE("          ", "6010", " - ", "GRATUITY")</f>
        <v xml:space="preserve">          6010 - GRATUITY</v>
      </c>
      <c r="C181" s="11"/>
      <c r="D181" s="6"/>
      <c r="E181" s="2"/>
      <c r="F181" s="7">
        <f t="shared" si="24"/>
        <v>0</v>
      </c>
      <c r="G181" s="2"/>
      <c r="H181" s="6">
        <v>0</v>
      </c>
      <c r="I181" s="2"/>
      <c r="J181" s="7">
        <f t="shared" si="25"/>
        <v>0</v>
      </c>
      <c r="K181" s="2"/>
      <c r="L181" s="6">
        <f t="shared" si="26"/>
        <v>0</v>
      </c>
      <c r="M181" s="2"/>
      <c r="N181" s="7">
        <f t="shared" si="27"/>
        <v>0</v>
      </c>
      <c r="O181" s="11"/>
      <c r="P181" s="6"/>
      <c r="Q181" s="2"/>
      <c r="R181" s="7">
        <f t="shared" si="28"/>
        <v>0</v>
      </c>
      <c r="S181" s="2"/>
      <c r="T181" s="6">
        <v>0</v>
      </c>
      <c r="U181" s="2"/>
      <c r="V181" s="7">
        <f t="shared" si="29"/>
        <v>0</v>
      </c>
      <c r="W181" s="2"/>
      <c r="X181" s="6">
        <f t="shared" si="30"/>
        <v>0</v>
      </c>
      <c r="Y181" s="2"/>
      <c r="Z181" s="7">
        <f t="shared" si="31"/>
        <v>0</v>
      </c>
    </row>
    <row r="182" spans="1:26" s="26" customFormat="1" outlineLevel="1" collapsed="1" x14ac:dyDescent="0.25">
      <c r="A182" s="27"/>
      <c r="B182" s="13" t="str">
        <f>CONCATENATE("     ","Advertising/Promo                                 ")</f>
        <v xml:space="preserve">     Advertising/Promo                                 </v>
      </c>
      <c r="C182" s="13"/>
      <c r="D182" s="1">
        <f>SUM(OSRRefD22_2x_0)</f>
        <v>14854.550000000001</v>
      </c>
      <c r="E182" s="1"/>
      <c r="F182" s="5">
        <f t="shared" ref="F182:F186" si="32">IF(D$12=0,0,D182/D$12)</f>
        <v>3.2983514670814569E-2</v>
      </c>
      <c r="G182" s="1"/>
      <c r="H182" s="1">
        <f>SUM(OSRRefH22_2x_0)</f>
        <v>12020</v>
      </c>
      <c r="I182" s="1"/>
      <c r="J182" s="5">
        <f t="shared" ref="J182:J186" si="33">IF(H$12=0,0,H182/H$12)</f>
        <v>3.0782188093392362E-2</v>
      </c>
      <c r="K182" s="1"/>
      <c r="L182" s="1">
        <f t="shared" ref="L182:L186" si="34">+D182-H182</f>
        <v>2834.5500000000011</v>
      </c>
      <c r="M182" s="1"/>
      <c r="N182" s="5">
        <f t="shared" ref="N182:N186" si="35">IF(H182=0,0,L182/H182)</f>
        <v>0.23581946755407662</v>
      </c>
      <c r="O182" s="13"/>
      <c r="P182" s="1">
        <f>SUM(OSRRefP22_2x_0)</f>
        <v>32621.350000000002</v>
      </c>
      <c r="Q182" s="1"/>
      <c r="R182" s="5">
        <f t="shared" ref="R182:R186" si="36">IF(P$12=0,0,P182/P$12)</f>
        <v>6.4326955231295739E-3</v>
      </c>
      <c r="S182" s="1"/>
      <c r="T182" s="1">
        <f>SUM(OSRRefT22_2x_0)</f>
        <v>32650</v>
      </c>
      <c r="U182" s="1"/>
      <c r="V182" s="5">
        <f t="shared" ref="V182:V186" si="37">IF(T$12=0,0,T182/T$12)</f>
        <v>6.188664288852337E-3</v>
      </c>
      <c r="W182" s="1"/>
      <c r="X182" s="1">
        <f t="shared" ref="X182:X186" si="38">+P182-T182</f>
        <v>-28.649999999997817</v>
      </c>
      <c r="Y182" s="1"/>
      <c r="Z182" s="5">
        <f t="shared" ref="Z182:Z186" si="39">IF(T182=0,0,X182/T182)</f>
        <v>-8.7748851454817203E-4</v>
      </c>
    </row>
    <row r="183" spans="1:26" s="24" customFormat="1" hidden="1" outlineLevel="2" x14ac:dyDescent="0.25">
      <c r="A183" s="25"/>
      <c r="B183" s="11" t="str">
        <f>CONCATENATE("          ", "6362", " - ", "ADVERTISING EXPENSE")</f>
        <v xml:space="preserve">          6362 - ADVERTISING EXPENSE</v>
      </c>
      <c r="C183" s="11"/>
      <c r="D183" s="6">
        <v>14854.550000000001</v>
      </c>
      <c r="E183" s="2"/>
      <c r="F183" s="7">
        <f t="shared" si="32"/>
        <v>3.2983514670814569E-2</v>
      </c>
      <c r="G183" s="2"/>
      <c r="H183" s="6">
        <v>12020</v>
      </c>
      <c r="I183" s="2"/>
      <c r="J183" s="7">
        <f t="shared" si="33"/>
        <v>3.0782188093392362E-2</v>
      </c>
      <c r="K183" s="2"/>
      <c r="L183" s="6">
        <f t="shared" si="34"/>
        <v>2834.5500000000011</v>
      </c>
      <c r="M183" s="2"/>
      <c r="N183" s="7">
        <f t="shared" si="35"/>
        <v>0.23581946755407662</v>
      </c>
      <c r="O183" s="11"/>
      <c r="P183" s="6">
        <v>32621.350000000002</v>
      </c>
      <c r="Q183" s="2"/>
      <c r="R183" s="7">
        <f t="shared" si="36"/>
        <v>6.4326955231295739E-3</v>
      </c>
      <c r="S183" s="2"/>
      <c r="T183" s="6">
        <v>32650</v>
      </c>
      <c r="U183" s="2"/>
      <c r="V183" s="7">
        <f t="shared" si="37"/>
        <v>6.188664288852337E-3</v>
      </c>
      <c r="W183" s="2"/>
      <c r="X183" s="6">
        <f t="shared" si="38"/>
        <v>-28.649999999997817</v>
      </c>
      <c r="Y183" s="2"/>
      <c r="Z183" s="7">
        <f t="shared" si="39"/>
        <v>-8.7748851454817203E-4</v>
      </c>
    </row>
    <row r="184" spans="1:26" s="26" customFormat="1" outlineLevel="1" collapsed="1" x14ac:dyDescent="0.25">
      <c r="A184" s="27"/>
      <c r="B184" s="13" t="str">
        <f>CONCATENATE("     ","Bad Debts/Over/Short                              ")</f>
        <v xml:space="preserve">     Bad Debts/Over/Short                              </v>
      </c>
      <c r="C184" s="13"/>
      <c r="D184" s="1">
        <f>SUM(OSRRefD22_3x_0)</f>
        <v>150.11000000000001</v>
      </c>
      <c r="E184" s="1"/>
      <c r="F184" s="5">
        <f t="shared" si="32"/>
        <v>3.3330901220407044E-4</v>
      </c>
      <c r="G184" s="1"/>
      <c r="H184" s="1">
        <f>SUM(OSRRefH22_3x_0)</f>
        <v>135</v>
      </c>
      <c r="I184" s="1"/>
      <c r="J184" s="5">
        <f t="shared" si="33"/>
        <v>3.4572341036671954E-4</v>
      </c>
      <c r="K184" s="1"/>
      <c r="L184" s="1">
        <f t="shared" si="34"/>
        <v>15.110000000000014</v>
      </c>
      <c r="M184" s="1"/>
      <c r="N184" s="5">
        <f t="shared" si="35"/>
        <v>0.11192592592592603</v>
      </c>
      <c r="O184" s="13"/>
      <c r="P184" s="1">
        <f>SUM(OSRRefP22_3x_0)</f>
        <v>72.459999999999994</v>
      </c>
      <c r="Q184" s="1"/>
      <c r="R184" s="5">
        <f t="shared" si="36"/>
        <v>1.4288590680826172E-5</v>
      </c>
      <c r="S184" s="1"/>
      <c r="T184" s="1">
        <f>SUM(OSRRefT22_3x_0)</f>
        <v>675</v>
      </c>
      <c r="U184" s="1"/>
      <c r="V184" s="5">
        <f t="shared" si="37"/>
        <v>1.2794328927948935E-4</v>
      </c>
      <c r="W184" s="1"/>
      <c r="X184" s="1">
        <f t="shared" si="38"/>
        <v>-602.54</v>
      </c>
      <c r="Y184" s="1"/>
      <c r="Z184" s="5">
        <f t="shared" si="39"/>
        <v>-0.89265185185185181</v>
      </c>
    </row>
    <row r="185" spans="1:26" s="24" customFormat="1" hidden="1" outlineLevel="2" x14ac:dyDescent="0.25">
      <c r="A185" s="25"/>
      <c r="B185" s="11" t="str">
        <f>CONCATENATE("          ", "6272", " - ", "CASH (OVER/SHORT)")</f>
        <v xml:space="preserve">          6272 - CASH (OVER/SHORT)</v>
      </c>
      <c r="C185" s="11"/>
      <c r="D185" s="6">
        <v>150.11000000000001</v>
      </c>
      <c r="E185" s="2"/>
      <c r="F185" s="7">
        <f t="shared" si="32"/>
        <v>3.3330901220407044E-4</v>
      </c>
      <c r="G185" s="2"/>
      <c r="H185" s="6">
        <v>125</v>
      </c>
      <c r="I185" s="2"/>
      <c r="J185" s="7">
        <f t="shared" si="33"/>
        <v>3.2011426885807364E-4</v>
      </c>
      <c r="K185" s="2"/>
      <c r="L185" s="6">
        <f t="shared" si="34"/>
        <v>25.110000000000014</v>
      </c>
      <c r="M185" s="2"/>
      <c r="N185" s="7">
        <f t="shared" si="35"/>
        <v>0.20088000000000011</v>
      </c>
      <c r="O185" s="11"/>
      <c r="P185" s="6">
        <v>27.66</v>
      </c>
      <c r="Q185" s="2"/>
      <c r="R185" s="7">
        <f t="shared" si="36"/>
        <v>5.4543529979526905E-6</v>
      </c>
      <c r="S185" s="2"/>
      <c r="T185" s="6">
        <v>625</v>
      </c>
      <c r="U185" s="2"/>
      <c r="V185" s="7">
        <f t="shared" si="37"/>
        <v>1.1846600859211977E-4</v>
      </c>
      <c r="W185" s="2"/>
      <c r="X185" s="6">
        <f t="shared" si="38"/>
        <v>-597.34</v>
      </c>
      <c r="Y185" s="2"/>
      <c r="Z185" s="7">
        <f t="shared" si="39"/>
        <v>-0.95574400000000004</v>
      </c>
    </row>
    <row r="186" spans="1:26" s="24" customFormat="1" hidden="1" outlineLevel="2" x14ac:dyDescent="0.25">
      <c r="A186" s="25"/>
      <c r="B186" s="11" t="str">
        <f>CONCATENATE("          ", "6342", " - ", "BAD DEBT")</f>
        <v xml:space="preserve">          6342 - BAD DEBT</v>
      </c>
      <c r="C186" s="11"/>
      <c r="D186" s="6"/>
      <c r="E186" s="2"/>
      <c r="F186" s="7">
        <f t="shared" si="32"/>
        <v>0</v>
      </c>
      <c r="G186" s="2"/>
      <c r="H186" s="6">
        <v>10</v>
      </c>
      <c r="I186" s="2"/>
      <c r="J186" s="7">
        <f t="shared" si="33"/>
        <v>2.5609141508645891E-5</v>
      </c>
      <c r="K186" s="2"/>
      <c r="L186" s="6">
        <f t="shared" si="34"/>
        <v>-10</v>
      </c>
      <c r="M186" s="2"/>
      <c r="N186" s="7">
        <f t="shared" si="35"/>
        <v>-1</v>
      </c>
      <c r="O186" s="11"/>
      <c r="P186" s="6">
        <v>44.8</v>
      </c>
      <c r="Q186" s="2"/>
      <c r="R186" s="7">
        <f t="shared" si="36"/>
        <v>8.8342376828734817E-6</v>
      </c>
      <c r="S186" s="2"/>
      <c r="T186" s="6">
        <v>50</v>
      </c>
      <c r="U186" s="2"/>
      <c r="V186" s="7">
        <f t="shared" si="37"/>
        <v>9.4772806873695815E-6</v>
      </c>
      <c r="W186" s="2"/>
      <c r="X186" s="6">
        <f t="shared" si="38"/>
        <v>-5.2000000000000028</v>
      </c>
      <c r="Y186" s="2"/>
      <c r="Z186" s="7">
        <f t="shared" si="39"/>
        <v>-0.10400000000000005</v>
      </c>
    </row>
    <row r="187" spans="1:26" s="26" customFormat="1" outlineLevel="1" collapsed="1" x14ac:dyDescent="0.25">
      <c r="A187" s="27"/>
      <c r="B187" s="13" t="str">
        <f>CONCATENATE("     ","Bank/card Fees                                    ")</f>
        <v xml:space="preserve">     Bank/card Fees                                    </v>
      </c>
      <c r="C187" s="13"/>
      <c r="D187" s="1">
        <f>SUM(OSRRefD22_4x_0)</f>
        <v>10714.71</v>
      </c>
      <c r="E187" s="1"/>
      <c r="F187" s="5">
        <f t="shared" ref="F187:F193" si="40">IF(D$12=0,0,D187/D$12)</f>
        <v>2.3791282433902307E-2</v>
      </c>
      <c r="G187" s="1"/>
      <c r="H187" s="1">
        <f>SUM(OSRRefH22_4x_0)</f>
        <v>8600</v>
      </c>
      <c r="I187" s="1"/>
      <c r="J187" s="5">
        <f t="shared" ref="J187:J193" si="41">IF(H$12=0,0,H187/H$12)</f>
        <v>2.2023861697435466E-2</v>
      </c>
      <c r="K187" s="1"/>
      <c r="L187" s="1">
        <f t="shared" ref="L187:L193" si="42">+D187-H187</f>
        <v>2114.7099999999991</v>
      </c>
      <c r="M187" s="1"/>
      <c r="N187" s="5">
        <f t="shared" ref="N187:N193" si="43">IF(H187=0,0,L187/H187)</f>
        <v>0.24589651162790688</v>
      </c>
      <c r="O187" s="13"/>
      <c r="P187" s="1">
        <f>SUM(OSRRefP22_4x_0)</f>
        <v>82063.73000000001</v>
      </c>
      <c r="Q187" s="1"/>
      <c r="R187" s="5">
        <f t="shared" ref="R187:R193" si="44">IF(P$12=0,0,P187/P$12)</f>
        <v>1.6182377142034715E-2</v>
      </c>
      <c r="S187" s="1"/>
      <c r="T187" s="1">
        <f>SUM(OSRRefT22_4x_0)</f>
        <v>83245</v>
      </c>
      <c r="U187" s="1"/>
      <c r="V187" s="5">
        <f t="shared" ref="V187:V193" si="45">IF(T$12=0,0,T187/T$12)</f>
        <v>1.5778724616401618E-2</v>
      </c>
      <c r="W187" s="1"/>
      <c r="X187" s="1">
        <f t="shared" ref="X187:X193" si="46">+P187-T187</f>
        <v>-1181.2699999999895</v>
      </c>
      <c r="Y187" s="1"/>
      <c r="Z187" s="5">
        <f t="shared" ref="Z187:Z193" si="47">IF(T187=0,0,X187/T187)</f>
        <v>-1.419028169860039E-2</v>
      </c>
    </row>
    <row r="188" spans="1:26" s="24" customFormat="1" hidden="1" outlineLevel="2" x14ac:dyDescent="0.25">
      <c r="A188" s="25"/>
      <c r="B188" s="11" t="str">
        <f>CONCATENATE("          ", "6381", " - ", "BANK/CREDIT CARD FEES")</f>
        <v xml:space="preserve">          6381 - BANK/CREDIT CARD FEES</v>
      </c>
      <c r="C188" s="11"/>
      <c r="D188" s="6">
        <v>10714.71</v>
      </c>
      <c r="E188" s="2"/>
      <c r="F188" s="7">
        <f t="shared" si="40"/>
        <v>2.3791282433902307E-2</v>
      </c>
      <c r="G188" s="2"/>
      <c r="H188" s="6">
        <v>8600</v>
      </c>
      <c r="I188" s="2"/>
      <c r="J188" s="7">
        <f t="shared" si="41"/>
        <v>2.2023861697435466E-2</v>
      </c>
      <c r="K188" s="2"/>
      <c r="L188" s="6">
        <f t="shared" si="42"/>
        <v>2114.7099999999991</v>
      </c>
      <c r="M188" s="2"/>
      <c r="N188" s="7">
        <f t="shared" si="43"/>
        <v>0.24589651162790688</v>
      </c>
      <c r="O188" s="11"/>
      <c r="P188" s="6">
        <v>82063.73000000001</v>
      </c>
      <c r="Q188" s="2"/>
      <c r="R188" s="7">
        <f t="shared" si="44"/>
        <v>1.6182377142034715E-2</v>
      </c>
      <c r="S188" s="2"/>
      <c r="T188" s="6">
        <v>83245</v>
      </c>
      <c r="U188" s="2"/>
      <c r="V188" s="7">
        <f t="shared" si="45"/>
        <v>1.5778724616401618E-2</v>
      </c>
      <c r="W188" s="2"/>
      <c r="X188" s="6">
        <f t="shared" si="46"/>
        <v>-1181.2699999999895</v>
      </c>
      <c r="Y188" s="2"/>
      <c r="Z188" s="7">
        <f t="shared" si="47"/>
        <v>-1.419028169860039E-2</v>
      </c>
    </row>
    <row r="189" spans="1:26" s="26" customFormat="1" outlineLevel="1" collapsed="1" x14ac:dyDescent="0.25">
      <c r="A189" s="27"/>
      <c r="B189" s="13" t="str">
        <f>CONCATENATE("     ","Depreciation                                      ")</f>
        <v xml:space="preserve">     Depreciation                                      </v>
      </c>
      <c r="C189" s="13"/>
      <c r="D189" s="1">
        <f>SUM(OSRRefD22_5x_0)</f>
        <v>29607.43</v>
      </c>
      <c r="E189" s="1"/>
      <c r="F189" s="5">
        <f t="shared" si="40"/>
        <v>6.5741278044108731E-2</v>
      </c>
      <c r="G189" s="1"/>
      <c r="H189" s="1">
        <f>SUM(OSRRefH22_5x_0)</f>
        <v>30479</v>
      </c>
      <c r="I189" s="1"/>
      <c r="J189" s="5">
        <f t="shared" si="41"/>
        <v>7.8054102404201811E-2</v>
      </c>
      <c r="K189" s="1"/>
      <c r="L189" s="1">
        <f t="shared" si="42"/>
        <v>-871.56999999999971</v>
      </c>
      <c r="M189" s="1"/>
      <c r="N189" s="5">
        <f t="shared" si="43"/>
        <v>-2.8595754453886273E-2</v>
      </c>
      <c r="O189" s="13"/>
      <c r="P189" s="1">
        <f>SUM(OSRRefP22_5x_0)</f>
        <v>148037.15</v>
      </c>
      <c r="Q189" s="1"/>
      <c r="R189" s="5">
        <f t="shared" si="44"/>
        <v>2.9191860915071297E-2</v>
      </c>
      <c r="S189" s="1"/>
      <c r="T189" s="1">
        <f>SUM(OSRRefT22_5x_0)</f>
        <v>151564</v>
      </c>
      <c r="U189" s="1"/>
      <c r="V189" s="5">
        <f t="shared" si="45"/>
        <v>2.8728291402009665E-2</v>
      </c>
      <c r="W189" s="1"/>
      <c r="X189" s="1">
        <f t="shared" si="46"/>
        <v>-3526.8500000000058</v>
      </c>
      <c r="Y189" s="1"/>
      <c r="Z189" s="5">
        <f t="shared" si="47"/>
        <v>-2.3269707846190427E-2</v>
      </c>
    </row>
    <row r="190" spans="1:26" s="24" customFormat="1" hidden="1" outlineLevel="2" x14ac:dyDescent="0.25">
      <c r="A190" s="25"/>
      <c r="B190" s="11" t="str">
        <f>CONCATENATE("          ", "6321", " - ", "BUILDING DEPRECIATION")</f>
        <v xml:space="preserve">          6321 - BUILDING DEPRECIATION</v>
      </c>
      <c r="C190" s="11"/>
      <c r="D190" s="6">
        <v>16396.52</v>
      </c>
      <c r="E190" s="2"/>
      <c r="F190" s="7">
        <f t="shared" si="40"/>
        <v>3.6407353839079906E-2</v>
      </c>
      <c r="G190" s="2"/>
      <c r="H190" s="6">
        <v>16397</v>
      </c>
      <c r="I190" s="2"/>
      <c r="J190" s="7">
        <f t="shared" si="41"/>
        <v>4.1991309331726671E-2</v>
      </c>
      <c r="K190" s="2"/>
      <c r="L190" s="6">
        <f t="shared" si="42"/>
        <v>-0.47999999999956344</v>
      </c>
      <c r="M190" s="2"/>
      <c r="N190" s="7">
        <f t="shared" si="43"/>
        <v>-2.927364761844017E-5</v>
      </c>
      <c r="O190" s="11"/>
      <c r="P190" s="6">
        <v>81982.599999999991</v>
      </c>
      <c r="Q190" s="2"/>
      <c r="R190" s="7">
        <f t="shared" si="44"/>
        <v>1.6166378889730881E-2</v>
      </c>
      <c r="S190" s="2"/>
      <c r="T190" s="6">
        <v>82153</v>
      </c>
      <c r="U190" s="2"/>
      <c r="V190" s="7">
        <f t="shared" si="45"/>
        <v>1.5571740806189465E-2</v>
      </c>
      <c r="W190" s="2"/>
      <c r="X190" s="6">
        <f t="shared" si="46"/>
        <v>-170.40000000000873</v>
      </c>
      <c r="Y190" s="2"/>
      <c r="Z190" s="7">
        <f t="shared" si="47"/>
        <v>-2.0741786666343132E-3</v>
      </c>
    </row>
    <row r="191" spans="1:26" s="24" customFormat="1" hidden="1" outlineLevel="2" x14ac:dyDescent="0.25">
      <c r="A191" s="25"/>
      <c r="B191" s="11" t="str">
        <f>CONCATENATE("          ", "6322", " - ", "EQUIPMENT DEPRECIATION EXPENSE")</f>
        <v xml:space="preserve">          6322 - EQUIPMENT DEPRECIATION EXPENSE</v>
      </c>
      <c r="C191" s="11"/>
      <c r="D191" s="6">
        <v>13210.91</v>
      </c>
      <c r="E191" s="2"/>
      <c r="F191" s="7">
        <f t="shared" si="40"/>
        <v>2.9333924205028818E-2</v>
      </c>
      <c r="G191" s="2"/>
      <c r="H191" s="6">
        <v>13049</v>
      </c>
      <c r="I191" s="2"/>
      <c r="J191" s="7">
        <f t="shared" si="41"/>
        <v>3.3417368754632026E-2</v>
      </c>
      <c r="K191" s="2"/>
      <c r="L191" s="6">
        <f t="shared" si="42"/>
        <v>161.90999999999985</v>
      </c>
      <c r="M191" s="2"/>
      <c r="N191" s="7">
        <f t="shared" si="43"/>
        <v>1.2407847344624098E-2</v>
      </c>
      <c r="O191" s="11"/>
      <c r="P191" s="6">
        <v>66054.55</v>
      </c>
      <c r="Q191" s="2"/>
      <c r="R191" s="7">
        <f t="shared" si="44"/>
        <v>1.3025482025340415E-2</v>
      </c>
      <c r="S191" s="2"/>
      <c r="T191" s="6">
        <v>65244.999999999993</v>
      </c>
      <c r="U191" s="2"/>
      <c r="V191" s="7">
        <f t="shared" si="45"/>
        <v>1.2366903568948566E-2</v>
      </c>
      <c r="W191" s="2"/>
      <c r="X191" s="6">
        <f t="shared" si="46"/>
        <v>809.55000000001019</v>
      </c>
      <c r="Y191" s="2"/>
      <c r="Z191" s="7">
        <f t="shared" si="47"/>
        <v>1.2407847344624266E-2</v>
      </c>
    </row>
    <row r="192" spans="1:26" s="24" customFormat="1" hidden="1" outlineLevel="2" x14ac:dyDescent="0.25">
      <c r="A192" s="25"/>
      <c r="B192" s="11" t="str">
        <f>CONCATENATE("          ", "6324", " - ", "FURNITURE + FIXT DEPRECIATION")</f>
        <v xml:space="preserve">          6324 - FURNITURE + FIXT DEPRECIATION</v>
      </c>
      <c r="C192" s="11"/>
      <c r="D192" s="6"/>
      <c r="E192" s="2"/>
      <c r="F192" s="7">
        <f t="shared" si="40"/>
        <v>0</v>
      </c>
      <c r="G192" s="2"/>
      <c r="H192" s="6">
        <v>700</v>
      </c>
      <c r="I192" s="2"/>
      <c r="J192" s="7">
        <f t="shared" si="41"/>
        <v>1.7926399056052123E-3</v>
      </c>
      <c r="K192" s="2"/>
      <c r="L192" s="6">
        <f t="shared" si="42"/>
        <v>-700</v>
      </c>
      <c r="M192" s="2"/>
      <c r="N192" s="7">
        <f t="shared" si="43"/>
        <v>-1</v>
      </c>
      <c r="O192" s="11"/>
      <c r="P192" s="6"/>
      <c r="Q192" s="2"/>
      <c r="R192" s="7">
        <f t="shared" si="44"/>
        <v>0</v>
      </c>
      <c r="S192" s="2"/>
      <c r="T192" s="6">
        <v>3500</v>
      </c>
      <c r="U192" s="2"/>
      <c r="V192" s="7">
        <f t="shared" si="45"/>
        <v>6.6340964811587076E-4</v>
      </c>
      <c r="W192" s="2"/>
      <c r="X192" s="6">
        <f t="shared" si="46"/>
        <v>-3500</v>
      </c>
      <c r="Y192" s="2"/>
      <c r="Z192" s="7">
        <f t="shared" si="47"/>
        <v>-1</v>
      </c>
    </row>
    <row r="193" spans="1:26" s="24" customFormat="1" hidden="1" outlineLevel="2" x14ac:dyDescent="0.25">
      <c r="A193" s="25"/>
      <c r="B193" s="11" t="str">
        <f>CONCATENATE("          ", "6326", " - ", "VEHICLES DEPRECIATION EXPENSE")</f>
        <v xml:space="preserve">          6326 - VEHICLES DEPRECIATION EXPENSE</v>
      </c>
      <c r="C193" s="11"/>
      <c r="D193" s="6"/>
      <c r="E193" s="2"/>
      <c r="F193" s="7">
        <f t="shared" si="40"/>
        <v>0</v>
      </c>
      <c r="G193" s="2"/>
      <c r="H193" s="6">
        <v>333</v>
      </c>
      <c r="I193" s="2"/>
      <c r="J193" s="7">
        <f t="shared" si="41"/>
        <v>8.5278441223790818E-4</v>
      </c>
      <c r="K193" s="2"/>
      <c r="L193" s="6">
        <f t="shared" si="42"/>
        <v>-333</v>
      </c>
      <c r="M193" s="2"/>
      <c r="N193" s="7">
        <f t="shared" si="43"/>
        <v>-1</v>
      </c>
      <c r="O193" s="11"/>
      <c r="P193" s="6"/>
      <c r="Q193" s="2"/>
      <c r="R193" s="7">
        <f t="shared" si="44"/>
        <v>0</v>
      </c>
      <c r="S193" s="2"/>
      <c r="T193" s="6">
        <v>666</v>
      </c>
      <c r="U193" s="2"/>
      <c r="V193" s="7">
        <f t="shared" si="45"/>
        <v>1.2623737875576283E-4</v>
      </c>
      <c r="W193" s="2"/>
      <c r="X193" s="6">
        <f t="shared" si="46"/>
        <v>-666</v>
      </c>
      <c r="Y193" s="2"/>
      <c r="Z193" s="7">
        <f t="shared" si="47"/>
        <v>-1</v>
      </c>
    </row>
    <row r="194" spans="1:26" s="26" customFormat="1" outlineLevel="1" collapsed="1" x14ac:dyDescent="0.25">
      <c r="A194" s="27"/>
      <c r="B194" s="13" t="str">
        <f>CONCATENATE("     ","Discounts and Markdowns                           ")</f>
        <v xml:space="preserve">     Discounts and Markdowns                           </v>
      </c>
      <c r="C194" s="13"/>
      <c r="D194" s="1">
        <f>SUM(OSRRefD22_6x_0)</f>
        <v>49084.14</v>
      </c>
      <c r="E194" s="1"/>
      <c r="F194" s="5">
        <f t="shared" ref="F194:F196" si="48">IF(D$12=0,0,D194/D$12)</f>
        <v>0.10898798360060157</v>
      </c>
      <c r="G194" s="1"/>
      <c r="H194" s="1">
        <f>SUM(OSRRefH22_6x_0)</f>
        <v>30725</v>
      </c>
      <c r="I194" s="1"/>
      <c r="J194" s="5">
        <f t="shared" ref="J194:J196" si="49">IF(H$12=0,0,H194/H$12)</f>
        <v>7.8684087285314508E-2</v>
      </c>
      <c r="K194" s="1"/>
      <c r="L194" s="1">
        <f t="shared" ref="L194:L196" si="50">+D194-H194</f>
        <v>18359.14</v>
      </c>
      <c r="M194" s="1"/>
      <c r="N194" s="5">
        <f t="shared" ref="N194:N196" si="51">IF(H194=0,0,L194/H194)</f>
        <v>0.59753100081366961</v>
      </c>
      <c r="O194" s="13"/>
      <c r="P194" s="1">
        <f>SUM(OSRRefP22_6x_0)</f>
        <v>146884.93000000002</v>
      </c>
      <c r="Q194" s="1"/>
      <c r="R194" s="5">
        <f t="shared" ref="R194:R196" si="52">IF(P$12=0,0,P194/P$12)</f>
        <v>2.8964651420808792E-2</v>
      </c>
      <c r="S194" s="1"/>
      <c r="T194" s="1">
        <f>SUM(OSRRefT22_6x_0)</f>
        <v>135625</v>
      </c>
      <c r="U194" s="1"/>
      <c r="V194" s="5">
        <f t="shared" ref="V194:V196" si="53">IF(T$12=0,0,T194/T$12)</f>
        <v>2.5707123864489992E-2</v>
      </c>
      <c r="W194" s="1"/>
      <c r="X194" s="1">
        <f t="shared" ref="X194:X196" si="54">+P194-T194</f>
        <v>11259.930000000022</v>
      </c>
      <c r="Y194" s="1"/>
      <c r="Z194" s="5">
        <f t="shared" ref="Z194:Z196" si="55">IF(T194=0,0,X194/T194)</f>
        <v>8.3022525345622281E-2</v>
      </c>
    </row>
    <row r="195" spans="1:26" s="24" customFormat="1" hidden="1" outlineLevel="2" x14ac:dyDescent="0.25">
      <c r="A195" s="25"/>
      <c r="B195" s="11" t="str">
        <f>CONCATENATE("          ", "6382", " - ", "DISCOUNTS/MARK DOWNS")</f>
        <v xml:space="preserve">          6382 - DISCOUNTS/MARK DOWNS</v>
      </c>
      <c r="C195" s="11"/>
      <c r="D195" s="6">
        <v>49331.64</v>
      </c>
      <c r="E195" s="2"/>
      <c r="F195" s="7">
        <f t="shared" si="48"/>
        <v>0.10953754046237299</v>
      </c>
      <c r="G195" s="2"/>
      <c r="H195" s="6">
        <v>30725</v>
      </c>
      <c r="I195" s="2"/>
      <c r="J195" s="7">
        <f t="shared" si="49"/>
        <v>7.8684087285314508E-2</v>
      </c>
      <c r="K195" s="2"/>
      <c r="L195" s="6">
        <f t="shared" si="50"/>
        <v>18606.64</v>
      </c>
      <c r="M195" s="2"/>
      <c r="N195" s="7">
        <f t="shared" si="51"/>
        <v>0.60558633034987797</v>
      </c>
      <c r="O195" s="11"/>
      <c r="P195" s="6">
        <v>149250.18000000002</v>
      </c>
      <c r="Q195" s="2"/>
      <c r="R195" s="7">
        <f t="shared" si="52"/>
        <v>2.9431061703831481E-2</v>
      </c>
      <c r="S195" s="2"/>
      <c r="T195" s="6">
        <v>135625</v>
      </c>
      <c r="U195" s="2"/>
      <c r="V195" s="7">
        <f t="shared" si="53"/>
        <v>2.5707123864489992E-2</v>
      </c>
      <c r="W195" s="2"/>
      <c r="X195" s="6">
        <f t="shared" si="54"/>
        <v>13625.180000000022</v>
      </c>
      <c r="Y195" s="2"/>
      <c r="Z195" s="7">
        <f t="shared" si="55"/>
        <v>0.10046215668202781</v>
      </c>
    </row>
    <row r="196" spans="1:26" s="24" customFormat="1" hidden="1" outlineLevel="2" x14ac:dyDescent="0.25">
      <c r="A196" s="25"/>
      <c r="B196" s="11" t="str">
        <f>CONCATENATE("          ", "9175", " - ", "EARNED DISCOUNTS")</f>
        <v xml:space="preserve">          9175 - EARNED DISCOUNTS</v>
      </c>
      <c r="C196" s="11"/>
      <c r="D196" s="6">
        <v>-247.5</v>
      </c>
      <c r="E196" s="2"/>
      <c r="F196" s="7">
        <f t="shared" si="48"/>
        <v>-5.4955686177141712E-4</v>
      </c>
      <c r="G196" s="2"/>
      <c r="H196" s="6"/>
      <c r="I196" s="2"/>
      <c r="J196" s="7">
        <f t="shared" si="49"/>
        <v>0</v>
      </c>
      <c r="K196" s="2"/>
      <c r="L196" s="6">
        <f t="shared" si="50"/>
        <v>-247.5</v>
      </c>
      <c r="M196" s="2"/>
      <c r="N196" s="7">
        <f t="shared" si="51"/>
        <v>0</v>
      </c>
      <c r="O196" s="11"/>
      <c r="P196" s="6">
        <v>-2365.25</v>
      </c>
      <c r="Q196" s="2"/>
      <c r="R196" s="7">
        <f t="shared" si="52"/>
        <v>-4.6641028302268987E-4</v>
      </c>
      <c r="S196" s="2"/>
      <c r="T196" s="6"/>
      <c r="U196" s="2"/>
      <c r="V196" s="7">
        <f t="shared" si="53"/>
        <v>0</v>
      </c>
      <c r="W196" s="2"/>
      <c r="X196" s="6">
        <f t="shared" si="54"/>
        <v>-2365.25</v>
      </c>
      <c r="Y196" s="2"/>
      <c r="Z196" s="7">
        <f t="shared" si="55"/>
        <v>0</v>
      </c>
    </row>
    <row r="197" spans="1:26" s="26" customFormat="1" outlineLevel="1" collapsed="1" x14ac:dyDescent="0.25">
      <c r="A197" s="27"/>
      <c r="B197" s="13" t="str">
        <f>CONCATENATE("     ","Donations                                         ")</f>
        <v xml:space="preserve">     Donations                                         </v>
      </c>
      <c r="C197" s="13"/>
      <c r="D197" s="1">
        <f>SUM(OSRRefD22_7x_0)</f>
        <v>3415.9</v>
      </c>
      <c r="E197" s="1"/>
      <c r="F197" s="5">
        <f t="shared" ref="F197:F199" si="56">IF(D$12=0,0,D197/D$12)</f>
        <v>7.5847728651514505E-3</v>
      </c>
      <c r="G197" s="1"/>
      <c r="H197" s="1">
        <f>SUM(OSRRefH22_7x_0)</f>
        <v>1025</v>
      </c>
      <c r="I197" s="1"/>
      <c r="J197" s="5">
        <f t="shared" ref="J197:J199" si="57">IF(H$12=0,0,H197/H$12)</f>
        <v>2.6249370046362037E-3</v>
      </c>
      <c r="K197" s="1"/>
      <c r="L197" s="1">
        <f t="shared" ref="L197:L199" si="58">+D197-H197</f>
        <v>2390.9</v>
      </c>
      <c r="M197" s="1"/>
      <c r="N197" s="5">
        <f t="shared" ref="N197:N199" si="59">IF(H197=0,0,L197/H197)</f>
        <v>2.3325853658536588</v>
      </c>
      <c r="O197" s="13"/>
      <c r="P197" s="1">
        <f>SUM(OSRRefP22_7x_0)</f>
        <v>9647.3799999999992</v>
      </c>
      <c r="Q197" s="1"/>
      <c r="R197" s="5">
        <f t="shared" ref="R197:R199" si="60">IF(P$12=0,0,P197/P$12)</f>
        <v>1.902393927165178E-3</v>
      </c>
      <c r="S197" s="1"/>
      <c r="T197" s="1">
        <f>SUM(OSRRefT22_7x_0)</f>
        <v>5200</v>
      </c>
      <c r="U197" s="1"/>
      <c r="V197" s="5">
        <f t="shared" ref="V197:V199" si="61">IF(T$12=0,0,T197/T$12)</f>
        <v>9.8563719148643644E-4</v>
      </c>
      <c r="W197" s="1"/>
      <c r="X197" s="1">
        <f t="shared" ref="X197:X199" si="62">+P197-T197</f>
        <v>4447.3799999999992</v>
      </c>
      <c r="Y197" s="1"/>
      <c r="Z197" s="5">
        <f t="shared" ref="Z197:Z199" si="63">IF(T197=0,0,X197/T197)</f>
        <v>0.85526538461538448</v>
      </c>
    </row>
    <row r="198" spans="1:26" s="24" customFormat="1" hidden="1" outlineLevel="2" x14ac:dyDescent="0.25">
      <c r="A198" s="25"/>
      <c r="B198" s="11" t="str">
        <f>CONCATENATE("          ", "6395", " - ", "DONATION-OFF CAMPUS")</f>
        <v xml:space="preserve">          6395 - DONATION-OFF CAMPUS</v>
      </c>
      <c r="C198" s="11"/>
      <c r="D198" s="6"/>
      <c r="E198" s="2"/>
      <c r="F198" s="7">
        <f t="shared" si="56"/>
        <v>0</v>
      </c>
      <c r="G198" s="2"/>
      <c r="H198" s="6">
        <v>1025</v>
      </c>
      <c r="I198" s="2"/>
      <c r="J198" s="7">
        <f t="shared" si="57"/>
        <v>2.6249370046362037E-3</v>
      </c>
      <c r="K198" s="2"/>
      <c r="L198" s="6">
        <f t="shared" si="58"/>
        <v>-1025</v>
      </c>
      <c r="M198" s="2"/>
      <c r="N198" s="7">
        <f t="shared" si="59"/>
        <v>-1</v>
      </c>
      <c r="O198" s="11"/>
      <c r="P198" s="6"/>
      <c r="Q198" s="2"/>
      <c r="R198" s="7">
        <f t="shared" si="60"/>
        <v>0</v>
      </c>
      <c r="S198" s="2"/>
      <c r="T198" s="6">
        <v>5200</v>
      </c>
      <c r="U198" s="2"/>
      <c r="V198" s="7">
        <f t="shared" si="61"/>
        <v>9.8563719148643644E-4</v>
      </c>
      <c r="W198" s="2"/>
      <c r="X198" s="6">
        <f t="shared" si="62"/>
        <v>-5200</v>
      </c>
      <c r="Y198" s="2"/>
      <c r="Z198" s="7">
        <f t="shared" si="63"/>
        <v>-1</v>
      </c>
    </row>
    <row r="199" spans="1:26" s="24" customFormat="1" hidden="1" outlineLevel="2" x14ac:dyDescent="0.25">
      <c r="A199" s="25"/>
      <c r="B199" s="11" t="str">
        <f>CONCATENATE("          ", "6399", " - ", "DONATION-ON CAMPUS")</f>
        <v xml:space="preserve">          6399 - DONATION-ON CAMPUS</v>
      </c>
      <c r="C199" s="11"/>
      <c r="D199" s="6">
        <v>3415.9</v>
      </c>
      <c r="E199" s="2"/>
      <c r="F199" s="7">
        <f t="shared" si="56"/>
        <v>7.5847728651514505E-3</v>
      </c>
      <c r="G199" s="2"/>
      <c r="H199" s="6"/>
      <c r="I199" s="2"/>
      <c r="J199" s="7">
        <f t="shared" si="57"/>
        <v>0</v>
      </c>
      <c r="K199" s="2"/>
      <c r="L199" s="6">
        <f t="shared" si="58"/>
        <v>3415.9</v>
      </c>
      <c r="M199" s="2"/>
      <c r="N199" s="7">
        <f t="shared" si="59"/>
        <v>0</v>
      </c>
      <c r="O199" s="11"/>
      <c r="P199" s="6">
        <v>9647.3799999999992</v>
      </c>
      <c r="Q199" s="2"/>
      <c r="R199" s="7">
        <f t="shared" si="60"/>
        <v>1.902393927165178E-3</v>
      </c>
      <c r="S199" s="2"/>
      <c r="T199" s="6"/>
      <c r="U199" s="2"/>
      <c r="V199" s="7">
        <f t="shared" si="61"/>
        <v>0</v>
      </c>
      <c r="W199" s="2"/>
      <c r="X199" s="6">
        <f t="shared" si="62"/>
        <v>9647.3799999999992</v>
      </c>
      <c r="Y199" s="2"/>
      <c r="Z199" s="7">
        <f t="shared" si="63"/>
        <v>0</v>
      </c>
    </row>
    <row r="200" spans="1:26" s="26" customFormat="1" outlineLevel="1" collapsed="1" x14ac:dyDescent="0.25">
      <c r="A200" s="27"/>
      <c r="B200" s="13" t="str">
        <f>CONCATENATE("     ","Employees' Appreciation                           ")</f>
        <v xml:space="preserve">     Employees' Appreciation                           </v>
      </c>
      <c r="C200" s="13"/>
      <c r="D200" s="1">
        <f>SUM(OSRRefD22_8x_0)</f>
        <v>396.51</v>
      </c>
      <c r="E200" s="1"/>
      <c r="F200" s="5">
        <f t="shared" ref="F200:F206" si="64">IF(D$12=0,0,D200/D$12)</f>
        <v>8.8042339903428128E-4</v>
      </c>
      <c r="G200" s="1"/>
      <c r="H200" s="1">
        <f>SUM(OSRRefH22_8x_0)</f>
        <v>700</v>
      </c>
      <c r="I200" s="1"/>
      <c r="J200" s="5">
        <f t="shared" ref="J200:J206" si="65">IF(H$12=0,0,H200/H$12)</f>
        <v>1.7926399056052123E-3</v>
      </c>
      <c r="K200" s="1"/>
      <c r="L200" s="1">
        <f t="shared" ref="L200:L206" si="66">+D200-H200</f>
        <v>-303.49</v>
      </c>
      <c r="M200" s="1"/>
      <c r="N200" s="5">
        <f t="shared" ref="N200:N206" si="67">IF(H200=0,0,L200/H200)</f>
        <v>-0.43355714285714286</v>
      </c>
      <c r="O200" s="13"/>
      <c r="P200" s="1">
        <f>SUM(OSRRefP22_8x_0)</f>
        <v>1041.6400000000001</v>
      </c>
      <c r="Q200" s="1"/>
      <c r="R200" s="5">
        <f t="shared" ref="R200:R206" si="68">IF(P$12=0,0,P200/P$12)</f>
        <v>2.0540391383902534E-4</v>
      </c>
      <c r="S200" s="1"/>
      <c r="T200" s="1">
        <f>SUM(OSRRefT22_8x_0)</f>
        <v>3500</v>
      </c>
      <c r="U200" s="1"/>
      <c r="V200" s="5">
        <f t="shared" ref="V200:V206" si="69">IF(T$12=0,0,T200/T$12)</f>
        <v>6.6340964811587076E-4</v>
      </c>
      <c r="W200" s="1"/>
      <c r="X200" s="1">
        <f t="shared" ref="X200:X206" si="70">+P200-T200</f>
        <v>-2458.3599999999997</v>
      </c>
      <c r="Y200" s="1"/>
      <c r="Z200" s="5">
        <f t="shared" ref="Z200:Z206" si="71">IF(T200=0,0,X200/T200)</f>
        <v>-0.70238857142857136</v>
      </c>
    </row>
    <row r="201" spans="1:26" s="24" customFormat="1" hidden="1" outlineLevel="2" x14ac:dyDescent="0.25">
      <c r="A201" s="25"/>
      <c r="B201" s="11" t="str">
        <f>CONCATENATE("          ", "6277", " - ", "EMPLOYEE APPRECIATION")</f>
        <v xml:space="preserve">          6277 - EMPLOYEE APPRECIATION</v>
      </c>
      <c r="C201" s="11"/>
      <c r="D201" s="6">
        <v>396.51</v>
      </c>
      <c r="E201" s="2"/>
      <c r="F201" s="7">
        <f t="shared" si="64"/>
        <v>8.8042339903428128E-4</v>
      </c>
      <c r="G201" s="2"/>
      <c r="H201" s="6">
        <v>700</v>
      </c>
      <c r="I201" s="2"/>
      <c r="J201" s="7">
        <f t="shared" si="65"/>
        <v>1.7926399056052123E-3</v>
      </c>
      <c r="K201" s="2"/>
      <c r="L201" s="6">
        <f t="shared" si="66"/>
        <v>-303.49</v>
      </c>
      <c r="M201" s="2"/>
      <c r="N201" s="7">
        <f t="shared" si="67"/>
        <v>-0.43355714285714286</v>
      </c>
      <c r="O201" s="11"/>
      <c r="P201" s="6">
        <v>1041.6400000000001</v>
      </c>
      <c r="Q201" s="2"/>
      <c r="R201" s="7">
        <f t="shared" si="68"/>
        <v>2.0540391383902534E-4</v>
      </c>
      <c r="S201" s="2"/>
      <c r="T201" s="6">
        <v>3500</v>
      </c>
      <c r="U201" s="2"/>
      <c r="V201" s="7">
        <f t="shared" si="69"/>
        <v>6.6340964811587076E-4</v>
      </c>
      <c r="W201" s="2"/>
      <c r="X201" s="6">
        <f t="shared" si="70"/>
        <v>-2458.3599999999997</v>
      </c>
      <c r="Y201" s="2"/>
      <c r="Z201" s="7">
        <f t="shared" si="71"/>
        <v>-0.70238857142857136</v>
      </c>
    </row>
    <row r="202" spans="1:26" s="26" customFormat="1" outlineLevel="1" collapsed="1" x14ac:dyDescent="0.25">
      <c r="A202" s="27"/>
      <c r="B202" s="13" t="str">
        <f>CONCATENATE("     ","Equipment Rental                                  ")</f>
        <v xml:space="preserve">     Equipment Rental                                  </v>
      </c>
      <c r="C202" s="13"/>
      <c r="D202" s="1">
        <f>SUM(OSRRefD22_9x_0)</f>
        <v>4423.12</v>
      </c>
      <c r="E202" s="1"/>
      <c r="F202" s="5">
        <f t="shared" si="64"/>
        <v>9.8212361472258206E-3</v>
      </c>
      <c r="G202" s="1"/>
      <c r="H202" s="1">
        <f>SUM(OSRRefH22_9x_0)</f>
        <v>3225</v>
      </c>
      <c r="I202" s="1"/>
      <c r="J202" s="5">
        <f t="shared" si="65"/>
        <v>8.2589481365383001E-3</v>
      </c>
      <c r="K202" s="1"/>
      <c r="L202" s="1">
        <f t="shared" si="66"/>
        <v>1198.1199999999999</v>
      </c>
      <c r="M202" s="1"/>
      <c r="N202" s="5">
        <f t="shared" si="67"/>
        <v>0.37151007751937981</v>
      </c>
      <c r="O202" s="13"/>
      <c r="P202" s="1">
        <f>SUM(OSRRefP22_9x_0)</f>
        <v>11090.14</v>
      </c>
      <c r="Q202" s="1"/>
      <c r="R202" s="5">
        <f t="shared" si="68"/>
        <v>2.1868958191147885E-3</v>
      </c>
      <c r="S202" s="1"/>
      <c r="T202" s="1">
        <f>SUM(OSRRefT22_9x_0)</f>
        <v>16125</v>
      </c>
      <c r="U202" s="1"/>
      <c r="V202" s="5">
        <f t="shared" si="69"/>
        <v>3.0564230216766903E-3</v>
      </c>
      <c r="W202" s="1"/>
      <c r="X202" s="1">
        <f t="shared" si="70"/>
        <v>-5034.8600000000006</v>
      </c>
      <c r="Y202" s="1"/>
      <c r="Z202" s="5">
        <f t="shared" si="71"/>
        <v>-0.31223937984496125</v>
      </c>
    </row>
    <row r="203" spans="1:26" s="24" customFormat="1" hidden="1" outlineLevel="2" x14ac:dyDescent="0.25">
      <c r="A203" s="25"/>
      <c r="B203" s="11" t="str">
        <f>CONCATENATE("          ", "6351", " - ", "EQUIPMENT RENTAL")</f>
        <v xml:space="preserve">          6351 - EQUIPMENT RENTAL</v>
      </c>
      <c r="C203" s="11"/>
      <c r="D203" s="6">
        <v>4423.12</v>
      </c>
      <c r="E203" s="2"/>
      <c r="F203" s="7">
        <f t="shared" si="64"/>
        <v>9.8212361472258206E-3</v>
      </c>
      <c r="G203" s="2"/>
      <c r="H203" s="6">
        <v>3225</v>
      </c>
      <c r="I203" s="2"/>
      <c r="J203" s="7">
        <f t="shared" si="65"/>
        <v>8.2589481365383001E-3</v>
      </c>
      <c r="K203" s="2"/>
      <c r="L203" s="6">
        <f t="shared" si="66"/>
        <v>1198.1199999999999</v>
      </c>
      <c r="M203" s="2"/>
      <c r="N203" s="7">
        <f t="shared" si="67"/>
        <v>0.37151007751937981</v>
      </c>
      <c r="O203" s="11"/>
      <c r="P203" s="6">
        <v>11090.14</v>
      </c>
      <c r="Q203" s="2"/>
      <c r="R203" s="7">
        <f t="shared" si="68"/>
        <v>2.1868958191147885E-3</v>
      </c>
      <c r="S203" s="2"/>
      <c r="T203" s="6">
        <v>16125</v>
      </c>
      <c r="U203" s="2"/>
      <c r="V203" s="7">
        <f t="shared" si="69"/>
        <v>3.0564230216766903E-3</v>
      </c>
      <c r="W203" s="2"/>
      <c r="X203" s="6">
        <f t="shared" si="70"/>
        <v>-5034.8600000000006</v>
      </c>
      <c r="Y203" s="2"/>
      <c r="Z203" s="7">
        <f t="shared" si="71"/>
        <v>-0.31223937984496125</v>
      </c>
    </row>
    <row r="204" spans="1:26" s="26" customFormat="1" outlineLevel="1" collapsed="1" x14ac:dyDescent="0.25">
      <c r="A204" s="27"/>
      <c r="B204" s="13" t="str">
        <f>CONCATENATE("     ","Freight out/Postage                               ")</f>
        <v xml:space="preserve">     Freight out/Postage                               </v>
      </c>
      <c r="C204" s="13"/>
      <c r="D204" s="1">
        <f>SUM(OSRRefD22_10x_0)</f>
        <v>8752.73</v>
      </c>
      <c r="E204" s="1"/>
      <c r="F204" s="5">
        <f t="shared" si="64"/>
        <v>1.9434839720131457E-2</v>
      </c>
      <c r="G204" s="1"/>
      <c r="H204" s="1">
        <f>SUM(OSRRefH22_10x_0)</f>
        <v>1790</v>
      </c>
      <c r="I204" s="1"/>
      <c r="J204" s="5">
        <f t="shared" si="65"/>
        <v>4.5840363300476148E-3</v>
      </c>
      <c r="K204" s="1"/>
      <c r="L204" s="1">
        <f t="shared" si="66"/>
        <v>6962.73</v>
      </c>
      <c r="M204" s="1"/>
      <c r="N204" s="5">
        <f t="shared" si="67"/>
        <v>3.8897932960893851</v>
      </c>
      <c r="O204" s="13"/>
      <c r="P204" s="1">
        <f>SUM(OSRRefP22_10x_0)</f>
        <v>4674.32</v>
      </c>
      <c r="Q204" s="1"/>
      <c r="R204" s="5">
        <f t="shared" si="68"/>
        <v>9.21742274236812E-4</v>
      </c>
      <c r="S204" s="1"/>
      <c r="T204" s="1">
        <f>SUM(OSRRefT22_10x_0)</f>
        <v>-28750</v>
      </c>
      <c r="U204" s="1"/>
      <c r="V204" s="5">
        <f t="shared" si="69"/>
        <v>-5.4494363952375096E-3</v>
      </c>
      <c r="W204" s="1"/>
      <c r="X204" s="1">
        <f t="shared" si="70"/>
        <v>33424.32</v>
      </c>
      <c r="Y204" s="1"/>
      <c r="Z204" s="5">
        <f t="shared" si="71"/>
        <v>-1.1625850434782607</v>
      </c>
    </row>
    <row r="205" spans="1:26" s="24" customFormat="1" hidden="1" outlineLevel="2" x14ac:dyDescent="0.25">
      <c r="A205" s="25"/>
      <c r="B205" s="11" t="str">
        <f>CONCATENATE("          ", "6305", " - ", "FREIGHT OUT")</f>
        <v xml:space="preserve">          6305 - FREIGHT OUT</v>
      </c>
      <c r="C205" s="11"/>
      <c r="D205" s="6">
        <v>9212.1</v>
      </c>
      <c r="E205" s="2"/>
      <c r="F205" s="7">
        <f t="shared" si="64"/>
        <v>2.0454839459896859E-2</v>
      </c>
      <c r="G205" s="2"/>
      <c r="H205" s="6">
        <v>1750</v>
      </c>
      <c r="I205" s="2"/>
      <c r="J205" s="7">
        <f t="shared" si="65"/>
        <v>4.481599764013031E-3</v>
      </c>
      <c r="K205" s="2"/>
      <c r="L205" s="6">
        <f t="shared" si="66"/>
        <v>7462.1</v>
      </c>
      <c r="M205" s="2"/>
      <c r="N205" s="7">
        <f t="shared" si="67"/>
        <v>4.2640571428571432</v>
      </c>
      <c r="O205" s="11"/>
      <c r="P205" s="6">
        <v>28721.919999999998</v>
      </c>
      <c r="Q205" s="2"/>
      <c r="R205" s="7">
        <f t="shared" si="68"/>
        <v>5.6637559818856591E-3</v>
      </c>
      <c r="S205" s="2"/>
      <c r="T205" s="6">
        <v>-28950</v>
      </c>
      <c r="U205" s="2"/>
      <c r="V205" s="7">
        <f t="shared" si="69"/>
        <v>-5.4873455179869877E-3</v>
      </c>
      <c r="W205" s="2"/>
      <c r="X205" s="6">
        <f t="shared" si="70"/>
        <v>57671.92</v>
      </c>
      <c r="Y205" s="2"/>
      <c r="Z205" s="7">
        <f t="shared" si="71"/>
        <v>-1.9921215889464594</v>
      </c>
    </row>
    <row r="206" spans="1:26" s="24" customFormat="1" hidden="1" outlineLevel="2" x14ac:dyDescent="0.25">
      <c r="A206" s="25"/>
      <c r="B206" s="11" t="str">
        <f>CONCATENATE("          ", "6307", " - ", "POSTAGE")</f>
        <v xml:space="preserve">          6307 - POSTAGE</v>
      </c>
      <c r="C206" s="11"/>
      <c r="D206" s="6">
        <v>-459.37</v>
      </c>
      <c r="E206" s="2"/>
      <c r="F206" s="7">
        <f t="shared" si="64"/>
        <v>-1.0199997397653975E-3</v>
      </c>
      <c r="G206" s="2"/>
      <c r="H206" s="6">
        <v>40</v>
      </c>
      <c r="I206" s="2"/>
      <c r="J206" s="7">
        <f t="shared" si="65"/>
        <v>1.0243656603458356E-4</v>
      </c>
      <c r="K206" s="2"/>
      <c r="L206" s="6">
        <f t="shared" si="66"/>
        <v>-499.37</v>
      </c>
      <c r="M206" s="2"/>
      <c r="N206" s="7">
        <f t="shared" si="67"/>
        <v>-12.484249999999999</v>
      </c>
      <c r="O206" s="11"/>
      <c r="P206" s="6">
        <v>-24047.599999999999</v>
      </c>
      <c r="Q206" s="2"/>
      <c r="R206" s="7">
        <f t="shared" si="68"/>
        <v>-4.7420137076488473E-3</v>
      </c>
      <c r="S206" s="2"/>
      <c r="T206" s="6">
        <v>200</v>
      </c>
      <c r="U206" s="2"/>
      <c r="V206" s="7">
        <f t="shared" si="69"/>
        <v>3.7909122749478326E-5</v>
      </c>
      <c r="W206" s="2"/>
      <c r="X206" s="6">
        <f t="shared" si="70"/>
        <v>-24247.599999999999</v>
      </c>
      <c r="Y206" s="2"/>
      <c r="Z206" s="7">
        <f t="shared" si="71"/>
        <v>-121.238</v>
      </c>
    </row>
    <row r="207" spans="1:26" s="26" customFormat="1" outlineLevel="1" collapsed="1" x14ac:dyDescent="0.25">
      <c r="A207" s="27"/>
      <c r="B207" s="13" t="str">
        <f>CONCATENATE("     ","General                                           ")</f>
        <v xml:space="preserve">     General                                           </v>
      </c>
      <c r="C207" s="13"/>
      <c r="D207" s="1">
        <f>SUM(OSRRefD22_11x_0)</f>
        <v>12059.82</v>
      </c>
      <c r="E207" s="1"/>
      <c r="F207" s="5">
        <f t="shared" ref="F207:F220" si="72">IF(D$12=0,0,D207/D$12)</f>
        <v>2.677800740496231E-2</v>
      </c>
      <c r="G207" s="1"/>
      <c r="H207" s="1">
        <f>SUM(OSRRefH22_11x_0)</f>
        <v>14080</v>
      </c>
      <c r="I207" s="1"/>
      <c r="J207" s="5">
        <f t="shared" ref="J207:J220" si="73">IF(H$12=0,0,H207/H$12)</f>
        <v>3.6057671244173417E-2</v>
      </c>
      <c r="K207" s="1"/>
      <c r="L207" s="1">
        <f t="shared" ref="L207:L220" si="74">+D207-H207</f>
        <v>-2020.1800000000003</v>
      </c>
      <c r="M207" s="1"/>
      <c r="N207" s="5">
        <f t="shared" ref="N207:N220" si="75">IF(H207=0,0,L207/H207)</f>
        <v>-0.14347869318181819</v>
      </c>
      <c r="O207" s="13"/>
      <c r="P207" s="1">
        <f>SUM(OSRRefP22_11x_0)</f>
        <v>-3452.97</v>
      </c>
      <c r="Q207" s="1"/>
      <c r="R207" s="5">
        <f t="shared" ref="R207:R220" si="76">IF(P$12=0,0,P207/P$12)</f>
        <v>-6.8090084133552785E-4</v>
      </c>
      <c r="S207" s="1"/>
      <c r="T207" s="1">
        <f>SUM(OSRRefT22_11x_0)</f>
        <v>16140</v>
      </c>
      <c r="U207" s="1"/>
      <c r="V207" s="5">
        <f t="shared" ref="V207:V220" si="77">IF(T$12=0,0,T207/T$12)</f>
        <v>3.0592662058829012E-3</v>
      </c>
      <c r="W207" s="1"/>
      <c r="X207" s="1">
        <f t="shared" ref="X207:X220" si="78">+P207-T207</f>
        <v>-19592.97</v>
      </c>
      <c r="Y207" s="1"/>
      <c r="Z207" s="5">
        <f t="shared" ref="Z207:Z220" si="79">IF(T207=0,0,X207/T207)</f>
        <v>-1.2139386617100372</v>
      </c>
    </row>
    <row r="208" spans="1:26" s="24" customFormat="1" hidden="1" outlineLevel="2" x14ac:dyDescent="0.25">
      <c r="A208" s="25"/>
      <c r="B208" s="11" t="str">
        <f>CONCATENATE("          ", "6279", " - ", "GENERAL EXPENSE")</f>
        <v xml:space="preserve">          6279 - GENERAL EXPENSE</v>
      </c>
      <c r="C208" s="11"/>
      <c r="D208" s="6">
        <v>12059.82</v>
      </c>
      <c r="E208" s="2"/>
      <c r="F208" s="7">
        <f t="shared" si="72"/>
        <v>2.677800740496231E-2</v>
      </c>
      <c r="G208" s="2"/>
      <c r="H208" s="6">
        <v>14080</v>
      </c>
      <c r="I208" s="2"/>
      <c r="J208" s="7">
        <f t="shared" si="73"/>
        <v>3.6057671244173417E-2</v>
      </c>
      <c r="K208" s="2"/>
      <c r="L208" s="6">
        <f t="shared" si="74"/>
        <v>-2020.1800000000003</v>
      </c>
      <c r="M208" s="2"/>
      <c r="N208" s="7">
        <f t="shared" si="75"/>
        <v>-0.14347869318181819</v>
      </c>
      <c r="O208" s="11"/>
      <c r="P208" s="6">
        <v>-3452.97</v>
      </c>
      <c r="Q208" s="2"/>
      <c r="R208" s="7">
        <f t="shared" si="76"/>
        <v>-6.8090084133552785E-4</v>
      </c>
      <c r="S208" s="2"/>
      <c r="T208" s="6">
        <v>16140</v>
      </c>
      <c r="U208" s="2"/>
      <c r="V208" s="7">
        <f t="shared" si="77"/>
        <v>3.0592662058829012E-3</v>
      </c>
      <c r="W208" s="2"/>
      <c r="X208" s="6">
        <f t="shared" si="78"/>
        <v>-19592.97</v>
      </c>
      <c r="Y208" s="2"/>
      <c r="Z208" s="7">
        <f t="shared" si="79"/>
        <v>-1.2139386617100372</v>
      </c>
    </row>
    <row r="209" spans="1:26" s="26" customFormat="1" outlineLevel="1" collapsed="1" x14ac:dyDescent="0.25">
      <c r="A209" s="27"/>
      <c r="B209" s="13" t="str">
        <f>CONCATENATE("     ","Insurance                                         ")</f>
        <v xml:space="preserve">     Insurance                                         </v>
      </c>
      <c r="C209" s="13"/>
      <c r="D209" s="1">
        <f>SUM(OSRRefD22_12x_0)</f>
        <v>4044.74</v>
      </c>
      <c r="E209" s="1"/>
      <c r="F209" s="5">
        <f t="shared" si="72"/>
        <v>8.9810691760861486E-3</v>
      </c>
      <c r="G209" s="1"/>
      <c r="H209" s="1">
        <f>SUM(OSRRefH22_12x_0)</f>
        <v>3815</v>
      </c>
      <c r="I209" s="1"/>
      <c r="J209" s="5">
        <f t="shared" si="73"/>
        <v>9.7698874855484067E-3</v>
      </c>
      <c r="K209" s="1"/>
      <c r="L209" s="1">
        <f t="shared" si="74"/>
        <v>229.73999999999978</v>
      </c>
      <c r="M209" s="1"/>
      <c r="N209" s="5">
        <f t="shared" si="75"/>
        <v>6.0220183486238477E-2</v>
      </c>
      <c r="O209" s="13"/>
      <c r="P209" s="1">
        <f>SUM(OSRRefP22_12x_0)</f>
        <v>20223.7</v>
      </c>
      <c r="Q209" s="1"/>
      <c r="R209" s="5">
        <f t="shared" si="76"/>
        <v>3.9879681389984028E-3</v>
      </c>
      <c r="S209" s="1"/>
      <c r="T209" s="1">
        <f>SUM(OSRRefT22_12x_0)</f>
        <v>19075</v>
      </c>
      <c r="U209" s="1"/>
      <c r="V209" s="5">
        <f t="shared" si="77"/>
        <v>3.6155825822314957E-3</v>
      </c>
      <c r="W209" s="1"/>
      <c r="X209" s="1">
        <f t="shared" si="78"/>
        <v>1148.7000000000007</v>
      </c>
      <c r="Y209" s="1"/>
      <c r="Z209" s="5">
        <f t="shared" si="79"/>
        <v>6.0220183486238567E-2</v>
      </c>
    </row>
    <row r="210" spans="1:26" s="24" customFormat="1" hidden="1" outlineLevel="2" x14ac:dyDescent="0.25">
      <c r="A210" s="25"/>
      <c r="B210" s="11" t="str">
        <f>CONCATENATE("          ", "6314", " - ", "LIABILITY INSURANCE")</f>
        <v xml:space="preserve">          6314 - LIABILITY INSURANCE</v>
      </c>
      <c r="C210" s="11"/>
      <c r="D210" s="6">
        <v>4044.74</v>
      </c>
      <c r="E210" s="2"/>
      <c r="F210" s="7">
        <f t="shared" si="72"/>
        <v>8.9810691760861486E-3</v>
      </c>
      <c r="G210" s="2"/>
      <c r="H210" s="6">
        <v>3815</v>
      </c>
      <c r="I210" s="2"/>
      <c r="J210" s="7">
        <f t="shared" si="73"/>
        <v>9.7698874855484067E-3</v>
      </c>
      <c r="K210" s="2"/>
      <c r="L210" s="6">
        <f t="shared" si="74"/>
        <v>229.73999999999978</v>
      </c>
      <c r="M210" s="2"/>
      <c r="N210" s="7">
        <f t="shared" si="75"/>
        <v>6.0220183486238477E-2</v>
      </c>
      <c r="O210" s="11"/>
      <c r="P210" s="6">
        <v>20223.7</v>
      </c>
      <c r="Q210" s="2"/>
      <c r="R210" s="7">
        <f t="shared" si="76"/>
        <v>3.9879681389984028E-3</v>
      </c>
      <c r="S210" s="2"/>
      <c r="T210" s="6">
        <v>19075</v>
      </c>
      <c r="U210" s="2"/>
      <c r="V210" s="7">
        <f t="shared" si="77"/>
        <v>3.6155825822314957E-3</v>
      </c>
      <c r="W210" s="2"/>
      <c r="X210" s="6">
        <f t="shared" si="78"/>
        <v>1148.7000000000007</v>
      </c>
      <c r="Y210" s="2"/>
      <c r="Z210" s="7">
        <f t="shared" si="79"/>
        <v>6.0220183486238567E-2</v>
      </c>
    </row>
    <row r="211" spans="1:26" s="26" customFormat="1" outlineLevel="1" collapsed="1" x14ac:dyDescent="0.25">
      <c r="A211" s="27"/>
      <c r="B211" s="13" t="str">
        <f>CONCATENATE("     ","Inventory Adjustment                              ")</f>
        <v xml:space="preserve">     Inventory Adjustment                              </v>
      </c>
      <c r="C211" s="13"/>
      <c r="D211" s="1">
        <f>SUM(OSRRefD22_13x_0)</f>
        <v>4250</v>
      </c>
      <c r="E211" s="1"/>
      <c r="F211" s="5">
        <f t="shared" si="72"/>
        <v>9.4368350001152439E-3</v>
      </c>
      <c r="G211" s="1"/>
      <c r="H211" s="1">
        <f>SUM(OSRRefH22_13x_0)</f>
        <v>4250</v>
      </c>
      <c r="I211" s="1"/>
      <c r="J211" s="5">
        <f t="shared" si="73"/>
        <v>1.0883885141174504E-2</v>
      </c>
      <c r="K211" s="1"/>
      <c r="L211" s="1">
        <f t="shared" si="74"/>
        <v>0</v>
      </c>
      <c r="M211" s="1"/>
      <c r="N211" s="5">
        <f t="shared" si="75"/>
        <v>0</v>
      </c>
      <c r="O211" s="13"/>
      <c r="P211" s="1">
        <f>SUM(OSRRefP22_13x_0)</f>
        <v>21150</v>
      </c>
      <c r="Q211" s="1"/>
      <c r="R211" s="5">
        <f t="shared" si="76"/>
        <v>4.1706278346601375E-3</v>
      </c>
      <c r="S211" s="1"/>
      <c r="T211" s="1">
        <f>SUM(OSRRefT22_13x_0)</f>
        <v>21150</v>
      </c>
      <c r="U211" s="1"/>
      <c r="V211" s="5">
        <f t="shared" si="77"/>
        <v>4.008889730757333E-3</v>
      </c>
      <c r="W211" s="1"/>
      <c r="X211" s="1">
        <f t="shared" si="78"/>
        <v>0</v>
      </c>
      <c r="Y211" s="1"/>
      <c r="Z211" s="5">
        <f t="shared" si="79"/>
        <v>0</v>
      </c>
    </row>
    <row r="212" spans="1:26" s="24" customFormat="1" hidden="1" outlineLevel="2" x14ac:dyDescent="0.25">
      <c r="A212" s="25"/>
      <c r="B212" s="11" t="str">
        <f>CONCATENATE("          ", "6408", " - ", "INVENTORY ADJUSTMENT")</f>
        <v xml:space="preserve">          6408 - INVENTORY ADJUSTMENT</v>
      </c>
      <c r="C212" s="11"/>
      <c r="D212" s="6">
        <v>4250</v>
      </c>
      <c r="E212" s="2"/>
      <c r="F212" s="7">
        <f t="shared" si="72"/>
        <v>9.4368350001152439E-3</v>
      </c>
      <c r="G212" s="2"/>
      <c r="H212" s="6">
        <v>4250</v>
      </c>
      <c r="I212" s="2"/>
      <c r="J212" s="7">
        <f t="shared" si="73"/>
        <v>1.0883885141174504E-2</v>
      </c>
      <c r="K212" s="2"/>
      <c r="L212" s="6">
        <f t="shared" si="74"/>
        <v>0</v>
      </c>
      <c r="M212" s="2"/>
      <c r="N212" s="7">
        <f t="shared" si="75"/>
        <v>0</v>
      </c>
      <c r="O212" s="11"/>
      <c r="P212" s="6">
        <v>21150</v>
      </c>
      <c r="Q212" s="2"/>
      <c r="R212" s="7">
        <f t="shared" si="76"/>
        <v>4.1706278346601375E-3</v>
      </c>
      <c r="S212" s="2"/>
      <c r="T212" s="6">
        <v>21150</v>
      </c>
      <c r="U212" s="2"/>
      <c r="V212" s="7">
        <f t="shared" si="77"/>
        <v>4.008889730757333E-3</v>
      </c>
      <c r="W212" s="2"/>
      <c r="X212" s="6">
        <f t="shared" si="78"/>
        <v>0</v>
      </c>
      <c r="Y212" s="2"/>
      <c r="Z212" s="7">
        <f t="shared" si="79"/>
        <v>0</v>
      </c>
    </row>
    <row r="213" spans="1:26" s="26" customFormat="1" outlineLevel="1" collapsed="1" x14ac:dyDescent="0.25">
      <c r="A213" s="27"/>
      <c r="B213" s="13" t="str">
        <f>CONCATENATE("     ","Professional Services                             ")</f>
        <v xml:space="preserve">     Professional Services                             </v>
      </c>
      <c r="C213" s="13"/>
      <c r="D213" s="1">
        <f>SUM(OSRRefD22_14x_0)</f>
        <v>0</v>
      </c>
      <c r="E213" s="1"/>
      <c r="F213" s="5">
        <f t="shared" si="72"/>
        <v>0</v>
      </c>
      <c r="G213" s="1"/>
      <c r="H213" s="1">
        <f>SUM(OSRRefH22_14x_0)</f>
        <v>1015</v>
      </c>
      <c r="I213" s="1"/>
      <c r="J213" s="5">
        <f t="shared" si="73"/>
        <v>2.5993278631275579E-3</v>
      </c>
      <c r="K213" s="1"/>
      <c r="L213" s="1">
        <f t="shared" si="74"/>
        <v>-1015</v>
      </c>
      <c r="M213" s="1"/>
      <c r="N213" s="5">
        <f t="shared" si="75"/>
        <v>-1</v>
      </c>
      <c r="O213" s="13"/>
      <c r="P213" s="1">
        <f>SUM(OSRRefP22_14x_0)</f>
        <v>6158.41</v>
      </c>
      <c r="Q213" s="1"/>
      <c r="R213" s="5">
        <f t="shared" si="76"/>
        <v>1.214394144834484E-3</v>
      </c>
      <c r="S213" s="1"/>
      <c r="T213" s="1">
        <f>SUM(OSRRefT22_14x_0)</f>
        <v>7725</v>
      </c>
      <c r="U213" s="1"/>
      <c r="V213" s="5">
        <f t="shared" si="77"/>
        <v>1.4642398661986005E-3</v>
      </c>
      <c r="W213" s="1"/>
      <c r="X213" s="1">
        <f t="shared" si="78"/>
        <v>-1566.5900000000001</v>
      </c>
      <c r="Y213" s="1"/>
      <c r="Z213" s="5">
        <f t="shared" si="79"/>
        <v>-0.2027948220064725</v>
      </c>
    </row>
    <row r="214" spans="1:26" s="24" customFormat="1" hidden="1" outlineLevel="2" x14ac:dyDescent="0.25">
      <c r="A214" s="25"/>
      <c r="B214" s="11" t="str">
        <f>CONCATENATE("          ", "6336", " - ", "PROFESSIONAL SERVICES")</f>
        <v xml:space="preserve">          6336 - PROFESSIONAL SERVICES</v>
      </c>
      <c r="C214" s="11"/>
      <c r="D214" s="6"/>
      <c r="E214" s="2"/>
      <c r="F214" s="7">
        <f t="shared" si="72"/>
        <v>0</v>
      </c>
      <c r="G214" s="2"/>
      <c r="H214" s="6">
        <v>1015</v>
      </c>
      <c r="I214" s="2"/>
      <c r="J214" s="7">
        <f t="shared" si="73"/>
        <v>2.5993278631275579E-3</v>
      </c>
      <c r="K214" s="2"/>
      <c r="L214" s="6">
        <f t="shared" si="74"/>
        <v>-1015</v>
      </c>
      <c r="M214" s="2"/>
      <c r="N214" s="7">
        <f t="shared" si="75"/>
        <v>-1</v>
      </c>
      <c r="O214" s="11"/>
      <c r="P214" s="6">
        <v>6158.41</v>
      </c>
      <c r="Q214" s="2"/>
      <c r="R214" s="7">
        <f t="shared" si="76"/>
        <v>1.214394144834484E-3</v>
      </c>
      <c r="S214" s="2"/>
      <c r="T214" s="6">
        <v>7725</v>
      </c>
      <c r="U214" s="2"/>
      <c r="V214" s="7">
        <f t="shared" si="77"/>
        <v>1.4642398661986005E-3</v>
      </c>
      <c r="W214" s="2"/>
      <c r="X214" s="6">
        <f t="shared" si="78"/>
        <v>-1566.5900000000001</v>
      </c>
      <c r="Y214" s="2"/>
      <c r="Z214" s="7">
        <f t="shared" si="79"/>
        <v>-0.2027948220064725</v>
      </c>
    </row>
    <row r="215" spans="1:26" s="26" customFormat="1" outlineLevel="1" collapsed="1" x14ac:dyDescent="0.25">
      <c r="A215" s="27"/>
      <c r="B215" s="13" t="str">
        <f>CONCATENATE("     ","Rent                                              ")</f>
        <v xml:space="preserve">     Rent                                              </v>
      </c>
      <c r="C215" s="13"/>
      <c r="D215" s="1">
        <f>SUM(OSRRefD22_15x_0)</f>
        <v>6100</v>
      </c>
      <c r="E215" s="1"/>
      <c r="F215" s="5">
        <f t="shared" si="72"/>
        <v>1.3544633764871292E-2</v>
      </c>
      <c r="G215" s="1"/>
      <c r="H215" s="1">
        <f>SUM(OSRRefH22_15x_0)</f>
        <v>6400</v>
      </c>
      <c r="I215" s="1"/>
      <c r="J215" s="5">
        <f t="shared" si="73"/>
        <v>1.6389850565533371E-2</v>
      </c>
      <c r="K215" s="1"/>
      <c r="L215" s="1">
        <f t="shared" si="74"/>
        <v>-300</v>
      </c>
      <c r="M215" s="1"/>
      <c r="N215" s="5">
        <f t="shared" si="75"/>
        <v>-4.6875E-2</v>
      </c>
      <c r="O215" s="13"/>
      <c r="P215" s="1">
        <f>SUM(OSRRefP22_15x_0)</f>
        <v>30500</v>
      </c>
      <c r="Q215" s="1"/>
      <c r="R215" s="5">
        <f t="shared" si="76"/>
        <v>6.0143805653491344E-3</v>
      </c>
      <c r="S215" s="1"/>
      <c r="T215" s="1">
        <f>SUM(OSRRefT22_15x_0)</f>
        <v>32000</v>
      </c>
      <c r="U215" s="1"/>
      <c r="V215" s="5">
        <f t="shared" si="77"/>
        <v>6.0654596399165326E-3</v>
      </c>
      <c r="W215" s="1"/>
      <c r="X215" s="1">
        <f t="shared" si="78"/>
        <v>-1500</v>
      </c>
      <c r="Y215" s="1"/>
      <c r="Z215" s="5">
        <f t="shared" si="79"/>
        <v>-4.6875E-2</v>
      </c>
    </row>
    <row r="216" spans="1:26" s="24" customFormat="1" hidden="1" outlineLevel="2" x14ac:dyDescent="0.25">
      <c r="A216" s="25"/>
      <c r="B216" s="11" t="str">
        <f>CONCATENATE("          ", "6273", " - ", "RENT")</f>
        <v xml:space="preserve">          6273 - RENT</v>
      </c>
      <c r="C216" s="11"/>
      <c r="D216" s="6">
        <v>6100</v>
      </c>
      <c r="E216" s="2"/>
      <c r="F216" s="7">
        <f t="shared" si="72"/>
        <v>1.3544633764871292E-2</v>
      </c>
      <c r="G216" s="2"/>
      <c r="H216" s="6">
        <v>6400</v>
      </c>
      <c r="I216" s="2"/>
      <c r="J216" s="7">
        <f t="shared" si="73"/>
        <v>1.6389850565533371E-2</v>
      </c>
      <c r="K216" s="2"/>
      <c r="L216" s="6">
        <f t="shared" si="74"/>
        <v>-300</v>
      </c>
      <c r="M216" s="2"/>
      <c r="N216" s="7">
        <f t="shared" si="75"/>
        <v>-4.6875E-2</v>
      </c>
      <c r="O216" s="11"/>
      <c r="P216" s="6">
        <v>30500</v>
      </c>
      <c r="Q216" s="2"/>
      <c r="R216" s="7">
        <f t="shared" si="76"/>
        <v>6.0143805653491344E-3</v>
      </c>
      <c r="S216" s="2"/>
      <c r="T216" s="6">
        <v>32000</v>
      </c>
      <c r="U216" s="2"/>
      <c r="V216" s="7">
        <f t="shared" si="77"/>
        <v>6.0654596399165326E-3</v>
      </c>
      <c r="W216" s="2"/>
      <c r="X216" s="6">
        <f t="shared" si="78"/>
        <v>-1500</v>
      </c>
      <c r="Y216" s="2"/>
      <c r="Z216" s="7">
        <f t="shared" si="79"/>
        <v>-4.6875E-2</v>
      </c>
    </row>
    <row r="217" spans="1:26" s="26" customFormat="1" outlineLevel="1" collapsed="1" x14ac:dyDescent="0.25">
      <c r="A217" s="27"/>
      <c r="B217" s="13" t="str">
        <f>CONCATENATE("     ","Repair and Maintenance                            ")</f>
        <v xml:space="preserve">     Repair and Maintenance                            </v>
      </c>
      <c r="C217" s="13"/>
      <c r="D217" s="1">
        <f>SUM(OSRRefD22_16x_0)</f>
        <v>5260.4400000000005</v>
      </c>
      <c r="E217" s="1"/>
      <c r="F217" s="5">
        <f t="shared" si="72"/>
        <v>1.1680448072472057E-2</v>
      </c>
      <c r="G217" s="1"/>
      <c r="H217" s="1">
        <f>SUM(OSRRefH22_16x_0)</f>
        <v>14540</v>
      </c>
      <c r="I217" s="1"/>
      <c r="J217" s="5">
        <f t="shared" si="73"/>
        <v>3.7235691753571123E-2</v>
      </c>
      <c r="K217" s="1"/>
      <c r="L217" s="1">
        <f t="shared" si="74"/>
        <v>-9279.56</v>
      </c>
      <c r="M217" s="1"/>
      <c r="N217" s="5">
        <f t="shared" si="75"/>
        <v>-0.63820907840440166</v>
      </c>
      <c r="O217" s="13"/>
      <c r="P217" s="1">
        <f>SUM(OSRRefP22_16x_0)</f>
        <v>70201.75</v>
      </c>
      <c r="Q217" s="1"/>
      <c r="R217" s="5">
        <f t="shared" si="76"/>
        <v>1.3843280027983561E-2</v>
      </c>
      <c r="S217" s="1"/>
      <c r="T217" s="1">
        <f>SUM(OSRRefT22_16x_0)</f>
        <v>115335</v>
      </c>
      <c r="U217" s="1"/>
      <c r="V217" s="5">
        <f t="shared" si="77"/>
        <v>2.1861243361555413E-2</v>
      </c>
      <c r="W217" s="1"/>
      <c r="X217" s="1">
        <f t="shared" si="78"/>
        <v>-45133.25</v>
      </c>
      <c r="Y217" s="1"/>
      <c r="Z217" s="5">
        <f t="shared" si="79"/>
        <v>-0.39132310226730826</v>
      </c>
    </row>
    <row r="218" spans="1:26" s="24" customFormat="1" hidden="1" outlineLevel="2" x14ac:dyDescent="0.25">
      <c r="A218" s="25"/>
      <c r="B218" s="11" t="str">
        <f>CONCATENATE("          ", "6371", " - ", "COMPUTER SOFTWARE MAINTENANCE")</f>
        <v xml:space="preserve">          6371 - COMPUTER SOFTWARE MAINTENANCE</v>
      </c>
      <c r="C218" s="11"/>
      <c r="D218" s="6">
        <v>601</v>
      </c>
      <c r="E218" s="2"/>
      <c r="F218" s="7">
        <f t="shared" si="72"/>
        <v>1.3344794906045322E-3</v>
      </c>
      <c r="G218" s="2"/>
      <c r="H218" s="6"/>
      <c r="I218" s="2"/>
      <c r="J218" s="7">
        <f t="shared" si="73"/>
        <v>0</v>
      </c>
      <c r="K218" s="2"/>
      <c r="L218" s="6">
        <f t="shared" si="74"/>
        <v>601</v>
      </c>
      <c r="M218" s="2"/>
      <c r="N218" s="7">
        <f t="shared" si="75"/>
        <v>0</v>
      </c>
      <c r="O218" s="11"/>
      <c r="P218" s="6">
        <v>13352.4</v>
      </c>
      <c r="Q218" s="2"/>
      <c r="R218" s="7">
        <f t="shared" si="76"/>
        <v>2.6329972151071402E-3</v>
      </c>
      <c r="S218" s="2"/>
      <c r="T218" s="6">
        <v>48535</v>
      </c>
      <c r="U218" s="2"/>
      <c r="V218" s="7">
        <f t="shared" si="77"/>
        <v>9.1995963632296538E-3</v>
      </c>
      <c r="W218" s="2"/>
      <c r="X218" s="6">
        <f t="shared" si="78"/>
        <v>-35182.6</v>
      </c>
      <c r="Y218" s="2"/>
      <c r="Z218" s="7">
        <f t="shared" si="79"/>
        <v>-0.72489131554548258</v>
      </c>
    </row>
    <row r="219" spans="1:26" s="24" customFormat="1" hidden="1" outlineLevel="2" x14ac:dyDescent="0.25">
      <c r="A219" s="25"/>
      <c r="B219" s="11" t="str">
        <f>CONCATENATE("          ", "6373", " - ", "MAINTENANCE CONTRACTS")</f>
        <v xml:space="preserve">          6373 - MAINTENANCE CONTRACTS</v>
      </c>
      <c r="C219" s="11"/>
      <c r="D219" s="6">
        <v>1461.73</v>
      </c>
      <c r="E219" s="2"/>
      <c r="F219" s="7">
        <f t="shared" si="72"/>
        <v>3.245671723463166E-3</v>
      </c>
      <c r="G219" s="2"/>
      <c r="H219" s="6">
        <v>7040</v>
      </c>
      <c r="I219" s="2"/>
      <c r="J219" s="7">
        <f t="shared" si="73"/>
        <v>1.8028835622086709E-2</v>
      </c>
      <c r="K219" s="2"/>
      <c r="L219" s="6">
        <f t="shared" si="74"/>
        <v>-5578.27</v>
      </c>
      <c r="M219" s="2"/>
      <c r="N219" s="7">
        <f t="shared" si="75"/>
        <v>-0.79236789772727279</v>
      </c>
      <c r="O219" s="11"/>
      <c r="P219" s="6">
        <v>31837.919999999998</v>
      </c>
      <c r="Q219" s="2"/>
      <c r="R219" s="7">
        <f t="shared" si="76"/>
        <v>6.2782087635783771E-3</v>
      </c>
      <c r="S219" s="2"/>
      <c r="T219" s="6">
        <v>35275</v>
      </c>
      <c r="U219" s="2"/>
      <c r="V219" s="7">
        <f t="shared" si="77"/>
        <v>6.6862215249392397E-3</v>
      </c>
      <c r="W219" s="2"/>
      <c r="X219" s="6">
        <f t="shared" si="78"/>
        <v>-3437.0800000000017</v>
      </c>
      <c r="Y219" s="2"/>
      <c r="Z219" s="7">
        <f t="shared" si="79"/>
        <v>-9.7436711552090771E-2</v>
      </c>
    </row>
    <row r="220" spans="1:26" s="24" customFormat="1" hidden="1" outlineLevel="2" x14ac:dyDescent="0.25">
      <c r="A220" s="25"/>
      <c r="B220" s="11" t="str">
        <f>CONCATENATE("          ", "6375", " - ", "OUTSIDE REPAIRS &amp; MAINTENANCE")</f>
        <v xml:space="preserve">          6375 - OUTSIDE REPAIRS &amp; MAINTENANCE</v>
      </c>
      <c r="C220" s="11"/>
      <c r="D220" s="6">
        <v>3197.71</v>
      </c>
      <c r="E220" s="2"/>
      <c r="F220" s="7">
        <f t="shared" si="72"/>
        <v>7.100296858404357E-3</v>
      </c>
      <c r="G220" s="2"/>
      <c r="H220" s="6">
        <v>7500</v>
      </c>
      <c r="I220" s="2"/>
      <c r="J220" s="7">
        <f t="shared" si="73"/>
        <v>1.9206856131484418E-2</v>
      </c>
      <c r="K220" s="2"/>
      <c r="L220" s="6">
        <f t="shared" si="74"/>
        <v>-4302.29</v>
      </c>
      <c r="M220" s="2"/>
      <c r="N220" s="7">
        <f t="shared" si="75"/>
        <v>-0.57363866666666663</v>
      </c>
      <c r="O220" s="11"/>
      <c r="P220" s="6">
        <v>25011.43</v>
      </c>
      <c r="Q220" s="2"/>
      <c r="R220" s="7">
        <f t="shared" si="76"/>
        <v>4.9320740492980429E-3</v>
      </c>
      <c r="S220" s="2"/>
      <c r="T220" s="6">
        <v>31525</v>
      </c>
      <c r="U220" s="2"/>
      <c r="V220" s="7">
        <f t="shared" si="77"/>
        <v>5.9754254733865213E-3</v>
      </c>
      <c r="W220" s="2"/>
      <c r="X220" s="6">
        <f t="shared" si="78"/>
        <v>-6513.57</v>
      </c>
      <c r="Y220" s="2"/>
      <c r="Z220" s="7">
        <f t="shared" si="79"/>
        <v>-0.20661601903251386</v>
      </c>
    </row>
    <row r="221" spans="1:26" s="26" customFormat="1" outlineLevel="1" collapsed="1" x14ac:dyDescent="0.25">
      <c r="A221" s="27"/>
      <c r="B221" s="13" t="str">
        <f>CONCATENATE("     ","Royalty &amp; Commissions                             ")</f>
        <v xml:space="preserve">     Royalty &amp; Commissions                             </v>
      </c>
      <c r="C221" s="13"/>
      <c r="D221" s="1">
        <f>SUM(OSRRefD22_17x_0)</f>
        <v>18456.649999999998</v>
      </c>
      <c r="E221" s="1"/>
      <c r="F221" s="5">
        <f t="shared" ref="F221:F225" si="80">IF(D$12=0,0,D221/D$12)</f>
        <v>4.0981731930559297E-2</v>
      </c>
      <c r="G221" s="1"/>
      <c r="H221" s="1">
        <f>SUM(OSRRefH22_17x_0)</f>
        <v>16485</v>
      </c>
      <c r="I221" s="1"/>
      <c r="J221" s="5">
        <f t="shared" ref="J221:J225" si="81">IF(H$12=0,0,H221/H$12)</f>
        <v>4.2216669777002752E-2</v>
      </c>
      <c r="K221" s="1"/>
      <c r="L221" s="1">
        <f t="shared" ref="L221:L225" si="82">+D221-H221</f>
        <v>1971.6499999999978</v>
      </c>
      <c r="M221" s="1"/>
      <c r="N221" s="5">
        <f t="shared" ref="N221:N225" si="83">IF(H221=0,0,L221/H221)</f>
        <v>0.11960266909311482</v>
      </c>
      <c r="O221" s="13"/>
      <c r="P221" s="1">
        <f>SUM(OSRRefP22_17x_0)</f>
        <v>50535.75</v>
      </c>
      <c r="Q221" s="1"/>
      <c r="R221" s="5">
        <f t="shared" ref="R221:R225" si="84">IF(P$12=0,0,P221/P$12)</f>
        <v>9.9652863165686067E-3</v>
      </c>
      <c r="S221" s="1"/>
      <c r="T221" s="1">
        <f>SUM(OSRRefT22_17x_0)</f>
        <v>82425</v>
      </c>
      <c r="U221" s="1"/>
      <c r="V221" s="5">
        <f t="shared" ref="V221:V225" si="85">IF(T$12=0,0,T221/T$12)</f>
        <v>1.5623297213128755E-2</v>
      </c>
      <c r="W221" s="1"/>
      <c r="X221" s="1">
        <f t="shared" ref="X221:X225" si="86">+P221-T221</f>
        <v>-31889.25</v>
      </c>
      <c r="Y221" s="1"/>
      <c r="Z221" s="5">
        <f t="shared" ref="Z221:Z225" si="87">IF(T221=0,0,X221/T221)</f>
        <v>-0.38688808007279346</v>
      </c>
    </row>
    <row r="222" spans="1:26" s="24" customFormat="1" hidden="1" outlineLevel="2" x14ac:dyDescent="0.25">
      <c r="A222" s="25"/>
      <c r="B222" s="11" t="str">
        <f>CONCATENATE("          ", "6252", " - ", "ROYALTY DUE CSTV")</f>
        <v xml:space="preserve">          6252 - ROYALTY DUE CSTV</v>
      </c>
      <c r="C222" s="11"/>
      <c r="D222" s="6"/>
      <c r="E222" s="2"/>
      <c r="F222" s="7">
        <f t="shared" si="80"/>
        <v>0</v>
      </c>
      <c r="G222" s="2"/>
      <c r="H222" s="6">
        <v>1085</v>
      </c>
      <c r="I222" s="2"/>
      <c r="J222" s="7">
        <f t="shared" si="81"/>
        <v>2.7785918536880794E-3</v>
      </c>
      <c r="K222" s="2"/>
      <c r="L222" s="6">
        <f t="shared" si="82"/>
        <v>-1085</v>
      </c>
      <c r="M222" s="2"/>
      <c r="N222" s="7">
        <f t="shared" si="83"/>
        <v>-1</v>
      </c>
      <c r="O222" s="11"/>
      <c r="P222" s="6"/>
      <c r="Q222" s="2"/>
      <c r="R222" s="7">
        <f t="shared" si="84"/>
        <v>0</v>
      </c>
      <c r="S222" s="2"/>
      <c r="T222" s="6">
        <v>5425</v>
      </c>
      <c r="U222" s="2"/>
      <c r="V222" s="7">
        <f t="shared" si="85"/>
        <v>1.0282849545795996E-3</v>
      </c>
      <c r="W222" s="2"/>
      <c r="X222" s="6">
        <f t="shared" si="86"/>
        <v>-5425</v>
      </c>
      <c r="Y222" s="2"/>
      <c r="Z222" s="7">
        <f t="shared" si="87"/>
        <v>-1</v>
      </c>
    </row>
    <row r="223" spans="1:26" s="24" customFormat="1" hidden="1" outlineLevel="2" x14ac:dyDescent="0.25">
      <c r="A223" s="25"/>
      <c r="B223" s="11" t="str">
        <f>CONCATENATE("          ", "6253", " - ", "ROYALTY DUE ATHLETICS-LRG")</f>
        <v xml:space="preserve">          6253 - ROYALTY DUE ATHLETICS-LRG</v>
      </c>
      <c r="C223" s="11"/>
      <c r="D223" s="6"/>
      <c r="E223" s="2"/>
      <c r="F223" s="7">
        <f t="shared" si="80"/>
        <v>0</v>
      </c>
      <c r="G223" s="2"/>
      <c r="H223" s="6">
        <v>3700</v>
      </c>
      <c r="I223" s="2"/>
      <c r="J223" s="7">
        <f t="shared" si="81"/>
        <v>9.4753823581989801E-3</v>
      </c>
      <c r="K223" s="2"/>
      <c r="L223" s="6">
        <f t="shared" si="82"/>
        <v>-3700</v>
      </c>
      <c r="M223" s="2"/>
      <c r="N223" s="7">
        <f t="shared" si="83"/>
        <v>-1</v>
      </c>
      <c r="O223" s="11"/>
      <c r="P223" s="6">
        <v>4366.95</v>
      </c>
      <c r="Q223" s="2"/>
      <c r="R223" s="7">
        <f t="shared" si="84"/>
        <v>8.6113112163447214E-4</v>
      </c>
      <c r="S223" s="2"/>
      <c r="T223" s="6">
        <v>18500</v>
      </c>
      <c r="U223" s="2"/>
      <c r="V223" s="7">
        <f t="shared" si="85"/>
        <v>3.5065938543267453E-3</v>
      </c>
      <c r="W223" s="2"/>
      <c r="X223" s="6">
        <f t="shared" si="86"/>
        <v>-14133.05</v>
      </c>
      <c r="Y223" s="2"/>
      <c r="Z223" s="7">
        <f t="shared" si="87"/>
        <v>-0.76394864864864864</v>
      </c>
    </row>
    <row r="224" spans="1:26" s="24" customFormat="1" hidden="1" outlineLevel="2" x14ac:dyDescent="0.25">
      <c r="A224" s="25"/>
      <c r="B224" s="11" t="str">
        <f>CONCATENATE("          ", "6254", " - ", "ROYALTY &amp; COMMISSIONS")</f>
        <v xml:space="preserve">          6254 - ROYALTY &amp; COMMISSIONS</v>
      </c>
      <c r="C224" s="11"/>
      <c r="D224" s="6">
        <v>803.23</v>
      </c>
      <c r="E224" s="2"/>
      <c r="F224" s="7">
        <f t="shared" si="80"/>
        <v>1.7835174063864866E-3</v>
      </c>
      <c r="G224" s="2"/>
      <c r="H224" s="6">
        <v>11700</v>
      </c>
      <c r="I224" s="2"/>
      <c r="J224" s="7">
        <f t="shared" si="81"/>
        <v>2.9962695565115691E-2</v>
      </c>
      <c r="K224" s="2"/>
      <c r="L224" s="6">
        <f t="shared" si="82"/>
        <v>-10896.77</v>
      </c>
      <c r="M224" s="2"/>
      <c r="N224" s="7">
        <f t="shared" si="83"/>
        <v>-0.93134786324786334</v>
      </c>
      <c r="O224" s="11"/>
      <c r="P224" s="6">
        <v>2301.12</v>
      </c>
      <c r="Q224" s="2"/>
      <c r="R224" s="7">
        <f t="shared" si="84"/>
        <v>4.5376430841102296E-4</v>
      </c>
      <c r="S224" s="2"/>
      <c r="T224" s="6">
        <v>58500</v>
      </c>
      <c r="U224" s="2"/>
      <c r="V224" s="7">
        <f t="shared" si="85"/>
        <v>1.108841840422241E-2</v>
      </c>
      <c r="W224" s="2"/>
      <c r="X224" s="6">
        <f t="shared" si="86"/>
        <v>-56198.879999999997</v>
      </c>
      <c r="Y224" s="2"/>
      <c r="Z224" s="7">
        <f t="shared" si="87"/>
        <v>-0.96066461538461534</v>
      </c>
    </row>
    <row r="225" spans="1:26" s="24" customFormat="1" hidden="1" outlineLevel="2" x14ac:dyDescent="0.25">
      <c r="A225" s="25"/>
      <c r="B225" s="11" t="str">
        <f>CONCATENATE("          ", "6259", " - ", "ROYALTY &amp; COMMISSIONS")</f>
        <v xml:space="preserve">          6259 - ROYALTY &amp; COMMISSIONS</v>
      </c>
      <c r="C225" s="11"/>
      <c r="D225" s="6">
        <v>17653.419999999998</v>
      </c>
      <c r="E225" s="2"/>
      <c r="F225" s="7">
        <f t="shared" si="80"/>
        <v>3.9198214524172811E-2</v>
      </c>
      <c r="G225" s="2"/>
      <c r="H225" s="6"/>
      <c r="I225" s="2"/>
      <c r="J225" s="7">
        <f t="shared" si="81"/>
        <v>0</v>
      </c>
      <c r="K225" s="2"/>
      <c r="L225" s="6">
        <f t="shared" si="82"/>
        <v>17653.419999999998</v>
      </c>
      <c r="M225" s="2"/>
      <c r="N225" s="7">
        <f t="shared" si="83"/>
        <v>0</v>
      </c>
      <c r="O225" s="11"/>
      <c r="P225" s="6">
        <v>43867.68</v>
      </c>
      <c r="Q225" s="2"/>
      <c r="R225" s="7">
        <f t="shared" si="84"/>
        <v>8.6503908865231127E-3</v>
      </c>
      <c r="S225" s="2"/>
      <c r="T225" s="6"/>
      <c r="U225" s="2"/>
      <c r="V225" s="7">
        <f t="shared" si="85"/>
        <v>0</v>
      </c>
      <c r="W225" s="2"/>
      <c r="X225" s="6">
        <f t="shared" si="86"/>
        <v>43867.68</v>
      </c>
      <c r="Y225" s="2"/>
      <c r="Z225" s="7">
        <f t="shared" si="87"/>
        <v>0</v>
      </c>
    </row>
    <row r="226" spans="1:26" s="26" customFormat="1" outlineLevel="1" collapsed="1" x14ac:dyDescent="0.25">
      <c r="A226" s="27"/>
      <c r="B226" s="13" t="str">
        <f>CONCATENATE("     ","Services                                          ")</f>
        <v xml:space="preserve">     Services                                          </v>
      </c>
      <c r="C226" s="13"/>
      <c r="D226" s="1">
        <f>SUM(OSRRefD22_18x_0)</f>
        <v>4391.5599999999995</v>
      </c>
      <c r="E226" s="1"/>
      <c r="F226" s="5">
        <f t="shared" ref="F226:F230" si="88">IF(D$12=0,0,D226/D$12)</f>
        <v>9.751159320730847E-3</v>
      </c>
      <c r="G226" s="1"/>
      <c r="H226" s="1">
        <f>SUM(OSRRefH22_18x_0)</f>
        <v>4432.5</v>
      </c>
      <c r="I226" s="1"/>
      <c r="J226" s="5">
        <f t="shared" ref="J226:J230" si="89">IF(H$12=0,0,H226/H$12)</f>
        <v>1.1351251973707292E-2</v>
      </c>
      <c r="K226" s="1"/>
      <c r="L226" s="1">
        <f t="shared" ref="L226:L230" si="90">+D226-H226</f>
        <v>-40.940000000000509</v>
      </c>
      <c r="M226" s="1"/>
      <c r="N226" s="5">
        <f t="shared" ref="N226:N230" si="91">IF(H226=0,0,L226/H226)</f>
        <v>-9.2363226170333913E-3</v>
      </c>
      <c r="O226" s="13"/>
      <c r="P226" s="1">
        <f>SUM(OSRRefP22_18x_0)</f>
        <v>22866.47</v>
      </c>
      <c r="Q226" s="1"/>
      <c r="R226" s="5">
        <f t="shared" ref="R226:R230" si="92">IF(P$12=0,0,P226/P$12)</f>
        <v>4.5091033693816073E-3</v>
      </c>
      <c r="S226" s="1"/>
      <c r="T226" s="1">
        <f>SUM(OSRRefT22_18x_0)</f>
        <v>22162.5</v>
      </c>
      <c r="U226" s="1"/>
      <c r="V226" s="5">
        <f t="shared" ref="V226:V230" si="93">IF(T$12=0,0,T226/T$12)</f>
        <v>4.2008046646765671E-3</v>
      </c>
      <c r="W226" s="1"/>
      <c r="X226" s="1">
        <f t="shared" ref="X226:X230" si="94">+P226-T226</f>
        <v>703.97000000000116</v>
      </c>
      <c r="Y226" s="1"/>
      <c r="Z226" s="5">
        <f t="shared" ref="Z226:Z230" si="95">IF(T226=0,0,X226/T226)</f>
        <v>3.1764015792442243E-2</v>
      </c>
    </row>
    <row r="227" spans="1:26" s="24" customFormat="1" hidden="1" outlineLevel="2" x14ac:dyDescent="0.25">
      <c r="A227" s="25"/>
      <c r="B227" s="11" t="str">
        <f>CONCATENATE("          ", "6282", " - ", "JANITORIAL/EXTERMINATOR EXPENS")</f>
        <v xml:space="preserve">          6282 - JANITORIAL/EXTERMINATOR EXPENS</v>
      </c>
      <c r="C227" s="11"/>
      <c r="D227" s="6">
        <v>266.5</v>
      </c>
      <c r="E227" s="2"/>
      <c r="F227" s="7">
        <f t="shared" si="88"/>
        <v>5.9174506530134416E-4</v>
      </c>
      <c r="G227" s="2"/>
      <c r="H227" s="6">
        <v>50</v>
      </c>
      <c r="I227" s="2"/>
      <c r="J227" s="7">
        <f t="shared" si="89"/>
        <v>1.2804570754322946E-4</v>
      </c>
      <c r="K227" s="2"/>
      <c r="L227" s="6">
        <f t="shared" si="90"/>
        <v>216.5</v>
      </c>
      <c r="M227" s="2"/>
      <c r="N227" s="7">
        <f t="shared" si="91"/>
        <v>4.33</v>
      </c>
      <c r="O227" s="11"/>
      <c r="P227" s="6">
        <v>1332.5</v>
      </c>
      <c r="Q227" s="2"/>
      <c r="R227" s="7">
        <f t="shared" si="92"/>
        <v>2.6275941322385975E-4</v>
      </c>
      <c r="S227" s="2"/>
      <c r="T227" s="6">
        <v>250</v>
      </c>
      <c r="U227" s="2"/>
      <c r="V227" s="7">
        <f t="shared" si="93"/>
        <v>4.7386403436847911E-5</v>
      </c>
      <c r="W227" s="2"/>
      <c r="X227" s="6">
        <f t="shared" si="94"/>
        <v>1082.5</v>
      </c>
      <c r="Y227" s="2"/>
      <c r="Z227" s="7">
        <f t="shared" si="95"/>
        <v>4.33</v>
      </c>
    </row>
    <row r="228" spans="1:26" s="24" customFormat="1" hidden="1" outlineLevel="2" x14ac:dyDescent="0.25">
      <c r="A228" s="25"/>
      <c r="B228" s="11" t="str">
        <f>CONCATENATE("          ", "6283", " - ", "PLANT SERVICE")</f>
        <v xml:space="preserve">          6283 - PLANT SERVICE</v>
      </c>
      <c r="C228" s="11"/>
      <c r="D228" s="6"/>
      <c r="E228" s="2"/>
      <c r="F228" s="7">
        <f t="shared" si="88"/>
        <v>0</v>
      </c>
      <c r="G228" s="2"/>
      <c r="H228" s="6">
        <v>60</v>
      </c>
      <c r="I228" s="2"/>
      <c r="J228" s="7">
        <f t="shared" si="89"/>
        <v>1.5365484905187536E-4</v>
      </c>
      <c r="K228" s="2"/>
      <c r="L228" s="6">
        <f t="shared" si="90"/>
        <v>-60</v>
      </c>
      <c r="M228" s="2"/>
      <c r="N228" s="7">
        <f t="shared" si="91"/>
        <v>-1</v>
      </c>
      <c r="O228" s="11"/>
      <c r="P228" s="6">
        <v>541.98</v>
      </c>
      <c r="Q228" s="2"/>
      <c r="R228" s="7">
        <f t="shared" si="92"/>
        <v>1.0687455668222702E-4</v>
      </c>
      <c r="S228" s="2"/>
      <c r="T228" s="6">
        <v>300</v>
      </c>
      <c r="U228" s="2"/>
      <c r="V228" s="7">
        <f t="shared" si="93"/>
        <v>5.6863684124217489E-5</v>
      </c>
      <c r="W228" s="2"/>
      <c r="X228" s="6">
        <f t="shared" si="94"/>
        <v>241.98000000000002</v>
      </c>
      <c r="Y228" s="2"/>
      <c r="Z228" s="7">
        <f t="shared" si="95"/>
        <v>0.80660000000000009</v>
      </c>
    </row>
    <row r="229" spans="1:26" s="24" customFormat="1" hidden="1" outlineLevel="2" x14ac:dyDescent="0.25">
      <c r="A229" s="25"/>
      <c r="B229" s="11" t="str">
        <f>CONCATENATE("          ", "6284", " - ", "TRASH REMOVAL EXPENSE")</f>
        <v xml:space="preserve">          6284 - TRASH REMOVAL EXPENSE</v>
      </c>
      <c r="C229" s="11"/>
      <c r="D229" s="6">
        <v>134.82</v>
      </c>
      <c r="E229" s="2"/>
      <c r="F229" s="7">
        <f t="shared" si="88"/>
        <v>2.9935861052130284E-4</v>
      </c>
      <c r="G229" s="2"/>
      <c r="H229" s="6">
        <v>62.5</v>
      </c>
      <c r="I229" s="2"/>
      <c r="J229" s="7">
        <f t="shared" si="89"/>
        <v>1.6005713442903682E-4</v>
      </c>
      <c r="K229" s="2"/>
      <c r="L229" s="6">
        <f t="shared" si="90"/>
        <v>72.319999999999993</v>
      </c>
      <c r="M229" s="2"/>
      <c r="N229" s="7">
        <f t="shared" si="91"/>
        <v>1.1571199999999999</v>
      </c>
      <c r="O229" s="11"/>
      <c r="P229" s="6">
        <v>674.1</v>
      </c>
      <c r="Q229" s="2"/>
      <c r="R229" s="7">
        <f t="shared" si="92"/>
        <v>1.3292767013448693E-4</v>
      </c>
      <c r="S229" s="2"/>
      <c r="T229" s="6">
        <v>312.5</v>
      </c>
      <c r="U229" s="2"/>
      <c r="V229" s="7">
        <f t="shared" si="93"/>
        <v>5.9233004296059887E-5</v>
      </c>
      <c r="W229" s="2"/>
      <c r="X229" s="6">
        <f t="shared" si="94"/>
        <v>361.6</v>
      </c>
      <c r="Y229" s="2"/>
      <c r="Z229" s="7">
        <f t="shared" si="95"/>
        <v>1.1571200000000001</v>
      </c>
    </row>
    <row r="230" spans="1:26" s="24" customFormat="1" hidden="1" outlineLevel="2" x14ac:dyDescent="0.25">
      <c r="A230" s="25"/>
      <c r="B230" s="11" t="str">
        <f>CONCATENATE("          ", "6285", " - ", "JANITORIAL SERVICES")</f>
        <v xml:space="preserve">          6285 - JANITORIAL SERVICES</v>
      </c>
      <c r="C230" s="11"/>
      <c r="D230" s="6">
        <v>3990.24</v>
      </c>
      <c r="E230" s="2"/>
      <c r="F230" s="7">
        <f t="shared" si="88"/>
        <v>8.8600556449082001E-3</v>
      </c>
      <c r="G230" s="2"/>
      <c r="H230" s="6">
        <v>4260</v>
      </c>
      <c r="I230" s="2"/>
      <c r="J230" s="7">
        <f t="shared" si="89"/>
        <v>1.090949428268315E-2</v>
      </c>
      <c r="K230" s="2"/>
      <c r="L230" s="6">
        <f t="shared" si="90"/>
        <v>-269.76000000000022</v>
      </c>
      <c r="M230" s="2"/>
      <c r="N230" s="7">
        <f t="shared" si="91"/>
        <v>-6.3323943661971888E-2</v>
      </c>
      <c r="O230" s="11"/>
      <c r="P230" s="6">
        <v>20317.89</v>
      </c>
      <c r="Q230" s="2"/>
      <c r="R230" s="7">
        <f t="shared" si="92"/>
        <v>4.0065417293410335E-3</v>
      </c>
      <c r="S230" s="2"/>
      <c r="T230" s="6">
        <v>21300</v>
      </c>
      <c r="U230" s="2"/>
      <c r="V230" s="7">
        <f t="shared" si="93"/>
        <v>4.037321572819442E-3</v>
      </c>
      <c r="W230" s="2"/>
      <c r="X230" s="6">
        <f t="shared" si="94"/>
        <v>-982.11000000000058</v>
      </c>
      <c r="Y230" s="2"/>
      <c r="Z230" s="7">
        <f t="shared" si="95"/>
        <v>-4.6108450704225382E-2</v>
      </c>
    </row>
    <row r="231" spans="1:26" s="26" customFormat="1" outlineLevel="1" collapsed="1" x14ac:dyDescent="0.25">
      <c r="A231" s="27"/>
      <c r="B231" s="13" t="str">
        <f>CONCATENATE("     ","Subscriptions &amp; Dues                              ")</f>
        <v xml:space="preserve">     Subscriptions &amp; Dues                              </v>
      </c>
      <c r="C231" s="13"/>
      <c r="D231" s="1">
        <f>SUM(OSRRefD22_19x_0)</f>
        <v>175.36</v>
      </c>
      <c r="E231" s="1"/>
      <c r="F231" s="5">
        <f t="shared" ref="F231:F233" si="96">IF(D$12=0,0,D231/D$12)</f>
        <v>3.8937491426357869E-4</v>
      </c>
      <c r="G231" s="1"/>
      <c r="H231" s="1">
        <f>SUM(OSRRefH22_19x_0)</f>
        <v>2915</v>
      </c>
      <c r="I231" s="1"/>
      <c r="J231" s="5">
        <f t="shared" ref="J231:J233" si="97">IF(H$12=0,0,H231/H$12)</f>
        <v>7.4650647497702775E-3</v>
      </c>
      <c r="K231" s="1"/>
      <c r="L231" s="1">
        <f t="shared" ref="L231:L233" si="98">+D231-H231</f>
        <v>-2739.64</v>
      </c>
      <c r="M231" s="1"/>
      <c r="N231" s="5">
        <f t="shared" ref="N231:N233" si="99">IF(H231=0,0,L231/H231)</f>
        <v>-0.93984219554030868</v>
      </c>
      <c r="O231" s="13"/>
      <c r="P231" s="1">
        <f>SUM(OSRRefP22_19x_0)</f>
        <v>2217.7600000000002</v>
      </c>
      <c r="Q231" s="1"/>
      <c r="R231" s="5">
        <f t="shared" ref="R231:R233" si="100">IF(P$12=0,0,P231/P$12)</f>
        <v>4.3732631615110484E-4</v>
      </c>
      <c r="S231" s="1"/>
      <c r="T231" s="1">
        <f>SUM(OSRRefT22_19x_0)</f>
        <v>9520</v>
      </c>
      <c r="U231" s="1"/>
      <c r="V231" s="5">
        <f t="shared" ref="V231:V233" si="101">IF(T$12=0,0,T231/T$12)</f>
        <v>1.8044742428751685E-3</v>
      </c>
      <c r="W231" s="1"/>
      <c r="X231" s="1">
        <f t="shared" ref="X231:X233" si="102">+P231-T231</f>
        <v>-7302.24</v>
      </c>
      <c r="Y231" s="1"/>
      <c r="Z231" s="5">
        <f t="shared" ref="Z231:Z233" si="103">IF(T231=0,0,X231/T231)</f>
        <v>-0.76704201680672268</v>
      </c>
    </row>
    <row r="232" spans="1:26" s="24" customFormat="1" hidden="1" outlineLevel="2" x14ac:dyDescent="0.25">
      <c r="A232" s="25"/>
      <c r="B232" s="11" t="str">
        <f>CONCATENATE("          ", "6258", " - ", "MEMBERSHIP DUES")</f>
        <v xml:space="preserve">          6258 - MEMBERSHIP DUES</v>
      </c>
      <c r="C232" s="11"/>
      <c r="D232" s="6">
        <v>250</v>
      </c>
      <c r="E232" s="2"/>
      <c r="F232" s="7">
        <f t="shared" si="96"/>
        <v>5.5510794118324971E-4</v>
      </c>
      <c r="G232" s="2"/>
      <c r="H232" s="6">
        <v>2700</v>
      </c>
      <c r="I232" s="2"/>
      <c r="J232" s="7">
        <f t="shared" si="97"/>
        <v>6.914468207334391E-3</v>
      </c>
      <c r="K232" s="2"/>
      <c r="L232" s="6">
        <f t="shared" si="98"/>
        <v>-2450</v>
      </c>
      <c r="M232" s="2"/>
      <c r="N232" s="7">
        <f t="shared" si="99"/>
        <v>-0.90740740740740744</v>
      </c>
      <c r="O232" s="11"/>
      <c r="P232" s="6">
        <v>1427.4</v>
      </c>
      <c r="Q232" s="2"/>
      <c r="R232" s="7">
        <f t="shared" si="100"/>
        <v>2.8147301045833951E-4</v>
      </c>
      <c r="S232" s="2"/>
      <c r="T232" s="6">
        <v>7195</v>
      </c>
      <c r="U232" s="2"/>
      <c r="V232" s="7">
        <f t="shared" si="101"/>
        <v>1.3637806909124828E-3</v>
      </c>
      <c r="W232" s="2"/>
      <c r="X232" s="6">
        <f t="shared" si="102"/>
        <v>-5767.6</v>
      </c>
      <c r="Y232" s="2"/>
      <c r="Z232" s="7">
        <f t="shared" si="103"/>
        <v>-0.80161223071577492</v>
      </c>
    </row>
    <row r="233" spans="1:26" s="24" customFormat="1" hidden="1" outlineLevel="2" x14ac:dyDescent="0.25">
      <c r="A233" s="25"/>
      <c r="B233" s="11" t="str">
        <f>CONCATENATE("          ", "6275", " - ", "SUBSCRIPTIONS")</f>
        <v xml:space="preserve">          6275 - SUBSCRIPTIONS</v>
      </c>
      <c r="C233" s="11"/>
      <c r="D233" s="6">
        <v>-74.64</v>
      </c>
      <c r="E233" s="2"/>
      <c r="F233" s="7">
        <f t="shared" si="96"/>
        <v>-1.6573302691967102E-4</v>
      </c>
      <c r="G233" s="2"/>
      <c r="H233" s="6">
        <v>215</v>
      </c>
      <c r="I233" s="2"/>
      <c r="J233" s="7">
        <f t="shared" si="97"/>
        <v>5.5059654243588667E-4</v>
      </c>
      <c r="K233" s="2"/>
      <c r="L233" s="6">
        <f t="shared" si="98"/>
        <v>-289.64</v>
      </c>
      <c r="M233" s="2"/>
      <c r="N233" s="7">
        <f t="shared" si="99"/>
        <v>-1.3471627906976744</v>
      </c>
      <c r="O233" s="11"/>
      <c r="P233" s="6">
        <v>790.36</v>
      </c>
      <c r="Q233" s="2"/>
      <c r="R233" s="7">
        <f t="shared" si="100"/>
        <v>1.558533056927653E-4</v>
      </c>
      <c r="S233" s="2"/>
      <c r="T233" s="6">
        <v>2325</v>
      </c>
      <c r="U233" s="2"/>
      <c r="V233" s="7">
        <f t="shared" si="101"/>
        <v>4.4069355196268555E-4</v>
      </c>
      <c r="W233" s="2"/>
      <c r="X233" s="6">
        <f t="shared" si="102"/>
        <v>-1534.6399999999999</v>
      </c>
      <c r="Y233" s="2"/>
      <c r="Z233" s="7">
        <f t="shared" si="103"/>
        <v>-0.66006021505376333</v>
      </c>
    </row>
    <row r="234" spans="1:26" s="26" customFormat="1" outlineLevel="1" collapsed="1" x14ac:dyDescent="0.25">
      <c r="A234" s="27"/>
      <c r="B234" s="13" t="str">
        <f>CONCATENATE("     ","Supplies                                          ")</f>
        <v xml:space="preserve">     Supplies                                          </v>
      </c>
      <c r="C234" s="13"/>
      <c r="D234" s="1">
        <f>SUM(OSRRefD22_20x_0)</f>
        <v>4109.6899999999996</v>
      </c>
      <c r="E234" s="1"/>
      <c r="F234" s="5">
        <f t="shared" ref="F234:F241" si="104">IF(D$12=0,0,D234/D$12)</f>
        <v>9.1252862192055563E-3</v>
      </c>
      <c r="G234" s="1"/>
      <c r="H234" s="1">
        <f>SUM(OSRRefH22_20x_0)</f>
        <v>11385</v>
      </c>
      <c r="I234" s="1"/>
      <c r="J234" s="5">
        <f t="shared" ref="J234:J241" si="105">IF(H$12=0,0,H234/H$12)</f>
        <v>2.9156007607593348E-2</v>
      </c>
      <c r="K234" s="1"/>
      <c r="L234" s="1">
        <f t="shared" ref="L234:L241" si="106">+D234-H234</f>
        <v>-7275.31</v>
      </c>
      <c r="M234" s="1"/>
      <c r="N234" s="5">
        <f t="shared" ref="N234:N241" si="107">IF(H234=0,0,L234/H234)</f>
        <v>-0.63902591128678088</v>
      </c>
      <c r="O234" s="13"/>
      <c r="P234" s="1">
        <f>SUM(OSRRefP22_20x_0)</f>
        <v>43183.520000000004</v>
      </c>
      <c r="Q234" s="1"/>
      <c r="R234" s="5">
        <f t="shared" ref="R234:R241" si="108">IF(P$12=0,0,P234/P$12)</f>
        <v>8.5154794567660879E-3</v>
      </c>
      <c r="S234" s="1"/>
      <c r="T234" s="1">
        <f>SUM(OSRRefT22_20x_0)</f>
        <v>73425</v>
      </c>
      <c r="U234" s="1"/>
      <c r="V234" s="5">
        <f t="shared" ref="V234:V241" si="109">IF(T$12=0,0,T234/T$12)</f>
        <v>1.391738668940223E-2</v>
      </c>
      <c r="W234" s="1"/>
      <c r="X234" s="1">
        <f t="shared" ref="X234:X241" si="110">+P234-T234</f>
        <v>-30241.479999999996</v>
      </c>
      <c r="Y234" s="1"/>
      <c r="Z234" s="5">
        <f t="shared" ref="Z234:Z241" si="111">IF(T234=0,0,X234/T234)</f>
        <v>-0.41186898195437516</v>
      </c>
    </row>
    <row r="235" spans="1:26" s="24" customFormat="1" hidden="1" outlineLevel="2" x14ac:dyDescent="0.25">
      <c r="A235" s="25"/>
      <c r="B235" s="11" t="str">
        <f>CONCATENATE("          ", "6234", " - ", "EXPENDABLE SUPPLIES &amp; EQUIPMEN")</f>
        <v xml:space="preserve">          6234 - EXPENDABLE SUPPLIES &amp; EQUIPMEN</v>
      </c>
      <c r="C235" s="11"/>
      <c r="D235" s="6">
        <v>106.65</v>
      </c>
      <c r="E235" s="2"/>
      <c r="F235" s="7">
        <f t="shared" si="104"/>
        <v>2.3680904770877431E-4</v>
      </c>
      <c r="G235" s="2"/>
      <c r="H235" s="6">
        <v>300</v>
      </c>
      <c r="I235" s="2"/>
      <c r="J235" s="7">
        <f t="shared" si="105"/>
        <v>7.6827424525937672E-4</v>
      </c>
      <c r="K235" s="2"/>
      <c r="L235" s="6">
        <f t="shared" si="106"/>
        <v>-193.35</v>
      </c>
      <c r="M235" s="2"/>
      <c r="N235" s="7">
        <f t="shared" si="107"/>
        <v>-0.64449999999999996</v>
      </c>
      <c r="O235" s="11"/>
      <c r="P235" s="6">
        <v>1822.75</v>
      </c>
      <c r="Q235" s="2"/>
      <c r="R235" s="7">
        <f t="shared" si="108"/>
        <v>3.5943318608164379E-4</v>
      </c>
      <c r="S235" s="2"/>
      <c r="T235" s="6">
        <v>2850</v>
      </c>
      <c r="U235" s="2"/>
      <c r="V235" s="7">
        <f t="shared" si="109"/>
        <v>5.4020499918006613E-4</v>
      </c>
      <c r="W235" s="2"/>
      <c r="X235" s="6">
        <f t="shared" si="110"/>
        <v>-1027.25</v>
      </c>
      <c r="Y235" s="2"/>
      <c r="Z235" s="7">
        <f t="shared" si="111"/>
        <v>-0.36043859649122806</v>
      </c>
    </row>
    <row r="236" spans="1:26" s="24" customFormat="1" hidden="1" outlineLevel="2" x14ac:dyDescent="0.25">
      <c r="A236" s="25"/>
      <c r="B236" s="11" t="str">
        <f>CONCATENATE("          ", "6237", " - ", "JANITORIAL SUPPLIES")</f>
        <v xml:space="preserve">          6237 - JANITORIAL SUPPLIES</v>
      </c>
      <c r="C236" s="11"/>
      <c r="D236" s="6">
        <v>691.53</v>
      </c>
      <c r="E236" s="2"/>
      <c r="F236" s="7">
        <f t="shared" si="104"/>
        <v>1.5354951782658105E-3</v>
      </c>
      <c r="G236" s="2"/>
      <c r="H236" s="6">
        <v>35</v>
      </c>
      <c r="I236" s="2"/>
      <c r="J236" s="7">
        <f t="shared" si="105"/>
        <v>8.9631995280260615E-5</v>
      </c>
      <c r="K236" s="2"/>
      <c r="L236" s="6">
        <f t="shared" si="106"/>
        <v>656.53</v>
      </c>
      <c r="M236" s="2"/>
      <c r="N236" s="7">
        <f t="shared" si="107"/>
        <v>18.757999999999999</v>
      </c>
      <c r="O236" s="11"/>
      <c r="P236" s="6">
        <v>2857.75</v>
      </c>
      <c r="Q236" s="2"/>
      <c r="R236" s="7">
        <f t="shared" si="108"/>
        <v>5.6352773969267178E-4</v>
      </c>
      <c r="S236" s="2"/>
      <c r="T236" s="6">
        <v>225</v>
      </c>
      <c r="U236" s="2"/>
      <c r="V236" s="7">
        <f t="shared" si="109"/>
        <v>4.2647763093163122E-5</v>
      </c>
      <c r="W236" s="2"/>
      <c r="X236" s="6">
        <f t="shared" si="110"/>
        <v>2632.75</v>
      </c>
      <c r="Y236" s="2"/>
      <c r="Z236" s="7">
        <f t="shared" si="111"/>
        <v>11.701111111111111</v>
      </c>
    </row>
    <row r="237" spans="1:26" s="24" customFormat="1" hidden="1" outlineLevel="2" x14ac:dyDescent="0.25">
      <c r="A237" s="25"/>
      <c r="B237" s="11" t="str">
        <f>CONCATENATE("          ", "6241", " - ", "OFFICE EXPENSE")</f>
        <v xml:space="preserve">          6241 - OFFICE EXPENSE</v>
      </c>
      <c r="C237" s="11"/>
      <c r="D237" s="6">
        <v>2264.9499999999998</v>
      </c>
      <c r="E237" s="2"/>
      <c r="F237" s="7">
        <f t="shared" si="104"/>
        <v>5.029166925532005E-3</v>
      </c>
      <c r="G237" s="2"/>
      <c r="H237" s="6">
        <v>975</v>
      </c>
      <c r="I237" s="2"/>
      <c r="J237" s="7">
        <f t="shared" si="105"/>
        <v>2.4968912970929746E-3</v>
      </c>
      <c r="K237" s="2"/>
      <c r="L237" s="6">
        <f t="shared" si="106"/>
        <v>1289.9499999999998</v>
      </c>
      <c r="M237" s="2"/>
      <c r="N237" s="7">
        <f t="shared" si="107"/>
        <v>1.3230256410256409</v>
      </c>
      <c r="O237" s="11"/>
      <c r="P237" s="6">
        <v>14563.47</v>
      </c>
      <c r="Q237" s="2"/>
      <c r="R237" s="7">
        <f t="shared" si="108"/>
        <v>2.8718115059686937E-3</v>
      </c>
      <c r="S237" s="2"/>
      <c r="T237" s="6">
        <v>5975</v>
      </c>
      <c r="U237" s="2"/>
      <c r="V237" s="7">
        <f t="shared" si="109"/>
        <v>1.1325350421406649E-3</v>
      </c>
      <c r="W237" s="2"/>
      <c r="X237" s="6">
        <f t="shared" si="110"/>
        <v>8588.4699999999993</v>
      </c>
      <c r="Y237" s="2"/>
      <c r="Z237" s="7">
        <f t="shared" si="111"/>
        <v>1.4374008368200837</v>
      </c>
    </row>
    <row r="238" spans="1:26" s="24" customFormat="1" hidden="1" outlineLevel="2" x14ac:dyDescent="0.25">
      <c r="A238" s="25"/>
      <c r="B238" s="11" t="str">
        <f>CONCATENATE("          ", "6243", " - ", "PAPER SUPPLIES")</f>
        <v xml:space="preserve">          6243 - PAPER SUPPLIES</v>
      </c>
      <c r="C238" s="11"/>
      <c r="D238" s="6">
        <v>1423.15</v>
      </c>
      <c r="E238" s="2"/>
      <c r="F238" s="7">
        <f t="shared" si="104"/>
        <v>3.1600074659797672E-3</v>
      </c>
      <c r="G238" s="2"/>
      <c r="H238" s="6">
        <v>250</v>
      </c>
      <c r="I238" s="2"/>
      <c r="J238" s="7">
        <f t="shared" si="105"/>
        <v>6.4022853771614728E-4</v>
      </c>
      <c r="K238" s="2"/>
      <c r="L238" s="6">
        <f t="shared" si="106"/>
        <v>1173.1500000000001</v>
      </c>
      <c r="M238" s="2"/>
      <c r="N238" s="7">
        <f t="shared" si="107"/>
        <v>4.6926000000000005</v>
      </c>
      <c r="O238" s="11"/>
      <c r="P238" s="6">
        <v>6329.48</v>
      </c>
      <c r="Q238" s="2"/>
      <c r="R238" s="7">
        <f t="shared" si="108"/>
        <v>1.2481279180579028E-3</v>
      </c>
      <c r="S238" s="2"/>
      <c r="T238" s="6">
        <v>1750</v>
      </c>
      <c r="U238" s="2"/>
      <c r="V238" s="7">
        <f t="shared" si="109"/>
        <v>3.3170482405793538E-4</v>
      </c>
      <c r="W238" s="2"/>
      <c r="X238" s="6">
        <f t="shared" si="110"/>
        <v>4579.4799999999996</v>
      </c>
      <c r="Y238" s="2"/>
      <c r="Z238" s="7">
        <f t="shared" si="111"/>
        <v>2.6168457142857142</v>
      </c>
    </row>
    <row r="239" spans="1:26" s="24" customFormat="1" hidden="1" outlineLevel="2" x14ac:dyDescent="0.25">
      <c r="A239" s="25"/>
      <c r="B239" s="11" t="str">
        <f>CONCATENATE("          ", "6245", " - ", "PRINTING")</f>
        <v xml:space="preserve">          6245 - PRINTING</v>
      </c>
      <c r="C239" s="11"/>
      <c r="D239" s="6">
        <v>-402.2</v>
      </c>
      <c r="E239" s="2"/>
      <c r="F239" s="7">
        <f t="shared" si="104"/>
        <v>-8.9305765577561203E-4</v>
      </c>
      <c r="G239" s="2"/>
      <c r="H239" s="6">
        <v>100</v>
      </c>
      <c r="I239" s="2"/>
      <c r="J239" s="7">
        <f t="shared" si="105"/>
        <v>2.5609141508645892E-4</v>
      </c>
      <c r="K239" s="2"/>
      <c r="L239" s="6">
        <f t="shared" si="106"/>
        <v>-502.2</v>
      </c>
      <c r="M239" s="2"/>
      <c r="N239" s="7">
        <f t="shared" si="107"/>
        <v>-5.0220000000000002</v>
      </c>
      <c r="O239" s="11"/>
      <c r="P239" s="6">
        <v>4845.05</v>
      </c>
      <c r="Q239" s="2"/>
      <c r="R239" s="7">
        <f t="shared" si="108"/>
        <v>9.5540900190638775E-4</v>
      </c>
      <c r="S239" s="2"/>
      <c r="T239" s="6">
        <v>900</v>
      </c>
      <c r="U239" s="2"/>
      <c r="V239" s="7">
        <f t="shared" si="109"/>
        <v>1.7059105237265249E-4</v>
      </c>
      <c r="W239" s="2"/>
      <c r="X239" s="6">
        <f t="shared" si="110"/>
        <v>3945.05</v>
      </c>
      <c r="Y239" s="2"/>
      <c r="Z239" s="7">
        <f t="shared" si="111"/>
        <v>4.3833888888888888</v>
      </c>
    </row>
    <row r="240" spans="1:26" s="24" customFormat="1" hidden="1" outlineLevel="2" x14ac:dyDescent="0.25">
      <c r="A240" s="25"/>
      <c r="B240" s="11" t="str">
        <f>CONCATENATE("          ", "6247", " - ", "STORE SUPPLIES")</f>
        <v xml:space="preserve">          6247 - STORE SUPPLIES</v>
      </c>
      <c r="C240" s="11"/>
      <c r="D240" s="6">
        <v>25.61</v>
      </c>
      <c r="E240" s="2"/>
      <c r="F240" s="7">
        <f t="shared" si="104"/>
        <v>5.6865257494812092E-5</v>
      </c>
      <c r="G240" s="2"/>
      <c r="H240" s="6">
        <v>8725</v>
      </c>
      <c r="I240" s="2"/>
      <c r="J240" s="7">
        <f t="shared" si="105"/>
        <v>2.234397596629354E-2</v>
      </c>
      <c r="K240" s="2"/>
      <c r="L240" s="6">
        <f t="shared" si="106"/>
        <v>-8699.39</v>
      </c>
      <c r="M240" s="2"/>
      <c r="N240" s="7">
        <f t="shared" si="107"/>
        <v>-0.99706475644699133</v>
      </c>
      <c r="O240" s="11"/>
      <c r="P240" s="6">
        <v>12765.02</v>
      </c>
      <c r="Q240" s="2"/>
      <c r="R240" s="7">
        <f t="shared" si="108"/>
        <v>2.5171701050587872E-3</v>
      </c>
      <c r="S240" s="2"/>
      <c r="T240" s="6">
        <v>56725</v>
      </c>
      <c r="U240" s="2"/>
      <c r="V240" s="7">
        <f t="shared" si="109"/>
        <v>1.075197493982079E-2</v>
      </c>
      <c r="W240" s="2"/>
      <c r="X240" s="6">
        <f t="shared" si="110"/>
        <v>-43959.979999999996</v>
      </c>
      <c r="Y240" s="2"/>
      <c r="Z240" s="7">
        <f t="shared" si="111"/>
        <v>-0.77496659321286898</v>
      </c>
    </row>
    <row r="241" spans="1:26" s="24" customFormat="1" hidden="1" outlineLevel="2" x14ac:dyDescent="0.25">
      <c r="A241" s="25"/>
      <c r="B241" s="11" t="str">
        <f>CONCATENATE("          ", "6248", " - ", "UNIFORMS")</f>
        <v xml:space="preserve">          6248 - UNIFORMS</v>
      </c>
      <c r="C241" s="11"/>
      <c r="D241" s="6"/>
      <c r="E241" s="2"/>
      <c r="F241" s="7">
        <f t="shared" si="104"/>
        <v>0</v>
      </c>
      <c r="G241" s="2"/>
      <c r="H241" s="6">
        <v>1000</v>
      </c>
      <c r="I241" s="2"/>
      <c r="J241" s="7">
        <f t="shared" si="105"/>
        <v>2.5609141508645891E-3</v>
      </c>
      <c r="K241" s="2"/>
      <c r="L241" s="6">
        <f t="shared" si="106"/>
        <v>-1000</v>
      </c>
      <c r="M241" s="2"/>
      <c r="N241" s="7">
        <f t="shared" si="107"/>
        <v>-1</v>
      </c>
      <c r="O241" s="11"/>
      <c r="P241" s="6"/>
      <c r="Q241" s="2"/>
      <c r="R241" s="7">
        <f t="shared" si="108"/>
        <v>0</v>
      </c>
      <c r="S241" s="2"/>
      <c r="T241" s="6">
        <v>5000</v>
      </c>
      <c r="U241" s="2"/>
      <c r="V241" s="7">
        <f t="shared" si="109"/>
        <v>9.4772806873695819E-4</v>
      </c>
      <c r="W241" s="2"/>
      <c r="X241" s="6">
        <f t="shared" si="110"/>
        <v>-5000</v>
      </c>
      <c r="Y241" s="2"/>
      <c r="Z241" s="7">
        <f t="shared" si="111"/>
        <v>-1</v>
      </c>
    </row>
    <row r="242" spans="1:26" s="26" customFormat="1" outlineLevel="1" collapsed="1" x14ac:dyDescent="0.25">
      <c r="A242" s="27"/>
      <c r="B242" s="13" t="str">
        <f>CONCATENATE("     ","Telephone/Data Lines                              ")</f>
        <v xml:space="preserve">     Telephone/Data Lines                              </v>
      </c>
      <c r="C242" s="13"/>
      <c r="D242" s="1">
        <f>SUM(OSRRefD22_21x_0)</f>
        <v>2367.4</v>
      </c>
      <c r="E242" s="1"/>
      <c r="F242" s="5">
        <f t="shared" ref="F242:F244" si="112">IF(D$12=0,0,D242/D$12)</f>
        <v>5.2566501598289008E-3</v>
      </c>
      <c r="G242" s="1"/>
      <c r="H242" s="1">
        <f>SUM(OSRRefH22_21x_0)</f>
        <v>2640</v>
      </c>
      <c r="I242" s="1"/>
      <c r="J242" s="5">
        <f t="shared" ref="J242:J244" si="113">IF(H$12=0,0,H242/H$12)</f>
        <v>6.7608133582825157E-3</v>
      </c>
      <c r="K242" s="1"/>
      <c r="L242" s="1">
        <f t="shared" ref="L242:L244" si="114">+D242-H242</f>
        <v>-272.59999999999991</v>
      </c>
      <c r="M242" s="1"/>
      <c r="N242" s="5">
        <f t="shared" ref="N242:N244" si="115">IF(H242=0,0,L242/H242)</f>
        <v>-0.10325757575757573</v>
      </c>
      <c r="O242" s="13"/>
      <c r="P242" s="1">
        <f>SUM(OSRRefP22_21x_0)</f>
        <v>13454.67</v>
      </c>
      <c r="Q242" s="1"/>
      <c r="R242" s="5">
        <f t="shared" ref="R242:R244" si="116">IF(P$12=0,0,P242/P$12)</f>
        <v>2.6531641233175749E-3</v>
      </c>
      <c r="S242" s="1"/>
      <c r="T242" s="1">
        <f>SUM(OSRRefT22_21x_0)</f>
        <v>15275</v>
      </c>
      <c r="U242" s="1"/>
      <c r="V242" s="5">
        <f t="shared" ref="V242:V244" si="117">IF(T$12=0,0,T242/T$12)</f>
        <v>2.8953092499914073E-3</v>
      </c>
      <c r="W242" s="1"/>
      <c r="X242" s="1">
        <f t="shared" ref="X242:X244" si="118">+P242-T242</f>
        <v>-1820.33</v>
      </c>
      <c r="Y242" s="1"/>
      <c r="Z242" s="5">
        <f t="shared" ref="Z242:Z244" si="119">IF(T242=0,0,X242/T242)</f>
        <v>-0.11917054009819966</v>
      </c>
    </row>
    <row r="243" spans="1:26" s="24" customFormat="1" hidden="1" outlineLevel="2" x14ac:dyDescent="0.25">
      <c r="A243" s="25"/>
      <c r="B243" s="11" t="str">
        <f>CONCATENATE("          ", "6303", " - ", "DATA PHONE LINES")</f>
        <v xml:space="preserve">          6303 - DATA PHONE LINES</v>
      </c>
      <c r="C243" s="11"/>
      <c r="D243" s="6">
        <v>295</v>
      </c>
      <c r="E243" s="2"/>
      <c r="F243" s="7">
        <f t="shared" si="112"/>
        <v>6.5502737059623456E-4</v>
      </c>
      <c r="G243" s="2"/>
      <c r="H243" s="6">
        <v>900</v>
      </c>
      <c r="I243" s="2"/>
      <c r="J243" s="7">
        <f t="shared" si="113"/>
        <v>2.30482273577813E-3</v>
      </c>
      <c r="K243" s="2"/>
      <c r="L243" s="6">
        <f t="shared" si="114"/>
        <v>-605</v>
      </c>
      <c r="M243" s="2"/>
      <c r="N243" s="7">
        <f t="shared" si="115"/>
        <v>-0.67222222222222228</v>
      </c>
      <c r="O243" s="11"/>
      <c r="P243" s="6">
        <v>1475</v>
      </c>
      <c r="Q243" s="2"/>
      <c r="R243" s="7">
        <f t="shared" si="116"/>
        <v>2.9085938799639258E-4</v>
      </c>
      <c r="S243" s="2"/>
      <c r="T243" s="6">
        <v>5575</v>
      </c>
      <c r="U243" s="2"/>
      <c r="V243" s="7">
        <f t="shared" si="117"/>
        <v>1.0567167966417084E-3</v>
      </c>
      <c r="W243" s="2"/>
      <c r="X243" s="6">
        <f t="shared" si="118"/>
        <v>-4100</v>
      </c>
      <c r="Y243" s="2"/>
      <c r="Z243" s="7">
        <f t="shared" si="119"/>
        <v>-0.73542600896860988</v>
      </c>
    </row>
    <row r="244" spans="1:26" s="24" customFormat="1" hidden="1" outlineLevel="2" x14ac:dyDescent="0.25">
      <c r="A244" s="25"/>
      <c r="B244" s="11" t="str">
        <f>CONCATENATE("          ", "6309", " - ", "TELEPHONE")</f>
        <v xml:space="preserve">          6309 - TELEPHONE</v>
      </c>
      <c r="C244" s="11"/>
      <c r="D244" s="6">
        <v>2072.4</v>
      </c>
      <c r="E244" s="2"/>
      <c r="F244" s="7">
        <f t="shared" si="112"/>
        <v>4.6016227892326667E-3</v>
      </c>
      <c r="G244" s="2"/>
      <c r="H244" s="6">
        <v>1740</v>
      </c>
      <c r="I244" s="2"/>
      <c r="J244" s="7">
        <f t="shared" si="113"/>
        <v>4.4559906225043848E-3</v>
      </c>
      <c r="K244" s="2"/>
      <c r="L244" s="6">
        <f t="shared" si="114"/>
        <v>332.40000000000009</v>
      </c>
      <c r="M244" s="2"/>
      <c r="N244" s="7">
        <f t="shared" si="115"/>
        <v>0.19103448275862076</v>
      </c>
      <c r="O244" s="11"/>
      <c r="P244" s="6">
        <v>11979.67</v>
      </c>
      <c r="Q244" s="2"/>
      <c r="R244" s="7">
        <f t="shared" si="116"/>
        <v>2.3623047353211824E-3</v>
      </c>
      <c r="S244" s="2"/>
      <c r="T244" s="6">
        <v>9700</v>
      </c>
      <c r="U244" s="2"/>
      <c r="V244" s="7">
        <f t="shared" si="117"/>
        <v>1.8385924533496989E-3</v>
      </c>
      <c r="W244" s="2"/>
      <c r="X244" s="6">
        <f t="shared" si="118"/>
        <v>2279.67</v>
      </c>
      <c r="Y244" s="2"/>
      <c r="Z244" s="7">
        <f t="shared" si="119"/>
        <v>0.23501752577319587</v>
      </c>
    </row>
    <row r="245" spans="1:26" s="26" customFormat="1" outlineLevel="1" collapsed="1" x14ac:dyDescent="0.25">
      <c r="A245" s="27"/>
      <c r="B245" s="13" t="str">
        <f>CONCATENATE("     ","Training                                          ")</f>
        <v xml:space="preserve">     Training                                          </v>
      </c>
      <c r="C245" s="13"/>
      <c r="D245" s="1">
        <f>SUM(OSRRefD22_22x_0)</f>
        <v>2143.04</v>
      </c>
      <c r="E245" s="1"/>
      <c r="F245" s="5">
        <f t="shared" ref="F245:F250" si="120">IF(D$12=0,0,D245/D$12)</f>
        <v>4.7584740890934058E-3</v>
      </c>
      <c r="G245" s="1"/>
      <c r="H245" s="1">
        <f>SUM(OSRRefH22_22x_0)</f>
        <v>3550</v>
      </c>
      <c r="I245" s="1"/>
      <c r="J245" s="5">
        <f t="shared" ref="J245:J250" si="121">IF(H$12=0,0,H245/H$12)</f>
        <v>9.091245235569291E-3</v>
      </c>
      <c r="K245" s="1"/>
      <c r="L245" s="1">
        <f t="shared" ref="L245:L250" si="122">+D245-H245</f>
        <v>-1406.96</v>
      </c>
      <c r="M245" s="1"/>
      <c r="N245" s="5">
        <f t="shared" ref="N245:N250" si="123">IF(H245=0,0,L245/H245)</f>
        <v>-0.39632676056338029</v>
      </c>
      <c r="O245" s="13"/>
      <c r="P245" s="1">
        <f>SUM(OSRRefP22_22x_0)</f>
        <v>7563.8</v>
      </c>
      <c r="Q245" s="1"/>
      <c r="R245" s="5">
        <f t="shared" ref="R245:R250" si="124">IF(P$12=0,0,P245/P$12)</f>
        <v>1.4915269416455011E-3</v>
      </c>
      <c r="S245" s="1"/>
      <c r="T245" s="1">
        <f>SUM(OSRRefT22_22x_0)</f>
        <v>10250</v>
      </c>
      <c r="U245" s="1"/>
      <c r="V245" s="5">
        <f t="shared" ref="V245:V250" si="125">IF(T$12=0,0,T245/T$12)</f>
        <v>1.9428425409107643E-3</v>
      </c>
      <c r="W245" s="1"/>
      <c r="X245" s="1">
        <f t="shared" ref="X245:X250" si="126">+P245-T245</f>
        <v>-2686.2</v>
      </c>
      <c r="Y245" s="1"/>
      <c r="Z245" s="5">
        <f t="shared" ref="Z245:Z250" si="127">IF(T245=0,0,X245/T245)</f>
        <v>-0.26206829268292681</v>
      </c>
    </row>
    <row r="246" spans="1:26" s="24" customFormat="1" hidden="1" outlineLevel="2" x14ac:dyDescent="0.25">
      <c r="A246" s="25"/>
      <c r="B246" s="11" t="str">
        <f>CONCATENATE("          ", "6376", " - ", "TRAINING")</f>
        <v xml:space="preserve">          6376 - TRAINING</v>
      </c>
      <c r="C246" s="11"/>
      <c r="D246" s="6">
        <v>2143.04</v>
      </c>
      <c r="E246" s="2"/>
      <c r="F246" s="7">
        <f t="shared" si="120"/>
        <v>4.7584740890934058E-3</v>
      </c>
      <c r="G246" s="2"/>
      <c r="H246" s="6">
        <v>3550</v>
      </c>
      <c r="I246" s="2"/>
      <c r="J246" s="7">
        <f t="shared" si="121"/>
        <v>9.091245235569291E-3</v>
      </c>
      <c r="K246" s="2"/>
      <c r="L246" s="6">
        <f t="shared" si="122"/>
        <v>-1406.96</v>
      </c>
      <c r="M246" s="2"/>
      <c r="N246" s="7">
        <f t="shared" si="123"/>
        <v>-0.39632676056338029</v>
      </c>
      <c r="O246" s="11"/>
      <c r="P246" s="6">
        <v>7563.8</v>
      </c>
      <c r="Q246" s="2"/>
      <c r="R246" s="7">
        <f t="shared" si="124"/>
        <v>1.4915269416455011E-3</v>
      </c>
      <c r="S246" s="2"/>
      <c r="T246" s="6">
        <v>10250</v>
      </c>
      <c r="U246" s="2"/>
      <c r="V246" s="7">
        <f t="shared" si="125"/>
        <v>1.9428425409107643E-3</v>
      </c>
      <c r="W246" s="2"/>
      <c r="X246" s="6">
        <f t="shared" si="126"/>
        <v>-2686.2</v>
      </c>
      <c r="Y246" s="2"/>
      <c r="Z246" s="7">
        <f t="shared" si="127"/>
        <v>-0.26206829268292681</v>
      </c>
    </row>
    <row r="247" spans="1:26" s="26" customFormat="1" outlineLevel="1" collapsed="1" x14ac:dyDescent="0.25">
      <c r="A247" s="27"/>
      <c r="B247" s="13" t="str">
        <f>CONCATENATE("     ","Travel                                            ")</f>
        <v xml:space="preserve">     Travel                                            </v>
      </c>
      <c r="C247" s="13"/>
      <c r="D247" s="1">
        <f>SUM(OSRRefD22_23x_0)</f>
        <v>354.64</v>
      </c>
      <c r="E247" s="1"/>
      <c r="F247" s="5">
        <f t="shared" si="120"/>
        <v>7.8745392104491061E-4</v>
      </c>
      <c r="G247" s="1"/>
      <c r="H247" s="1">
        <f>SUM(OSRRefH22_23x_0)</f>
        <v>75</v>
      </c>
      <c r="I247" s="1"/>
      <c r="J247" s="5">
        <f t="shared" si="121"/>
        <v>1.9206856131484418E-4</v>
      </c>
      <c r="K247" s="1"/>
      <c r="L247" s="1">
        <f t="shared" si="122"/>
        <v>279.64</v>
      </c>
      <c r="M247" s="1"/>
      <c r="N247" s="5">
        <f t="shared" si="123"/>
        <v>3.728533333333333</v>
      </c>
      <c r="O247" s="13"/>
      <c r="P247" s="1">
        <f>SUM(OSRRefP22_23x_0)</f>
        <v>1601.7499999999998</v>
      </c>
      <c r="Q247" s="1"/>
      <c r="R247" s="5">
        <f t="shared" si="124"/>
        <v>3.1585357608354014E-4</v>
      </c>
      <c r="S247" s="1"/>
      <c r="T247" s="1">
        <f>SUM(OSRRefT22_23x_0)</f>
        <v>960</v>
      </c>
      <c r="U247" s="1"/>
      <c r="V247" s="5">
        <f t="shared" si="125"/>
        <v>1.8196378919749597E-4</v>
      </c>
      <c r="W247" s="1"/>
      <c r="X247" s="1">
        <f t="shared" si="126"/>
        <v>641.74999999999977</v>
      </c>
      <c r="Y247" s="1"/>
      <c r="Z247" s="5">
        <f t="shared" si="127"/>
        <v>0.66848958333333308</v>
      </c>
    </row>
    <row r="248" spans="1:26" s="24" customFormat="1" hidden="1" outlineLevel="2" x14ac:dyDescent="0.25">
      <c r="A248" s="25"/>
      <c r="B248" s="11" t="str">
        <f>CONCATENATE("          ", "6292", " - ", "TRAVEL/CONFERENCE")</f>
        <v xml:space="preserve">          6292 - TRAVEL/CONFERENCE</v>
      </c>
      <c r="C248" s="11"/>
      <c r="D248" s="6">
        <v>47.96</v>
      </c>
      <c r="E248" s="2"/>
      <c r="F248" s="7">
        <f t="shared" si="120"/>
        <v>1.0649190743659462E-4</v>
      </c>
      <c r="G248" s="2"/>
      <c r="H248" s="6"/>
      <c r="I248" s="2"/>
      <c r="J248" s="7">
        <f t="shared" si="121"/>
        <v>0</v>
      </c>
      <c r="K248" s="2"/>
      <c r="L248" s="6">
        <f t="shared" si="122"/>
        <v>47.96</v>
      </c>
      <c r="M248" s="2"/>
      <c r="N248" s="7">
        <f t="shared" si="123"/>
        <v>0</v>
      </c>
      <c r="O248" s="11"/>
      <c r="P248" s="6">
        <v>688.61</v>
      </c>
      <c r="Q248" s="2"/>
      <c r="R248" s="7">
        <f t="shared" si="124"/>
        <v>1.3578893774114975E-4</v>
      </c>
      <c r="S248" s="2"/>
      <c r="T248" s="6"/>
      <c r="U248" s="2"/>
      <c r="V248" s="7">
        <f t="shared" si="125"/>
        <v>0</v>
      </c>
      <c r="W248" s="2"/>
      <c r="X248" s="6">
        <f t="shared" si="126"/>
        <v>688.61</v>
      </c>
      <c r="Y248" s="2"/>
      <c r="Z248" s="7">
        <f t="shared" si="127"/>
        <v>0</v>
      </c>
    </row>
    <row r="249" spans="1:26" s="24" customFormat="1" hidden="1" outlineLevel="2" x14ac:dyDescent="0.25">
      <c r="A249" s="25"/>
      <c r="B249" s="11" t="str">
        <f>CONCATENATE("          ", "6294", " - ", "TRAVEL OPERATIONAL")</f>
        <v xml:space="preserve">          6294 - TRAVEL OPERATIONAL</v>
      </c>
      <c r="C249" s="11"/>
      <c r="D249" s="6">
        <v>257.33</v>
      </c>
      <c r="E249" s="2"/>
      <c r="F249" s="7">
        <f t="shared" si="120"/>
        <v>5.7138370601874256E-4</v>
      </c>
      <c r="G249" s="2"/>
      <c r="H249" s="6">
        <v>75</v>
      </c>
      <c r="I249" s="2"/>
      <c r="J249" s="7">
        <f t="shared" si="121"/>
        <v>1.9206856131484418E-4</v>
      </c>
      <c r="K249" s="2"/>
      <c r="L249" s="6">
        <f t="shared" si="122"/>
        <v>182.32999999999998</v>
      </c>
      <c r="M249" s="2"/>
      <c r="N249" s="7">
        <f t="shared" si="123"/>
        <v>2.4310666666666663</v>
      </c>
      <c r="O249" s="11"/>
      <c r="P249" s="6">
        <v>693.8</v>
      </c>
      <c r="Q249" s="2"/>
      <c r="R249" s="7">
        <f t="shared" si="124"/>
        <v>1.3681236840128619E-4</v>
      </c>
      <c r="S249" s="2"/>
      <c r="T249" s="6">
        <v>510</v>
      </c>
      <c r="U249" s="2"/>
      <c r="V249" s="7">
        <f t="shared" si="125"/>
        <v>9.6668263011169732E-5</v>
      </c>
      <c r="W249" s="2"/>
      <c r="X249" s="6">
        <f t="shared" si="126"/>
        <v>183.79999999999995</v>
      </c>
      <c r="Y249" s="2"/>
      <c r="Z249" s="7">
        <f t="shared" si="127"/>
        <v>0.36039215686274501</v>
      </c>
    </row>
    <row r="250" spans="1:26" s="24" customFormat="1" hidden="1" outlineLevel="2" x14ac:dyDescent="0.25">
      <c r="A250" s="25"/>
      <c r="B250" s="11" t="str">
        <f>CONCATENATE("          ", "6298", " - ", "VEHICLE MILEAGE")</f>
        <v xml:space="preserve">          6298 - VEHICLE MILEAGE</v>
      </c>
      <c r="C250" s="11"/>
      <c r="D250" s="6">
        <v>49.35</v>
      </c>
      <c r="E250" s="2"/>
      <c r="F250" s="7">
        <f t="shared" si="120"/>
        <v>1.0957830758957348E-4</v>
      </c>
      <c r="G250" s="2"/>
      <c r="H250" s="6"/>
      <c r="I250" s="2"/>
      <c r="J250" s="7">
        <f t="shared" si="121"/>
        <v>0</v>
      </c>
      <c r="K250" s="2"/>
      <c r="L250" s="6">
        <f t="shared" si="122"/>
        <v>49.35</v>
      </c>
      <c r="M250" s="2"/>
      <c r="N250" s="7">
        <f t="shared" si="123"/>
        <v>0</v>
      </c>
      <c r="O250" s="11"/>
      <c r="P250" s="6">
        <v>219.34</v>
      </c>
      <c r="Q250" s="2"/>
      <c r="R250" s="7">
        <f t="shared" si="124"/>
        <v>4.3252269941104238E-5</v>
      </c>
      <c r="S250" s="2"/>
      <c r="T250" s="6">
        <v>450</v>
      </c>
      <c r="U250" s="2"/>
      <c r="V250" s="7">
        <f t="shared" si="125"/>
        <v>8.5295526186326243E-5</v>
      </c>
      <c r="W250" s="2"/>
      <c r="X250" s="6">
        <f t="shared" si="126"/>
        <v>-230.66</v>
      </c>
      <c r="Y250" s="2"/>
      <c r="Z250" s="7">
        <f t="shared" si="127"/>
        <v>-0.5125777777777778</v>
      </c>
    </row>
    <row r="251" spans="1:26" s="26" customFormat="1" outlineLevel="1" collapsed="1" x14ac:dyDescent="0.25">
      <c r="A251" s="27"/>
      <c r="B251" s="13" t="str">
        <f>CONCATENATE("     ","Utilities                                         ")</f>
        <v xml:space="preserve">     Utilities                                         </v>
      </c>
      <c r="C251" s="13"/>
      <c r="D251" s="1">
        <f>SUM(OSRRefD22_24x_0)</f>
        <v>5624.26</v>
      </c>
      <c r="E251" s="1"/>
      <c r="F251" s="5">
        <f t="shared" ref="F251:F252" si="128">IF(D$12=0,0,D251/D$12)</f>
        <v>1.2488285557117215E-2</v>
      </c>
      <c r="G251" s="1"/>
      <c r="H251" s="1">
        <f>SUM(OSRRefH22_24x_0)</f>
        <v>5100</v>
      </c>
      <c r="I251" s="1"/>
      <c r="J251" s="5">
        <f t="shared" ref="J251:J252" si="129">IF(H$12=0,0,H251/H$12)</f>
        <v>1.3060662169409404E-2</v>
      </c>
      <c r="K251" s="1"/>
      <c r="L251" s="1">
        <f t="shared" ref="L251:L252" si="130">+D251-H251</f>
        <v>524.26000000000022</v>
      </c>
      <c r="M251" s="1"/>
      <c r="N251" s="5">
        <f t="shared" ref="N251:N252" si="131">IF(H251=0,0,L251/H251)</f>
        <v>0.10279607843137259</v>
      </c>
      <c r="O251" s="13"/>
      <c r="P251" s="1">
        <f>SUM(OSRRefP22_24x_0)</f>
        <v>22598.92</v>
      </c>
      <c r="Q251" s="1"/>
      <c r="R251" s="5">
        <f t="shared" ref="R251:R252" si="132">IF(P$12=0,0,P251/P$12)</f>
        <v>4.4563444342911422E-3</v>
      </c>
      <c r="S251" s="1"/>
      <c r="T251" s="1">
        <f>SUM(OSRRefT22_24x_0)</f>
        <v>25450</v>
      </c>
      <c r="U251" s="1"/>
      <c r="V251" s="5">
        <f t="shared" ref="V251:V252" si="133">IF(T$12=0,0,T251/T$12)</f>
        <v>4.8239358698711175E-3</v>
      </c>
      <c r="W251" s="1"/>
      <c r="X251" s="1">
        <f t="shared" ref="X251:X252" si="134">+P251-T251</f>
        <v>-2851.0800000000017</v>
      </c>
      <c r="Y251" s="1"/>
      <c r="Z251" s="5">
        <f t="shared" ref="Z251:Z252" si="135">IF(T251=0,0,X251/T251)</f>
        <v>-0.11202671905697453</v>
      </c>
    </row>
    <row r="252" spans="1:26" s="24" customFormat="1" hidden="1" outlineLevel="2" x14ac:dyDescent="0.25">
      <c r="A252" s="25"/>
      <c r="B252" s="11" t="str">
        <f>CONCATENATE("          ", "6274", " - ", "UTILITIES")</f>
        <v xml:space="preserve">          6274 - UTILITIES</v>
      </c>
      <c r="C252" s="11"/>
      <c r="D252" s="6">
        <v>5624.26</v>
      </c>
      <c r="E252" s="2"/>
      <c r="F252" s="7">
        <f t="shared" si="128"/>
        <v>1.2488285557117215E-2</v>
      </c>
      <c r="G252" s="2"/>
      <c r="H252" s="6">
        <v>5100</v>
      </c>
      <c r="I252" s="2"/>
      <c r="J252" s="7">
        <f t="shared" si="129"/>
        <v>1.3060662169409404E-2</v>
      </c>
      <c r="K252" s="2"/>
      <c r="L252" s="6">
        <f t="shared" si="130"/>
        <v>524.26000000000022</v>
      </c>
      <c r="M252" s="2"/>
      <c r="N252" s="7">
        <f t="shared" si="131"/>
        <v>0.10279607843137259</v>
      </c>
      <c r="O252" s="11"/>
      <c r="P252" s="6">
        <v>22598.92</v>
      </c>
      <c r="Q252" s="2"/>
      <c r="R252" s="7">
        <f t="shared" si="132"/>
        <v>4.4563444342911422E-3</v>
      </c>
      <c r="S252" s="2"/>
      <c r="T252" s="6">
        <v>25450</v>
      </c>
      <c r="U252" s="2"/>
      <c r="V252" s="7">
        <f t="shared" si="133"/>
        <v>4.8239358698711175E-3</v>
      </c>
      <c r="W252" s="2"/>
      <c r="X252" s="6">
        <f t="shared" si="134"/>
        <v>-2851.0800000000017</v>
      </c>
      <c r="Y252" s="2"/>
      <c r="Z252" s="7">
        <f t="shared" si="135"/>
        <v>-0.11202671905697453</v>
      </c>
    </row>
    <row r="253" spans="1:26" s="59" customFormat="1" x14ac:dyDescent="0.25">
      <c r="A253" s="36"/>
      <c r="B253" s="36"/>
      <c r="C253" s="36"/>
      <c r="D253" s="1"/>
      <c r="E253" s="1"/>
      <c r="F253" s="5"/>
      <c r="G253" s="1"/>
      <c r="H253" s="1"/>
      <c r="I253" s="1"/>
      <c r="J253" s="5"/>
      <c r="K253" s="1"/>
      <c r="L253" s="1"/>
      <c r="M253" s="1"/>
      <c r="N253" s="5"/>
      <c r="O253" s="36"/>
      <c r="P253" s="1"/>
      <c r="Q253" s="1"/>
      <c r="R253" s="5"/>
      <c r="S253" s="1"/>
      <c r="T253" s="1"/>
      <c r="U253" s="1"/>
      <c r="V253" s="5"/>
      <c r="W253" s="1"/>
      <c r="X253" s="1"/>
      <c r="Y253" s="1"/>
      <c r="Z253" s="5"/>
    </row>
    <row r="254" spans="1:26" s="23" customFormat="1" collapsed="1" x14ac:dyDescent="0.25">
      <c r="A254" s="10"/>
      <c r="B254" s="29" t="s">
        <v>0</v>
      </c>
      <c r="C254" s="10"/>
      <c r="D254" s="4">
        <f>SUM(OSRRefD25x_0)</f>
        <v>21403.63</v>
      </c>
      <c r="E254" s="4"/>
      <c r="F254" s="12">
        <f t="shared" ref="F254:F263" si="136">IF(D$12=0,0,D254/D$12)</f>
        <v>4.7525299932592156E-2</v>
      </c>
      <c r="G254" s="4"/>
      <c r="H254" s="4">
        <f>SUM(OSRRefH25x_0)</f>
        <v>59375</v>
      </c>
      <c r="I254" s="4"/>
      <c r="J254" s="12">
        <f t="shared" ref="J254:J263" si="137">IF(H$12=0,0,H254/H$12)</f>
        <v>0.15205427770758498</v>
      </c>
      <c r="K254" s="4"/>
      <c r="L254" s="4">
        <f t="shared" ref="L254:L263" si="138">+D254-H254</f>
        <v>-37971.369999999995</v>
      </c>
      <c r="M254" s="4"/>
      <c r="N254" s="12">
        <f t="shared" ref="N254:N263" si="139">IF(H254=0,0,L254/H254)</f>
        <v>-0.63951781052631573</v>
      </c>
      <c r="O254" s="10"/>
      <c r="P254" s="4">
        <f>SUM(OSRRefP25x_0)</f>
        <v>400400.64000000001</v>
      </c>
      <c r="Q254" s="4"/>
      <c r="R254" s="12">
        <f t="shared" ref="R254:R263" si="140">IF(P$12=0,0,P254/P$12)</f>
        <v>7.8956125494077226E-2</v>
      </c>
      <c r="S254" s="4"/>
      <c r="T254" s="4">
        <f>SUM(OSRRefT25x_0)</f>
        <v>377475</v>
      </c>
      <c r="U254" s="4"/>
      <c r="V254" s="12">
        <f t="shared" ref="V254:V263" si="141">IF(T$12=0,0,T254/T$12)</f>
        <v>7.1548730549296655E-2</v>
      </c>
      <c r="W254" s="4"/>
      <c r="X254" s="4">
        <f t="shared" ref="X254:X263" si="142">+P254-T254</f>
        <v>22925.640000000014</v>
      </c>
      <c r="Y254" s="4"/>
      <c r="Z254" s="12">
        <f t="shared" ref="Z254:Z263" si="143">IF(T254=0,0,X254/T254)</f>
        <v>6.0734194317504507E-2</v>
      </c>
    </row>
    <row r="255" spans="1:26" s="24" customFormat="1" hidden="1" outlineLevel="1" x14ac:dyDescent="0.25">
      <c r="A255" s="44"/>
      <c r="B255" s="11" t="str">
        <f>CONCATENATE("          ", "4098", " - ", "TAXABLE SALES-GRAD RENTALS")</f>
        <v xml:space="preserve">          4098 - TAXABLE SALES-GRAD RENTALS</v>
      </c>
      <c r="C255" s="11"/>
      <c r="D255" s="2">
        <f t="shared" ref="D255:D257" si="144">0</f>
        <v>0</v>
      </c>
      <c r="E255" s="2"/>
      <c r="F255" s="19">
        <f t="shared" si="136"/>
        <v>0</v>
      </c>
      <c r="G255" s="2"/>
      <c r="H255" s="2"/>
      <c r="I255" s="2"/>
      <c r="J255" s="19">
        <f t="shared" si="137"/>
        <v>0</v>
      </c>
      <c r="K255" s="2"/>
      <c r="L255" s="2">
        <f t="shared" si="138"/>
        <v>0</v>
      </c>
      <c r="M255" s="2"/>
      <c r="N255" s="19">
        <f t="shared" si="139"/>
        <v>0</v>
      </c>
      <c r="O255" s="11"/>
      <c r="P255" s="2">
        <f>--1626.85</f>
        <v>1626.85</v>
      </c>
      <c r="Q255" s="2"/>
      <c r="R255" s="19">
        <f t="shared" si="140"/>
        <v>3.2080311549961436E-4</v>
      </c>
      <c r="S255" s="2"/>
      <c r="T255" s="2"/>
      <c r="U255" s="2"/>
      <c r="V255" s="19">
        <f t="shared" si="141"/>
        <v>0</v>
      </c>
      <c r="W255" s="2"/>
      <c r="X255" s="2">
        <f t="shared" si="142"/>
        <v>1626.85</v>
      </c>
      <c r="Y255" s="2"/>
      <c r="Z255" s="19">
        <f t="shared" si="143"/>
        <v>0</v>
      </c>
    </row>
    <row r="256" spans="1:26" s="24" customFormat="1" hidden="1" outlineLevel="1" x14ac:dyDescent="0.25">
      <c r="A256" s="44"/>
      <c r="B256" s="11" t="str">
        <f>CONCATENATE("          ", "4197", " - ", "NON-TAXABLE SALES-RETURNED CHE")</f>
        <v xml:space="preserve">          4197 - NON-TAXABLE SALES-RETURNED CHE</v>
      </c>
      <c r="C256" s="11"/>
      <c r="D256" s="2">
        <f t="shared" si="144"/>
        <v>0</v>
      </c>
      <c r="E256" s="2"/>
      <c r="F256" s="19">
        <f t="shared" si="136"/>
        <v>0</v>
      </c>
      <c r="G256" s="2"/>
      <c r="H256" s="2"/>
      <c r="I256" s="2"/>
      <c r="J256" s="19">
        <f t="shared" si="137"/>
        <v>0</v>
      </c>
      <c r="K256" s="2"/>
      <c r="L256" s="2">
        <f t="shared" si="138"/>
        <v>0</v>
      </c>
      <c r="M256" s="2"/>
      <c r="N256" s="19">
        <f t="shared" si="139"/>
        <v>0</v>
      </c>
      <c r="O256" s="11"/>
      <c r="P256" s="2">
        <f>--30</f>
        <v>30</v>
      </c>
      <c r="Q256" s="2"/>
      <c r="R256" s="19">
        <f t="shared" si="140"/>
        <v>5.9157841626384927E-6</v>
      </c>
      <c r="S256" s="2"/>
      <c r="T256" s="2"/>
      <c r="U256" s="2"/>
      <c r="V256" s="19">
        <f t="shared" si="141"/>
        <v>0</v>
      </c>
      <c r="W256" s="2"/>
      <c r="X256" s="2">
        <f t="shared" si="142"/>
        <v>30</v>
      </c>
      <c r="Y256" s="2"/>
      <c r="Z256" s="19">
        <f t="shared" si="143"/>
        <v>0</v>
      </c>
    </row>
    <row r="257" spans="1:26" s="24" customFormat="1" hidden="1" outlineLevel="1" x14ac:dyDescent="0.25">
      <c r="A257" s="44"/>
      <c r="B257" s="11" t="str">
        <f>CONCATENATE("          ", "4198", " - ", "NON-TAXABLE SALES-GRAD RENTALS")</f>
        <v xml:space="preserve">          4198 - NON-TAXABLE SALES-GRAD RENTALS</v>
      </c>
      <c r="C257" s="11"/>
      <c r="D257" s="2">
        <f t="shared" si="144"/>
        <v>0</v>
      </c>
      <c r="E257" s="2"/>
      <c r="F257" s="19">
        <f t="shared" si="136"/>
        <v>0</v>
      </c>
      <c r="G257" s="2"/>
      <c r="H257" s="2"/>
      <c r="I257" s="2"/>
      <c r="J257" s="19">
        <f t="shared" si="137"/>
        <v>0</v>
      </c>
      <c r="K257" s="2"/>
      <c r="L257" s="2">
        <f t="shared" si="138"/>
        <v>0</v>
      </c>
      <c r="M257" s="2"/>
      <c r="N257" s="19">
        <f t="shared" si="139"/>
        <v>0</v>
      </c>
      <c r="O257" s="11"/>
      <c r="P257" s="2">
        <f>--495</f>
        <v>495</v>
      </c>
      <c r="Q257" s="2"/>
      <c r="R257" s="19">
        <f t="shared" si="140"/>
        <v>9.7610438683535131E-5</v>
      </c>
      <c r="S257" s="2"/>
      <c r="T257" s="2"/>
      <c r="U257" s="2"/>
      <c r="V257" s="19">
        <f t="shared" si="141"/>
        <v>0</v>
      </c>
      <c r="W257" s="2"/>
      <c r="X257" s="2">
        <f t="shared" si="142"/>
        <v>495</v>
      </c>
      <c r="Y257" s="2"/>
      <c r="Z257" s="19">
        <f t="shared" si="143"/>
        <v>0</v>
      </c>
    </row>
    <row r="258" spans="1:26" s="24" customFormat="1" hidden="1" outlineLevel="1" x14ac:dyDescent="0.25">
      <c r="A258" s="44"/>
      <c r="B258" s="11" t="str">
        <f>CONCATENATE("          ", "9150", " - ", "MISC. INCOME")</f>
        <v xml:space="preserve">          9150 - MISC. INCOME</v>
      </c>
      <c r="C258" s="11"/>
      <c r="D258" s="2">
        <f>--19494.41</f>
        <v>19494.41</v>
      </c>
      <c r="E258" s="2"/>
      <c r="F258" s="19">
        <f t="shared" si="136"/>
        <v>4.3286007198728618E-2</v>
      </c>
      <c r="G258" s="2"/>
      <c r="H258" s="2">
        <v>29225</v>
      </c>
      <c r="I258" s="2"/>
      <c r="J258" s="19">
        <f t="shared" si="137"/>
        <v>7.4842716059017614E-2</v>
      </c>
      <c r="K258" s="2"/>
      <c r="L258" s="2">
        <f t="shared" si="138"/>
        <v>-9730.59</v>
      </c>
      <c r="M258" s="2"/>
      <c r="N258" s="19">
        <f t="shared" si="139"/>
        <v>-0.33295431993156543</v>
      </c>
      <c r="O258" s="11"/>
      <c r="P258" s="2">
        <f>--226144.65</f>
        <v>226144.65</v>
      </c>
      <c r="Q258" s="2"/>
      <c r="R258" s="19">
        <f t="shared" si="140"/>
        <v>4.4594097964514169E-2</v>
      </c>
      <c r="S258" s="2"/>
      <c r="T258" s="2">
        <v>158375</v>
      </c>
      <c r="U258" s="2"/>
      <c r="V258" s="19">
        <f t="shared" si="141"/>
        <v>3.0019286577243152E-2</v>
      </c>
      <c r="W258" s="2"/>
      <c r="X258" s="2">
        <f t="shared" si="142"/>
        <v>67769.649999999994</v>
      </c>
      <c r="Y258" s="2"/>
      <c r="Z258" s="19">
        <f t="shared" si="143"/>
        <v>0.42790623520126281</v>
      </c>
    </row>
    <row r="259" spans="1:26" s="24" customFormat="1" hidden="1" outlineLevel="1" x14ac:dyDescent="0.25">
      <c r="A259" s="44"/>
      <c r="B259" s="11" t="str">
        <f>CONCATENATE("          ", "9151", " - ", "MISC. INCOME")</f>
        <v xml:space="preserve">          9151 - MISC. INCOME</v>
      </c>
      <c r="C259" s="11"/>
      <c r="D259" s="2">
        <f>0</f>
        <v>0</v>
      </c>
      <c r="E259" s="2"/>
      <c r="F259" s="19">
        <f t="shared" si="136"/>
        <v>0</v>
      </c>
      <c r="G259" s="2"/>
      <c r="H259" s="2">
        <v>12850</v>
      </c>
      <c r="I259" s="2"/>
      <c r="J259" s="19">
        <f t="shared" si="137"/>
        <v>3.2907746838609968E-2</v>
      </c>
      <c r="K259" s="2"/>
      <c r="L259" s="2">
        <f t="shared" si="138"/>
        <v>-12850</v>
      </c>
      <c r="M259" s="2"/>
      <c r="N259" s="19">
        <f t="shared" si="139"/>
        <v>-1</v>
      </c>
      <c r="O259" s="11"/>
      <c r="P259" s="2">
        <f>--87224.27</f>
        <v>87224.27</v>
      </c>
      <c r="Q259" s="2"/>
      <c r="R259" s="19">
        <f t="shared" si="140"/>
        <v>1.7199998502123462E-2</v>
      </c>
      <c r="S259" s="2"/>
      <c r="T259" s="2">
        <v>52000</v>
      </c>
      <c r="U259" s="2"/>
      <c r="V259" s="19">
        <f t="shared" si="141"/>
        <v>9.8563719148643657E-3</v>
      </c>
      <c r="W259" s="2"/>
      <c r="X259" s="2">
        <f t="shared" si="142"/>
        <v>35224.270000000004</v>
      </c>
      <c r="Y259" s="2"/>
      <c r="Z259" s="19">
        <f t="shared" si="143"/>
        <v>0.67738980769230772</v>
      </c>
    </row>
    <row r="260" spans="1:26" s="24" customFormat="1" hidden="1" outlineLevel="1" x14ac:dyDescent="0.25">
      <c r="A260" s="44"/>
      <c r="B260" s="11" t="str">
        <f>CONCATENATE("          ", "9152", " - ", "MISC. INCOME")</f>
        <v xml:space="preserve">          9152 - MISC. INCOME</v>
      </c>
      <c r="C260" s="11"/>
      <c r="D260" s="2">
        <f>--154.22</f>
        <v>154.22</v>
      </c>
      <c r="E260" s="2"/>
      <c r="F260" s="19">
        <f t="shared" si="136"/>
        <v>3.4243498675712303E-4</v>
      </c>
      <c r="G260" s="2"/>
      <c r="H260" s="2"/>
      <c r="I260" s="2"/>
      <c r="J260" s="19">
        <f t="shared" si="137"/>
        <v>0</v>
      </c>
      <c r="K260" s="2"/>
      <c r="L260" s="2">
        <f t="shared" si="138"/>
        <v>154.22</v>
      </c>
      <c r="M260" s="2"/>
      <c r="N260" s="19">
        <f t="shared" si="139"/>
        <v>0</v>
      </c>
      <c r="O260" s="11"/>
      <c r="P260" s="2">
        <f>--848.32</f>
        <v>848.32</v>
      </c>
      <c r="Q260" s="2"/>
      <c r="R260" s="19">
        <f t="shared" si="140"/>
        <v>1.6728260069498289E-4</v>
      </c>
      <c r="S260" s="2"/>
      <c r="T260" s="2"/>
      <c r="U260" s="2"/>
      <c r="V260" s="19">
        <f t="shared" si="141"/>
        <v>0</v>
      </c>
      <c r="W260" s="2"/>
      <c r="X260" s="2">
        <f t="shared" si="142"/>
        <v>848.32</v>
      </c>
      <c r="Y260" s="2"/>
      <c r="Z260" s="19">
        <f t="shared" si="143"/>
        <v>0</v>
      </c>
    </row>
    <row r="261" spans="1:26" s="24" customFormat="1" hidden="1" outlineLevel="1" x14ac:dyDescent="0.25">
      <c r="A261" s="44"/>
      <c r="B261" s="11" t="str">
        <f>CONCATENATE("          ", "9153", " - ", "MISC. INCOME")</f>
        <v xml:space="preserve">          9153 - MISC. INCOME</v>
      </c>
      <c r="C261" s="11"/>
      <c r="D261" s="2">
        <f>--450</f>
        <v>450</v>
      </c>
      <c r="E261" s="2"/>
      <c r="F261" s="19">
        <f t="shared" si="136"/>
        <v>9.9919429412984951E-4</v>
      </c>
      <c r="G261" s="2"/>
      <c r="H261" s="2"/>
      <c r="I261" s="2"/>
      <c r="J261" s="19">
        <f t="shared" si="137"/>
        <v>0</v>
      </c>
      <c r="K261" s="2"/>
      <c r="L261" s="2">
        <f t="shared" si="138"/>
        <v>450</v>
      </c>
      <c r="M261" s="2"/>
      <c r="N261" s="19">
        <f t="shared" si="139"/>
        <v>0</v>
      </c>
      <c r="O261" s="11"/>
      <c r="P261" s="2">
        <f>--450</f>
        <v>450</v>
      </c>
      <c r="Q261" s="2"/>
      <c r="R261" s="19">
        <f t="shared" si="140"/>
        <v>8.8736762439577387E-5</v>
      </c>
      <c r="S261" s="2"/>
      <c r="T261" s="2"/>
      <c r="U261" s="2"/>
      <c r="V261" s="19">
        <f t="shared" si="141"/>
        <v>0</v>
      </c>
      <c r="W261" s="2"/>
      <c r="X261" s="2">
        <f t="shared" si="142"/>
        <v>450</v>
      </c>
      <c r="Y261" s="2"/>
      <c r="Z261" s="19">
        <f t="shared" si="143"/>
        <v>0</v>
      </c>
    </row>
    <row r="262" spans="1:26" s="24" customFormat="1" hidden="1" outlineLevel="1" x14ac:dyDescent="0.25">
      <c r="A262" s="44"/>
      <c r="B262" s="11" t="str">
        <f>CONCATENATE("          ", "9160", " - ", "MISC. INCOME")</f>
        <v xml:space="preserve">          9160 - MISC. INCOME</v>
      </c>
      <c r="C262" s="11"/>
      <c r="D262" s="2">
        <f>--1305</f>
        <v>1305</v>
      </c>
      <c r="E262" s="2"/>
      <c r="F262" s="19">
        <f t="shared" si="136"/>
        <v>2.8976634529765634E-3</v>
      </c>
      <c r="G262" s="2"/>
      <c r="H262" s="2">
        <v>17300</v>
      </c>
      <c r="I262" s="2"/>
      <c r="J262" s="19">
        <f t="shared" si="137"/>
        <v>4.430381480995739E-2</v>
      </c>
      <c r="K262" s="2"/>
      <c r="L262" s="2">
        <f t="shared" si="138"/>
        <v>-15995</v>
      </c>
      <c r="M262" s="2"/>
      <c r="N262" s="19">
        <f t="shared" si="139"/>
        <v>-0.92456647398843927</v>
      </c>
      <c r="O262" s="11"/>
      <c r="P262" s="2">
        <f>--22475</f>
        <v>22475</v>
      </c>
      <c r="Q262" s="2"/>
      <c r="R262" s="19">
        <f t="shared" si="140"/>
        <v>4.4319083018433377E-3</v>
      </c>
      <c r="S262" s="2"/>
      <c r="T262" s="2">
        <v>167100</v>
      </c>
      <c r="U262" s="2"/>
      <c r="V262" s="19">
        <f t="shared" si="141"/>
        <v>3.1673072057189146E-2</v>
      </c>
      <c r="W262" s="2"/>
      <c r="X262" s="2">
        <f t="shared" si="142"/>
        <v>-144625</v>
      </c>
      <c r="Y262" s="2"/>
      <c r="Z262" s="19">
        <f t="shared" si="143"/>
        <v>-0.86549970077797722</v>
      </c>
    </row>
    <row r="263" spans="1:26" s="24" customFormat="1" hidden="1" outlineLevel="1" x14ac:dyDescent="0.25">
      <c r="A263" s="44"/>
      <c r="B263" s="11" t="str">
        <f>CONCATENATE("          ", "9163", " - ", "MISC. INCOME")</f>
        <v xml:space="preserve">          9163 - MISC. INCOME</v>
      </c>
      <c r="C263" s="11"/>
      <c r="D263" s="2">
        <f>0</f>
        <v>0</v>
      </c>
      <c r="E263" s="2"/>
      <c r="F263" s="19">
        <f t="shared" si="136"/>
        <v>0</v>
      </c>
      <c r="G263" s="2"/>
      <c r="H263" s="2"/>
      <c r="I263" s="2"/>
      <c r="J263" s="19">
        <f t="shared" si="137"/>
        <v>0</v>
      </c>
      <c r="K263" s="2"/>
      <c r="L263" s="2">
        <f t="shared" si="138"/>
        <v>0</v>
      </c>
      <c r="M263" s="2"/>
      <c r="N263" s="19">
        <f t="shared" si="139"/>
        <v>0</v>
      </c>
      <c r="O263" s="11"/>
      <c r="P263" s="2">
        <f>--61106.55</f>
        <v>61106.55</v>
      </c>
      <c r="Q263" s="2"/>
      <c r="R263" s="19">
        <f t="shared" si="140"/>
        <v>1.2049772024115907E-2</v>
      </c>
      <c r="S263" s="2"/>
      <c r="T263" s="2"/>
      <c r="U263" s="2"/>
      <c r="V263" s="19">
        <f t="shared" si="141"/>
        <v>0</v>
      </c>
      <c r="W263" s="2"/>
      <c r="X263" s="2">
        <f t="shared" si="142"/>
        <v>61106.55</v>
      </c>
      <c r="Y263" s="2"/>
      <c r="Z263" s="19">
        <f t="shared" si="143"/>
        <v>0</v>
      </c>
    </row>
    <row r="264" spans="1:26" x14ac:dyDescent="0.25">
      <c r="A264" s="9"/>
      <c r="B264" s="10"/>
      <c r="C264" s="10"/>
      <c r="D264" s="3"/>
      <c r="E264" s="3"/>
      <c r="F264" s="8"/>
      <c r="G264" s="3"/>
      <c r="H264" s="3"/>
      <c r="I264" s="3"/>
      <c r="J264" s="8"/>
      <c r="K264" s="3"/>
      <c r="L264" s="3"/>
      <c r="M264" s="3"/>
      <c r="N264" s="8"/>
      <c r="O264" s="10"/>
      <c r="P264" s="3"/>
      <c r="Q264" s="3"/>
      <c r="R264" s="8"/>
      <c r="S264" s="3"/>
      <c r="T264" s="3"/>
      <c r="U264" s="3"/>
      <c r="V264" s="8"/>
      <c r="W264" s="3"/>
      <c r="X264" s="3"/>
      <c r="Y264" s="3"/>
      <c r="Z264" s="8"/>
    </row>
    <row r="265" spans="1:26" s="23" customFormat="1" x14ac:dyDescent="0.25">
      <c r="A265" s="10"/>
      <c r="B265" s="28" t="s">
        <v>3</v>
      </c>
      <c r="C265" s="28"/>
      <c r="D265" s="20">
        <f>+D157-D159+D254</f>
        <v>-112284.21000000034</v>
      </c>
      <c r="E265" s="14"/>
      <c r="F265" s="22">
        <f>IF(D$12=0,0,D265/D$12)</f>
        <v>-0.24931942656195138</v>
      </c>
      <c r="G265" s="14"/>
      <c r="H265" s="20">
        <f>+H157-H159+H254</f>
        <v>-82880.825695312145</v>
      </c>
      <c r="I265" s="14"/>
      <c r="J265" s="22">
        <f>IF(H$12=0,0,H265/H$12)</f>
        <v>-0.21225067935846631</v>
      </c>
      <c r="K265" s="16"/>
      <c r="L265" s="20">
        <f>+D265-H265</f>
        <v>-29403.384304688196</v>
      </c>
      <c r="M265" s="16"/>
      <c r="N265" s="22">
        <f>IF(H265=0,0,L265/H265)</f>
        <v>0.35476702914111163</v>
      </c>
      <c r="O265" s="29"/>
      <c r="P265" s="20">
        <f>+P157-P159+P254</f>
        <v>549311.93999999657</v>
      </c>
      <c r="Q265" s="14"/>
      <c r="R265" s="22">
        <f>IF(P$12=0,0,P265/P$12)</f>
        <v>0.10832036250000686</v>
      </c>
      <c r="S265" s="14"/>
      <c r="T265" s="20">
        <f>+T157-T159+T254</f>
        <v>540994.72347126389</v>
      </c>
      <c r="U265" s="14"/>
      <c r="V265" s="22">
        <f>IF(T$12=0,0,T265/T$12)</f>
        <v>0.10254317689446113</v>
      </c>
      <c r="W265" s="16"/>
      <c r="X265" s="20">
        <f>+P265-T265</f>
        <v>8317.2165287326789</v>
      </c>
      <c r="Y265" s="16"/>
      <c r="Z265" s="22">
        <f>IF(T265=0,0,X265/T265)</f>
        <v>1.5373932809114478E-2</v>
      </c>
    </row>
    <row r="266" spans="1:26" x14ac:dyDescent="0.25">
      <c r="A266" s="9"/>
      <c r="B266" s="10"/>
      <c r="C266" s="9"/>
      <c r="D266" s="3"/>
      <c r="E266" s="3"/>
      <c r="F266" s="8"/>
      <c r="G266" s="3"/>
      <c r="H266" s="3"/>
      <c r="I266" s="3"/>
      <c r="J266" s="8"/>
      <c r="K266" s="3"/>
      <c r="L266" s="3"/>
      <c r="M266" s="3"/>
      <c r="N266" s="8"/>
      <c r="P266" s="3"/>
      <c r="Q266" s="3"/>
      <c r="R266" s="8"/>
      <c r="S266" s="3"/>
      <c r="T266" s="3"/>
      <c r="U266" s="3"/>
      <c r="V266" s="8"/>
      <c r="W266" s="3"/>
      <c r="X266" s="3"/>
      <c r="Y266" s="3"/>
      <c r="Z266" s="8"/>
    </row>
    <row r="267" spans="1:26" s="23" customFormat="1" x14ac:dyDescent="0.25">
      <c r="A267" s="52"/>
      <c r="B267" s="10" t="s">
        <v>14</v>
      </c>
      <c r="C267" s="10"/>
      <c r="D267" s="4">
        <v>71860.39</v>
      </c>
      <c r="E267" s="4"/>
      <c r="F267" s="12">
        <f>IF(D$12=0,0,D267/D$12)</f>
        <v>0.15956109258210152</v>
      </c>
      <c r="G267" s="4"/>
      <c r="H267" s="4">
        <v>80306</v>
      </c>
      <c r="I267" s="4"/>
      <c r="J267" s="12">
        <f>IF(H$12=0,0,H267/H$12)</f>
        <v>0.2056567717993317</v>
      </c>
      <c r="K267" s="4"/>
      <c r="L267" s="4">
        <f>+D267-H267</f>
        <v>-8445.61</v>
      </c>
      <c r="M267" s="4"/>
      <c r="N267" s="12">
        <f>IF(H267=0,0,L267/H267)</f>
        <v>-0.10516785794336662</v>
      </c>
      <c r="O267" s="10"/>
      <c r="P267" s="4">
        <v>537003.53</v>
      </c>
      <c r="Q267" s="4"/>
      <c r="R267" s="12">
        <f>IF(P$12=0,0,P267/P$12)</f>
        <v>0.10589323260183217</v>
      </c>
      <c r="S267" s="4"/>
      <c r="T267" s="4">
        <v>668608</v>
      </c>
      <c r="U267" s="4"/>
      <c r="V267" s="12">
        <f>IF(T$12=0,0,T267/T$12)</f>
        <v>0.12673171371641603</v>
      </c>
      <c r="W267" s="4"/>
      <c r="X267" s="4">
        <f>+P267-T267</f>
        <v>-131604.46999999997</v>
      </c>
      <c r="Y267" s="4"/>
      <c r="Z267" s="12">
        <f>IF(T267=0,0,X267/T267)</f>
        <v>-0.19683352577294913</v>
      </c>
    </row>
    <row r="268" spans="1:26" x14ac:dyDescent="0.25">
      <c r="A268" s="9"/>
      <c r="B268" s="10"/>
      <c r="C268" s="10"/>
      <c r="D268" s="3"/>
      <c r="E268" s="3"/>
      <c r="F268" s="8"/>
      <c r="G268" s="3"/>
      <c r="H268" s="3"/>
      <c r="I268" s="3"/>
      <c r="J268" s="8"/>
      <c r="K268" s="3"/>
      <c r="L268" s="3"/>
      <c r="M268" s="3"/>
      <c r="N268" s="8"/>
      <c r="O268" s="10"/>
      <c r="P268" s="3"/>
      <c r="Q268" s="3"/>
      <c r="R268" s="8"/>
      <c r="S268" s="3"/>
      <c r="T268" s="3"/>
      <c r="U268" s="3"/>
      <c r="V268" s="8"/>
      <c r="W268" s="3"/>
      <c r="X268" s="3"/>
      <c r="Y268" s="3"/>
      <c r="Z268" s="8"/>
    </row>
    <row r="269" spans="1:26" s="23" customFormat="1" ht="15.75" thickBot="1" x14ac:dyDescent="0.3">
      <c r="A269" s="10"/>
      <c r="B269" s="28" t="s">
        <v>4</v>
      </c>
      <c r="C269" s="28"/>
      <c r="D269" s="30">
        <f>+D265-D267</f>
        <v>-184144.60000000033</v>
      </c>
      <c r="E269" s="14"/>
      <c r="F269" s="32">
        <f>IF(D$12=0,0,D269/D$12)</f>
        <v>-0.40888051914405288</v>
      </c>
      <c r="G269" s="14"/>
      <c r="H269" s="30">
        <f>+H265-H267</f>
        <v>-163186.82569531215</v>
      </c>
      <c r="I269" s="14"/>
      <c r="J269" s="32">
        <f>IF(H$12=0,0,H269/H$12)</f>
        <v>-0.41790745115779804</v>
      </c>
      <c r="K269" s="16"/>
      <c r="L269" s="30">
        <f>D269-H269</f>
        <v>-20957.774304688181</v>
      </c>
      <c r="M269" s="16"/>
      <c r="N269" s="32">
        <f>IF(H269=0,0,L269/H269)</f>
        <v>0.12842810205658797</v>
      </c>
      <c r="O269" s="29"/>
      <c r="P269" s="30">
        <f>+P265-P267</f>
        <v>12308.40999999654</v>
      </c>
      <c r="Q269" s="14"/>
      <c r="R269" s="32">
        <f>IF(P$12=0,0,P269/P$12)</f>
        <v>2.4271298981746927E-3</v>
      </c>
      <c r="S269" s="14"/>
      <c r="T269" s="30">
        <f>+T265-T267</f>
        <v>-127613.27652873611</v>
      </c>
      <c r="U269" s="14"/>
      <c r="V269" s="32">
        <f>IF(T$12=0,0,T269/T$12)</f>
        <v>-2.4188536821954893E-2</v>
      </c>
      <c r="W269" s="16"/>
      <c r="X269" s="30">
        <f>P269-T269</f>
        <v>139921.68652873265</v>
      </c>
      <c r="Y269" s="16"/>
      <c r="Z269" s="32">
        <f>IF(T269=0,0,X269/T269)</f>
        <v>-1.0964508578950634</v>
      </c>
    </row>
    <row r="270" spans="1:26" ht="15.75" thickTop="1" x14ac:dyDescent="0.25">
      <c r="A270" s="9"/>
      <c r="B270" s="9"/>
      <c r="C270" s="9"/>
      <c r="D270" s="3"/>
      <c r="E270" s="3"/>
      <c r="F270" s="8"/>
      <c r="G270" s="3"/>
      <c r="H270" s="3"/>
      <c r="I270" s="3"/>
      <c r="J270" s="8"/>
      <c r="K270" s="3"/>
      <c r="L270" s="3"/>
      <c r="M270" s="3"/>
      <c r="N270" s="8"/>
      <c r="P270" s="3"/>
      <c r="Q270" s="3"/>
      <c r="R270" s="8"/>
      <c r="S270" s="3"/>
      <c r="T270" s="3"/>
      <c r="U270" s="3"/>
      <c r="V270" s="8"/>
      <c r="W270" s="3"/>
      <c r="X270" s="3"/>
      <c r="Y270" s="3"/>
      <c r="Z270" s="8"/>
    </row>
    <row r="271" spans="1:26" x14ac:dyDescent="0.25">
      <c r="A271" s="9"/>
      <c r="B271" s="9"/>
      <c r="C271" s="9"/>
      <c r="D271" s="3"/>
      <c r="E271" s="3"/>
      <c r="F271" s="8"/>
      <c r="G271" s="3"/>
      <c r="H271" s="3"/>
      <c r="I271" s="3"/>
      <c r="J271" s="8"/>
      <c r="K271" s="3"/>
      <c r="L271" s="3"/>
      <c r="M271" s="3"/>
      <c r="N271" s="8"/>
      <c r="P271" s="3"/>
      <c r="Q271" s="3"/>
      <c r="R271" s="8"/>
      <c r="S271" s="3"/>
      <c r="T271" s="3"/>
      <c r="U271" s="3"/>
      <c r="V271" s="8"/>
      <c r="W271" s="3"/>
      <c r="X271" s="3"/>
      <c r="Y271" s="3"/>
      <c r="Z271" s="8"/>
    </row>
    <row r="272" spans="1:26" s="23" customFormat="1" ht="15.75" thickBot="1" x14ac:dyDescent="0.3">
      <c r="A272" s="10"/>
      <c r="B272" s="28" t="s">
        <v>5</v>
      </c>
      <c r="C272" s="28"/>
      <c r="D272" s="31">
        <f>SUM(D269:D271)</f>
        <v>-184144.60000000033</v>
      </c>
      <c r="E272" s="14"/>
      <c r="F272" s="35">
        <f>IF(D$12=0,0,D272/D$12)</f>
        <v>-0.40888051914405288</v>
      </c>
      <c r="G272" s="14"/>
      <c r="H272" s="31">
        <f>SUM(H269:H271)</f>
        <v>-163186.82569531215</v>
      </c>
      <c r="I272" s="14"/>
      <c r="J272" s="35">
        <f>IF(H$12=0,0,H272/H$12)</f>
        <v>-0.41790745115779804</v>
      </c>
      <c r="K272" s="16"/>
      <c r="L272" s="31">
        <f>+D272-H272</f>
        <v>-20957.774304688181</v>
      </c>
      <c r="M272" s="16"/>
      <c r="N272" s="35">
        <f>IF(H272=0,0,L272/H272)</f>
        <v>0.12842810205658797</v>
      </c>
      <c r="O272" s="29"/>
      <c r="P272" s="31">
        <f>SUM(P269:P271)</f>
        <v>12308.40999999654</v>
      </c>
      <c r="Q272" s="14"/>
      <c r="R272" s="35">
        <f>IF(P$12=0,0,P272/P$12)</f>
        <v>2.4271298981746927E-3</v>
      </c>
      <c r="S272" s="14"/>
      <c r="T272" s="31">
        <f>SUM(T269:T271)</f>
        <v>-127613.27652873611</v>
      </c>
      <c r="U272" s="14"/>
      <c r="V272" s="35">
        <f>IF(T$12=0,0,T272/T$12)</f>
        <v>-2.4188536821954893E-2</v>
      </c>
      <c r="W272" s="16"/>
      <c r="X272" s="31">
        <f>+P272-T272</f>
        <v>139921.68652873265</v>
      </c>
      <c r="Y272" s="16"/>
      <c r="Z272" s="35">
        <f>IF(T272=0,0,X272/T272)</f>
        <v>-1.0964508578950634</v>
      </c>
    </row>
    <row r="273" spans="1:24" ht="15.75" thickTop="1" x14ac:dyDescent="0.25">
      <c r="A273" s="9"/>
      <c r="C273" s="9"/>
      <c r="D273" s="17"/>
      <c r="E273" s="17"/>
      <c r="G273" s="17"/>
      <c r="H273" s="17"/>
      <c r="I273" s="17"/>
      <c r="J273" s="43"/>
      <c r="K273" s="17"/>
      <c r="L273" s="17"/>
      <c r="M273" s="17"/>
      <c r="P273" s="17"/>
      <c r="Q273" s="17"/>
      <c r="R273" s="43"/>
      <c r="S273" s="17"/>
      <c r="T273" s="17"/>
      <c r="U273" s="17"/>
      <c r="V273" s="43"/>
      <c r="W273" s="17"/>
      <c r="X273" s="17"/>
    </row>
    <row r="274" spans="1:24" x14ac:dyDescent="0.25">
      <c r="A274" s="9"/>
      <c r="B274" s="56">
        <v>43815.483172418979</v>
      </c>
      <c r="D274" s="17"/>
      <c r="E274" s="17"/>
      <c r="G274" s="17"/>
      <c r="H274" s="17"/>
      <c r="I274" s="17"/>
      <c r="J274" s="43"/>
      <c r="K274" s="17"/>
      <c r="L274" s="17"/>
      <c r="M274" s="17"/>
      <c r="P274" s="17"/>
      <c r="Q274" s="17"/>
      <c r="R274" s="43"/>
      <c r="S274" s="17"/>
      <c r="T274" s="17"/>
      <c r="U274" s="17"/>
      <c r="V274" s="43"/>
      <c r="W274" s="17"/>
      <c r="X274" s="17"/>
    </row>
    <row r="275" spans="1:24" x14ac:dyDescent="0.25">
      <c r="A275" s="9"/>
      <c r="B275" s="62" t="s">
        <v>314</v>
      </c>
      <c r="D275" s="17"/>
      <c r="E275" s="17"/>
      <c r="G275" s="17"/>
      <c r="H275" s="17"/>
      <c r="I275" s="17"/>
      <c r="J275" s="43"/>
      <c r="K275" s="17"/>
      <c r="L275" s="17"/>
      <c r="M275" s="17"/>
      <c r="P275" s="17"/>
      <c r="Q275" s="17"/>
      <c r="R275" s="43"/>
      <c r="S275" s="17"/>
      <c r="T275" s="17"/>
      <c r="U275" s="17"/>
      <c r="V275" s="43"/>
      <c r="W275" s="17"/>
      <c r="X275" s="17"/>
    </row>
    <row r="276" spans="1:24" x14ac:dyDescent="0.25">
      <c r="A276" s="9"/>
      <c r="B276" s="58"/>
      <c r="D276" s="17"/>
      <c r="E276" s="17"/>
      <c r="G276" s="17"/>
      <c r="H276" s="17"/>
      <c r="I276" s="17"/>
      <c r="J276" s="43"/>
      <c r="K276" s="17"/>
      <c r="L276" s="17"/>
      <c r="M276" s="17"/>
      <c r="P276" s="17"/>
      <c r="Q276" s="17"/>
      <c r="R276" s="43"/>
      <c r="S276" s="17"/>
      <c r="T276" s="17"/>
      <c r="U276" s="17"/>
      <c r="V276" s="43"/>
      <c r="W276" s="17"/>
      <c r="X276" s="17"/>
    </row>
    <row r="277" spans="1:24" x14ac:dyDescent="0.25">
      <c r="D277" s="17"/>
      <c r="E277" s="17"/>
      <c r="G277" s="17"/>
      <c r="H277" s="17"/>
      <c r="I277" s="17"/>
      <c r="J277" s="43"/>
      <c r="K277" s="17"/>
      <c r="L277" s="17"/>
      <c r="M277" s="17"/>
      <c r="P277" s="17"/>
      <c r="Q277" s="17"/>
      <c r="R277" s="43"/>
      <c r="S277" s="17"/>
      <c r="T277" s="17"/>
      <c r="U277" s="17"/>
      <c r="V277" s="43"/>
      <c r="W277" s="17"/>
      <c r="X277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297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30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312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610843.18999999983</v>
      </c>
      <c r="E12" s="4"/>
      <c r="F12" s="12"/>
      <c r="G12" s="4"/>
      <c r="H12" s="4">
        <f>SUM(OSRRefH13x_0)</f>
        <v>536793.56143999996</v>
      </c>
      <c r="I12" s="4"/>
      <c r="J12" s="12"/>
      <c r="K12" s="4"/>
      <c r="L12" s="4">
        <f t="shared" ref="L12:L120" si="0">+D12-H12</f>
        <v>74049.628559999866</v>
      </c>
      <c r="M12" s="4"/>
      <c r="N12" s="12">
        <f t="shared" ref="N12:N120" si="1">IF(H12=0,0,L12/H12)</f>
        <v>0.13794805653285905</v>
      </c>
      <c r="O12" s="10"/>
      <c r="P12" s="4">
        <f>SUM(OSRRefP13x_0)</f>
        <v>6570064.0599999977</v>
      </c>
      <c r="Q12" s="4"/>
      <c r="R12" s="12"/>
      <c r="S12" s="4"/>
      <c r="T12" s="4">
        <f>SUM(OSRRefT13x_0)</f>
        <v>6557662.9452999998</v>
      </c>
      <c r="U12" s="4"/>
      <c r="V12" s="12"/>
      <c r="W12" s="4"/>
      <c r="X12" s="4">
        <f t="shared" ref="X12:X120" si="2">+P12-T12</f>
        <v>12401.114699997939</v>
      </c>
      <c r="Y12" s="4"/>
      <c r="Z12" s="12">
        <f t="shared" ref="Z12:Z120" si="3">IF(T12=0,0,X12/T12)</f>
        <v>1.8910875419246808E-3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488117.56143999996</v>
      </c>
      <c r="I13" s="2"/>
      <c r="J13" s="19"/>
      <c r="K13" s="2"/>
      <c r="L13" s="2">
        <f t="shared" si="0"/>
        <v>-488117.56143999996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3158613.9453000003</v>
      </c>
      <c r="U13" s="2"/>
      <c r="V13" s="19"/>
      <c r="W13" s="2"/>
      <c r="X13" s="2">
        <f t="shared" si="2"/>
        <v>-3158613.9453000003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--8184.69</f>
        <v>8184.69</v>
      </c>
      <c r="E14" s="2"/>
      <c r="F14" s="19"/>
      <c r="G14" s="2"/>
      <c r="H14" s="2"/>
      <c r="I14" s="2"/>
      <c r="J14" s="19"/>
      <c r="K14" s="2"/>
      <c r="L14" s="2">
        <f t="shared" si="0"/>
        <v>8184.69</v>
      </c>
      <c r="M14" s="2"/>
      <c r="N14" s="19">
        <f t="shared" si="1"/>
        <v>0</v>
      </c>
      <c r="O14" s="11"/>
      <c r="P14" s="2">
        <f>--1503344.43</f>
        <v>1503344.43</v>
      </c>
      <c r="Q14" s="2"/>
      <c r="R14" s="19"/>
      <c r="S14" s="2"/>
      <c r="T14" s="2"/>
      <c r="U14" s="2"/>
      <c r="V14" s="19"/>
      <c r="W14" s="2"/>
      <c r="X14" s="2">
        <f t="shared" si="2"/>
        <v>1503344.43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--4182.93</f>
        <v>4182.93</v>
      </c>
      <c r="E15" s="2"/>
      <c r="F15" s="19"/>
      <c r="G15" s="2"/>
      <c r="H15" s="2"/>
      <c r="I15" s="2"/>
      <c r="J15" s="19"/>
      <c r="K15" s="2"/>
      <c r="L15" s="2">
        <f t="shared" si="0"/>
        <v>4182.93</v>
      </c>
      <c r="M15" s="2"/>
      <c r="N15" s="19">
        <f t="shared" si="1"/>
        <v>0</v>
      </c>
      <c r="O15" s="11"/>
      <c r="P15" s="2">
        <f>--670479.29</f>
        <v>670479.29</v>
      </c>
      <c r="Q15" s="2"/>
      <c r="R15" s="19"/>
      <c r="S15" s="2"/>
      <c r="T15" s="2"/>
      <c r="U15" s="2"/>
      <c r="V15" s="19"/>
      <c r="W15" s="2"/>
      <c r="X15" s="2">
        <f t="shared" si="2"/>
        <v>670479.29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0</f>
        <v>0</v>
      </c>
      <c r="E16" s="2"/>
      <c r="F16" s="19"/>
      <c r="G16" s="2"/>
      <c r="H16" s="2"/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--15844.66</f>
        <v>15844.66</v>
      </c>
      <c r="Q16" s="2"/>
      <c r="R16" s="19"/>
      <c r="S16" s="2"/>
      <c r="T16" s="2"/>
      <c r="U16" s="2"/>
      <c r="V16" s="19"/>
      <c r="W16" s="2"/>
      <c r="X16" s="2">
        <f t="shared" si="2"/>
        <v>15844.66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--119.4</f>
        <v>119.4</v>
      </c>
      <c r="E17" s="2"/>
      <c r="F17" s="19"/>
      <c r="G17" s="2"/>
      <c r="H17" s="2"/>
      <c r="I17" s="2"/>
      <c r="J17" s="19"/>
      <c r="K17" s="2"/>
      <c r="L17" s="2">
        <f t="shared" si="0"/>
        <v>119.4</v>
      </c>
      <c r="M17" s="2"/>
      <c r="N17" s="19">
        <f t="shared" si="1"/>
        <v>0</v>
      </c>
      <c r="O17" s="11"/>
      <c r="P17" s="2">
        <f>--30279.88</f>
        <v>30279.88</v>
      </c>
      <c r="Q17" s="2"/>
      <c r="R17" s="19"/>
      <c r="S17" s="2"/>
      <c r="T17" s="2"/>
      <c r="U17" s="2"/>
      <c r="V17" s="19"/>
      <c r="W17" s="2"/>
      <c r="X17" s="2">
        <f t="shared" si="2"/>
        <v>30279.88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>0</f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--9.6</f>
        <v>9.6</v>
      </c>
      <c r="Q18" s="2"/>
      <c r="R18" s="19"/>
      <c r="S18" s="2"/>
      <c r="T18" s="2"/>
      <c r="U18" s="2"/>
      <c r="V18" s="19"/>
      <c r="W18" s="2"/>
      <c r="X18" s="2">
        <f t="shared" si="2"/>
        <v>9.6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>--285.33</f>
        <v>285.33</v>
      </c>
      <c r="E19" s="2"/>
      <c r="F19" s="19"/>
      <c r="G19" s="2"/>
      <c r="H19" s="2"/>
      <c r="I19" s="2"/>
      <c r="J19" s="19"/>
      <c r="K19" s="2"/>
      <c r="L19" s="2">
        <f t="shared" si="0"/>
        <v>285.33</v>
      </c>
      <c r="M19" s="2"/>
      <c r="N19" s="19">
        <f t="shared" si="1"/>
        <v>0</v>
      </c>
      <c r="O19" s="11"/>
      <c r="P19" s="2">
        <f>--1112.72</f>
        <v>1112.72</v>
      </c>
      <c r="Q19" s="2"/>
      <c r="R19" s="19"/>
      <c r="S19" s="2"/>
      <c r="T19" s="2"/>
      <c r="U19" s="2"/>
      <c r="V19" s="19"/>
      <c r="W19" s="2"/>
      <c r="X19" s="2">
        <f t="shared" si="2"/>
        <v>1112.72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--189.13</f>
        <v>189.13</v>
      </c>
      <c r="E20" s="2"/>
      <c r="F20" s="19"/>
      <c r="G20" s="2"/>
      <c r="H20" s="2"/>
      <c r="I20" s="2"/>
      <c r="J20" s="19"/>
      <c r="K20" s="2"/>
      <c r="L20" s="2">
        <f t="shared" si="0"/>
        <v>189.13</v>
      </c>
      <c r="M20" s="2"/>
      <c r="N20" s="19">
        <f t="shared" si="1"/>
        <v>0</v>
      </c>
      <c r="O20" s="11"/>
      <c r="P20" s="2">
        <f>--883.35</f>
        <v>883.35</v>
      </c>
      <c r="Q20" s="2"/>
      <c r="R20" s="19"/>
      <c r="S20" s="2"/>
      <c r="T20" s="2"/>
      <c r="U20" s="2"/>
      <c r="V20" s="19"/>
      <c r="W20" s="2"/>
      <c r="X20" s="2">
        <f t="shared" si="2"/>
        <v>883.35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--5.49</f>
        <v>5.49</v>
      </c>
      <c r="E21" s="2"/>
      <c r="F21" s="19"/>
      <c r="G21" s="2"/>
      <c r="H21" s="2"/>
      <c r="I21" s="2"/>
      <c r="J21" s="19"/>
      <c r="K21" s="2"/>
      <c r="L21" s="2">
        <f t="shared" si="0"/>
        <v>5.49</v>
      </c>
      <c r="M21" s="2"/>
      <c r="N21" s="19">
        <f t="shared" si="1"/>
        <v>0</v>
      </c>
      <c r="O21" s="11"/>
      <c r="P21" s="2">
        <f>--231.16</f>
        <v>231.16</v>
      </c>
      <c r="Q21" s="2"/>
      <c r="R21" s="19"/>
      <c r="S21" s="2"/>
      <c r="T21" s="2"/>
      <c r="U21" s="2"/>
      <c r="V21" s="19"/>
      <c r="W21" s="2"/>
      <c r="X21" s="2">
        <f t="shared" si="2"/>
        <v>231.16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--277.82</f>
        <v>277.82</v>
      </c>
      <c r="E22" s="2"/>
      <c r="F22" s="19"/>
      <c r="G22" s="2"/>
      <c r="H22" s="2"/>
      <c r="I22" s="2"/>
      <c r="J22" s="19"/>
      <c r="K22" s="2"/>
      <c r="L22" s="2">
        <f t="shared" si="0"/>
        <v>277.82</v>
      </c>
      <c r="M22" s="2"/>
      <c r="N22" s="19">
        <f t="shared" si="1"/>
        <v>0</v>
      </c>
      <c r="O22" s="11"/>
      <c r="P22" s="2">
        <f>--2732.65</f>
        <v>2732.65</v>
      </c>
      <c r="Q22" s="2"/>
      <c r="R22" s="19"/>
      <c r="S22" s="2"/>
      <c r="T22" s="2"/>
      <c r="U22" s="2"/>
      <c r="V22" s="19"/>
      <c r="W22" s="2"/>
      <c r="X22" s="2">
        <f t="shared" si="2"/>
        <v>2732.65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>--3.98</f>
        <v>3.98</v>
      </c>
      <c r="E23" s="2"/>
      <c r="F23" s="19"/>
      <c r="G23" s="2"/>
      <c r="H23" s="2"/>
      <c r="I23" s="2"/>
      <c r="J23" s="19"/>
      <c r="K23" s="2"/>
      <c r="L23" s="2">
        <f t="shared" si="0"/>
        <v>3.98</v>
      </c>
      <c r="M23" s="2"/>
      <c r="N23" s="19">
        <f t="shared" si="1"/>
        <v>0</v>
      </c>
      <c r="O23" s="11"/>
      <c r="P23" s="2">
        <f>--33.88</f>
        <v>33.880000000000003</v>
      </c>
      <c r="Q23" s="2"/>
      <c r="R23" s="19"/>
      <c r="S23" s="2"/>
      <c r="T23" s="2"/>
      <c r="U23" s="2"/>
      <c r="V23" s="19"/>
      <c r="W23" s="2"/>
      <c r="X23" s="2">
        <f t="shared" si="2"/>
        <v>33.880000000000003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>--3212.68</f>
        <v>3212.68</v>
      </c>
      <c r="E24" s="2"/>
      <c r="F24" s="19"/>
      <c r="G24" s="2"/>
      <c r="H24" s="2"/>
      <c r="I24" s="2"/>
      <c r="J24" s="19"/>
      <c r="K24" s="2"/>
      <c r="L24" s="2">
        <f t="shared" si="0"/>
        <v>3212.68</v>
      </c>
      <c r="M24" s="2"/>
      <c r="N24" s="19">
        <f t="shared" si="1"/>
        <v>0</v>
      </c>
      <c r="O24" s="11"/>
      <c r="P24" s="2">
        <f>--29544.72</f>
        <v>29544.720000000001</v>
      </c>
      <c r="Q24" s="2"/>
      <c r="R24" s="19"/>
      <c r="S24" s="2"/>
      <c r="T24" s="2"/>
      <c r="U24" s="2"/>
      <c r="V24" s="19"/>
      <c r="W24" s="2"/>
      <c r="X24" s="2">
        <f t="shared" si="2"/>
        <v>29544.720000000001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--6609.41</f>
        <v>6609.41</v>
      </c>
      <c r="E25" s="2"/>
      <c r="F25" s="19"/>
      <c r="G25" s="2"/>
      <c r="H25" s="2"/>
      <c r="I25" s="2"/>
      <c r="J25" s="19"/>
      <c r="K25" s="2"/>
      <c r="L25" s="2">
        <f t="shared" si="0"/>
        <v>6609.41</v>
      </c>
      <c r="M25" s="2"/>
      <c r="N25" s="19">
        <f t="shared" si="1"/>
        <v>0</v>
      </c>
      <c r="O25" s="11"/>
      <c r="P25" s="2">
        <f>--43673.95</f>
        <v>43673.95</v>
      </c>
      <c r="Q25" s="2"/>
      <c r="R25" s="19"/>
      <c r="S25" s="2"/>
      <c r="T25" s="2"/>
      <c r="U25" s="2"/>
      <c r="V25" s="19"/>
      <c r="W25" s="2"/>
      <c r="X25" s="2">
        <f t="shared" si="2"/>
        <v>43673.95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--10515.54</f>
        <v>10515.54</v>
      </c>
      <c r="E26" s="2"/>
      <c r="F26" s="19"/>
      <c r="G26" s="2"/>
      <c r="H26" s="2"/>
      <c r="I26" s="2"/>
      <c r="J26" s="19"/>
      <c r="K26" s="2"/>
      <c r="L26" s="2">
        <f t="shared" si="0"/>
        <v>10515.54</v>
      </c>
      <c r="M26" s="2"/>
      <c r="N26" s="19">
        <f t="shared" si="1"/>
        <v>0</v>
      </c>
      <c r="O26" s="11"/>
      <c r="P26" s="2">
        <f>--154789.08</f>
        <v>154789.07999999999</v>
      </c>
      <c r="Q26" s="2"/>
      <c r="R26" s="19"/>
      <c r="S26" s="2"/>
      <c r="T26" s="2"/>
      <c r="U26" s="2"/>
      <c r="V26" s="19"/>
      <c r="W26" s="2"/>
      <c r="X26" s="2">
        <f t="shared" si="2"/>
        <v>154789.07999999999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--29388.04</f>
        <v>29388.04</v>
      </c>
      <c r="E27" s="2"/>
      <c r="F27" s="19"/>
      <c r="G27" s="2"/>
      <c r="H27" s="2"/>
      <c r="I27" s="2"/>
      <c r="J27" s="19"/>
      <c r="K27" s="2"/>
      <c r="L27" s="2">
        <f t="shared" si="0"/>
        <v>29388.04</v>
      </c>
      <c r="M27" s="2"/>
      <c r="N27" s="19">
        <f t="shared" si="1"/>
        <v>0</v>
      </c>
      <c r="O27" s="11"/>
      <c r="P27" s="2">
        <f>--175952.71</f>
        <v>175952.71</v>
      </c>
      <c r="Q27" s="2"/>
      <c r="R27" s="19"/>
      <c r="S27" s="2"/>
      <c r="T27" s="2"/>
      <c r="U27" s="2"/>
      <c r="V27" s="19"/>
      <c r="W27" s="2"/>
      <c r="X27" s="2">
        <f t="shared" si="2"/>
        <v>175952.71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--58.77</f>
        <v>58.77</v>
      </c>
      <c r="E28" s="2"/>
      <c r="F28" s="19"/>
      <c r="G28" s="2"/>
      <c r="H28" s="2"/>
      <c r="I28" s="2"/>
      <c r="J28" s="19"/>
      <c r="K28" s="2"/>
      <c r="L28" s="2">
        <f t="shared" si="0"/>
        <v>58.77</v>
      </c>
      <c r="M28" s="2"/>
      <c r="N28" s="19">
        <f t="shared" si="1"/>
        <v>0</v>
      </c>
      <c r="O28" s="11"/>
      <c r="P28" s="2">
        <f>--280.05</f>
        <v>280.05</v>
      </c>
      <c r="Q28" s="2"/>
      <c r="R28" s="19"/>
      <c r="S28" s="2"/>
      <c r="T28" s="2"/>
      <c r="U28" s="2"/>
      <c r="V28" s="19"/>
      <c r="W28" s="2"/>
      <c r="X28" s="2">
        <f t="shared" si="2"/>
        <v>280.05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--609.66</f>
        <v>609.66</v>
      </c>
      <c r="E29" s="2"/>
      <c r="F29" s="19"/>
      <c r="G29" s="2"/>
      <c r="H29" s="2"/>
      <c r="I29" s="2"/>
      <c r="J29" s="19"/>
      <c r="K29" s="2"/>
      <c r="L29" s="2">
        <f t="shared" si="0"/>
        <v>609.66</v>
      </c>
      <c r="M29" s="2"/>
      <c r="N29" s="19">
        <f t="shared" si="1"/>
        <v>0</v>
      </c>
      <c r="O29" s="11"/>
      <c r="P29" s="2">
        <f>--663.08</f>
        <v>663.08</v>
      </c>
      <c r="Q29" s="2"/>
      <c r="R29" s="19"/>
      <c r="S29" s="2"/>
      <c r="T29" s="2"/>
      <c r="U29" s="2"/>
      <c r="V29" s="19"/>
      <c r="W29" s="2"/>
      <c r="X29" s="2">
        <f t="shared" si="2"/>
        <v>663.08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>--23.21</f>
        <v>23.21</v>
      </c>
      <c r="E30" s="2"/>
      <c r="F30" s="19"/>
      <c r="G30" s="2"/>
      <c r="H30" s="2"/>
      <c r="I30" s="2"/>
      <c r="J30" s="19"/>
      <c r="K30" s="2"/>
      <c r="L30" s="2">
        <f t="shared" si="0"/>
        <v>23.21</v>
      </c>
      <c r="M30" s="2"/>
      <c r="N30" s="19">
        <f t="shared" si="1"/>
        <v>0</v>
      </c>
      <c r="O30" s="11"/>
      <c r="P30" s="2">
        <f>--108.61</f>
        <v>108.61</v>
      </c>
      <c r="Q30" s="2"/>
      <c r="R30" s="19"/>
      <c r="S30" s="2"/>
      <c r="T30" s="2"/>
      <c r="U30" s="2"/>
      <c r="V30" s="19"/>
      <c r="W30" s="2"/>
      <c r="X30" s="2">
        <f t="shared" si="2"/>
        <v>108.61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>--1010.01</f>
        <v>1010.01</v>
      </c>
      <c r="E31" s="2"/>
      <c r="F31" s="19"/>
      <c r="G31" s="2"/>
      <c r="H31" s="2"/>
      <c r="I31" s="2"/>
      <c r="J31" s="19"/>
      <c r="K31" s="2"/>
      <c r="L31" s="2">
        <f t="shared" si="0"/>
        <v>1010.01</v>
      </c>
      <c r="M31" s="2"/>
      <c r="N31" s="19">
        <f t="shared" si="1"/>
        <v>0</v>
      </c>
      <c r="O31" s="11"/>
      <c r="P31" s="2">
        <f>--4724.25</f>
        <v>4724.25</v>
      </c>
      <c r="Q31" s="2"/>
      <c r="R31" s="19"/>
      <c r="S31" s="2"/>
      <c r="T31" s="2"/>
      <c r="U31" s="2"/>
      <c r="V31" s="19"/>
      <c r="W31" s="2"/>
      <c r="X31" s="2">
        <f t="shared" si="2"/>
        <v>4724.25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>--269.24</f>
        <v>269.24</v>
      </c>
      <c r="E32" s="2"/>
      <c r="F32" s="19"/>
      <c r="G32" s="2"/>
      <c r="H32" s="2"/>
      <c r="I32" s="2"/>
      <c r="J32" s="19"/>
      <c r="K32" s="2"/>
      <c r="L32" s="2">
        <f t="shared" si="0"/>
        <v>269.24</v>
      </c>
      <c r="M32" s="2"/>
      <c r="N32" s="19">
        <f t="shared" si="1"/>
        <v>0</v>
      </c>
      <c r="O32" s="11"/>
      <c r="P32" s="2">
        <f>--1133.6</f>
        <v>1133.5999999999999</v>
      </c>
      <c r="Q32" s="2"/>
      <c r="R32" s="19"/>
      <c r="S32" s="2"/>
      <c r="T32" s="2"/>
      <c r="U32" s="2"/>
      <c r="V32" s="19"/>
      <c r="W32" s="2"/>
      <c r="X32" s="2">
        <f t="shared" si="2"/>
        <v>1133.5999999999999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>--74.6</f>
        <v>74.599999999999994</v>
      </c>
      <c r="E33" s="2"/>
      <c r="F33" s="19"/>
      <c r="G33" s="2"/>
      <c r="H33" s="2"/>
      <c r="I33" s="2"/>
      <c r="J33" s="19"/>
      <c r="K33" s="2"/>
      <c r="L33" s="2">
        <f t="shared" si="0"/>
        <v>74.599999999999994</v>
      </c>
      <c r="M33" s="2"/>
      <c r="N33" s="19">
        <f t="shared" si="1"/>
        <v>0</v>
      </c>
      <c r="O33" s="11"/>
      <c r="P33" s="2">
        <f>--377.17</f>
        <v>377.17</v>
      </c>
      <c r="Q33" s="2"/>
      <c r="R33" s="19"/>
      <c r="S33" s="2"/>
      <c r="T33" s="2"/>
      <c r="U33" s="2"/>
      <c r="V33" s="19"/>
      <c r="W33" s="2"/>
      <c r="X33" s="2">
        <f t="shared" si="2"/>
        <v>377.17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--249896.49</f>
        <v>249896.49</v>
      </c>
      <c r="E34" s="2"/>
      <c r="F34" s="19"/>
      <c r="G34" s="2"/>
      <c r="H34" s="2"/>
      <c r="I34" s="2"/>
      <c r="J34" s="19"/>
      <c r="K34" s="2"/>
      <c r="L34" s="2">
        <f t="shared" si="0"/>
        <v>249896.49</v>
      </c>
      <c r="M34" s="2"/>
      <c r="N34" s="19">
        <f t="shared" si="1"/>
        <v>0</v>
      </c>
      <c r="O34" s="11"/>
      <c r="P34" s="2">
        <f>--1098136.94</f>
        <v>1098136.94</v>
      </c>
      <c r="Q34" s="2"/>
      <c r="R34" s="19"/>
      <c r="S34" s="2"/>
      <c r="T34" s="2"/>
      <c r="U34" s="2"/>
      <c r="V34" s="19"/>
      <c r="W34" s="2"/>
      <c r="X34" s="2">
        <f t="shared" si="2"/>
        <v>1098136.94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--29333.75</f>
        <v>29333.75</v>
      </c>
      <c r="E35" s="2"/>
      <c r="F35" s="19"/>
      <c r="G35" s="2"/>
      <c r="H35" s="2"/>
      <c r="I35" s="2"/>
      <c r="J35" s="19"/>
      <c r="K35" s="2"/>
      <c r="L35" s="2">
        <f t="shared" si="0"/>
        <v>29333.75</v>
      </c>
      <c r="M35" s="2"/>
      <c r="N35" s="19">
        <f t="shared" si="1"/>
        <v>0</v>
      </c>
      <c r="O35" s="11"/>
      <c r="P35" s="2">
        <f>--258147.65</f>
        <v>258147.65</v>
      </c>
      <c r="Q35" s="2"/>
      <c r="R35" s="19"/>
      <c r="S35" s="2"/>
      <c r="T35" s="2"/>
      <c r="U35" s="2"/>
      <c r="V35" s="19"/>
      <c r="W35" s="2"/>
      <c r="X35" s="2">
        <f t="shared" si="2"/>
        <v>258147.65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--30667.82</f>
        <v>30667.82</v>
      </c>
      <c r="E36" s="2"/>
      <c r="F36" s="19"/>
      <c r="G36" s="2"/>
      <c r="H36" s="2"/>
      <c r="I36" s="2"/>
      <c r="J36" s="19"/>
      <c r="K36" s="2"/>
      <c r="L36" s="2">
        <f t="shared" si="0"/>
        <v>30667.82</v>
      </c>
      <c r="M36" s="2"/>
      <c r="N36" s="19">
        <f t="shared" si="1"/>
        <v>0</v>
      </c>
      <c r="O36" s="11"/>
      <c r="P36" s="2">
        <f>--154978.19</f>
        <v>154978.19</v>
      </c>
      <c r="Q36" s="2"/>
      <c r="R36" s="19"/>
      <c r="S36" s="2"/>
      <c r="T36" s="2"/>
      <c r="U36" s="2"/>
      <c r="V36" s="19"/>
      <c r="W36" s="2"/>
      <c r="X36" s="2">
        <f t="shared" si="2"/>
        <v>154978.19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--4302.17</f>
        <v>4302.17</v>
      </c>
      <c r="E37" s="2"/>
      <c r="F37" s="19"/>
      <c r="G37" s="2"/>
      <c r="H37" s="2"/>
      <c r="I37" s="2"/>
      <c r="J37" s="19"/>
      <c r="K37" s="2"/>
      <c r="L37" s="2">
        <f t="shared" si="0"/>
        <v>4302.17</v>
      </c>
      <c r="M37" s="2"/>
      <c r="N37" s="19">
        <f t="shared" si="1"/>
        <v>0</v>
      </c>
      <c r="O37" s="11"/>
      <c r="P37" s="2">
        <f>--4823.02</f>
        <v>4823.0200000000004</v>
      </c>
      <c r="Q37" s="2"/>
      <c r="R37" s="19"/>
      <c r="S37" s="2"/>
      <c r="T37" s="2"/>
      <c r="U37" s="2"/>
      <c r="V37" s="19"/>
      <c r="W37" s="2"/>
      <c r="X37" s="2">
        <f t="shared" si="2"/>
        <v>4823.0200000000004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--8230.63</f>
        <v>8230.6299999999992</v>
      </c>
      <c r="E38" s="2"/>
      <c r="F38" s="19"/>
      <c r="G38" s="2"/>
      <c r="H38" s="2"/>
      <c r="I38" s="2"/>
      <c r="J38" s="19"/>
      <c r="K38" s="2"/>
      <c r="L38" s="2">
        <f t="shared" si="0"/>
        <v>8230.6299999999992</v>
      </c>
      <c r="M38" s="2"/>
      <c r="N38" s="19">
        <f t="shared" si="1"/>
        <v>0</v>
      </c>
      <c r="O38" s="11"/>
      <c r="P38" s="2">
        <f>--41297.78</f>
        <v>41297.78</v>
      </c>
      <c r="Q38" s="2"/>
      <c r="R38" s="19"/>
      <c r="S38" s="2"/>
      <c r="T38" s="2"/>
      <c r="U38" s="2"/>
      <c r="V38" s="19"/>
      <c r="W38" s="2"/>
      <c r="X38" s="2">
        <f t="shared" si="2"/>
        <v>41297.78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--18665.34</f>
        <v>18665.34</v>
      </c>
      <c r="E39" s="2"/>
      <c r="F39" s="19"/>
      <c r="G39" s="2"/>
      <c r="H39" s="2"/>
      <c r="I39" s="2"/>
      <c r="J39" s="19"/>
      <c r="K39" s="2"/>
      <c r="L39" s="2">
        <f t="shared" si="0"/>
        <v>18665.34</v>
      </c>
      <c r="M39" s="2"/>
      <c r="N39" s="19">
        <f t="shared" si="1"/>
        <v>0</v>
      </c>
      <c r="O39" s="11"/>
      <c r="P39" s="2">
        <f>--54518.44</f>
        <v>54518.44</v>
      </c>
      <c r="Q39" s="2"/>
      <c r="R39" s="19"/>
      <c r="S39" s="2"/>
      <c r="T39" s="2"/>
      <c r="U39" s="2"/>
      <c r="V39" s="19"/>
      <c r="W39" s="2"/>
      <c r="X39" s="2">
        <f t="shared" si="2"/>
        <v>54518.44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--304.55</f>
        <v>304.55</v>
      </c>
      <c r="E40" s="2"/>
      <c r="F40" s="19"/>
      <c r="G40" s="2"/>
      <c r="H40" s="2"/>
      <c r="I40" s="2"/>
      <c r="J40" s="19"/>
      <c r="K40" s="2"/>
      <c r="L40" s="2">
        <f t="shared" si="0"/>
        <v>304.55</v>
      </c>
      <c r="M40" s="2"/>
      <c r="N40" s="19">
        <f t="shared" si="1"/>
        <v>0</v>
      </c>
      <c r="O40" s="11"/>
      <c r="P40" s="2">
        <f>--1678.55</f>
        <v>1678.55</v>
      </c>
      <c r="Q40" s="2"/>
      <c r="R40" s="19"/>
      <c r="S40" s="2"/>
      <c r="T40" s="2"/>
      <c r="U40" s="2"/>
      <c r="V40" s="19"/>
      <c r="W40" s="2"/>
      <c r="X40" s="2">
        <f t="shared" si="2"/>
        <v>1678.55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--16554.53</f>
        <v>16554.53</v>
      </c>
      <c r="E41" s="2"/>
      <c r="F41" s="19"/>
      <c r="G41" s="2"/>
      <c r="H41" s="2"/>
      <c r="I41" s="2"/>
      <c r="J41" s="19"/>
      <c r="K41" s="2"/>
      <c r="L41" s="2">
        <f t="shared" si="0"/>
        <v>16554.53</v>
      </c>
      <c r="M41" s="2"/>
      <c r="N41" s="19">
        <f t="shared" si="1"/>
        <v>0</v>
      </c>
      <c r="O41" s="11"/>
      <c r="P41" s="2">
        <f>--231804.25</f>
        <v>231804.25</v>
      </c>
      <c r="Q41" s="2"/>
      <c r="R41" s="19"/>
      <c r="S41" s="2"/>
      <c r="T41" s="2"/>
      <c r="U41" s="2"/>
      <c r="V41" s="19"/>
      <c r="W41" s="2"/>
      <c r="X41" s="2">
        <f t="shared" si="2"/>
        <v>231804.25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--134369.21</f>
        <v>134369.21</v>
      </c>
      <c r="E42" s="2"/>
      <c r="F42" s="19"/>
      <c r="G42" s="2"/>
      <c r="H42" s="2"/>
      <c r="I42" s="2"/>
      <c r="J42" s="19"/>
      <c r="K42" s="2"/>
      <c r="L42" s="2">
        <f t="shared" si="0"/>
        <v>134369.21</v>
      </c>
      <c r="M42" s="2"/>
      <c r="N42" s="19">
        <f t="shared" si="1"/>
        <v>0</v>
      </c>
      <c r="O42" s="11"/>
      <c r="P42" s="2">
        <f>--1282930.84</f>
        <v>1282930.8400000001</v>
      </c>
      <c r="Q42" s="2"/>
      <c r="R42" s="19"/>
      <c r="S42" s="2"/>
      <c r="T42" s="2"/>
      <c r="U42" s="2"/>
      <c r="V42" s="19"/>
      <c r="W42" s="2"/>
      <c r="X42" s="2">
        <f t="shared" si="2"/>
        <v>1282930.8400000001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--10037.71</f>
        <v>10037.709999999999</v>
      </c>
      <c r="E43" s="2"/>
      <c r="F43" s="19"/>
      <c r="G43" s="2"/>
      <c r="H43" s="2"/>
      <c r="I43" s="2"/>
      <c r="J43" s="19"/>
      <c r="K43" s="2"/>
      <c r="L43" s="2">
        <f t="shared" si="0"/>
        <v>10037.709999999999</v>
      </c>
      <c r="M43" s="2"/>
      <c r="N43" s="19">
        <f t="shared" si="1"/>
        <v>0</v>
      </c>
      <c r="O43" s="11"/>
      <c r="P43" s="2">
        <f>--64073.62</f>
        <v>64073.62</v>
      </c>
      <c r="Q43" s="2"/>
      <c r="R43" s="19"/>
      <c r="S43" s="2"/>
      <c r="T43" s="2"/>
      <c r="U43" s="2"/>
      <c r="V43" s="19"/>
      <c r="W43" s="2"/>
      <c r="X43" s="2">
        <f t="shared" si="2"/>
        <v>64073.62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 t="shared" ref="D44:D45" si="4">0</f>
        <v>0</v>
      </c>
      <c r="E44" s="2"/>
      <c r="F44" s="19"/>
      <c r="G44" s="2"/>
      <c r="H44" s="2"/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--129</f>
        <v>129</v>
      </c>
      <c r="Q44" s="2"/>
      <c r="R44" s="19"/>
      <c r="S44" s="2"/>
      <c r="T44" s="2"/>
      <c r="U44" s="2"/>
      <c r="V44" s="19"/>
      <c r="W44" s="2"/>
      <c r="X44" s="2">
        <f t="shared" si="2"/>
        <v>129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"4085", " - ", "TAXABLE SALES-SOFTWARE")</f>
        <v xml:space="preserve">          4085 - TAXABLE SALES-SOFTWARE</v>
      </c>
      <c r="C45" s="11"/>
      <c r="D45" s="2">
        <f t="shared" si="4"/>
        <v>0</v>
      </c>
      <c r="E45" s="2"/>
      <c r="F45" s="19"/>
      <c r="G45" s="2"/>
      <c r="H45" s="2"/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>--4407.94</f>
        <v>4407.9399999999996</v>
      </c>
      <c r="Q45" s="2"/>
      <c r="R45" s="19"/>
      <c r="S45" s="2"/>
      <c r="T45" s="2"/>
      <c r="U45" s="2"/>
      <c r="V45" s="19"/>
      <c r="W45" s="2"/>
      <c r="X45" s="2">
        <f t="shared" si="2"/>
        <v>4407.9399999999996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--3874.61</f>
        <v>3874.61</v>
      </c>
      <c r="E46" s="2"/>
      <c r="F46" s="19"/>
      <c r="G46" s="2"/>
      <c r="H46" s="2"/>
      <c r="I46" s="2"/>
      <c r="J46" s="19"/>
      <c r="K46" s="2"/>
      <c r="L46" s="2">
        <f t="shared" si="0"/>
        <v>3874.61</v>
      </c>
      <c r="M46" s="2"/>
      <c r="N46" s="19">
        <f t="shared" si="1"/>
        <v>0</v>
      </c>
      <c r="O46" s="11"/>
      <c r="P46" s="2">
        <f>--31007.7</f>
        <v>31007.7</v>
      </c>
      <c r="Q46" s="2"/>
      <c r="R46" s="19"/>
      <c r="S46" s="2"/>
      <c r="T46" s="2"/>
      <c r="U46" s="2"/>
      <c r="V46" s="19"/>
      <c r="W46" s="2"/>
      <c r="X46" s="2">
        <f t="shared" si="2"/>
        <v>31007.7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"4088", " - ", "TAXABLE SALES-MUSIC")</f>
        <v xml:space="preserve">          4088 - TAXABLE SALES-MUSIC</v>
      </c>
      <c r="C47" s="11"/>
      <c r="D47" s="2">
        <f>--118.97</f>
        <v>118.97</v>
      </c>
      <c r="E47" s="2"/>
      <c r="F47" s="19"/>
      <c r="G47" s="2"/>
      <c r="H47" s="2"/>
      <c r="I47" s="2"/>
      <c r="J47" s="19"/>
      <c r="K47" s="2"/>
      <c r="L47" s="2">
        <f t="shared" si="0"/>
        <v>118.97</v>
      </c>
      <c r="M47" s="2"/>
      <c r="N47" s="19">
        <f t="shared" si="1"/>
        <v>0</v>
      </c>
      <c r="O47" s="11"/>
      <c r="P47" s="2">
        <f>--936.91</f>
        <v>936.91</v>
      </c>
      <c r="Q47" s="2"/>
      <c r="R47" s="19"/>
      <c r="S47" s="2"/>
      <c r="T47" s="2"/>
      <c r="U47" s="2"/>
      <c r="V47" s="19"/>
      <c r="W47" s="2"/>
      <c r="X47" s="2">
        <f t="shared" si="2"/>
        <v>936.91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"4092", " - ", "TAXABLE SALES-GRAD MERCH")</f>
        <v xml:space="preserve">          4092 - TAXABLE SALES-GRAD MERCH</v>
      </c>
      <c r="C48" s="11"/>
      <c r="D48" s="2">
        <f>--2389.54</f>
        <v>2389.54</v>
      </c>
      <c r="E48" s="2"/>
      <c r="F48" s="19"/>
      <c r="G48" s="2"/>
      <c r="H48" s="2"/>
      <c r="I48" s="2"/>
      <c r="J48" s="19"/>
      <c r="K48" s="2"/>
      <c r="L48" s="2">
        <f t="shared" si="0"/>
        <v>2389.54</v>
      </c>
      <c r="M48" s="2"/>
      <c r="N48" s="19">
        <f t="shared" si="1"/>
        <v>0</v>
      </c>
      <c r="O48" s="11"/>
      <c r="P48" s="2">
        <f>--7440.62</f>
        <v>7440.62</v>
      </c>
      <c r="Q48" s="2"/>
      <c r="R48" s="19"/>
      <c r="S48" s="2"/>
      <c r="T48" s="2"/>
      <c r="U48" s="2"/>
      <c r="V48" s="19"/>
      <c r="W48" s="2"/>
      <c r="X48" s="2">
        <f t="shared" si="2"/>
        <v>7440.62</v>
      </c>
      <c r="Y48" s="2"/>
      <c r="Z48" s="19">
        <f t="shared" si="3"/>
        <v>0</v>
      </c>
    </row>
    <row r="49" spans="1:26" s="24" customFormat="1" hidden="1" outlineLevel="1" x14ac:dyDescent="0.25">
      <c r="A49" s="44"/>
      <c r="B49" s="11" t="str">
        <f>CONCATENATE("          ", "4095", " - ", "TAXABLE SALES-CUSTOMER SERVICE")</f>
        <v xml:space="preserve">          4095 - TAXABLE SALES-CUSTOMER SERVICE</v>
      </c>
      <c r="C49" s="11"/>
      <c r="D49" s="2">
        <f>--31.83</f>
        <v>31.83</v>
      </c>
      <c r="E49" s="2"/>
      <c r="F49" s="19"/>
      <c r="G49" s="2"/>
      <c r="H49" s="2"/>
      <c r="I49" s="2"/>
      <c r="J49" s="19"/>
      <c r="K49" s="2"/>
      <c r="L49" s="2">
        <f t="shared" si="0"/>
        <v>31.83</v>
      </c>
      <c r="M49" s="2"/>
      <c r="N49" s="19">
        <f t="shared" si="1"/>
        <v>0</v>
      </c>
      <c r="O49" s="11"/>
      <c r="P49" s="2">
        <f>--276.44</f>
        <v>276.44</v>
      </c>
      <c r="Q49" s="2"/>
      <c r="R49" s="19"/>
      <c r="S49" s="2"/>
      <c r="T49" s="2"/>
      <c r="U49" s="2"/>
      <c r="V49" s="19"/>
      <c r="W49" s="2"/>
      <c r="X49" s="2">
        <f t="shared" si="2"/>
        <v>276.44</v>
      </c>
      <c r="Y49" s="2"/>
      <c r="Z49" s="19">
        <f t="shared" si="3"/>
        <v>0</v>
      </c>
    </row>
    <row r="50" spans="1:26" s="24" customFormat="1" hidden="1" outlineLevel="1" x14ac:dyDescent="0.25">
      <c r="A50" s="44"/>
      <c r="B50" s="11" t="str">
        <f>CONCATENATE("          ", "4100", " - ", "NON-TAXABLE SALES")</f>
        <v xml:space="preserve">          4100 - NON-TAXABLE SALES</v>
      </c>
      <c r="C50" s="11"/>
      <c r="D50" s="2">
        <f>--458.89</f>
        <v>458.89</v>
      </c>
      <c r="E50" s="2"/>
      <c r="F50" s="19"/>
      <c r="G50" s="2"/>
      <c r="H50" s="2">
        <v>48676</v>
      </c>
      <c r="I50" s="2"/>
      <c r="J50" s="19"/>
      <c r="K50" s="2"/>
      <c r="L50" s="2">
        <f t="shared" si="0"/>
        <v>-48217.11</v>
      </c>
      <c r="M50" s="2"/>
      <c r="N50" s="19">
        <f t="shared" si="1"/>
        <v>-0.99057256142657568</v>
      </c>
      <c r="O50" s="11"/>
      <c r="P50" s="2">
        <f>--335840.56</f>
        <v>335840.56</v>
      </c>
      <c r="Q50" s="2"/>
      <c r="R50" s="19"/>
      <c r="S50" s="2"/>
      <c r="T50" s="2">
        <v>3399049</v>
      </c>
      <c r="U50" s="2"/>
      <c r="V50" s="19"/>
      <c r="W50" s="2"/>
      <c r="X50" s="2">
        <f t="shared" si="2"/>
        <v>-3063208.44</v>
      </c>
      <c r="Y50" s="2"/>
      <c r="Z50" s="19">
        <f t="shared" si="3"/>
        <v>-0.90119572856996177</v>
      </c>
    </row>
    <row r="51" spans="1:26" s="24" customFormat="1" hidden="1" outlineLevel="1" x14ac:dyDescent="0.25">
      <c r="A51" s="44"/>
      <c r="B51" s="11" t="str">
        <f>CONCATENATE("          ", "4101", " - ", "NON-TAXABLE SALES-NEW TEXT")</f>
        <v xml:space="preserve">          4101 - NON-TAXABLE SALES-NEW TEXT</v>
      </c>
      <c r="C51" s="11"/>
      <c r="D51" s="2">
        <f>--349.66</f>
        <v>349.66</v>
      </c>
      <c r="E51" s="2"/>
      <c r="F51" s="19"/>
      <c r="G51" s="2"/>
      <c r="H51" s="2"/>
      <c r="I51" s="2"/>
      <c r="J51" s="19"/>
      <c r="K51" s="2"/>
      <c r="L51" s="2">
        <f t="shared" si="0"/>
        <v>349.66</v>
      </c>
      <c r="M51" s="2"/>
      <c r="N51" s="19">
        <f t="shared" si="1"/>
        <v>0</v>
      </c>
      <c r="O51" s="11"/>
      <c r="P51" s="2">
        <f>--92680.75</f>
        <v>92680.75</v>
      </c>
      <c r="Q51" s="2"/>
      <c r="R51" s="19"/>
      <c r="S51" s="2"/>
      <c r="T51" s="2"/>
      <c r="U51" s="2"/>
      <c r="V51" s="19"/>
      <c r="W51" s="2"/>
      <c r="X51" s="2">
        <f t="shared" si="2"/>
        <v>92680.75</v>
      </c>
      <c r="Y51" s="2"/>
      <c r="Z51" s="19">
        <f t="shared" si="3"/>
        <v>0</v>
      </c>
    </row>
    <row r="52" spans="1:26" s="24" customFormat="1" hidden="1" outlineLevel="1" x14ac:dyDescent="0.25">
      <c r="A52" s="44"/>
      <c r="B52" s="11" t="str">
        <f>CONCATENATE("          ", "4102", " - ", "NON-TAXABLE SALES-USED TEXT")</f>
        <v xml:space="preserve">          4102 - NON-TAXABLE SALES-USED TEXT</v>
      </c>
      <c r="C52" s="11"/>
      <c r="D52" s="2">
        <f>--584.52</f>
        <v>584.52</v>
      </c>
      <c r="E52" s="2"/>
      <c r="F52" s="19"/>
      <c r="G52" s="2"/>
      <c r="H52" s="2"/>
      <c r="I52" s="2"/>
      <c r="J52" s="19"/>
      <c r="K52" s="2"/>
      <c r="L52" s="2">
        <f t="shared" si="0"/>
        <v>584.52</v>
      </c>
      <c r="M52" s="2"/>
      <c r="N52" s="19">
        <f t="shared" si="1"/>
        <v>0</v>
      </c>
      <c r="O52" s="11"/>
      <c r="P52" s="2">
        <f>--37606.84</f>
        <v>37606.839999999997</v>
      </c>
      <c r="Q52" s="2"/>
      <c r="R52" s="19"/>
      <c r="S52" s="2"/>
      <c r="T52" s="2"/>
      <c r="U52" s="2"/>
      <c r="V52" s="19"/>
      <c r="W52" s="2"/>
      <c r="X52" s="2">
        <f t="shared" si="2"/>
        <v>37606.839999999997</v>
      </c>
      <c r="Y52" s="2"/>
      <c r="Z52" s="19">
        <f t="shared" si="3"/>
        <v>0</v>
      </c>
    </row>
    <row r="53" spans="1:26" s="24" customFormat="1" hidden="1" outlineLevel="1" x14ac:dyDescent="0.25">
      <c r="A53" s="44"/>
      <c r="B53" s="11" t="str">
        <f>CONCATENATE("          ", "4103", " - ", "NON-TAXABLE SALES-RENTAL TEXT")</f>
        <v xml:space="preserve">          4103 - NON-TAXABLE SALES-RENTAL TEXT</v>
      </c>
      <c r="C53" s="11"/>
      <c r="D53" s="2">
        <f>0</f>
        <v>0</v>
      </c>
      <c r="E53" s="2"/>
      <c r="F53" s="19"/>
      <c r="G53" s="2"/>
      <c r="H53" s="2"/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>--329.98</f>
        <v>329.98</v>
      </c>
      <c r="Q53" s="2"/>
      <c r="R53" s="19"/>
      <c r="S53" s="2"/>
      <c r="T53" s="2"/>
      <c r="U53" s="2"/>
      <c r="V53" s="19"/>
      <c r="W53" s="2"/>
      <c r="X53" s="2">
        <f t="shared" si="2"/>
        <v>329.98</v>
      </c>
      <c r="Y53" s="2"/>
      <c r="Z53" s="19">
        <f t="shared" si="3"/>
        <v>0</v>
      </c>
    </row>
    <row r="54" spans="1:26" s="24" customFormat="1" hidden="1" outlineLevel="1" x14ac:dyDescent="0.25">
      <c r="A54" s="44"/>
      <c r="B54" s="11" t="str">
        <f>CONCATENATE("          ", "4104", " - ", "NON-TAXABLE SALES-DIGITAL TEXT")</f>
        <v xml:space="preserve">          4104 - NON-TAXABLE SALES-DIGITAL TEXT</v>
      </c>
      <c r="C54" s="11"/>
      <c r="D54" s="2">
        <f>--206.24</f>
        <v>206.24</v>
      </c>
      <c r="E54" s="2"/>
      <c r="F54" s="19"/>
      <c r="G54" s="2"/>
      <c r="H54" s="2"/>
      <c r="I54" s="2"/>
      <c r="J54" s="19"/>
      <c r="K54" s="2"/>
      <c r="L54" s="2">
        <f t="shared" si="0"/>
        <v>206.24</v>
      </c>
      <c r="M54" s="2"/>
      <c r="N54" s="19">
        <f t="shared" si="1"/>
        <v>0</v>
      </c>
      <c r="O54" s="11"/>
      <c r="P54" s="2">
        <f>--320699.09</f>
        <v>320699.09000000003</v>
      </c>
      <c r="Q54" s="2"/>
      <c r="R54" s="19"/>
      <c r="S54" s="2"/>
      <c r="T54" s="2"/>
      <c r="U54" s="2"/>
      <c r="V54" s="19"/>
      <c r="W54" s="2"/>
      <c r="X54" s="2">
        <f t="shared" si="2"/>
        <v>320699.09000000003</v>
      </c>
      <c r="Y54" s="2"/>
      <c r="Z54" s="19">
        <f t="shared" si="3"/>
        <v>0</v>
      </c>
    </row>
    <row r="55" spans="1:26" s="24" customFormat="1" hidden="1" outlineLevel="1" x14ac:dyDescent="0.25">
      <c r="A55" s="44"/>
      <c r="B55" s="11" t="str">
        <f>CONCATENATE("          ", "4111", " - ", "NON-TAXABLE SALES-NO VALUE TEX")</f>
        <v xml:space="preserve">          4111 - NON-TAXABLE SALES-NO VALUE TEX</v>
      </c>
      <c r="C55" s="11"/>
      <c r="D55" s="2">
        <f>--492.72</f>
        <v>492.72</v>
      </c>
      <c r="E55" s="2"/>
      <c r="F55" s="19"/>
      <c r="G55" s="2"/>
      <c r="H55" s="2"/>
      <c r="I55" s="2"/>
      <c r="J55" s="19"/>
      <c r="K55" s="2"/>
      <c r="L55" s="2">
        <f t="shared" si="0"/>
        <v>492.72</v>
      </c>
      <c r="M55" s="2"/>
      <c r="N55" s="19">
        <f t="shared" si="1"/>
        <v>0</v>
      </c>
      <c r="O55" s="11"/>
      <c r="P55" s="2">
        <f>--7592.19</f>
        <v>7592.19</v>
      </c>
      <c r="Q55" s="2"/>
      <c r="R55" s="19"/>
      <c r="S55" s="2"/>
      <c r="T55" s="2"/>
      <c r="U55" s="2"/>
      <c r="V55" s="19"/>
      <c r="W55" s="2"/>
      <c r="X55" s="2">
        <f t="shared" si="2"/>
        <v>7592.19</v>
      </c>
      <c r="Y55" s="2"/>
      <c r="Z55" s="19">
        <f t="shared" si="3"/>
        <v>0</v>
      </c>
    </row>
    <row r="56" spans="1:26" s="24" customFormat="1" hidden="1" outlineLevel="1" x14ac:dyDescent="0.25">
      <c r="A56" s="44"/>
      <c r="B56" s="11" t="str">
        <f>CONCATENATE("          ", "4113", " - ", "NON-TAXABLE SALES-TRADE BOOKS")</f>
        <v xml:space="preserve">          4113 - NON-TAXABLE SALES-TRADE BOOKS</v>
      </c>
      <c r="C56" s="11"/>
      <c r="D56" s="2">
        <f>0</f>
        <v>0</v>
      </c>
      <c r="E56" s="2"/>
      <c r="F56" s="19"/>
      <c r="G56" s="2"/>
      <c r="H56" s="2"/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>--1146.72</f>
        <v>1146.72</v>
      </c>
      <c r="Q56" s="2"/>
      <c r="R56" s="19"/>
      <c r="S56" s="2"/>
      <c r="T56" s="2"/>
      <c r="U56" s="2"/>
      <c r="V56" s="19"/>
      <c r="W56" s="2"/>
      <c r="X56" s="2">
        <f t="shared" si="2"/>
        <v>1146.72</v>
      </c>
      <c r="Y56" s="2"/>
      <c r="Z56" s="19">
        <f t="shared" si="3"/>
        <v>0</v>
      </c>
    </row>
    <row r="57" spans="1:26" s="24" customFormat="1" hidden="1" outlineLevel="1" x14ac:dyDescent="0.25">
      <c r="A57" s="44"/>
      <c r="B57" s="11" t="str">
        <f>CONCATENATE("          ", "4118", " - ", "NON-TAXABLE SALES-STUDY GUIDES")</f>
        <v xml:space="preserve">          4118 - NON-TAXABLE SALES-STUDY GUIDES</v>
      </c>
      <c r="C57" s="11"/>
      <c r="D57" s="2">
        <f>--14.04</f>
        <v>14.04</v>
      </c>
      <c r="E57" s="2"/>
      <c r="F57" s="19"/>
      <c r="G57" s="2"/>
      <c r="H57" s="2"/>
      <c r="I57" s="2"/>
      <c r="J57" s="19"/>
      <c r="K57" s="2"/>
      <c r="L57" s="2">
        <f t="shared" si="0"/>
        <v>14.04</v>
      </c>
      <c r="M57" s="2"/>
      <c r="N57" s="19">
        <f t="shared" si="1"/>
        <v>0</v>
      </c>
      <c r="O57" s="11"/>
      <c r="P57" s="2">
        <f>--34.96</f>
        <v>34.96</v>
      </c>
      <c r="Q57" s="2"/>
      <c r="R57" s="19"/>
      <c r="S57" s="2"/>
      <c r="T57" s="2"/>
      <c r="U57" s="2"/>
      <c r="V57" s="19"/>
      <c r="W57" s="2"/>
      <c r="X57" s="2">
        <f t="shared" si="2"/>
        <v>34.96</v>
      </c>
      <c r="Y57" s="2"/>
      <c r="Z57" s="19">
        <f t="shared" si="3"/>
        <v>0</v>
      </c>
    </row>
    <row r="58" spans="1:26" s="24" customFormat="1" hidden="1" outlineLevel="1" x14ac:dyDescent="0.25">
      <c r="A58" s="44"/>
      <c r="B58" s="11" t="str">
        <f>CONCATENATE("          ", "4125", " - ", "NON-TAXABLE SALES-TEST FORMS")</f>
        <v xml:space="preserve">          4125 - NON-TAXABLE SALES-TEST FORMS</v>
      </c>
      <c r="C58" s="11"/>
      <c r="D58" s="2">
        <f>0</f>
        <v>0</v>
      </c>
      <c r="E58" s="2"/>
      <c r="F58" s="19"/>
      <c r="G58" s="2"/>
      <c r="H58" s="2"/>
      <c r="I58" s="2"/>
      <c r="J58" s="19"/>
      <c r="K58" s="2"/>
      <c r="L58" s="2">
        <f t="shared" si="0"/>
        <v>0</v>
      </c>
      <c r="M58" s="2"/>
      <c r="N58" s="19">
        <f t="shared" si="1"/>
        <v>0</v>
      </c>
      <c r="O58" s="11"/>
      <c r="P58" s="2">
        <f>--124.18</f>
        <v>124.18</v>
      </c>
      <c r="Q58" s="2"/>
      <c r="R58" s="19"/>
      <c r="S58" s="2"/>
      <c r="T58" s="2"/>
      <c r="U58" s="2"/>
      <c r="V58" s="19"/>
      <c r="W58" s="2"/>
      <c r="X58" s="2">
        <f t="shared" si="2"/>
        <v>124.18</v>
      </c>
      <c r="Y58" s="2"/>
      <c r="Z58" s="19">
        <f t="shared" si="3"/>
        <v>0</v>
      </c>
    </row>
    <row r="59" spans="1:26" s="24" customFormat="1" hidden="1" outlineLevel="1" x14ac:dyDescent="0.25">
      <c r="A59" s="44"/>
      <c r="B59" s="11" t="str">
        <f>CONCATENATE("          ", "4126", " - ", "NON-TAXABLE SALES-WRITING INST")</f>
        <v xml:space="preserve">          4126 - NON-TAXABLE SALES-WRITING INST</v>
      </c>
      <c r="C59" s="11"/>
      <c r="D59" s="2">
        <f>--11.85</f>
        <v>11.85</v>
      </c>
      <c r="E59" s="2"/>
      <c r="F59" s="19"/>
      <c r="G59" s="2"/>
      <c r="H59" s="2"/>
      <c r="I59" s="2"/>
      <c r="J59" s="19"/>
      <c r="K59" s="2"/>
      <c r="L59" s="2">
        <f t="shared" si="0"/>
        <v>11.85</v>
      </c>
      <c r="M59" s="2"/>
      <c r="N59" s="19">
        <f t="shared" si="1"/>
        <v>0</v>
      </c>
      <c r="O59" s="11"/>
      <c r="P59" s="2">
        <f>--1470.38</f>
        <v>1470.38</v>
      </c>
      <c r="Q59" s="2"/>
      <c r="R59" s="19"/>
      <c r="S59" s="2"/>
      <c r="T59" s="2"/>
      <c r="U59" s="2"/>
      <c r="V59" s="19"/>
      <c r="W59" s="2"/>
      <c r="X59" s="2">
        <f t="shared" si="2"/>
        <v>1470.38</v>
      </c>
      <c r="Y59" s="2"/>
      <c r="Z59" s="19">
        <f t="shared" si="3"/>
        <v>0</v>
      </c>
    </row>
    <row r="60" spans="1:26" s="24" customFormat="1" hidden="1" outlineLevel="1" x14ac:dyDescent="0.25">
      <c r="A60" s="44"/>
      <c r="B60" s="11" t="str">
        <f>CONCATENATE("          ", "4127", " - ", "NON-TAXABLE SALES-SCHOOL SUPPL")</f>
        <v xml:space="preserve">          4127 - NON-TAXABLE SALES-SCHOOL SUPPL</v>
      </c>
      <c r="C60" s="11"/>
      <c r="D60" s="2">
        <f>--6.28</f>
        <v>6.28</v>
      </c>
      <c r="E60" s="2"/>
      <c r="F60" s="19"/>
      <c r="G60" s="2"/>
      <c r="H60" s="2"/>
      <c r="I60" s="2"/>
      <c r="J60" s="19"/>
      <c r="K60" s="2"/>
      <c r="L60" s="2">
        <f t="shared" si="0"/>
        <v>6.28</v>
      </c>
      <c r="M60" s="2"/>
      <c r="N60" s="19">
        <f t="shared" si="1"/>
        <v>0</v>
      </c>
      <c r="O60" s="11"/>
      <c r="P60" s="2">
        <f>--2603.4</f>
        <v>2603.4</v>
      </c>
      <c r="Q60" s="2"/>
      <c r="R60" s="19"/>
      <c r="S60" s="2"/>
      <c r="T60" s="2"/>
      <c r="U60" s="2"/>
      <c r="V60" s="19"/>
      <c r="W60" s="2"/>
      <c r="X60" s="2">
        <f t="shared" si="2"/>
        <v>2603.4</v>
      </c>
      <c r="Y60" s="2"/>
      <c r="Z60" s="19">
        <f t="shared" si="3"/>
        <v>0</v>
      </c>
    </row>
    <row r="61" spans="1:26" s="24" customFormat="1" hidden="1" outlineLevel="1" x14ac:dyDescent="0.25">
      <c r="A61" s="44"/>
      <c r="B61" s="11" t="str">
        <f>CONCATENATE("          ", "4128", " - ", "NON-TAXABLE SALES-ART/TECH")</f>
        <v xml:space="preserve">          4128 - NON-TAXABLE SALES-ART/TECH</v>
      </c>
      <c r="C61" s="11"/>
      <c r="D61" s="2">
        <f>0</f>
        <v>0</v>
      </c>
      <c r="E61" s="2"/>
      <c r="F61" s="19"/>
      <c r="G61" s="2"/>
      <c r="H61" s="2"/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>--348.72</f>
        <v>348.72</v>
      </c>
      <c r="Q61" s="2"/>
      <c r="R61" s="19"/>
      <c r="S61" s="2"/>
      <c r="T61" s="2"/>
      <c r="U61" s="2"/>
      <c r="V61" s="19"/>
      <c r="W61" s="2"/>
      <c r="X61" s="2">
        <f t="shared" si="2"/>
        <v>348.72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"4131", " - ", "NON-TAXABLE SALES-FOOD")</f>
        <v xml:space="preserve">          4131 - NON-TAXABLE SALES-FOOD</v>
      </c>
      <c r="C62" s="11"/>
      <c r="D62" s="2">
        <f>--8305.09</f>
        <v>8305.09</v>
      </c>
      <c r="E62" s="2"/>
      <c r="F62" s="19"/>
      <c r="G62" s="2"/>
      <c r="H62" s="2"/>
      <c r="I62" s="2"/>
      <c r="J62" s="19"/>
      <c r="K62" s="2"/>
      <c r="L62" s="2">
        <f t="shared" si="0"/>
        <v>8305.09</v>
      </c>
      <c r="M62" s="2"/>
      <c r="N62" s="19">
        <f t="shared" si="1"/>
        <v>0</v>
      </c>
      <c r="O62" s="11"/>
      <c r="P62" s="2">
        <f>--35027.51</f>
        <v>35027.51</v>
      </c>
      <c r="Q62" s="2"/>
      <c r="R62" s="19"/>
      <c r="S62" s="2"/>
      <c r="T62" s="2"/>
      <c r="U62" s="2"/>
      <c r="V62" s="19"/>
      <c r="W62" s="2"/>
      <c r="X62" s="2">
        <f t="shared" si="2"/>
        <v>35027.51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"4132", " - ", "NON-TAXABLE SALES-JUICE")</f>
        <v xml:space="preserve">          4132 - NON-TAXABLE SALES-JUICE</v>
      </c>
      <c r="C63" s="11"/>
      <c r="D63" s="2">
        <f>--2505.59</f>
        <v>2505.59</v>
      </c>
      <c r="E63" s="2"/>
      <c r="F63" s="19"/>
      <c r="G63" s="2"/>
      <c r="H63" s="2"/>
      <c r="I63" s="2"/>
      <c r="J63" s="19"/>
      <c r="K63" s="2"/>
      <c r="L63" s="2">
        <f t="shared" si="0"/>
        <v>2505.59</v>
      </c>
      <c r="M63" s="2"/>
      <c r="N63" s="19">
        <f t="shared" si="1"/>
        <v>0</v>
      </c>
      <c r="O63" s="11"/>
      <c r="P63" s="2">
        <f>--10274.39</f>
        <v>10274.39</v>
      </c>
      <c r="Q63" s="2"/>
      <c r="R63" s="19"/>
      <c r="S63" s="2"/>
      <c r="T63" s="2"/>
      <c r="U63" s="2"/>
      <c r="V63" s="19"/>
      <c r="W63" s="2"/>
      <c r="X63" s="2">
        <f t="shared" si="2"/>
        <v>10274.39</v>
      </c>
      <c r="Y63" s="2"/>
      <c r="Z63" s="19">
        <f t="shared" si="3"/>
        <v>0</v>
      </c>
    </row>
    <row r="64" spans="1:26" s="24" customFormat="1" hidden="1" outlineLevel="1" x14ac:dyDescent="0.25">
      <c r="A64" s="44"/>
      <c r="B64" s="11" t="str">
        <f>CONCATENATE("          ", "4133", " - ", "NON-TAXABLE SALES-CANDY")</f>
        <v xml:space="preserve">          4133 - NON-TAXABLE SALES-CANDY</v>
      </c>
      <c r="C64" s="11"/>
      <c r="D64" s="2">
        <f>--2349.7</f>
        <v>2349.6999999999998</v>
      </c>
      <c r="E64" s="2"/>
      <c r="F64" s="19"/>
      <c r="G64" s="2"/>
      <c r="H64" s="2"/>
      <c r="I64" s="2"/>
      <c r="J64" s="19"/>
      <c r="K64" s="2"/>
      <c r="L64" s="2">
        <f t="shared" si="0"/>
        <v>2349.6999999999998</v>
      </c>
      <c r="M64" s="2"/>
      <c r="N64" s="19">
        <f t="shared" si="1"/>
        <v>0</v>
      </c>
      <c r="O64" s="11"/>
      <c r="P64" s="2">
        <f>--10816.56</f>
        <v>10816.56</v>
      </c>
      <c r="Q64" s="2"/>
      <c r="R64" s="19"/>
      <c r="S64" s="2"/>
      <c r="T64" s="2"/>
      <c r="U64" s="2"/>
      <c r="V64" s="19"/>
      <c r="W64" s="2"/>
      <c r="X64" s="2">
        <f t="shared" si="2"/>
        <v>10816.56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"4135", " - ", "NON-TAXABLE SALES")</f>
        <v xml:space="preserve">          4135 - NON-TAXABLE SALES</v>
      </c>
      <c r="C65" s="11"/>
      <c r="D65" s="2">
        <f>--10.77</f>
        <v>10.77</v>
      </c>
      <c r="E65" s="2"/>
      <c r="F65" s="19"/>
      <c r="G65" s="2"/>
      <c r="H65" s="2"/>
      <c r="I65" s="2"/>
      <c r="J65" s="19"/>
      <c r="K65" s="2"/>
      <c r="L65" s="2">
        <f t="shared" si="0"/>
        <v>10.77</v>
      </c>
      <c r="M65" s="2"/>
      <c r="N65" s="19">
        <f t="shared" si="1"/>
        <v>0</v>
      </c>
      <c r="O65" s="11"/>
      <c r="P65" s="2">
        <f>--114.73</f>
        <v>114.73</v>
      </c>
      <c r="Q65" s="2"/>
      <c r="R65" s="19"/>
      <c r="S65" s="2"/>
      <c r="T65" s="2"/>
      <c r="U65" s="2"/>
      <c r="V65" s="19"/>
      <c r="W65" s="2"/>
      <c r="X65" s="2">
        <f t="shared" si="2"/>
        <v>114.73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"4137", " - ", "NON-TAXABLE SALES-WATER")</f>
        <v xml:space="preserve">          4137 - NON-TAXABLE SALES-WATER</v>
      </c>
      <c r="C66" s="11"/>
      <c r="D66" s="2">
        <f>--1024.04</f>
        <v>1024.04</v>
      </c>
      <c r="E66" s="2"/>
      <c r="F66" s="19"/>
      <c r="G66" s="2"/>
      <c r="H66" s="2"/>
      <c r="I66" s="2"/>
      <c r="J66" s="19"/>
      <c r="K66" s="2"/>
      <c r="L66" s="2">
        <f t="shared" si="0"/>
        <v>1024.04</v>
      </c>
      <c r="M66" s="2"/>
      <c r="N66" s="19">
        <f t="shared" si="1"/>
        <v>0</v>
      </c>
      <c r="O66" s="11"/>
      <c r="P66" s="2">
        <f>--5289.34</f>
        <v>5289.34</v>
      </c>
      <c r="Q66" s="2"/>
      <c r="R66" s="19"/>
      <c r="S66" s="2"/>
      <c r="T66" s="2"/>
      <c r="U66" s="2"/>
      <c r="V66" s="19"/>
      <c r="W66" s="2"/>
      <c r="X66" s="2">
        <f t="shared" si="2"/>
        <v>5289.34</v>
      </c>
      <c r="Y66" s="2"/>
      <c r="Z66" s="19">
        <f t="shared" si="3"/>
        <v>0</v>
      </c>
    </row>
    <row r="67" spans="1:26" s="24" customFormat="1" hidden="1" outlineLevel="1" x14ac:dyDescent="0.25">
      <c r="A67" s="44"/>
      <c r="B67" s="11" t="str">
        <f>CONCATENATE("          ", "4140", " - ", "NON-TAXABLE SALES-LOGO CLOTHIN")</f>
        <v xml:space="preserve">          4140 - NON-TAXABLE SALES-LOGO CLOTHIN</v>
      </c>
      <c r="C67" s="11"/>
      <c r="D67" s="2">
        <f>--7373.27</f>
        <v>7373.27</v>
      </c>
      <c r="E67" s="2"/>
      <c r="F67" s="19"/>
      <c r="G67" s="2"/>
      <c r="H67" s="2"/>
      <c r="I67" s="2"/>
      <c r="J67" s="19"/>
      <c r="K67" s="2"/>
      <c r="L67" s="2">
        <f t="shared" si="0"/>
        <v>7373.27</v>
      </c>
      <c r="M67" s="2"/>
      <c r="N67" s="19">
        <f t="shared" si="1"/>
        <v>0</v>
      </c>
      <c r="O67" s="11"/>
      <c r="P67" s="2">
        <f>--20008.79</f>
        <v>20008.79</v>
      </c>
      <c r="Q67" s="2"/>
      <c r="R67" s="19"/>
      <c r="S67" s="2"/>
      <c r="T67" s="2"/>
      <c r="U67" s="2"/>
      <c r="V67" s="19"/>
      <c r="W67" s="2"/>
      <c r="X67" s="2">
        <f t="shared" si="2"/>
        <v>20008.79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"4141", " - ", "NON-TAXABLE SALES-LOGO GIFTS")</f>
        <v xml:space="preserve">          4141 - NON-TAXABLE SALES-LOGO GIFTS</v>
      </c>
      <c r="C68" s="11"/>
      <c r="D68" s="2">
        <f>--434.35</f>
        <v>434.35</v>
      </c>
      <c r="E68" s="2"/>
      <c r="F68" s="19"/>
      <c r="G68" s="2"/>
      <c r="H68" s="2"/>
      <c r="I68" s="2"/>
      <c r="J68" s="19"/>
      <c r="K68" s="2"/>
      <c r="L68" s="2">
        <f t="shared" si="0"/>
        <v>434.35</v>
      </c>
      <c r="M68" s="2"/>
      <c r="N68" s="19">
        <f t="shared" si="1"/>
        <v>0</v>
      </c>
      <c r="O68" s="11"/>
      <c r="P68" s="2">
        <f>--1830.28</f>
        <v>1830.28</v>
      </c>
      <c r="Q68" s="2"/>
      <c r="R68" s="19"/>
      <c r="S68" s="2"/>
      <c r="T68" s="2"/>
      <c r="U68" s="2"/>
      <c r="V68" s="19"/>
      <c r="W68" s="2"/>
      <c r="X68" s="2">
        <f t="shared" si="2"/>
        <v>1830.28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"4142", " - ", "NON-TAXABLE SALES-EVERYDAY GIF")</f>
        <v xml:space="preserve">          4142 - NON-TAXABLE SALES-EVERYDAY GIF</v>
      </c>
      <c r="C69" s="11"/>
      <c r="D69" s="2">
        <f>--2013.22</f>
        <v>2013.22</v>
      </c>
      <c r="E69" s="2"/>
      <c r="F69" s="19"/>
      <c r="G69" s="2"/>
      <c r="H69" s="2"/>
      <c r="I69" s="2"/>
      <c r="J69" s="19"/>
      <c r="K69" s="2"/>
      <c r="L69" s="2">
        <f t="shared" si="0"/>
        <v>2013.22</v>
      </c>
      <c r="M69" s="2"/>
      <c r="N69" s="19">
        <f t="shared" si="1"/>
        <v>0</v>
      </c>
      <c r="O69" s="11"/>
      <c r="P69" s="2">
        <f>--7932.83</f>
        <v>7932.83</v>
      </c>
      <c r="Q69" s="2"/>
      <c r="R69" s="19"/>
      <c r="S69" s="2"/>
      <c r="T69" s="2"/>
      <c r="U69" s="2"/>
      <c r="V69" s="19"/>
      <c r="W69" s="2"/>
      <c r="X69" s="2">
        <f t="shared" si="2"/>
        <v>7932.83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"4144", " - ", "NON-TAXABLE SALES-ACCESSORIES")</f>
        <v xml:space="preserve">          4144 - NON-TAXABLE SALES-ACCESSORIES</v>
      </c>
      <c r="C70" s="11"/>
      <c r="D70" s="2">
        <f>--29.95</f>
        <v>29.95</v>
      </c>
      <c r="E70" s="2"/>
      <c r="F70" s="19"/>
      <c r="G70" s="2"/>
      <c r="H70" s="2"/>
      <c r="I70" s="2"/>
      <c r="J70" s="19"/>
      <c r="K70" s="2"/>
      <c r="L70" s="2">
        <f t="shared" si="0"/>
        <v>29.95</v>
      </c>
      <c r="M70" s="2"/>
      <c r="N70" s="19">
        <f t="shared" si="1"/>
        <v>0</v>
      </c>
      <c r="O70" s="11"/>
      <c r="P70" s="2">
        <f>--241.56</f>
        <v>241.56</v>
      </c>
      <c r="Q70" s="2"/>
      <c r="R70" s="19"/>
      <c r="S70" s="2"/>
      <c r="T70" s="2"/>
      <c r="U70" s="2"/>
      <c r="V70" s="19"/>
      <c r="W70" s="2"/>
      <c r="X70" s="2">
        <f t="shared" si="2"/>
        <v>241.56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"4145", " - ", "NON-TAXABLE SALES-SPECIAL ORDE")</f>
        <v xml:space="preserve">          4145 - NON-TAXABLE SALES-SPECIAL ORDE</v>
      </c>
      <c r="C71" s="11"/>
      <c r="D71" s="2">
        <f>--50</f>
        <v>50</v>
      </c>
      <c r="E71" s="2"/>
      <c r="F71" s="19"/>
      <c r="G71" s="2"/>
      <c r="H71" s="2"/>
      <c r="I71" s="2"/>
      <c r="J71" s="19"/>
      <c r="K71" s="2"/>
      <c r="L71" s="2">
        <f t="shared" si="0"/>
        <v>50</v>
      </c>
      <c r="M71" s="2"/>
      <c r="N71" s="19">
        <f t="shared" si="1"/>
        <v>0</v>
      </c>
      <c r="O71" s="11"/>
      <c r="P71" s="2">
        <f>--140</f>
        <v>140</v>
      </c>
      <c r="Q71" s="2"/>
      <c r="R71" s="19"/>
      <c r="S71" s="2"/>
      <c r="T71" s="2"/>
      <c r="U71" s="2"/>
      <c r="V71" s="19"/>
      <c r="W71" s="2"/>
      <c r="X71" s="2">
        <f t="shared" si="2"/>
        <v>140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"4146", " - ", "NON-TAXABLE SALES-COIN OP MACH")</f>
        <v xml:space="preserve">          4146 - NON-TAXABLE SALES-COIN OP MACH</v>
      </c>
      <c r="C72" s="11"/>
      <c r="D72" s="2">
        <f>--28930.75</f>
        <v>28930.75</v>
      </c>
      <c r="E72" s="2"/>
      <c r="F72" s="19"/>
      <c r="G72" s="2"/>
      <c r="H72" s="2"/>
      <c r="I72" s="2"/>
      <c r="J72" s="19"/>
      <c r="K72" s="2"/>
      <c r="L72" s="2">
        <f t="shared" si="0"/>
        <v>28930.75</v>
      </c>
      <c r="M72" s="2"/>
      <c r="N72" s="19">
        <f t="shared" si="1"/>
        <v>0</v>
      </c>
      <c r="O72" s="11"/>
      <c r="P72" s="2">
        <f>--119341.05</f>
        <v>119341.05</v>
      </c>
      <c r="Q72" s="2"/>
      <c r="R72" s="19"/>
      <c r="S72" s="2"/>
      <c r="T72" s="2"/>
      <c r="U72" s="2"/>
      <c r="V72" s="19"/>
      <c r="W72" s="2"/>
      <c r="X72" s="2">
        <f t="shared" si="2"/>
        <v>119341.05</v>
      </c>
      <c r="Y72" s="2"/>
      <c r="Z72" s="19">
        <f t="shared" si="3"/>
        <v>0</v>
      </c>
    </row>
    <row r="73" spans="1:26" s="24" customFormat="1" hidden="1" outlineLevel="1" x14ac:dyDescent="0.25">
      <c r="A73" s="44"/>
      <c r="B73" s="11" t="str">
        <f>CONCATENATE("          ", "4147", " - ", "NON-TAXABLE SALES-MISC")</f>
        <v xml:space="preserve">          4147 - NON-TAXABLE SALES-MISC</v>
      </c>
      <c r="C73" s="11"/>
      <c r="D73" s="2">
        <f>--75</f>
        <v>75</v>
      </c>
      <c r="E73" s="2"/>
      <c r="F73" s="19"/>
      <c r="G73" s="2"/>
      <c r="H73" s="2"/>
      <c r="I73" s="2"/>
      <c r="J73" s="19"/>
      <c r="K73" s="2"/>
      <c r="L73" s="2">
        <f t="shared" si="0"/>
        <v>75</v>
      </c>
      <c r="M73" s="2"/>
      <c r="N73" s="19">
        <f t="shared" si="1"/>
        <v>0</v>
      </c>
      <c r="O73" s="11"/>
      <c r="P73" s="2">
        <f>--249.9</f>
        <v>249.9</v>
      </c>
      <c r="Q73" s="2"/>
      <c r="R73" s="19"/>
      <c r="S73" s="2"/>
      <c r="T73" s="2"/>
      <c r="U73" s="2"/>
      <c r="V73" s="19"/>
      <c r="W73" s="2"/>
      <c r="X73" s="2">
        <f t="shared" si="2"/>
        <v>249.9</v>
      </c>
      <c r="Y73" s="2"/>
      <c r="Z73" s="19">
        <f t="shared" si="3"/>
        <v>0</v>
      </c>
    </row>
    <row r="74" spans="1:26" s="24" customFormat="1" hidden="1" outlineLevel="1" x14ac:dyDescent="0.25">
      <c r="A74" s="44"/>
      <c r="B74" s="11" t="str">
        <f>CONCATENATE("          ", "4181", " - ", "NON-TAXABLE SALES-ELECTRONICS")</f>
        <v xml:space="preserve">          4181 - NON-TAXABLE SALES-ELECTRONICS</v>
      </c>
      <c r="C74" s="11"/>
      <c r="D74" s="2">
        <f>0</f>
        <v>0</v>
      </c>
      <c r="E74" s="2"/>
      <c r="F74" s="19"/>
      <c r="G74" s="2"/>
      <c r="H74" s="2"/>
      <c r="I74" s="2"/>
      <c r="J74" s="19"/>
      <c r="K74" s="2"/>
      <c r="L74" s="2">
        <f t="shared" si="0"/>
        <v>0</v>
      </c>
      <c r="M74" s="2"/>
      <c r="N74" s="19">
        <f t="shared" si="1"/>
        <v>0</v>
      </c>
      <c r="O74" s="11"/>
      <c r="P74" s="2">
        <f>--1462.51</f>
        <v>1462.51</v>
      </c>
      <c r="Q74" s="2"/>
      <c r="R74" s="19"/>
      <c r="S74" s="2"/>
      <c r="T74" s="2"/>
      <c r="U74" s="2"/>
      <c r="V74" s="19"/>
      <c r="W74" s="2"/>
      <c r="X74" s="2">
        <f t="shared" si="2"/>
        <v>1462.51</v>
      </c>
      <c r="Y74" s="2"/>
      <c r="Z74" s="19">
        <f t="shared" si="3"/>
        <v>0</v>
      </c>
    </row>
    <row r="75" spans="1:26" s="24" customFormat="1" hidden="1" outlineLevel="1" x14ac:dyDescent="0.25">
      <c r="A75" s="44"/>
      <c r="B75" s="11" t="str">
        <f>CONCATENATE("          ", "4182", " - ", "NON-TAXABLE SALES-COMPUTER HAR")</f>
        <v xml:space="preserve">          4182 - NON-TAXABLE SALES-COMPUTER HAR</v>
      </c>
      <c r="C75" s="11"/>
      <c r="D75" s="2">
        <f>--5749</f>
        <v>5749</v>
      </c>
      <c r="E75" s="2"/>
      <c r="F75" s="19"/>
      <c r="G75" s="2"/>
      <c r="H75" s="2"/>
      <c r="I75" s="2"/>
      <c r="J75" s="19"/>
      <c r="K75" s="2"/>
      <c r="L75" s="2">
        <f t="shared" si="0"/>
        <v>5749</v>
      </c>
      <c r="M75" s="2"/>
      <c r="N75" s="19">
        <f t="shared" si="1"/>
        <v>0</v>
      </c>
      <c r="O75" s="11"/>
      <c r="P75" s="2">
        <f>--62309</f>
        <v>62309</v>
      </c>
      <c r="Q75" s="2"/>
      <c r="R75" s="19"/>
      <c r="S75" s="2"/>
      <c r="T75" s="2"/>
      <c r="U75" s="2"/>
      <c r="V75" s="19"/>
      <c r="W75" s="2"/>
      <c r="X75" s="2">
        <f t="shared" si="2"/>
        <v>62309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"4183", " - ", "NON-TAXABLE SALES-COMPUTER EQU")</f>
        <v xml:space="preserve">          4183 - NON-TAXABLE SALES-COMPUTER EQU</v>
      </c>
      <c r="C76" s="11"/>
      <c r="D76" s="2">
        <f>--249.96</f>
        <v>249.96</v>
      </c>
      <c r="E76" s="2"/>
      <c r="F76" s="19"/>
      <c r="G76" s="2"/>
      <c r="H76" s="2"/>
      <c r="I76" s="2"/>
      <c r="J76" s="19"/>
      <c r="K76" s="2"/>
      <c r="L76" s="2">
        <f t="shared" si="0"/>
        <v>249.96</v>
      </c>
      <c r="M76" s="2"/>
      <c r="N76" s="19">
        <f t="shared" si="1"/>
        <v>0</v>
      </c>
      <c r="O76" s="11"/>
      <c r="P76" s="2">
        <f>--3304.88</f>
        <v>3304.88</v>
      </c>
      <c r="Q76" s="2"/>
      <c r="R76" s="19"/>
      <c r="S76" s="2"/>
      <c r="T76" s="2"/>
      <c r="U76" s="2"/>
      <c r="V76" s="19"/>
      <c r="W76" s="2"/>
      <c r="X76" s="2">
        <f t="shared" si="2"/>
        <v>3304.88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"4184", " - ", "NON-TAXABLE SALES-SOFTWARE LIC")</f>
        <v xml:space="preserve">          4184 - NON-TAXABLE SALES-SOFTWARE LIC</v>
      </c>
      <c r="C77" s="11"/>
      <c r="D77" s="2">
        <f>--1206</f>
        <v>1206</v>
      </c>
      <c r="E77" s="2"/>
      <c r="F77" s="19"/>
      <c r="G77" s="2"/>
      <c r="H77" s="2"/>
      <c r="I77" s="2"/>
      <c r="J77" s="19"/>
      <c r="K77" s="2"/>
      <c r="L77" s="2">
        <f t="shared" si="0"/>
        <v>1206</v>
      </c>
      <c r="M77" s="2"/>
      <c r="N77" s="19">
        <f t="shared" si="1"/>
        <v>0</v>
      </c>
      <c r="O77" s="11"/>
      <c r="P77" s="2">
        <f>--2728</f>
        <v>2728</v>
      </c>
      <c r="Q77" s="2"/>
      <c r="R77" s="19"/>
      <c r="S77" s="2"/>
      <c r="T77" s="2"/>
      <c r="U77" s="2"/>
      <c r="V77" s="19"/>
      <c r="W77" s="2"/>
      <c r="X77" s="2">
        <f t="shared" si="2"/>
        <v>2728</v>
      </c>
      <c r="Y77" s="2"/>
      <c r="Z77" s="19">
        <f t="shared" si="3"/>
        <v>0</v>
      </c>
    </row>
    <row r="78" spans="1:26" s="24" customFormat="1" hidden="1" outlineLevel="1" x14ac:dyDescent="0.25">
      <c r="A78" s="44"/>
      <c r="B78" s="11" t="str">
        <f>CONCATENATE("          ", "4185", " - ", "NON-TAXABLE SALES-SOFTWARE")</f>
        <v xml:space="preserve">          4185 - NON-TAXABLE SALES-SOFTWARE</v>
      </c>
      <c r="C78" s="11"/>
      <c r="D78" s="2">
        <f>--495.98</f>
        <v>495.98</v>
      </c>
      <c r="E78" s="2"/>
      <c r="F78" s="19"/>
      <c r="G78" s="2"/>
      <c r="H78" s="2"/>
      <c r="I78" s="2"/>
      <c r="J78" s="19"/>
      <c r="K78" s="2"/>
      <c r="L78" s="2">
        <f t="shared" si="0"/>
        <v>495.98</v>
      </c>
      <c r="M78" s="2"/>
      <c r="N78" s="19">
        <f t="shared" si="1"/>
        <v>0</v>
      </c>
      <c r="O78" s="11"/>
      <c r="P78" s="2">
        <f>--8963.87</f>
        <v>8963.8700000000008</v>
      </c>
      <c r="Q78" s="2"/>
      <c r="R78" s="19"/>
      <c r="S78" s="2"/>
      <c r="T78" s="2"/>
      <c r="U78" s="2"/>
      <c r="V78" s="19"/>
      <c r="W78" s="2"/>
      <c r="X78" s="2">
        <f t="shared" si="2"/>
        <v>8963.8700000000008</v>
      </c>
      <c r="Y78" s="2"/>
      <c r="Z78" s="19">
        <f t="shared" si="3"/>
        <v>0</v>
      </c>
    </row>
    <row r="79" spans="1:26" s="24" customFormat="1" hidden="1" outlineLevel="1" x14ac:dyDescent="0.25">
      <c r="A79" s="44"/>
      <c r="B79" s="11" t="str">
        <f>CONCATENATE("          ", "4186", " - ", "NON-TAXABLE SALES-COMPUTER SUP")</f>
        <v xml:space="preserve">          4186 - NON-TAXABLE SALES-COMPUTER SUP</v>
      </c>
      <c r="C79" s="11"/>
      <c r="D79" s="2">
        <f>--49.99</f>
        <v>49.99</v>
      </c>
      <c r="E79" s="2"/>
      <c r="F79" s="19"/>
      <c r="G79" s="2"/>
      <c r="H79" s="2"/>
      <c r="I79" s="2"/>
      <c r="J79" s="19"/>
      <c r="K79" s="2"/>
      <c r="L79" s="2">
        <f t="shared" si="0"/>
        <v>49.99</v>
      </c>
      <c r="M79" s="2"/>
      <c r="N79" s="19">
        <f t="shared" si="1"/>
        <v>0</v>
      </c>
      <c r="O79" s="11"/>
      <c r="P79" s="2">
        <f>--1572.4</f>
        <v>1572.4</v>
      </c>
      <c r="Q79" s="2"/>
      <c r="R79" s="19"/>
      <c r="S79" s="2"/>
      <c r="T79" s="2"/>
      <c r="U79" s="2"/>
      <c r="V79" s="19"/>
      <c r="W79" s="2"/>
      <c r="X79" s="2">
        <f t="shared" si="2"/>
        <v>1572.4</v>
      </c>
      <c r="Y79" s="2"/>
      <c r="Z79" s="19">
        <f t="shared" si="3"/>
        <v>0</v>
      </c>
    </row>
    <row r="80" spans="1:26" s="24" customFormat="1" hidden="1" outlineLevel="1" x14ac:dyDescent="0.25">
      <c r="A80" s="44"/>
      <c r="B80" s="11" t="str">
        <f>CONCATENATE("          ", "4188", " - ", "NON-TAXABLE SALES-MUSIC")</f>
        <v xml:space="preserve">          4188 - NON-TAXABLE SALES-MUSIC</v>
      </c>
      <c r="C80" s="11"/>
      <c r="D80" s="2">
        <f>0</f>
        <v>0</v>
      </c>
      <c r="E80" s="2"/>
      <c r="F80" s="19"/>
      <c r="G80" s="2"/>
      <c r="H80" s="2"/>
      <c r="I80" s="2"/>
      <c r="J80" s="19"/>
      <c r="K80" s="2"/>
      <c r="L80" s="2">
        <f t="shared" si="0"/>
        <v>0</v>
      </c>
      <c r="M80" s="2"/>
      <c r="N80" s="19">
        <f t="shared" si="1"/>
        <v>0</v>
      </c>
      <c r="O80" s="11"/>
      <c r="P80" s="2">
        <f>--219.96</f>
        <v>219.96</v>
      </c>
      <c r="Q80" s="2"/>
      <c r="R80" s="19"/>
      <c r="S80" s="2"/>
      <c r="T80" s="2"/>
      <c r="U80" s="2"/>
      <c r="V80" s="19"/>
      <c r="W80" s="2"/>
      <c r="X80" s="2">
        <f t="shared" si="2"/>
        <v>219.96</v>
      </c>
      <c r="Y80" s="2"/>
      <c r="Z80" s="19">
        <f t="shared" si="3"/>
        <v>0</v>
      </c>
    </row>
    <row r="81" spans="1:26" s="24" customFormat="1" hidden="1" outlineLevel="1" x14ac:dyDescent="0.25">
      <c r="A81" s="44"/>
      <c r="B81" s="11" t="str">
        <f>CONCATENATE("          ", "4201", " - ", "SALES RETURN TAXABLE-NEW TEXT")</f>
        <v xml:space="preserve">          4201 - SALES RETURN TAXABLE-NEW TEXT</v>
      </c>
      <c r="C81" s="11"/>
      <c r="D81" s="2">
        <f>-314.9</f>
        <v>-314.89999999999998</v>
      </c>
      <c r="E81" s="2"/>
      <c r="F81" s="19"/>
      <c r="G81" s="2"/>
      <c r="H81" s="2"/>
      <c r="I81" s="2"/>
      <c r="J81" s="19"/>
      <c r="K81" s="2"/>
      <c r="L81" s="2">
        <f t="shared" si="0"/>
        <v>-314.89999999999998</v>
      </c>
      <c r="M81" s="2"/>
      <c r="N81" s="19">
        <f t="shared" si="1"/>
        <v>0</v>
      </c>
      <c r="O81" s="11"/>
      <c r="P81" s="2">
        <f>-78098.57</f>
        <v>-78098.570000000007</v>
      </c>
      <c r="Q81" s="2"/>
      <c r="R81" s="19"/>
      <c r="S81" s="2"/>
      <c r="T81" s="2"/>
      <c r="U81" s="2"/>
      <c r="V81" s="19"/>
      <c r="W81" s="2"/>
      <c r="X81" s="2">
        <f t="shared" si="2"/>
        <v>-78098.570000000007</v>
      </c>
      <c r="Y81" s="2"/>
      <c r="Z81" s="19">
        <f t="shared" si="3"/>
        <v>0</v>
      </c>
    </row>
    <row r="82" spans="1:26" s="24" customFormat="1" hidden="1" outlineLevel="1" x14ac:dyDescent="0.25">
      <c r="A82" s="44"/>
      <c r="B82" s="11" t="str">
        <f>CONCATENATE("          ", "4202", " - ", "SALES RETURN TAXABLE-USED TEXT")</f>
        <v xml:space="preserve">          4202 - SALES RETURN TAXABLE-USED TEXT</v>
      </c>
      <c r="C82" s="11"/>
      <c r="D82" s="2">
        <f>-113.2</f>
        <v>-113.2</v>
      </c>
      <c r="E82" s="2"/>
      <c r="F82" s="19"/>
      <c r="G82" s="2"/>
      <c r="H82" s="2"/>
      <c r="I82" s="2"/>
      <c r="J82" s="19"/>
      <c r="K82" s="2"/>
      <c r="L82" s="2">
        <f t="shared" si="0"/>
        <v>-113.2</v>
      </c>
      <c r="M82" s="2"/>
      <c r="N82" s="19">
        <f t="shared" si="1"/>
        <v>0</v>
      </c>
      <c r="O82" s="11"/>
      <c r="P82" s="2">
        <f>-27042.2</f>
        <v>-27042.2</v>
      </c>
      <c r="Q82" s="2"/>
      <c r="R82" s="19"/>
      <c r="S82" s="2"/>
      <c r="T82" s="2"/>
      <c r="U82" s="2"/>
      <c r="V82" s="19"/>
      <c r="W82" s="2"/>
      <c r="X82" s="2">
        <f t="shared" si="2"/>
        <v>-27042.2</v>
      </c>
      <c r="Y82" s="2"/>
      <c r="Z82" s="19">
        <f t="shared" si="3"/>
        <v>0</v>
      </c>
    </row>
    <row r="83" spans="1:26" s="24" customFormat="1" hidden="1" outlineLevel="1" x14ac:dyDescent="0.25">
      <c r="A83" s="44"/>
      <c r="B83" s="11" t="str">
        <f>CONCATENATE("          ", "4203", " - ", "SALES RETURN TAXABLE-RENTAL TE")</f>
        <v xml:space="preserve">          4203 - SALES RETURN TAXABLE-RENTAL TE</v>
      </c>
      <c r="C83" s="11"/>
      <c r="D83" s="2">
        <f>0</f>
        <v>0</v>
      </c>
      <c r="E83" s="2"/>
      <c r="F83" s="19"/>
      <c r="G83" s="2"/>
      <c r="H83" s="2"/>
      <c r="I83" s="2"/>
      <c r="J83" s="19"/>
      <c r="K83" s="2"/>
      <c r="L83" s="2">
        <f t="shared" si="0"/>
        <v>0</v>
      </c>
      <c r="M83" s="2"/>
      <c r="N83" s="19">
        <f t="shared" si="1"/>
        <v>0</v>
      </c>
      <c r="O83" s="11"/>
      <c r="P83" s="2">
        <f>-144.99</f>
        <v>-144.99</v>
      </c>
      <c r="Q83" s="2"/>
      <c r="R83" s="19"/>
      <c r="S83" s="2"/>
      <c r="T83" s="2"/>
      <c r="U83" s="2"/>
      <c r="V83" s="19"/>
      <c r="W83" s="2"/>
      <c r="X83" s="2">
        <f t="shared" si="2"/>
        <v>-144.99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"4204", " - ", "SALES RETURN TAXABLE-DIGITAL T")</f>
        <v xml:space="preserve">          4204 - SALES RETURN TAXABLE-DIGITAL T</v>
      </c>
      <c r="C84" s="11"/>
      <c r="D84" s="2">
        <f>-119.4</f>
        <v>-119.4</v>
      </c>
      <c r="E84" s="2"/>
      <c r="F84" s="19"/>
      <c r="G84" s="2"/>
      <c r="H84" s="2"/>
      <c r="I84" s="2"/>
      <c r="J84" s="19"/>
      <c r="K84" s="2"/>
      <c r="L84" s="2">
        <f t="shared" si="0"/>
        <v>-119.4</v>
      </c>
      <c r="M84" s="2"/>
      <c r="N84" s="19">
        <f t="shared" si="1"/>
        <v>0</v>
      </c>
      <c r="O84" s="11"/>
      <c r="P84" s="2">
        <f>-11369.46</f>
        <v>-11369.46</v>
      </c>
      <c r="Q84" s="2"/>
      <c r="R84" s="19"/>
      <c r="S84" s="2"/>
      <c r="T84" s="2"/>
      <c r="U84" s="2"/>
      <c r="V84" s="19"/>
      <c r="W84" s="2"/>
      <c r="X84" s="2">
        <f t="shared" si="2"/>
        <v>-11369.46</v>
      </c>
      <c r="Y84" s="2"/>
      <c r="Z84" s="19">
        <f t="shared" si="3"/>
        <v>0</v>
      </c>
    </row>
    <row r="85" spans="1:26" s="24" customFormat="1" hidden="1" outlineLevel="1" x14ac:dyDescent="0.25">
      <c r="A85" s="44"/>
      <c r="B85" s="11" t="str">
        <f>CONCATENATE("          ", "4213", " - ", "NON-TAXABLE SALES-TRADE BOOKS")</f>
        <v xml:space="preserve">          4213 - NON-TAXABLE SALES-TRADE BOOKS</v>
      </c>
      <c r="C85" s="11"/>
      <c r="D85" s="2">
        <f>-67.34</f>
        <v>-67.34</v>
      </c>
      <c r="E85" s="2"/>
      <c r="F85" s="19"/>
      <c r="G85" s="2"/>
      <c r="H85" s="2"/>
      <c r="I85" s="2"/>
      <c r="J85" s="19"/>
      <c r="K85" s="2"/>
      <c r="L85" s="2">
        <f t="shared" si="0"/>
        <v>-67.34</v>
      </c>
      <c r="M85" s="2"/>
      <c r="N85" s="19">
        <f t="shared" si="1"/>
        <v>0</v>
      </c>
      <c r="O85" s="11"/>
      <c r="P85" s="2">
        <f>-102.71</f>
        <v>-102.71</v>
      </c>
      <c r="Q85" s="2"/>
      <c r="R85" s="19"/>
      <c r="S85" s="2"/>
      <c r="T85" s="2"/>
      <c r="U85" s="2"/>
      <c r="V85" s="19"/>
      <c r="W85" s="2"/>
      <c r="X85" s="2">
        <f t="shared" si="2"/>
        <v>-102.71</v>
      </c>
      <c r="Y85" s="2"/>
      <c r="Z85" s="19">
        <f t="shared" si="3"/>
        <v>0</v>
      </c>
    </row>
    <row r="86" spans="1:26" s="24" customFormat="1" hidden="1" outlineLevel="1" x14ac:dyDescent="0.25">
      <c r="A86" s="44"/>
      <c r="B86" s="11" t="str">
        <f>CONCATENATE("          ", "4217", " - ", "NON-TAXABLE SALES-DORM/HOUSEWA")</f>
        <v xml:space="preserve">          4217 - NON-TAXABLE SALES-DORM/HOUSEWA</v>
      </c>
      <c r="C86" s="11"/>
      <c r="D86" s="2">
        <f t="shared" ref="D86:D87" si="5">0</f>
        <v>0</v>
      </c>
      <c r="E86" s="2"/>
      <c r="F86" s="19"/>
      <c r="G86" s="2"/>
      <c r="H86" s="2"/>
      <c r="I86" s="2"/>
      <c r="J86" s="19"/>
      <c r="K86" s="2"/>
      <c r="L86" s="2">
        <f t="shared" si="0"/>
        <v>0</v>
      </c>
      <c r="M86" s="2"/>
      <c r="N86" s="19">
        <f t="shared" si="1"/>
        <v>0</v>
      </c>
      <c r="O86" s="11"/>
      <c r="P86" s="2">
        <f>-2.98</f>
        <v>-2.98</v>
      </c>
      <c r="Q86" s="2"/>
      <c r="R86" s="19"/>
      <c r="S86" s="2"/>
      <c r="T86" s="2"/>
      <c r="U86" s="2"/>
      <c r="V86" s="19"/>
      <c r="W86" s="2"/>
      <c r="X86" s="2">
        <f t="shared" si="2"/>
        <v>-2.98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"4218", " - ", "SALES RETURN TAXABLE-STUDY GUI")</f>
        <v xml:space="preserve">          4218 - SALES RETURN TAXABLE-STUDY GUI</v>
      </c>
      <c r="C87" s="11"/>
      <c r="D87" s="2">
        <f t="shared" si="5"/>
        <v>0</v>
      </c>
      <c r="E87" s="2"/>
      <c r="F87" s="19"/>
      <c r="G87" s="2"/>
      <c r="H87" s="2"/>
      <c r="I87" s="2"/>
      <c r="J87" s="19"/>
      <c r="K87" s="2"/>
      <c r="L87" s="2">
        <f t="shared" si="0"/>
        <v>0</v>
      </c>
      <c r="M87" s="2"/>
      <c r="N87" s="19">
        <f t="shared" si="1"/>
        <v>0</v>
      </c>
      <c r="O87" s="11"/>
      <c r="P87" s="2">
        <f>-32.75</f>
        <v>-32.75</v>
      </c>
      <c r="Q87" s="2"/>
      <c r="R87" s="19"/>
      <c r="S87" s="2"/>
      <c r="T87" s="2"/>
      <c r="U87" s="2"/>
      <c r="V87" s="19"/>
      <c r="W87" s="2"/>
      <c r="X87" s="2">
        <f t="shared" si="2"/>
        <v>-32.75</v>
      </c>
      <c r="Y87" s="2"/>
      <c r="Z87" s="19">
        <f t="shared" si="3"/>
        <v>0</v>
      </c>
    </row>
    <row r="88" spans="1:26" s="24" customFormat="1" hidden="1" outlineLevel="1" x14ac:dyDescent="0.25">
      <c r="A88" s="44"/>
      <c r="B88" s="11" t="str">
        <f>CONCATENATE("          ", "4225", " - ", "SALES RETURN TAXABLE-TEST FORM")</f>
        <v xml:space="preserve">          4225 - SALES RETURN TAXABLE-TEST FORM</v>
      </c>
      <c r="C88" s="11"/>
      <c r="D88" s="2">
        <f>-23.91</f>
        <v>-23.91</v>
      </c>
      <c r="E88" s="2"/>
      <c r="F88" s="19"/>
      <c r="G88" s="2"/>
      <c r="H88" s="2"/>
      <c r="I88" s="2"/>
      <c r="J88" s="19"/>
      <c r="K88" s="2"/>
      <c r="L88" s="2">
        <f t="shared" si="0"/>
        <v>-23.91</v>
      </c>
      <c r="M88" s="2"/>
      <c r="N88" s="19">
        <f t="shared" si="1"/>
        <v>0</v>
      </c>
      <c r="O88" s="11"/>
      <c r="P88" s="2">
        <f>-65.46</f>
        <v>-65.459999999999994</v>
      </c>
      <c r="Q88" s="2"/>
      <c r="R88" s="19"/>
      <c r="S88" s="2"/>
      <c r="T88" s="2"/>
      <c r="U88" s="2"/>
      <c r="V88" s="19"/>
      <c r="W88" s="2"/>
      <c r="X88" s="2">
        <f t="shared" si="2"/>
        <v>-65.459999999999994</v>
      </c>
      <c r="Y88" s="2"/>
      <c r="Z88" s="19">
        <f t="shared" si="3"/>
        <v>0</v>
      </c>
    </row>
    <row r="89" spans="1:26" s="24" customFormat="1" hidden="1" outlineLevel="1" x14ac:dyDescent="0.25">
      <c r="A89" s="44"/>
      <c r="B89" s="11" t="str">
        <f>CONCATENATE("          ", "4226", " - ", "SALES RETURN TAXABLE-WRITING I")</f>
        <v xml:space="preserve">          4226 - SALES RETURN TAXABLE-WRITING I</v>
      </c>
      <c r="C89" s="11"/>
      <c r="D89" s="2">
        <f>-13.74</f>
        <v>-13.74</v>
      </c>
      <c r="E89" s="2"/>
      <c r="F89" s="19"/>
      <c r="G89" s="2"/>
      <c r="H89" s="2"/>
      <c r="I89" s="2"/>
      <c r="J89" s="19"/>
      <c r="K89" s="2"/>
      <c r="L89" s="2">
        <f t="shared" si="0"/>
        <v>-13.74</v>
      </c>
      <c r="M89" s="2"/>
      <c r="N89" s="19">
        <f t="shared" si="1"/>
        <v>0</v>
      </c>
      <c r="O89" s="11"/>
      <c r="P89" s="2">
        <f>-489.71</f>
        <v>-489.71</v>
      </c>
      <c r="Q89" s="2"/>
      <c r="R89" s="19"/>
      <c r="S89" s="2"/>
      <c r="T89" s="2"/>
      <c r="U89" s="2"/>
      <c r="V89" s="19"/>
      <c r="W89" s="2"/>
      <c r="X89" s="2">
        <f t="shared" si="2"/>
        <v>-489.71</v>
      </c>
      <c r="Y89" s="2"/>
      <c r="Z89" s="19">
        <f t="shared" si="3"/>
        <v>0</v>
      </c>
    </row>
    <row r="90" spans="1:26" s="24" customFormat="1" hidden="1" outlineLevel="1" x14ac:dyDescent="0.25">
      <c r="A90" s="44"/>
      <c r="B90" s="11" t="str">
        <f>CONCATENATE("          ", "4227", " - ", "SALES RETURN TAXABLE-SCHOOL SU")</f>
        <v xml:space="preserve">          4227 - SALES RETURN TAXABLE-SCHOOL SU</v>
      </c>
      <c r="C90" s="11"/>
      <c r="D90" s="2">
        <f>-917.34</f>
        <v>-917.34</v>
      </c>
      <c r="E90" s="2"/>
      <c r="F90" s="19"/>
      <c r="G90" s="2"/>
      <c r="H90" s="2"/>
      <c r="I90" s="2"/>
      <c r="J90" s="19"/>
      <c r="K90" s="2"/>
      <c r="L90" s="2">
        <f t="shared" si="0"/>
        <v>-917.34</v>
      </c>
      <c r="M90" s="2"/>
      <c r="N90" s="19">
        <f t="shared" si="1"/>
        <v>0</v>
      </c>
      <c r="O90" s="11"/>
      <c r="P90" s="2">
        <f>-5743.82</f>
        <v>-5743.82</v>
      </c>
      <c r="Q90" s="2"/>
      <c r="R90" s="19"/>
      <c r="S90" s="2"/>
      <c r="T90" s="2"/>
      <c r="U90" s="2"/>
      <c r="V90" s="19"/>
      <c r="W90" s="2"/>
      <c r="X90" s="2">
        <f t="shared" si="2"/>
        <v>-5743.82</v>
      </c>
      <c r="Y90" s="2"/>
      <c r="Z90" s="19">
        <f t="shared" si="3"/>
        <v>0</v>
      </c>
    </row>
    <row r="91" spans="1:26" s="24" customFormat="1" hidden="1" outlineLevel="1" x14ac:dyDescent="0.25">
      <c r="A91" s="44"/>
      <c r="B91" s="11" t="str">
        <f>CONCATENATE("          ", "4228", " - ", "SALES RETURN TAXABLE-ART/TECH")</f>
        <v xml:space="preserve">          4228 - SALES RETURN TAXABLE-ART/TECH</v>
      </c>
      <c r="C91" s="11"/>
      <c r="D91" s="2">
        <f>-441.03</f>
        <v>-441.03</v>
      </c>
      <c r="E91" s="2"/>
      <c r="F91" s="19"/>
      <c r="G91" s="2"/>
      <c r="H91" s="2"/>
      <c r="I91" s="2"/>
      <c r="J91" s="19"/>
      <c r="K91" s="2"/>
      <c r="L91" s="2">
        <f t="shared" si="0"/>
        <v>-441.03</v>
      </c>
      <c r="M91" s="2"/>
      <c r="N91" s="19">
        <f t="shared" si="1"/>
        <v>0</v>
      </c>
      <c r="O91" s="11"/>
      <c r="P91" s="2">
        <f>-2871.29</f>
        <v>-2871.29</v>
      </c>
      <c r="Q91" s="2"/>
      <c r="R91" s="19"/>
      <c r="S91" s="2"/>
      <c r="T91" s="2"/>
      <c r="U91" s="2"/>
      <c r="V91" s="19"/>
      <c r="W91" s="2"/>
      <c r="X91" s="2">
        <f t="shared" si="2"/>
        <v>-2871.29</v>
      </c>
      <c r="Y91" s="2"/>
      <c r="Z91" s="19">
        <f t="shared" si="3"/>
        <v>0</v>
      </c>
    </row>
    <row r="92" spans="1:26" s="24" customFormat="1" hidden="1" outlineLevel="1" x14ac:dyDescent="0.25">
      <c r="A92" s="44"/>
      <c r="B92" s="11" t="str">
        <f>CONCATENATE("          ", "4233", " - ", "SALES RETURN TAXABLE-CANDY")</f>
        <v xml:space="preserve">          4233 - SALES RETURN TAXABLE-CANDY</v>
      </c>
      <c r="C92" s="11"/>
      <c r="D92" s="2">
        <f>-1.29</f>
        <v>-1.29</v>
      </c>
      <c r="E92" s="2"/>
      <c r="F92" s="19"/>
      <c r="G92" s="2"/>
      <c r="H92" s="2"/>
      <c r="I92" s="2"/>
      <c r="J92" s="19"/>
      <c r="K92" s="2"/>
      <c r="L92" s="2">
        <f t="shared" si="0"/>
        <v>-1.29</v>
      </c>
      <c r="M92" s="2"/>
      <c r="N92" s="19">
        <f t="shared" si="1"/>
        <v>0</v>
      </c>
      <c r="O92" s="11"/>
      <c r="P92" s="2">
        <f>-1.29</f>
        <v>-1.29</v>
      </c>
      <c r="Q92" s="2"/>
      <c r="R92" s="19"/>
      <c r="S92" s="2"/>
      <c r="T92" s="2"/>
      <c r="U92" s="2"/>
      <c r="V92" s="19"/>
      <c r="W92" s="2"/>
      <c r="X92" s="2">
        <f t="shared" si="2"/>
        <v>-1.29</v>
      </c>
      <c r="Y92" s="2"/>
      <c r="Z92" s="19">
        <f t="shared" si="3"/>
        <v>0</v>
      </c>
    </row>
    <row r="93" spans="1:26" s="24" customFormat="1" hidden="1" outlineLevel="1" x14ac:dyDescent="0.25">
      <c r="A93" s="44"/>
      <c r="B93" s="11" t="str">
        <f>CONCATENATE("          ", "4240", " - ", "SALES RETURN TAXABLE-LOGO CLOT")</f>
        <v xml:space="preserve">          4240 - SALES RETURN TAXABLE-LOGO CLOT</v>
      </c>
      <c r="C93" s="11"/>
      <c r="D93" s="2">
        <f>-10814.23</f>
        <v>-10814.23</v>
      </c>
      <c r="E93" s="2"/>
      <c r="F93" s="19"/>
      <c r="G93" s="2"/>
      <c r="H93" s="2"/>
      <c r="I93" s="2"/>
      <c r="J93" s="19"/>
      <c r="K93" s="2"/>
      <c r="L93" s="2">
        <f t="shared" si="0"/>
        <v>-10814.23</v>
      </c>
      <c r="M93" s="2"/>
      <c r="N93" s="19">
        <f t="shared" si="1"/>
        <v>0</v>
      </c>
      <c r="O93" s="11"/>
      <c r="P93" s="2">
        <f>-41109.03</f>
        <v>-41109.03</v>
      </c>
      <c r="Q93" s="2"/>
      <c r="R93" s="19"/>
      <c r="S93" s="2"/>
      <c r="T93" s="2"/>
      <c r="U93" s="2"/>
      <c r="V93" s="19"/>
      <c r="W93" s="2"/>
      <c r="X93" s="2">
        <f t="shared" si="2"/>
        <v>-41109.03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"4241", " - ", "SALES RETURN TAXABLE-LOGO GIFT")</f>
        <v xml:space="preserve">          4241 - SALES RETURN TAXABLE-LOGO GIFT</v>
      </c>
      <c r="C94" s="11"/>
      <c r="D94" s="2">
        <f>-491.64</f>
        <v>-491.64</v>
      </c>
      <c r="E94" s="2"/>
      <c r="F94" s="19"/>
      <c r="G94" s="2"/>
      <c r="H94" s="2"/>
      <c r="I94" s="2"/>
      <c r="J94" s="19"/>
      <c r="K94" s="2"/>
      <c r="L94" s="2">
        <f t="shared" si="0"/>
        <v>-491.64</v>
      </c>
      <c r="M94" s="2"/>
      <c r="N94" s="19">
        <f t="shared" si="1"/>
        <v>0</v>
      </c>
      <c r="O94" s="11"/>
      <c r="P94" s="2">
        <f>-3209.59</f>
        <v>-3209.59</v>
      </c>
      <c r="Q94" s="2"/>
      <c r="R94" s="19"/>
      <c r="S94" s="2"/>
      <c r="T94" s="2"/>
      <c r="U94" s="2"/>
      <c r="V94" s="19"/>
      <c r="W94" s="2"/>
      <c r="X94" s="2">
        <f t="shared" si="2"/>
        <v>-3209.59</v>
      </c>
      <c r="Y94" s="2"/>
      <c r="Z94" s="19">
        <f t="shared" si="3"/>
        <v>0</v>
      </c>
    </row>
    <row r="95" spans="1:26" s="24" customFormat="1" hidden="1" outlineLevel="1" x14ac:dyDescent="0.25">
      <c r="A95" s="44"/>
      <c r="B95" s="11" t="str">
        <f>CONCATENATE("          ", "4242", " - ", "SALES RETURN TAXABLE-EVERYDAY")</f>
        <v xml:space="preserve">          4242 - SALES RETURN TAXABLE-EVERYDAY</v>
      </c>
      <c r="C95" s="11"/>
      <c r="D95" s="2">
        <f>-532.3</f>
        <v>-532.29999999999995</v>
      </c>
      <c r="E95" s="2"/>
      <c r="F95" s="19"/>
      <c r="G95" s="2"/>
      <c r="H95" s="2"/>
      <c r="I95" s="2"/>
      <c r="J95" s="19"/>
      <c r="K95" s="2"/>
      <c r="L95" s="2">
        <f t="shared" si="0"/>
        <v>-532.29999999999995</v>
      </c>
      <c r="M95" s="2"/>
      <c r="N95" s="19">
        <f t="shared" si="1"/>
        <v>0</v>
      </c>
      <c r="O95" s="11"/>
      <c r="P95" s="2">
        <f>-1691.87</f>
        <v>-1691.87</v>
      </c>
      <c r="Q95" s="2"/>
      <c r="R95" s="19"/>
      <c r="S95" s="2"/>
      <c r="T95" s="2"/>
      <c r="U95" s="2"/>
      <c r="V95" s="19"/>
      <c r="W95" s="2"/>
      <c r="X95" s="2">
        <f t="shared" si="2"/>
        <v>-1691.87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"4243", " - ", "SALES RETURN TAXABLE-CARDS")</f>
        <v xml:space="preserve">          4243 - SALES RETURN TAXABLE-CARDS</v>
      </c>
      <c r="C96" s="11"/>
      <c r="D96" s="2">
        <f>-316.34</f>
        <v>-316.33999999999997</v>
      </c>
      <c r="E96" s="2"/>
      <c r="F96" s="19"/>
      <c r="G96" s="2"/>
      <c r="H96" s="2"/>
      <c r="I96" s="2"/>
      <c r="J96" s="19"/>
      <c r="K96" s="2"/>
      <c r="L96" s="2">
        <f t="shared" si="0"/>
        <v>-316.33999999999997</v>
      </c>
      <c r="M96" s="2"/>
      <c r="N96" s="19">
        <f t="shared" si="1"/>
        <v>0</v>
      </c>
      <c r="O96" s="11"/>
      <c r="P96" s="2">
        <f>-320.84</f>
        <v>-320.83999999999997</v>
      </c>
      <c r="Q96" s="2"/>
      <c r="R96" s="19"/>
      <c r="S96" s="2"/>
      <c r="T96" s="2"/>
      <c r="U96" s="2"/>
      <c r="V96" s="19"/>
      <c r="W96" s="2"/>
      <c r="X96" s="2">
        <f t="shared" si="2"/>
        <v>-320.83999999999997</v>
      </c>
      <c r="Y96" s="2"/>
      <c r="Z96" s="19">
        <f t="shared" si="3"/>
        <v>0</v>
      </c>
    </row>
    <row r="97" spans="1:26" s="24" customFormat="1" hidden="1" outlineLevel="1" x14ac:dyDescent="0.25">
      <c r="A97" s="44"/>
      <c r="B97" s="11" t="str">
        <f>CONCATENATE("          ", "4244", " - ", "SALES RETURN TAXABLE-ACCESSORI")</f>
        <v xml:space="preserve">          4244 - SALES RETURN TAXABLE-ACCESSORI</v>
      </c>
      <c r="C97" s="11"/>
      <c r="D97" s="2">
        <f>-96.7</f>
        <v>-96.7</v>
      </c>
      <c r="E97" s="2"/>
      <c r="F97" s="19"/>
      <c r="G97" s="2"/>
      <c r="H97" s="2"/>
      <c r="I97" s="2"/>
      <c r="J97" s="19"/>
      <c r="K97" s="2"/>
      <c r="L97" s="2">
        <f t="shared" si="0"/>
        <v>-96.7</v>
      </c>
      <c r="M97" s="2"/>
      <c r="N97" s="19">
        <f t="shared" si="1"/>
        <v>0</v>
      </c>
      <c r="O97" s="11"/>
      <c r="P97" s="2">
        <f>-1529.06</f>
        <v>-1529.06</v>
      </c>
      <c r="Q97" s="2"/>
      <c r="R97" s="19"/>
      <c r="S97" s="2"/>
      <c r="T97" s="2"/>
      <c r="U97" s="2"/>
      <c r="V97" s="19"/>
      <c r="W97" s="2"/>
      <c r="X97" s="2">
        <f t="shared" si="2"/>
        <v>-1529.06</v>
      </c>
      <c r="Y97" s="2"/>
      <c r="Z97" s="19">
        <f t="shared" si="3"/>
        <v>0</v>
      </c>
    </row>
    <row r="98" spans="1:26" s="24" customFormat="1" hidden="1" outlineLevel="1" x14ac:dyDescent="0.25">
      <c r="A98" s="44"/>
      <c r="B98" s="11" t="str">
        <f>CONCATENATE("          ", "4245", " - ", "SALES RETURN TAXABLE-SPECIAL O")</f>
        <v xml:space="preserve">          4245 - SALES RETURN TAXABLE-SPECIAL O</v>
      </c>
      <c r="C98" s="11"/>
      <c r="D98" s="2">
        <f>0</f>
        <v>0</v>
      </c>
      <c r="E98" s="2"/>
      <c r="F98" s="19"/>
      <c r="G98" s="2"/>
      <c r="H98" s="2"/>
      <c r="I98" s="2"/>
      <c r="J98" s="19"/>
      <c r="K98" s="2"/>
      <c r="L98" s="2">
        <f t="shared" si="0"/>
        <v>0</v>
      </c>
      <c r="M98" s="2"/>
      <c r="N98" s="19">
        <f t="shared" si="1"/>
        <v>0</v>
      </c>
      <c r="O98" s="11"/>
      <c r="P98" s="2">
        <f>-91.96</f>
        <v>-91.96</v>
      </c>
      <c r="Q98" s="2"/>
      <c r="R98" s="19"/>
      <c r="S98" s="2"/>
      <c r="T98" s="2"/>
      <c r="U98" s="2"/>
      <c r="V98" s="19"/>
      <c r="W98" s="2"/>
      <c r="X98" s="2">
        <f t="shared" si="2"/>
        <v>-91.96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"4281", " - ", "SALES RETURN TAXABLE-ELECTRONI")</f>
        <v xml:space="preserve">          4281 - SALES RETURN TAXABLE-ELECTRONI</v>
      </c>
      <c r="C99" s="11"/>
      <c r="D99" s="2">
        <f>-445.93</f>
        <v>-445.93</v>
      </c>
      <c r="E99" s="2"/>
      <c r="F99" s="19"/>
      <c r="G99" s="2"/>
      <c r="H99" s="2"/>
      <c r="I99" s="2"/>
      <c r="J99" s="19"/>
      <c r="K99" s="2"/>
      <c r="L99" s="2">
        <f t="shared" si="0"/>
        <v>-445.93</v>
      </c>
      <c r="M99" s="2"/>
      <c r="N99" s="19">
        <f t="shared" si="1"/>
        <v>0</v>
      </c>
      <c r="O99" s="11"/>
      <c r="P99" s="2">
        <f>-5047.06</f>
        <v>-5047.0600000000004</v>
      </c>
      <c r="Q99" s="2"/>
      <c r="R99" s="19"/>
      <c r="S99" s="2"/>
      <c r="T99" s="2"/>
      <c r="U99" s="2"/>
      <c r="V99" s="19"/>
      <c r="W99" s="2"/>
      <c r="X99" s="2">
        <f t="shared" si="2"/>
        <v>-5047.0600000000004</v>
      </c>
      <c r="Y99" s="2"/>
      <c r="Z99" s="19">
        <f t="shared" si="3"/>
        <v>0</v>
      </c>
    </row>
    <row r="100" spans="1:26" s="24" customFormat="1" hidden="1" outlineLevel="1" x14ac:dyDescent="0.25">
      <c r="A100" s="44"/>
      <c r="B100" s="11" t="str">
        <f>CONCATENATE("          ", "4282", " - ", "SALES RETURN TAXABLE-COMPUTER")</f>
        <v xml:space="preserve">          4282 - SALES RETURN TAXABLE-COMPUTER</v>
      </c>
      <c r="C100" s="11"/>
      <c r="D100" s="2">
        <f>-10339.73</f>
        <v>-10339.73</v>
      </c>
      <c r="E100" s="2"/>
      <c r="F100" s="19"/>
      <c r="G100" s="2"/>
      <c r="H100" s="2"/>
      <c r="I100" s="2"/>
      <c r="J100" s="19"/>
      <c r="K100" s="2"/>
      <c r="L100" s="2">
        <f t="shared" si="0"/>
        <v>-10339.73</v>
      </c>
      <c r="M100" s="2"/>
      <c r="N100" s="19">
        <f t="shared" si="1"/>
        <v>0</v>
      </c>
      <c r="O100" s="11"/>
      <c r="P100" s="2">
        <f>-180477.59</f>
        <v>-180477.59</v>
      </c>
      <c r="Q100" s="2"/>
      <c r="R100" s="19"/>
      <c r="S100" s="2"/>
      <c r="T100" s="2"/>
      <c r="U100" s="2"/>
      <c r="V100" s="19"/>
      <c r="W100" s="2"/>
      <c r="X100" s="2">
        <f t="shared" si="2"/>
        <v>-180477.59</v>
      </c>
      <c r="Y100" s="2"/>
      <c r="Z100" s="19">
        <f t="shared" si="3"/>
        <v>0</v>
      </c>
    </row>
    <row r="101" spans="1:26" s="24" customFormat="1" hidden="1" outlineLevel="1" x14ac:dyDescent="0.25">
      <c r="A101" s="44"/>
      <c r="B101" s="11" t="str">
        <f>CONCATENATE("          ", "4283", " - ", "SALES RETURN TAXABLE-COMPUTER")</f>
        <v xml:space="preserve">          4283 - SALES RETURN TAXABLE-COMPUTER</v>
      </c>
      <c r="C101" s="11"/>
      <c r="D101" s="2">
        <f>-423.91</f>
        <v>-423.91</v>
      </c>
      <c r="E101" s="2"/>
      <c r="F101" s="19"/>
      <c r="G101" s="2"/>
      <c r="H101" s="2"/>
      <c r="I101" s="2"/>
      <c r="J101" s="19"/>
      <c r="K101" s="2"/>
      <c r="L101" s="2">
        <f t="shared" si="0"/>
        <v>-423.91</v>
      </c>
      <c r="M101" s="2"/>
      <c r="N101" s="19">
        <f t="shared" si="1"/>
        <v>0</v>
      </c>
      <c r="O101" s="11"/>
      <c r="P101" s="2">
        <f>-2956.24</f>
        <v>-2956.24</v>
      </c>
      <c r="Q101" s="2"/>
      <c r="R101" s="19"/>
      <c r="S101" s="2"/>
      <c r="T101" s="2"/>
      <c r="U101" s="2"/>
      <c r="V101" s="19"/>
      <c r="W101" s="2"/>
      <c r="X101" s="2">
        <f t="shared" si="2"/>
        <v>-2956.24</v>
      </c>
      <c r="Y101" s="2"/>
      <c r="Z101" s="19">
        <f t="shared" si="3"/>
        <v>0</v>
      </c>
    </row>
    <row r="102" spans="1:26" s="24" customFormat="1" hidden="1" outlineLevel="1" x14ac:dyDescent="0.25">
      <c r="A102" s="44"/>
      <c r="B102" s="11" t="str">
        <f>CONCATENATE("          ", "4284", " - ", "SALES RETURN TAXABLE-SOFTWARE")</f>
        <v xml:space="preserve">          4284 - SALES RETURN TAXABLE-SOFTWARE</v>
      </c>
      <c r="C102" s="11"/>
      <c r="D102" s="2">
        <f t="shared" ref="D102:D103" si="6">0</f>
        <v>0</v>
      </c>
      <c r="E102" s="2"/>
      <c r="F102" s="19"/>
      <c r="G102" s="2"/>
      <c r="H102" s="2"/>
      <c r="I102" s="2"/>
      <c r="J102" s="19"/>
      <c r="K102" s="2"/>
      <c r="L102" s="2">
        <f t="shared" si="0"/>
        <v>0</v>
      </c>
      <c r="M102" s="2"/>
      <c r="N102" s="19">
        <f t="shared" si="1"/>
        <v>0</v>
      </c>
      <c r="O102" s="11"/>
      <c r="P102" s="2">
        <f>-129</f>
        <v>-129</v>
      </c>
      <c r="Q102" s="2"/>
      <c r="R102" s="19"/>
      <c r="S102" s="2"/>
      <c r="T102" s="2"/>
      <c r="U102" s="2"/>
      <c r="V102" s="19"/>
      <c r="W102" s="2"/>
      <c r="X102" s="2">
        <f t="shared" si="2"/>
        <v>-129</v>
      </c>
      <c r="Y102" s="2"/>
      <c r="Z102" s="19">
        <f t="shared" si="3"/>
        <v>0</v>
      </c>
    </row>
    <row r="103" spans="1:26" s="24" customFormat="1" hidden="1" outlineLevel="1" x14ac:dyDescent="0.25">
      <c r="A103" s="44"/>
      <c r="B103" s="11" t="str">
        <f>CONCATENATE("          ", "4285", " - ", "SALES RETURN TAXABLE-SOFTWARE")</f>
        <v xml:space="preserve">          4285 - SALES RETURN TAXABLE-SOFTWARE</v>
      </c>
      <c r="C103" s="11"/>
      <c r="D103" s="2">
        <f t="shared" si="6"/>
        <v>0</v>
      </c>
      <c r="E103" s="2"/>
      <c r="F103" s="19"/>
      <c r="G103" s="2"/>
      <c r="H103" s="2"/>
      <c r="I103" s="2"/>
      <c r="J103" s="19"/>
      <c r="K103" s="2"/>
      <c r="L103" s="2">
        <f t="shared" si="0"/>
        <v>0</v>
      </c>
      <c r="M103" s="2"/>
      <c r="N103" s="19">
        <f t="shared" si="1"/>
        <v>0</v>
      </c>
      <c r="O103" s="11"/>
      <c r="P103" s="2">
        <f>-655.98</f>
        <v>-655.98</v>
      </c>
      <c r="Q103" s="2"/>
      <c r="R103" s="19"/>
      <c r="S103" s="2"/>
      <c r="T103" s="2"/>
      <c r="U103" s="2"/>
      <c r="V103" s="19"/>
      <c r="W103" s="2"/>
      <c r="X103" s="2">
        <f t="shared" si="2"/>
        <v>-655.98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"4286", " - ", "SALES RETURN TAXABLE-COMPUTER")</f>
        <v xml:space="preserve">          4286 - SALES RETURN TAXABLE-COMPUTER</v>
      </c>
      <c r="C104" s="11"/>
      <c r="D104" s="2">
        <f>-340.39</f>
        <v>-340.39</v>
      </c>
      <c r="E104" s="2"/>
      <c r="F104" s="19"/>
      <c r="G104" s="2"/>
      <c r="H104" s="2"/>
      <c r="I104" s="2"/>
      <c r="J104" s="19"/>
      <c r="K104" s="2"/>
      <c r="L104" s="2">
        <f t="shared" si="0"/>
        <v>-340.39</v>
      </c>
      <c r="M104" s="2"/>
      <c r="N104" s="19">
        <f t="shared" si="1"/>
        <v>0</v>
      </c>
      <c r="O104" s="11"/>
      <c r="P104" s="2">
        <f>-2791.99</f>
        <v>-2791.99</v>
      </c>
      <c r="Q104" s="2"/>
      <c r="R104" s="19"/>
      <c r="S104" s="2"/>
      <c r="T104" s="2"/>
      <c r="U104" s="2"/>
      <c r="V104" s="19"/>
      <c r="W104" s="2"/>
      <c r="X104" s="2">
        <f t="shared" si="2"/>
        <v>-2791.99</v>
      </c>
      <c r="Y104" s="2"/>
      <c r="Z104" s="19">
        <f t="shared" si="3"/>
        <v>0</v>
      </c>
    </row>
    <row r="105" spans="1:26" s="24" customFormat="1" hidden="1" outlineLevel="1" x14ac:dyDescent="0.25">
      <c r="A105" s="44"/>
      <c r="B105" s="11" t="str">
        <f>CONCATENATE("          ", "4288", " - ", "TAXABLE SALES RETURN-MUSIC")</f>
        <v xml:space="preserve">          4288 - TAXABLE SALES RETURN-MUSIC</v>
      </c>
      <c r="C105" s="11"/>
      <c r="D105" s="2">
        <f>0</f>
        <v>0</v>
      </c>
      <c r="E105" s="2"/>
      <c r="F105" s="19"/>
      <c r="G105" s="2"/>
      <c r="H105" s="2"/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>-3.99</f>
        <v>-3.99</v>
      </c>
      <c r="Q105" s="2"/>
      <c r="R105" s="19"/>
      <c r="S105" s="2"/>
      <c r="T105" s="2"/>
      <c r="U105" s="2"/>
      <c r="V105" s="19"/>
      <c r="W105" s="2"/>
      <c r="X105" s="2">
        <f t="shared" si="2"/>
        <v>-3.99</v>
      </c>
      <c r="Y105" s="2"/>
      <c r="Z105" s="19">
        <f t="shared" si="3"/>
        <v>0</v>
      </c>
    </row>
    <row r="106" spans="1:26" s="24" customFormat="1" hidden="1" outlineLevel="1" x14ac:dyDescent="0.25">
      <c r="A106" s="44"/>
      <c r="B106" s="11" t="str">
        <f>CONCATENATE("          ", "4292", " - ", "SALES RETURN TAXABLE-GRAD MERC")</f>
        <v xml:space="preserve">          4292 - SALES RETURN TAXABLE-GRAD MERC</v>
      </c>
      <c r="C106" s="11"/>
      <c r="D106" s="2">
        <f>-9.95</f>
        <v>-9.9499999999999993</v>
      </c>
      <c r="E106" s="2"/>
      <c r="F106" s="19"/>
      <c r="G106" s="2"/>
      <c r="H106" s="2"/>
      <c r="I106" s="2"/>
      <c r="J106" s="19"/>
      <c r="K106" s="2"/>
      <c r="L106" s="2">
        <f t="shared" si="0"/>
        <v>-9.9499999999999993</v>
      </c>
      <c r="M106" s="2"/>
      <c r="N106" s="19">
        <f t="shared" si="1"/>
        <v>0</v>
      </c>
      <c r="O106" s="11"/>
      <c r="P106" s="2">
        <f>-419.05</f>
        <v>-419.05</v>
      </c>
      <c r="Q106" s="2"/>
      <c r="R106" s="19"/>
      <c r="S106" s="2"/>
      <c r="T106" s="2"/>
      <c r="U106" s="2"/>
      <c r="V106" s="19"/>
      <c r="W106" s="2"/>
      <c r="X106" s="2">
        <f t="shared" si="2"/>
        <v>-419.05</v>
      </c>
      <c r="Y106" s="2"/>
      <c r="Z106" s="19">
        <f t="shared" si="3"/>
        <v>0</v>
      </c>
    </row>
    <row r="107" spans="1:26" s="24" customFormat="1" hidden="1" outlineLevel="1" x14ac:dyDescent="0.25">
      <c r="A107" s="44"/>
      <c r="B107" s="11" t="str">
        <f>CONCATENATE("          ", "4295", " - ", "SALES RETURN TAXABLE-CUSTOMER")</f>
        <v xml:space="preserve">          4295 - SALES RETURN TAXABLE-CUSTOMER</v>
      </c>
      <c r="C107" s="11"/>
      <c r="D107" s="2">
        <f t="shared" ref="D107:D110" si="7">0</f>
        <v>0</v>
      </c>
      <c r="E107" s="2"/>
      <c r="F107" s="19"/>
      <c r="G107" s="2"/>
      <c r="H107" s="2"/>
      <c r="I107" s="2"/>
      <c r="J107" s="19"/>
      <c r="K107" s="2"/>
      <c r="L107" s="2">
        <f t="shared" si="0"/>
        <v>0</v>
      </c>
      <c r="M107" s="2"/>
      <c r="N107" s="19">
        <f t="shared" si="1"/>
        <v>0</v>
      </c>
      <c r="O107" s="11"/>
      <c r="P107" s="2">
        <f>--0.99</f>
        <v>0.99</v>
      </c>
      <c r="Q107" s="2"/>
      <c r="R107" s="19"/>
      <c r="S107" s="2"/>
      <c r="T107" s="2"/>
      <c r="U107" s="2"/>
      <c r="V107" s="19"/>
      <c r="W107" s="2"/>
      <c r="X107" s="2">
        <f t="shared" si="2"/>
        <v>0.99</v>
      </c>
      <c r="Y107" s="2"/>
      <c r="Z107" s="19">
        <f t="shared" si="3"/>
        <v>0</v>
      </c>
    </row>
    <row r="108" spans="1:26" s="24" customFormat="1" hidden="1" outlineLevel="1" x14ac:dyDescent="0.25">
      <c r="A108" s="44"/>
      <c r="B108" s="11" t="str">
        <f>CONCATENATE("          ", "4301", " - ", "SALES RETURN NON TAXABLE-NEW T")</f>
        <v xml:space="preserve">          4301 - SALES RETURN NON TAXABLE-NEW T</v>
      </c>
      <c r="C108" s="11"/>
      <c r="D108" s="2">
        <f t="shared" si="7"/>
        <v>0</v>
      </c>
      <c r="E108" s="2"/>
      <c r="F108" s="19"/>
      <c r="G108" s="2"/>
      <c r="H108" s="2"/>
      <c r="I108" s="2"/>
      <c r="J108" s="19"/>
      <c r="K108" s="2"/>
      <c r="L108" s="2">
        <f t="shared" si="0"/>
        <v>0</v>
      </c>
      <c r="M108" s="2"/>
      <c r="N108" s="19">
        <f t="shared" si="1"/>
        <v>0</v>
      </c>
      <c r="O108" s="11"/>
      <c r="P108" s="2">
        <f>-12310.98</f>
        <v>-12310.98</v>
      </c>
      <c r="Q108" s="2"/>
      <c r="R108" s="19"/>
      <c r="S108" s="2"/>
      <c r="T108" s="2"/>
      <c r="U108" s="2"/>
      <c r="V108" s="19"/>
      <c r="W108" s="2"/>
      <c r="X108" s="2">
        <f t="shared" si="2"/>
        <v>-12310.98</v>
      </c>
      <c r="Y108" s="2"/>
      <c r="Z108" s="19">
        <f t="shared" si="3"/>
        <v>0</v>
      </c>
    </row>
    <row r="109" spans="1:26" s="24" customFormat="1" hidden="1" outlineLevel="1" x14ac:dyDescent="0.25">
      <c r="A109" s="44"/>
      <c r="B109" s="11" t="str">
        <f>CONCATENATE("          ", "4302", " - ", "SALES RETURN NON TAXABLE-TEXT")</f>
        <v xml:space="preserve">          4302 - SALES RETURN NON TAXABLE-TEXT</v>
      </c>
      <c r="C109" s="11"/>
      <c r="D109" s="2">
        <f t="shared" si="7"/>
        <v>0</v>
      </c>
      <c r="E109" s="2"/>
      <c r="F109" s="19"/>
      <c r="G109" s="2"/>
      <c r="H109" s="2"/>
      <c r="I109" s="2"/>
      <c r="J109" s="19"/>
      <c r="K109" s="2"/>
      <c r="L109" s="2">
        <f t="shared" si="0"/>
        <v>0</v>
      </c>
      <c r="M109" s="2"/>
      <c r="N109" s="19">
        <f t="shared" si="1"/>
        <v>0</v>
      </c>
      <c r="O109" s="11"/>
      <c r="P109" s="2">
        <f>-683.8</f>
        <v>-683.8</v>
      </c>
      <c r="Q109" s="2"/>
      <c r="R109" s="19"/>
      <c r="S109" s="2"/>
      <c r="T109" s="2"/>
      <c r="U109" s="2"/>
      <c r="V109" s="19"/>
      <c r="W109" s="2"/>
      <c r="X109" s="2">
        <f t="shared" si="2"/>
        <v>-683.8</v>
      </c>
      <c r="Y109" s="2"/>
      <c r="Z109" s="19">
        <f t="shared" si="3"/>
        <v>0</v>
      </c>
    </row>
    <row r="110" spans="1:26" s="24" customFormat="1" hidden="1" outlineLevel="1" x14ac:dyDescent="0.25">
      <c r="A110" s="44"/>
      <c r="B110" s="11" t="str">
        <f>CONCATENATE("          ", "4303", " - ", "SALES RETURN NON-TAXABLE-RENTA")</f>
        <v xml:space="preserve">          4303 - SALES RETURN NON-TAXABLE-RENTA</v>
      </c>
      <c r="C110" s="11"/>
      <c r="D110" s="2">
        <f t="shared" si="7"/>
        <v>0</v>
      </c>
      <c r="E110" s="2"/>
      <c r="F110" s="19"/>
      <c r="G110" s="2"/>
      <c r="H110" s="2"/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>-184.99</f>
        <v>-184.99</v>
      </c>
      <c r="Q110" s="2"/>
      <c r="R110" s="19"/>
      <c r="S110" s="2"/>
      <c r="T110" s="2"/>
      <c r="U110" s="2"/>
      <c r="V110" s="19"/>
      <c r="W110" s="2"/>
      <c r="X110" s="2">
        <f t="shared" si="2"/>
        <v>-184.99</v>
      </c>
      <c r="Y110" s="2"/>
      <c r="Z110" s="19">
        <f t="shared" si="3"/>
        <v>0</v>
      </c>
    </row>
    <row r="111" spans="1:26" s="24" customFormat="1" hidden="1" outlineLevel="1" x14ac:dyDescent="0.25">
      <c r="A111" s="44"/>
      <c r="B111" s="11" t="str">
        <f>CONCATENATE("          ", "4304", " - ", "SALES RETURN NON TAXABLE-DIGIT")</f>
        <v xml:space="preserve">          4304 - SALES RETURN NON TAXABLE-DIGIT</v>
      </c>
      <c r="C111" s="11"/>
      <c r="D111" s="2">
        <f>-70.58</f>
        <v>-70.58</v>
      </c>
      <c r="E111" s="2"/>
      <c r="F111" s="19"/>
      <c r="G111" s="2"/>
      <c r="H111" s="2"/>
      <c r="I111" s="2"/>
      <c r="J111" s="19"/>
      <c r="K111" s="2"/>
      <c r="L111" s="2">
        <f t="shared" si="0"/>
        <v>-70.58</v>
      </c>
      <c r="M111" s="2"/>
      <c r="N111" s="19">
        <f t="shared" si="1"/>
        <v>0</v>
      </c>
      <c r="O111" s="11"/>
      <c r="P111" s="2">
        <f>-13203.87</f>
        <v>-13203.87</v>
      </c>
      <c r="Q111" s="2"/>
      <c r="R111" s="19"/>
      <c r="S111" s="2"/>
      <c r="T111" s="2"/>
      <c r="U111" s="2"/>
      <c r="V111" s="19"/>
      <c r="W111" s="2"/>
      <c r="X111" s="2">
        <f t="shared" si="2"/>
        <v>-13203.87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"4311", " - ", "SALES RETURN NON TAXABLE-NO VA")</f>
        <v xml:space="preserve">          4311 - SALES RETURN NON TAXABLE-NO VA</v>
      </c>
      <c r="C112" s="11"/>
      <c r="D112" s="2">
        <f t="shared" ref="D112:D113" si="8">0</f>
        <v>0</v>
      </c>
      <c r="E112" s="2"/>
      <c r="F112" s="19"/>
      <c r="G112" s="2"/>
      <c r="H112" s="2"/>
      <c r="I112" s="2"/>
      <c r="J112" s="19"/>
      <c r="K112" s="2"/>
      <c r="L112" s="2">
        <f t="shared" si="0"/>
        <v>0</v>
      </c>
      <c r="M112" s="2"/>
      <c r="N112" s="19">
        <f t="shared" si="1"/>
        <v>0</v>
      </c>
      <c r="O112" s="11"/>
      <c r="P112" s="2">
        <f>-387.96</f>
        <v>-387.96</v>
      </c>
      <c r="Q112" s="2"/>
      <c r="R112" s="19"/>
      <c r="S112" s="2"/>
      <c r="T112" s="2"/>
      <c r="U112" s="2"/>
      <c r="V112" s="19"/>
      <c r="W112" s="2"/>
      <c r="X112" s="2">
        <f t="shared" si="2"/>
        <v>-387.96</v>
      </c>
      <c r="Y112" s="2"/>
      <c r="Z112" s="19">
        <f t="shared" si="3"/>
        <v>0</v>
      </c>
    </row>
    <row r="113" spans="1:26" s="24" customFormat="1" hidden="1" outlineLevel="1" x14ac:dyDescent="0.25">
      <c r="A113" s="44"/>
      <c r="B113" s="11" t="str">
        <f>CONCATENATE("          ", "4327", " - ", "SALES RETURN NON TAXABLE-SCHOO")</f>
        <v xml:space="preserve">          4327 - SALES RETURN NON TAXABLE-SCHOO</v>
      </c>
      <c r="C113" s="11"/>
      <c r="D113" s="2">
        <f t="shared" si="8"/>
        <v>0</v>
      </c>
      <c r="E113" s="2"/>
      <c r="F113" s="19"/>
      <c r="G113" s="2"/>
      <c r="H113" s="2"/>
      <c r="I113" s="2"/>
      <c r="J113" s="19"/>
      <c r="K113" s="2"/>
      <c r="L113" s="2">
        <f t="shared" si="0"/>
        <v>0</v>
      </c>
      <c r="M113" s="2"/>
      <c r="N113" s="19">
        <f t="shared" si="1"/>
        <v>0</v>
      </c>
      <c r="O113" s="11"/>
      <c r="P113" s="2">
        <f>-21.87</f>
        <v>-21.87</v>
      </c>
      <c r="Q113" s="2"/>
      <c r="R113" s="19"/>
      <c r="S113" s="2"/>
      <c r="T113" s="2"/>
      <c r="U113" s="2"/>
      <c r="V113" s="19"/>
      <c r="W113" s="2"/>
      <c r="X113" s="2">
        <f t="shared" si="2"/>
        <v>-21.87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"4340", " - ", "SALES RETURN NON TAXABLE-LOGO")</f>
        <v xml:space="preserve">          4340 - SALES RETURN NON TAXABLE-LOGO</v>
      </c>
      <c r="C114" s="11"/>
      <c r="D114" s="2">
        <f>-29.95</f>
        <v>-29.95</v>
      </c>
      <c r="E114" s="2"/>
      <c r="F114" s="19"/>
      <c r="G114" s="2"/>
      <c r="H114" s="2"/>
      <c r="I114" s="2"/>
      <c r="J114" s="19"/>
      <c r="K114" s="2"/>
      <c r="L114" s="2">
        <f t="shared" si="0"/>
        <v>-29.95</v>
      </c>
      <c r="M114" s="2"/>
      <c r="N114" s="19">
        <f t="shared" si="1"/>
        <v>0</v>
      </c>
      <c r="O114" s="11"/>
      <c r="P114" s="2">
        <f>-323.4</f>
        <v>-323.39999999999998</v>
      </c>
      <c r="Q114" s="2"/>
      <c r="R114" s="19"/>
      <c r="S114" s="2"/>
      <c r="T114" s="2"/>
      <c r="U114" s="2"/>
      <c r="V114" s="19"/>
      <c r="W114" s="2"/>
      <c r="X114" s="2">
        <f t="shared" si="2"/>
        <v>-323.39999999999998</v>
      </c>
      <c r="Y114" s="2"/>
      <c r="Z114" s="19">
        <f t="shared" si="3"/>
        <v>0</v>
      </c>
    </row>
    <row r="115" spans="1:26" s="24" customFormat="1" hidden="1" outlineLevel="1" x14ac:dyDescent="0.25">
      <c r="A115" s="44"/>
      <c r="B115" s="11" t="str">
        <f>CONCATENATE("          ", "4341", " - ", "SALES RETURN NON TAXABLE-LOGO")</f>
        <v xml:space="preserve">          4341 - SALES RETURN NON TAXABLE-LOGO</v>
      </c>
      <c r="C115" s="11"/>
      <c r="D115" s="2">
        <f>0</f>
        <v>0</v>
      </c>
      <c r="E115" s="2"/>
      <c r="F115" s="19"/>
      <c r="G115" s="2"/>
      <c r="H115" s="2"/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>-10.9</f>
        <v>-10.9</v>
      </c>
      <c r="Q115" s="2"/>
      <c r="R115" s="19"/>
      <c r="S115" s="2"/>
      <c r="T115" s="2"/>
      <c r="U115" s="2"/>
      <c r="V115" s="19"/>
      <c r="W115" s="2"/>
      <c r="X115" s="2">
        <f t="shared" si="2"/>
        <v>-10.9</v>
      </c>
      <c r="Y115" s="2"/>
      <c r="Z115" s="19">
        <f t="shared" si="3"/>
        <v>0</v>
      </c>
    </row>
    <row r="116" spans="1:26" s="24" customFormat="1" hidden="1" outlineLevel="1" x14ac:dyDescent="0.25">
      <c r="A116" s="44"/>
      <c r="B116" s="11" t="str">
        <f>CONCATENATE("          ", "4342", " - ", "SALES RETURN NON TAXABLE-EVERY")</f>
        <v xml:space="preserve">          4342 - SALES RETURN NON TAXABLE-EVERY</v>
      </c>
      <c r="C116" s="11"/>
      <c r="D116" s="2">
        <f>-6.95</f>
        <v>-6.95</v>
      </c>
      <c r="E116" s="2"/>
      <c r="F116" s="19"/>
      <c r="G116" s="2"/>
      <c r="H116" s="2"/>
      <c r="I116" s="2"/>
      <c r="J116" s="19"/>
      <c r="K116" s="2"/>
      <c r="L116" s="2">
        <f t="shared" si="0"/>
        <v>-6.95</v>
      </c>
      <c r="M116" s="2"/>
      <c r="N116" s="19">
        <f t="shared" si="1"/>
        <v>0</v>
      </c>
      <c r="O116" s="11"/>
      <c r="P116" s="2">
        <f>-109.8</f>
        <v>-109.8</v>
      </c>
      <c r="Q116" s="2"/>
      <c r="R116" s="19"/>
      <c r="S116" s="2"/>
      <c r="T116" s="2"/>
      <c r="U116" s="2"/>
      <c r="V116" s="19"/>
      <c r="W116" s="2"/>
      <c r="X116" s="2">
        <f t="shared" si="2"/>
        <v>-109.8</v>
      </c>
      <c r="Y116" s="2"/>
      <c r="Z116" s="19">
        <f t="shared" si="3"/>
        <v>0</v>
      </c>
    </row>
    <row r="117" spans="1:26" s="24" customFormat="1" hidden="1" outlineLevel="1" x14ac:dyDescent="0.25">
      <c r="A117" s="44"/>
      <c r="B117" s="11" t="str">
        <f>CONCATENATE("          ", "4346", " - ", "SALES RETURN NON TAXABLE-COIN-")</f>
        <v xml:space="preserve">          4346 - SALES RETURN NON TAXABLE-COIN-</v>
      </c>
      <c r="C117" s="11"/>
      <c r="D117" s="2">
        <f t="shared" ref="D117:D120" si="9">0</f>
        <v>0</v>
      </c>
      <c r="E117" s="2"/>
      <c r="F117" s="19"/>
      <c r="G117" s="2"/>
      <c r="H117" s="2"/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1"/>
      <c r="P117" s="2">
        <f>-8.15</f>
        <v>-8.15</v>
      </c>
      <c r="Q117" s="2"/>
      <c r="R117" s="19"/>
      <c r="S117" s="2"/>
      <c r="T117" s="2"/>
      <c r="U117" s="2"/>
      <c r="V117" s="19"/>
      <c r="W117" s="2"/>
      <c r="X117" s="2">
        <f t="shared" si="2"/>
        <v>-8.15</v>
      </c>
      <c r="Y117" s="2"/>
      <c r="Z117" s="19">
        <f t="shared" si="3"/>
        <v>0</v>
      </c>
    </row>
    <row r="118" spans="1:26" s="24" customFormat="1" hidden="1" outlineLevel="1" x14ac:dyDescent="0.25">
      <c r="A118" s="44"/>
      <c r="B118" s="11" t="str">
        <f>CONCATENATE("          ", "4381", " - ", "SALES RETURN NON TAXABLE-ELECT")</f>
        <v xml:space="preserve">          4381 - SALES RETURN NON TAXABLE-ELECT</v>
      </c>
      <c r="C118" s="11"/>
      <c r="D118" s="2">
        <f t="shared" si="9"/>
        <v>0</v>
      </c>
      <c r="E118" s="2"/>
      <c r="F118" s="19"/>
      <c r="G118" s="2"/>
      <c r="H118" s="2"/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>-1279.84</f>
        <v>-1279.8399999999999</v>
      </c>
      <c r="Q118" s="2"/>
      <c r="R118" s="19"/>
      <c r="S118" s="2"/>
      <c r="T118" s="2"/>
      <c r="U118" s="2"/>
      <c r="V118" s="19"/>
      <c r="W118" s="2"/>
      <c r="X118" s="2">
        <f t="shared" si="2"/>
        <v>-1279.8399999999999</v>
      </c>
      <c r="Y118" s="2"/>
      <c r="Z118" s="19">
        <f t="shared" si="3"/>
        <v>0</v>
      </c>
    </row>
    <row r="119" spans="1:26" s="24" customFormat="1" hidden="1" outlineLevel="1" x14ac:dyDescent="0.25">
      <c r="A119" s="44"/>
      <c r="B119" s="11" t="str">
        <f>CONCATENATE("          ", "4383", " - ", "SALES RETURN NON TAXABLE-COMPU")</f>
        <v xml:space="preserve">          4383 - SALES RETURN NON TAXABLE-COMPU</v>
      </c>
      <c r="C119" s="11"/>
      <c r="D119" s="2">
        <f t="shared" si="9"/>
        <v>0</v>
      </c>
      <c r="E119" s="2"/>
      <c r="F119" s="19"/>
      <c r="G119" s="2"/>
      <c r="H119" s="2"/>
      <c r="I119" s="2"/>
      <c r="J119" s="19"/>
      <c r="K119" s="2"/>
      <c r="L119" s="2">
        <f t="shared" si="0"/>
        <v>0</v>
      </c>
      <c r="M119" s="2"/>
      <c r="N119" s="19">
        <f t="shared" si="1"/>
        <v>0</v>
      </c>
      <c r="O119" s="11"/>
      <c r="P119" s="2">
        <f>-49.98</f>
        <v>-49.98</v>
      </c>
      <c r="Q119" s="2"/>
      <c r="R119" s="19"/>
      <c r="S119" s="2"/>
      <c r="T119" s="2"/>
      <c r="U119" s="2"/>
      <c r="V119" s="19"/>
      <c r="W119" s="2"/>
      <c r="X119" s="2">
        <f t="shared" si="2"/>
        <v>-49.98</v>
      </c>
      <c r="Y119" s="2"/>
      <c r="Z119" s="19">
        <f t="shared" si="3"/>
        <v>0</v>
      </c>
    </row>
    <row r="120" spans="1:26" s="24" customFormat="1" hidden="1" outlineLevel="1" x14ac:dyDescent="0.25">
      <c r="A120" s="44"/>
      <c r="B120" s="11" t="str">
        <f>CONCATENATE("          ", "4386", " - ", "SALES RETURN NON TAXABLE-COMPU")</f>
        <v xml:space="preserve">          4386 - SALES RETURN NON TAXABLE-COMPU</v>
      </c>
      <c r="C120" s="11"/>
      <c r="D120" s="2">
        <f t="shared" si="9"/>
        <v>0</v>
      </c>
      <c r="E120" s="2"/>
      <c r="F120" s="19"/>
      <c r="G120" s="2"/>
      <c r="H120" s="2"/>
      <c r="I120" s="2"/>
      <c r="J120" s="19"/>
      <c r="K120" s="2"/>
      <c r="L120" s="2">
        <f t="shared" si="0"/>
        <v>0</v>
      </c>
      <c r="M120" s="2"/>
      <c r="N120" s="19">
        <f t="shared" si="1"/>
        <v>0</v>
      </c>
      <c r="O120" s="11"/>
      <c r="P120" s="2">
        <f>-54.97</f>
        <v>-54.97</v>
      </c>
      <c r="Q120" s="2"/>
      <c r="R120" s="19"/>
      <c r="S120" s="2"/>
      <c r="T120" s="2"/>
      <c r="U120" s="2"/>
      <c r="V120" s="19"/>
      <c r="W120" s="2"/>
      <c r="X120" s="2">
        <f t="shared" si="2"/>
        <v>-54.97</v>
      </c>
      <c r="Y120" s="2"/>
      <c r="Z120" s="19">
        <f t="shared" si="3"/>
        <v>0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collapsed="1" x14ac:dyDescent="0.25">
      <c r="A122" s="10"/>
      <c r="B122" s="29" t="s">
        <v>8</v>
      </c>
      <c r="C122" s="10"/>
      <c r="D122" s="4">
        <f>SUM(OSRRefD16x_0)</f>
        <v>347490.74000000022</v>
      </c>
      <c r="E122" s="4"/>
      <c r="F122" s="12">
        <f t="shared" ref="F122:F180" si="10">IF(D$12=0,0,D122/D$12)</f>
        <v>0.56887061309466402</v>
      </c>
      <c r="G122" s="4"/>
      <c r="H122" s="4">
        <f>SUM(OSRRefH16x_0)</f>
        <v>270807.33172000002</v>
      </c>
      <c r="I122" s="4"/>
      <c r="J122" s="12">
        <f t="shared" ref="J122:J180" si="11">IF(H$12=0,0,H122/H$12)</f>
        <v>0.50449064812464128</v>
      </c>
      <c r="K122" s="4"/>
      <c r="L122" s="4">
        <f t="shared" ref="L122:L180" si="12">+D122-H122</f>
        <v>76683.408280000207</v>
      </c>
      <c r="M122" s="4"/>
      <c r="N122" s="12">
        <f t="shared" ref="N122:N180" si="13">IF(H122=0,0,L122/H122)</f>
        <v>0.28316592388010625</v>
      </c>
      <c r="O122" s="10"/>
      <c r="P122" s="4">
        <f>SUM(OSRRefP16x_0)</f>
        <v>4362764.9600000009</v>
      </c>
      <c r="Q122" s="4"/>
      <c r="R122" s="12">
        <f t="shared" ref="R122:R180" si="14">IF(P$12=0,0,P122/P$12)</f>
        <v>0.66403689829471801</v>
      </c>
      <c r="S122" s="4"/>
      <c r="T122" s="4">
        <f>SUM(OSRRefT16x_0)</f>
        <v>4100489.0501899999</v>
      </c>
      <c r="U122" s="4"/>
      <c r="V122" s="12">
        <f t="shared" ref="V122:V180" si="15">IF(T$12=0,0,T122/T$12)</f>
        <v>0.6252973177172666</v>
      </c>
      <c r="W122" s="4"/>
      <c r="X122" s="4">
        <f t="shared" ref="X122:X180" si="16">+P122-T122</f>
        <v>262275.90981000103</v>
      </c>
      <c r="Y122" s="4"/>
      <c r="Z122" s="12">
        <f t="shared" ref="Z122:Z180" si="17">IF(T122=0,0,X122/T122)</f>
        <v>6.3962104665990574E-2</v>
      </c>
    </row>
    <row r="123" spans="1:26" s="24" customFormat="1" hidden="1" outlineLevel="1" x14ac:dyDescent="0.25">
      <c r="A123" s="44"/>
      <c r="B123" s="11" t="str">
        <f>CONCATENATE("          ", "5000", " - ", "PURCHASES @ COST")</f>
        <v xml:space="preserve">          5000 - PURCHASES @ COST</v>
      </c>
      <c r="C123" s="11"/>
      <c r="D123" s="2"/>
      <c r="E123" s="2"/>
      <c r="F123" s="19">
        <f t="shared" si="10"/>
        <v>0</v>
      </c>
      <c r="G123" s="2"/>
      <c r="H123" s="2">
        <v>270807.33172000002</v>
      </c>
      <c r="I123" s="2"/>
      <c r="J123" s="19">
        <f t="shared" si="11"/>
        <v>0.50449064812464128</v>
      </c>
      <c r="K123" s="2"/>
      <c r="L123" s="2">
        <f t="shared" si="12"/>
        <v>-270807.33172000002</v>
      </c>
      <c r="M123" s="2"/>
      <c r="N123" s="19">
        <f t="shared" si="13"/>
        <v>-1</v>
      </c>
      <c r="O123" s="11"/>
      <c r="P123" s="2"/>
      <c r="Q123" s="2"/>
      <c r="R123" s="19">
        <f t="shared" si="14"/>
        <v>0</v>
      </c>
      <c r="S123" s="2"/>
      <c r="T123" s="2">
        <v>4100489.0501899999</v>
      </c>
      <c r="U123" s="2"/>
      <c r="V123" s="19">
        <f t="shared" si="15"/>
        <v>0.6252973177172666</v>
      </c>
      <c r="W123" s="2"/>
      <c r="X123" s="2">
        <f t="shared" si="16"/>
        <v>-4100489.0501899999</v>
      </c>
      <c r="Y123" s="2"/>
      <c r="Z123" s="19">
        <f t="shared" si="17"/>
        <v>-1</v>
      </c>
    </row>
    <row r="124" spans="1:26" s="24" customFormat="1" hidden="1" outlineLevel="1" x14ac:dyDescent="0.25">
      <c r="A124" s="44"/>
      <c r="B124" s="11" t="str">
        <f>CONCATENATE("          ", "5001", " - ", "PURCHASES @ COST-NEW TEXT")</f>
        <v xml:space="preserve">          5001 - PURCHASES @ COST-NEW TEXT</v>
      </c>
      <c r="C124" s="11"/>
      <c r="D124" s="2">
        <v>-175297.72999999998</v>
      </c>
      <c r="E124" s="2"/>
      <c r="F124" s="19">
        <f t="shared" si="10"/>
        <v>-0.28697664616675195</v>
      </c>
      <c r="G124" s="2"/>
      <c r="H124" s="2"/>
      <c r="I124" s="2"/>
      <c r="J124" s="19">
        <f t="shared" si="11"/>
        <v>0</v>
      </c>
      <c r="K124" s="2"/>
      <c r="L124" s="2">
        <f t="shared" si="12"/>
        <v>-175297.72999999998</v>
      </c>
      <c r="M124" s="2"/>
      <c r="N124" s="19">
        <f t="shared" si="13"/>
        <v>0</v>
      </c>
      <c r="O124" s="11"/>
      <c r="P124" s="2">
        <v>1581850.69</v>
      </c>
      <c r="Q124" s="2"/>
      <c r="R124" s="19">
        <f t="shared" si="14"/>
        <v>0.2407664028164743</v>
      </c>
      <c r="S124" s="2"/>
      <c r="T124" s="2"/>
      <c r="U124" s="2"/>
      <c r="V124" s="19">
        <f t="shared" si="15"/>
        <v>0</v>
      </c>
      <c r="W124" s="2"/>
      <c r="X124" s="2">
        <f t="shared" si="16"/>
        <v>1581850.69</v>
      </c>
      <c r="Y124" s="2"/>
      <c r="Z124" s="19">
        <f t="shared" si="17"/>
        <v>0</v>
      </c>
    </row>
    <row r="125" spans="1:26" s="24" customFormat="1" hidden="1" outlineLevel="1" x14ac:dyDescent="0.25">
      <c r="A125" s="44"/>
      <c r="B125" s="11" t="str">
        <f>CONCATENATE("          ", "5002", " - ", "PURCHASES @ COST-USED TEXT")</f>
        <v xml:space="preserve">          5002 - PURCHASES @ COST-USED TEXT</v>
      </c>
      <c r="C125" s="11"/>
      <c r="D125" s="2">
        <v>-155785.26999999999</v>
      </c>
      <c r="E125" s="2"/>
      <c r="F125" s="19">
        <f t="shared" si="10"/>
        <v>-0.25503316162041528</v>
      </c>
      <c r="G125" s="2"/>
      <c r="H125" s="2"/>
      <c r="I125" s="2"/>
      <c r="J125" s="19">
        <f t="shared" si="11"/>
        <v>0</v>
      </c>
      <c r="K125" s="2"/>
      <c r="L125" s="2">
        <f t="shared" si="12"/>
        <v>-155785.26999999999</v>
      </c>
      <c r="M125" s="2"/>
      <c r="N125" s="19">
        <f t="shared" si="13"/>
        <v>0</v>
      </c>
      <c r="O125" s="11"/>
      <c r="P125" s="2">
        <v>212247.9</v>
      </c>
      <c r="Q125" s="2"/>
      <c r="R125" s="19">
        <f t="shared" si="14"/>
        <v>3.230530144937431E-2</v>
      </c>
      <c r="S125" s="2"/>
      <c r="T125" s="2"/>
      <c r="U125" s="2"/>
      <c r="V125" s="19">
        <f t="shared" si="15"/>
        <v>0</v>
      </c>
      <c r="W125" s="2"/>
      <c r="X125" s="2">
        <f t="shared" si="16"/>
        <v>212247.9</v>
      </c>
      <c r="Y125" s="2"/>
      <c r="Z125" s="19">
        <f t="shared" si="17"/>
        <v>0</v>
      </c>
    </row>
    <row r="126" spans="1:26" s="24" customFormat="1" hidden="1" outlineLevel="1" x14ac:dyDescent="0.25">
      <c r="A126" s="44"/>
      <c r="B126" s="11" t="str">
        <f>CONCATENATE("          ", "5003", " - ", "PURCHASES @ COST-RENTAL TEXT")</f>
        <v xml:space="preserve">          5003 - PURCHASES @ COST-RENTAL TEXT</v>
      </c>
      <c r="C126" s="11"/>
      <c r="D126" s="2"/>
      <c r="E126" s="2"/>
      <c r="F126" s="19">
        <f t="shared" si="10"/>
        <v>0</v>
      </c>
      <c r="G126" s="2"/>
      <c r="H126" s="2"/>
      <c r="I126" s="2"/>
      <c r="J126" s="19">
        <f t="shared" si="11"/>
        <v>0</v>
      </c>
      <c r="K126" s="2"/>
      <c r="L126" s="2">
        <f t="shared" si="12"/>
        <v>0</v>
      </c>
      <c r="M126" s="2"/>
      <c r="N126" s="19">
        <f t="shared" si="13"/>
        <v>0</v>
      </c>
      <c r="O126" s="11"/>
      <c r="P126" s="2">
        <v>-78.400000000000006</v>
      </c>
      <c r="Q126" s="2"/>
      <c r="R126" s="19">
        <f t="shared" si="14"/>
        <v>-1.1932912568892066E-5</v>
      </c>
      <c r="S126" s="2"/>
      <c r="T126" s="2"/>
      <c r="U126" s="2"/>
      <c r="V126" s="19">
        <f t="shared" si="15"/>
        <v>0</v>
      </c>
      <c r="W126" s="2"/>
      <c r="X126" s="2">
        <f t="shared" si="16"/>
        <v>-78.400000000000006</v>
      </c>
      <c r="Y126" s="2"/>
      <c r="Z126" s="19">
        <f t="shared" si="17"/>
        <v>0</v>
      </c>
    </row>
    <row r="127" spans="1:26" s="24" customFormat="1" hidden="1" outlineLevel="1" x14ac:dyDescent="0.25">
      <c r="A127" s="44"/>
      <c r="B127" s="11" t="str">
        <f>CONCATENATE("          ", "5004", " - ", "PURCHASES @ COST-DIGITAL TEXT")</f>
        <v xml:space="preserve">          5004 - PURCHASES @ COST-DIGITAL TEXT</v>
      </c>
      <c r="C127" s="11"/>
      <c r="D127" s="2">
        <v>0.94</v>
      </c>
      <c r="E127" s="2"/>
      <c r="F127" s="19">
        <f t="shared" si="10"/>
        <v>1.5388564780430804E-6</v>
      </c>
      <c r="G127" s="2"/>
      <c r="H127" s="2"/>
      <c r="I127" s="2"/>
      <c r="J127" s="19">
        <f t="shared" si="11"/>
        <v>0</v>
      </c>
      <c r="K127" s="2"/>
      <c r="L127" s="2">
        <f t="shared" si="12"/>
        <v>0.94</v>
      </c>
      <c r="M127" s="2"/>
      <c r="N127" s="19">
        <f t="shared" si="13"/>
        <v>0</v>
      </c>
      <c r="O127" s="11"/>
      <c r="P127" s="2">
        <v>322779.97000000003</v>
      </c>
      <c r="Q127" s="2"/>
      <c r="R127" s="19">
        <f t="shared" si="14"/>
        <v>4.9128892359688828E-2</v>
      </c>
      <c r="S127" s="2"/>
      <c r="T127" s="2"/>
      <c r="U127" s="2"/>
      <c r="V127" s="19">
        <f t="shared" si="15"/>
        <v>0</v>
      </c>
      <c r="W127" s="2"/>
      <c r="X127" s="2">
        <f t="shared" si="16"/>
        <v>322779.97000000003</v>
      </c>
      <c r="Y127" s="2"/>
      <c r="Z127" s="19">
        <f t="shared" si="17"/>
        <v>0</v>
      </c>
    </row>
    <row r="128" spans="1:26" s="24" customFormat="1" hidden="1" outlineLevel="1" x14ac:dyDescent="0.25">
      <c r="A128" s="44"/>
      <c r="B128" s="11" t="str">
        <f>CONCATENATE("          ", "5011", " - ", "PURCHASES @ COST-NO VALUE TEXT")</f>
        <v xml:space="preserve">          5011 - PURCHASES @ COST-NO VALUE TEXT</v>
      </c>
      <c r="C128" s="11"/>
      <c r="D128" s="2">
        <v>66</v>
      </c>
      <c r="E128" s="2"/>
      <c r="F128" s="19">
        <f t="shared" si="10"/>
        <v>1.0804736973493969E-4</v>
      </c>
      <c r="G128" s="2"/>
      <c r="H128" s="2"/>
      <c r="I128" s="2"/>
      <c r="J128" s="19">
        <f t="shared" si="11"/>
        <v>0</v>
      </c>
      <c r="K128" s="2"/>
      <c r="L128" s="2">
        <f t="shared" si="12"/>
        <v>66</v>
      </c>
      <c r="M128" s="2"/>
      <c r="N128" s="19">
        <f t="shared" si="13"/>
        <v>0</v>
      </c>
      <c r="O128" s="11"/>
      <c r="P128" s="2">
        <v>3741</v>
      </c>
      <c r="Q128" s="2"/>
      <c r="R128" s="19">
        <f t="shared" si="14"/>
        <v>5.6940084081919917E-4</v>
      </c>
      <c r="S128" s="2"/>
      <c r="T128" s="2"/>
      <c r="U128" s="2"/>
      <c r="V128" s="19">
        <f t="shared" si="15"/>
        <v>0</v>
      </c>
      <c r="W128" s="2"/>
      <c r="X128" s="2">
        <f t="shared" si="16"/>
        <v>3741</v>
      </c>
      <c r="Y128" s="2"/>
      <c r="Z128" s="19">
        <f t="shared" si="17"/>
        <v>0</v>
      </c>
    </row>
    <row r="129" spans="1:26" s="24" customFormat="1" hidden="1" outlineLevel="1" x14ac:dyDescent="0.25">
      <c r="A129" s="44"/>
      <c r="B129" s="11" t="str">
        <f>CONCATENATE("          ", "5013", " - ", "PURCHASES @ COST-TRADE BOOKS")</f>
        <v xml:space="preserve">          5013 - PURCHASES @ COST-TRADE BOOKS</v>
      </c>
      <c r="C129" s="11"/>
      <c r="D129" s="2">
        <v>10.79</v>
      </c>
      <c r="E129" s="2"/>
      <c r="F129" s="19">
        <f t="shared" si="10"/>
        <v>1.7664107870303018E-5</v>
      </c>
      <c r="G129" s="2"/>
      <c r="H129" s="2"/>
      <c r="I129" s="2"/>
      <c r="J129" s="19">
        <f t="shared" si="11"/>
        <v>0</v>
      </c>
      <c r="K129" s="2"/>
      <c r="L129" s="2">
        <f t="shared" si="12"/>
        <v>10.79</v>
      </c>
      <c r="M129" s="2"/>
      <c r="N129" s="19">
        <f t="shared" si="13"/>
        <v>0</v>
      </c>
      <c r="O129" s="11"/>
      <c r="P129" s="2">
        <v>698.14</v>
      </c>
      <c r="Q129" s="2"/>
      <c r="R129" s="19">
        <f t="shared" si="14"/>
        <v>1.0626075995977431E-4</v>
      </c>
      <c r="S129" s="2"/>
      <c r="T129" s="2"/>
      <c r="U129" s="2"/>
      <c r="V129" s="19">
        <f t="shared" si="15"/>
        <v>0</v>
      </c>
      <c r="W129" s="2"/>
      <c r="X129" s="2">
        <f t="shared" si="16"/>
        <v>698.14</v>
      </c>
      <c r="Y129" s="2"/>
      <c r="Z129" s="19">
        <f t="shared" si="17"/>
        <v>0</v>
      </c>
    </row>
    <row r="130" spans="1:26" s="24" customFormat="1" hidden="1" outlineLevel="1" x14ac:dyDescent="0.25">
      <c r="A130" s="44"/>
      <c r="B130" s="11" t="str">
        <f>CONCATENATE("          ", "5014", " - ", "PURCHASES @ COST-REMAINDERS")</f>
        <v xml:space="preserve">          5014 - PURCHASES @ COST-REMAINDERS</v>
      </c>
      <c r="C130" s="11"/>
      <c r="D130" s="2">
        <v>114.84</v>
      </c>
      <c r="E130" s="2"/>
      <c r="F130" s="19">
        <f t="shared" si="10"/>
        <v>1.8800242333879508E-4</v>
      </c>
      <c r="G130" s="2"/>
      <c r="H130" s="2"/>
      <c r="I130" s="2"/>
      <c r="J130" s="19">
        <f t="shared" si="11"/>
        <v>0</v>
      </c>
      <c r="K130" s="2"/>
      <c r="L130" s="2">
        <f t="shared" si="12"/>
        <v>114.84</v>
      </c>
      <c r="M130" s="2"/>
      <c r="N130" s="19">
        <f t="shared" si="13"/>
        <v>0</v>
      </c>
      <c r="O130" s="11"/>
      <c r="P130" s="2">
        <v>456.81</v>
      </c>
      <c r="Q130" s="2"/>
      <c r="R130" s="19">
        <f t="shared" si="14"/>
        <v>6.9529002431066122E-5</v>
      </c>
      <c r="S130" s="2"/>
      <c r="T130" s="2"/>
      <c r="U130" s="2"/>
      <c r="V130" s="19">
        <f t="shared" si="15"/>
        <v>0</v>
      </c>
      <c r="W130" s="2"/>
      <c r="X130" s="2">
        <f t="shared" si="16"/>
        <v>456.81</v>
      </c>
      <c r="Y130" s="2"/>
      <c r="Z130" s="19">
        <f t="shared" si="17"/>
        <v>0</v>
      </c>
    </row>
    <row r="131" spans="1:26" s="24" customFormat="1" hidden="1" outlineLevel="1" x14ac:dyDescent="0.25">
      <c r="A131" s="44"/>
      <c r="B131" s="11" t="str">
        <f>CONCATENATE("          ", "5017", " - ", "PURCHASES @ COST-DORM/HOUSEWAR")</f>
        <v xml:space="preserve">          5017 - PURCHASES @ COST-DORM/HOUSEWAR</v>
      </c>
      <c r="C131" s="11"/>
      <c r="D131" s="2"/>
      <c r="E131" s="2"/>
      <c r="F131" s="19">
        <f t="shared" si="10"/>
        <v>0</v>
      </c>
      <c r="G131" s="2"/>
      <c r="H131" s="2"/>
      <c r="I131" s="2"/>
      <c r="J131" s="19">
        <f t="shared" si="11"/>
        <v>0</v>
      </c>
      <c r="K131" s="2"/>
      <c r="L131" s="2">
        <f t="shared" si="12"/>
        <v>0</v>
      </c>
      <c r="M131" s="2"/>
      <c r="N131" s="19">
        <f t="shared" si="13"/>
        <v>0</v>
      </c>
      <c r="O131" s="11"/>
      <c r="P131" s="2">
        <v>0</v>
      </c>
      <c r="Q131" s="2"/>
      <c r="R131" s="19">
        <f t="shared" si="14"/>
        <v>0</v>
      </c>
      <c r="S131" s="2"/>
      <c r="T131" s="2"/>
      <c r="U131" s="2"/>
      <c r="V131" s="19">
        <f t="shared" si="15"/>
        <v>0</v>
      </c>
      <c r="W131" s="2"/>
      <c r="X131" s="2">
        <f t="shared" si="16"/>
        <v>0</v>
      </c>
      <c r="Y131" s="2"/>
      <c r="Z131" s="19">
        <f t="shared" si="17"/>
        <v>0</v>
      </c>
    </row>
    <row r="132" spans="1:26" s="24" customFormat="1" hidden="1" outlineLevel="1" x14ac:dyDescent="0.25">
      <c r="A132" s="44"/>
      <c r="B132" s="11" t="str">
        <f>CONCATENATE("          ", "5018", " - ", "PURCHASES @ COST-STUDY GUIDES")</f>
        <v xml:space="preserve">          5018 - PURCHASES @ COST-STUDY GUIDES</v>
      </c>
      <c r="C132" s="11"/>
      <c r="D132" s="2"/>
      <c r="E132" s="2"/>
      <c r="F132" s="19">
        <f t="shared" si="10"/>
        <v>0</v>
      </c>
      <c r="G132" s="2"/>
      <c r="H132" s="2"/>
      <c r="I132" s="2"/>
      <c r="J132" s="19">
        <f t="shared" si="11"/>
        <v>0</v>
      </c>
      <c r="K132" s="2"/>
      <c r="L132" s="2">
        <f t="shared" si="12"/>
        <v>0</v>
      </c>
      <c r="M132" s="2"/>
      <c r="N132" s="19">
        <f t="shared" si="13"/>
        <v>0</v>
      </c>
      <c r="O132" s="11"/>
      <c r="P132" s="2">
        <v>802.09</v>
      </c>
      <c r="Q132" s="2"/>
      <c r="R132" s="19">
        <f t="shared" si="14"/>
        <v>1.2208252349977852E-4</v>
      </c>
      <c r="S132" s="2"/>
      <c r="T132" s="2"/>
      <c r="U132" s="2"/>
      <c r="V132" s="19">
        <f t="shared" si="15"/>
        <v>0</v>
      </c>
      <c r="W132" s="2"/>
      <c r="X132" s="2">
        <f t="shared" si="16"/>
        <v>802.09</v>
      </c>
      <c r="Y132" s="2"/>
      <c r="Z132" s="19">
        <f t="shared" si="17"/>
        <v>0</v>
      </c>
    </row>
    <row r="133" spans="1:26" s="24" customFormat="1" hidden="1" outlineLevel="1" x14ac:dyDescent="0.25">
      <c r="A133" s="44"/>
      <c r="B133" s="11" t="str">
        <f>CONCATENATE("          ", "5025", " - ", "PURCHASES @ COST-TEST FORMS")</f>
        <v xml:space="preserve">          5025 - PURCHASES @ COST-TEST FORMS</v>
      </c>
      <c r="C133" s="11"/>
      <c r="D133" s="2">
        <v>18846</v>
      </c>
      <c r="E133" s="2"/>
      <c r="F133" s="19">
        <f t="shared" si="10"/>
        <v>3.0852435303404143E-2</v>
      </c>
      <c r="G133" s="2"/>
      <c r="H133" s="2"/>
      <c r="I133" s="2"/>
      <c r="J133" s="19">
        <f t="shared" si="11"/>
        <v>0</v>
      </c>
      <c r="K133" s="2"/>
      <c r="L133" s="2">
        <f t="shared" si="12"/>
        <v>18846</v>
      </c>
      <c r="M133" s="2"/>
      <c r="N133" s="19">
        <f t="shared" si="13"/>
        <v>0</v>
      </c>
      <c r="O133" s="11"/>
      <c r="P133" s="2">
        <v>22098.390000000003</v>
      </c>
      <c r="Q133" s="2"/>
      <c r="R133" s="19">
        <f t="shared" si="14"/>
        <v>3.3634968849908004E-3</v>
      </c>
      <c r="S133" s="2"/>
      <c r="T133" s="2"/>
      <c r="U133" s="2"/>
      <c r="V133" s="19">
        <f t="shared" si="15"/>
        <v>0</v>
      </c>
      <c r="W133" s="2"/>
      <c r="X133" s="2">
        <f t="shared" si="16"/>
        <v>22098.390000000003</v>
      </c>
      <c r="Y133" s="2"/>
      <c r="Z133" s="19">
        <f t="shared" si="17"/>
        <v>0</v>
      </c>
    </row>
    <row r="134" spans="1:26" s="24" customFormat="1" hidden="1" outlineLevel="1" x14ac:dyDescent="0.25">
      <c r="A134" s="44"/>
      <c r="B134" s="11" t="str">
        <f>CONCATENATE("          ", "5026", " - ", "PURCHASES @ COST-WRITING INSTR")</f>
        <v xml:space="preserve">          5026 - PURCHASES @ COST-WRITING INSTR</v>
      </c>
      <c r="C134" s="11"/>
      <c r="D134" s="2">
        <v>4633</v>
      </c>
      <c r="E134" s="2"/>
      <c r="F134" s="19">
        <f t="shared" si="10"/>
        <v>7.5845979391208429E-3</v>
      </c>
      <c r="G134" s="2"/>
      <c r="H134" s="2"/>
      <c r="I134" s="2"/>
      <c r="J134" s="19">
        <f t="shared" si="11"/>
        <v>0</v>
      </c>
      <c r="K134" s="2"/>
      <c r="L134" s="2">
        <f t="shared" si="12"/>
        <v>4633</v>
      </c>
      <c r="M134" s="2"/>
      <c r="N134" s="19">
        <f t="shared" si="13"/>
        <v>0</v>
      </c>
      <c r="O134" s="11"/>
      <c r="P134" s="2">
        <v>29950.57</v>
      </c>
      <c r="Q134" s="2"/>
      <c r="R134" s="19">
        <f t="shared" si="14"/>
        <v>4.5586420050826738E-3</v>
      </c>
      <c r="S134" s="2"/>
      <c r="T134" s="2"/>
      <c r="U134" s="2"/>
      <c r="V134" s="19">
        <f t="shared" si="15"/>
        <v>0</v>
      </c>
      <c r="W134" s="2"/>
      <c r="X134" s="2">
        <f t="shared" si="16"/>
        <v>29950.57</v>
      </c>
      <c r="Y134" s="2"/>
      <c r="Z134" s="19">
        <f t="shared" si="17"/>
        <v>0</v>
      </c>
    </row>
    <row r="135" spans="1:26" s="24" customFormat="1" hidden="1" outlineLevel="1" x14ac:dyDescent="0.25">
      <c r="A135" s="44"/>
      <c r="B135" s="11" t="str">
        <f>CONCATENATE("          ", "5027", " - ", "PURCHASES @ COST-SCHOOL SUPPLI")</f>
        <v xml:space="preserve">          5027 - PURCHASES @ COST-SCHOOL SUPPLI</v>
      </c>
      <c r="C135" s="11"/>
      <c r="D135" s="2">
        <v>3483.98</v>
      </c>
      <c r="E135" s="2"/>
      <c r="F135" s="19">
        <f t="shared" si="10"/>
        <v>5.7035587152899272E-3</v>
      </c>
      <c r="G135" s="2"/>
      <c r="H135" s="2"/>
      <c r="I135" s="2"/>
      <c r="J135" s="19">
        <f t="shared" si="11"/>
        <v>0</v>
      </c>
      <c r="K135" s="2"/>
      <c r="L135" s="2">
        <f t="shared" si="12"/>
        <v>3483.98</v>
      </c>
      <c r="M135" s="2"/>
      <c r="N135" s="19">
        <f t="shared" si="13"/>
        <v>0</v>
      </c>
      <c r="O135" s="11"/>
      <c r="P135" s="2">
        <v>75506.36</v>
      </c>
      <c r="Q135" s="2"/>
      <c r="R135" s="19">
        <f t="shared" si="14"/>
        <v>1.1492484595348074E-2</v>
      </c>
      <c r="S135" s="2"/>
      <c r="T135" s="2"/>
      <c r="U135" s="2"/>
      <c r="V135" s="19">
        <f t="shared" si="15"/>
        <v>0</v>
      </c>
      <c r="W135" s="2"/>
      <c r="X135" s="2">
        <f t="shared" si="16"/>
        <v>75506.36</v>
      </c>
      <c r="Y135" s="2"/>
      <c r="Z135" s="19">
        <f t="shared" si="17"/>
        <v>0</v>
      </c>
    </row>
    <row r="136" spans="1:26" s="24" customFormat="1" hidden="1" outlineLevel="1" x14ac:dyDescent="0.25">
      <c r="A136" s="44"/>
      <c r="B136" s="11" t="str">
        <f>CONCATENATE("          ", "5028", " - ", "PURCHASES @ COST-ART/TECH")</f>
        <v xml:space="preserve">          5028 - PURCHASES @ COST-ART/TECH</v>
      </c>
      <c r="C136" s="11"/>
      <c r="D136" s="2">
        <v>4931.4399999999996</v>
      </c>
      <c r="E136" s="2"/>
      <c r="F136" s="19">
        <f t="shared" si="10"/>
        <v>8.0731685000859244E-3</v>
      </c>
      <c r="G136" s="2"/>
      <c r="H136" s="2"/>
      <c r="I136" s="2"/>
      <c r="J136" s="19">
        <f t="shared" si="11"/>
        <v>0</v>
      </c>
      <c r="K136" s="2"/>
      <c r="L136" s="2">
        <f t="shared" si="12"/>
        <v>4931.4399999999996</v>
      </c>
      <c r="M136" s="2"/>
      <c r="N136" s="19">
        <f t="shared" si="13"/>
        <v>0</v>
      </c>
      <c r="O136" s="11"/>
      <c r="P136" s="2">
        <v>95270.51</v>
      </c>
      <c r="Q136" s="2"/>
      <c r="R136" s="19">
        <f t="shared" si="14"/>
        <v>1.4500697273262208E-2</v>
      </c>
      <c r="S136" s="2"/>
      <c r="T136" s="2"/>
      <c r="U136" s="2"/>
      <c r="V136" s="19">
        <f t="shared" si="15"/>
        <v>0</v>
      </c>
      <c r="W136" s="2"/>
      <c r="X136" s="2">
        <f t="shared" si="16"/>
        <v>95270.51</v>
      </c>
      <c r="Y136" s="2"/>
      <c r="Z136" s="19">
        <f t="shared" si="17"/>
        <v>0</v>
      </c>
    </row>
    <row r="137" spans="1:26" s="24" customFormat="1" hidden="1" outlineLevel="1" x14ac:dyDescent="0.25">
      <c r="A137" s="44"/>
      <c r="B137" s="11" t="str">
        <f>CONCATENATE("          ", "5031", " - ", "PURCHASES @ COST-FOOD")</f>
        <v xml:space="preserve">          5031 - PURCHASES @ COST-FOOD</v>
      </c>
      <c r="C137" s="11"/>
      <c r="D137" s="2">
        <v>4825.3999999999996</v>
      </c>
      <c r="E137" s="2"/>
      <c r="F137" s="19">
        <f t="shared" si="10"/>
        <v>7.8995723927117872E-3</v>
      </c>
      <c r="G137" s="2"/>
      <c r="H137" s="2"/>
      <c r="I137" s="2"/>
      <c r="J137" s="19">
        <f t="shared" si="11"/>
        <v>0</v>
      </c>
      <c r="K137" s="2"/>
      <c r="L137" s="2">
        <f t="shared" si="12"/>
        <v>4825.3999999999996</v>
      </c>
      <c r="M137" s="2"/>
      <c r="N137" s="19">
        <f t="shared" si="13"/>
        <v>0</v>
      </c>
      <c r="O137" s="11"/>
      <c r="P137" s="2">
        <v>20814.489999999998</v>
      </c>
      <c r="Q137" s="2"/>
      <c r="R137" s="19">
        <f t="shared" si="14"/>
        <v>3.1680802211234461E-3</v>
      </c>
      <c r="S137" s="2"/>
      <c r="T137" s="2"/>
      <c r="U137" s="2"/>
      <c r="V137" s="19">
        <f t="shared" si="15"/>
        <v>0</v>
      </c>
      <c r="W137" s="2"/>
      <c r="X137" s="2">
        <f t="shared" si="16"/>
        <v>20814.489999999998</v>
      </c>
      <c r="Y137" s="2"/>
      <c r="Z137" s="19">
        <f t="shared" si="17"/>
        <v>0</v>
      </c>
    </row>
    <row r="138" spans="1:26" s="24" customFormat="1" hidden="1" outlineLevel="1" x14ac:dyDescent="0.25">
      <c r="A138" s="44"/>
      <c r="B138" s="11" t="str">
        <f>CONCATENATE("          ", "5032", " - ", "PURCHASES @ COST-JUICE")</f>
        <v xml:space="preserve">          5032 - PURCHASES @ COST-JUICE</v>
      </c>
      <c r="C138" s="11"/>
      <c r="D138" s="2">
        <v>1278.21</v>
      </c>
      <c r="E138" s="2"/>
      <c r="F138" s="19">
        <f t="shared" si="10"/>
        <v>2.0925337646802615E-3</v>
      </c>
      <c r="G138" s="2"/>
      <c r="H138" s="2"/>
      <c r="I138" s="2"/>
      <c r="J138" s="19">
        <f t="shared" si="11"/>
        <v>0</v>
      </c>
      <c r="K138" s="2"/>
      <c r="L138" s="2">
        <f t="shared" si="12"/>
        <v>1278.21</v>
      </c>
      <c r="M138" s="2"/>
      <c r="N138" s="19">
        <f t="shared" si="13"/>
        <v>0</v>
      </c>
      <c r="O138" s="11"/>
      <c r="P138" s="2">
        <v>4662.49</v>
      </c>
      <c r="Q138" s="2"/>
      <c r="R138" s="19">
        <f t="shared" si="14"/>
        <v>7.0965670310374441E-4</v>
      </c>
      <c r="S138" s="2"/>
      <c r="T138" s="2"/>
      <c r="U138" s="2"/>
      <c r="V138" s="19">
        <f t="shared" si="15"/>
        <v>0</v>
      </c>
      <c r="W138" s="2"/>
      <c r="X138" s="2">
        <f t="shared" si="16"/>
        <v>4662.49</v>
      </c>
      <c r="Y138" s="2"/>
      <c r="Z138" s="19">
        <f t="shared" si="17"/>
        <v>0</v>
      </c>
    </row>
    <row r="139" spans="1:26" s="24" customFormat="1" hidden="1" outlineLevel="1" x14ac:dyDescent="0.25">
      <c r="A139" s="44"/>
      <c r="B139" s="11" t="str">
        <f>CONCATENATE("          ", "5033", " - ", "PURCHASES @ COST-CANDY")</f>
        <v xml:space="preserve">          5033 - PURCHASES @ COST-CANDY</v>
      </c>
      <c r="C139" s="11"/>
      <c r="D139" s="2">
        <v>1482.54</v>
      </c>
      <c r="E139" s="2"/>
      <c r="F139" s="19">
        <f t="shared" si="10"/>
        <v>2.4270385988914771E-3</v>
      </c>
      <c r="G139" s="2"/>
      <c r="H139" s="2"/>
      <c r="I139" s="2"/>
      <c r="J139" s="19">
        <f t="shared" si="11"/>
        <v>0</v>
      </c>
      <c r="K139" s="2"/>
      <c r="L139" s="2">
        <f t="shared" si="12"/>
        <v>1482.54</v>
      </c>
      <c r="M139" s="2"/>
      <c r="N139" s="19">
        <f t="shared" si="13"/>
        <v>0</v>
      </c>
      <c r="O139" s="11"/>
      <c r="P139" s="2">
        <v>5937.74</v>
      </c>
      <c r="Q139" s="2"/>
      <c r="R139" s="19">
        <f t="shared" si="14"/>
        <v>9.0375678924506592E-4</v>
      </c>
      <c r="S139" s="2"/>
      <c r="T139" s="2"/>
      <c r="U139" s="2"/>
      <c r="V139" s="19">
        <f t="shared" si="15"/>
        <v>0</v>
      </c>
      <c r="W139" s="2"/>
      <c r="X139" s="2">
        <f t="shared" si="16"/>
        <v>5937.74</v>
      </c>
      <c r="Y139" s="2"/>
      <c r="Z139" s="19">
        <f t="shared" si="17"/>
        <v>0</v>
      </c>
    </row>
    <row r="140" spans="1:26" s="24" customFormat="1" hidden="1" outlineLevel="1" x14ac:dyDescent="0.25">
      <c r="A140" s="44"/>
      <c r="B140" s="11" t="str">
        <f>CONCATENATE("          ", "5034", " - ", "PURCHASES @ COST-SODA")</f>
        <v xml:space="preserve">          5034 - PURCHASES @ COST-SODA</v>
      </c>
      <c r="C140" s="11"/>
      <c r="D140" s="2">
        <v>587.38</v>
      </c>
      <c r="E140" s="2"/>
      <c r="F140" s="19">
        <f t="shared" si="10"/>
        <v>9.6158884901377084E-4</v>
      </c>
      <c r="G140" s="2"/>
      <c r="H140" s="2"/>
      <c r="I140" s="2"/>
      <c r="J140" s="19">
        <f t="shared" si="11"/>
        <v>0</v>
      </c>
      <c r="K140" s="2"/>
      <c r="L140" s="2">
        <f t="shared" si="12"/>
        <v>587.38</v>
      </c>
      <c r="M140" s="2"/>
      <c r="N140" s="19">
        <f t="shared" si="13"/>
        <v>0</v>
      </c>
      <c r="O140" s="11"/>
      <c r="P140" s="2">
        <v>2081.92</v>
      </c>
      <c r="Q140" s="2"/>
      <c r="R140" s="19">
        <f t="shared" si="14"/>
        <v>3.1687971091106846E-4</v>
      </c>
      <c r="S140" s="2"/>
      <c r="T140" s="2"/>
      <c r="U140" s="2"/>
      <c r="V140" s="19">
        <f t="shared" si="15"/>
        <v>0</v>
      </c>
      <c r="W140" s="2"/>
      <c r="X140" s="2">
        <f t="shared" si="16"/>
        <v>2081.92</v>
      </c>
      <c r="Y140" s="2"/>
      <c r="Z140" s="19">
        <f t="shared" si="17"/>
        <v>0</v>
      </c>
    </row>
    <row r="141" spans="1:26" s="24" customFormat="1" hidden="1" outlineLevel="1" x14ac:dyDescent="0.25">
      <c r="A141" s="44"/>
      <c r="B141" s="11" t="str">
        <f>CONCATENATE("          ", "5035", " - ", "PURCHASES @ COST-HEALTH &amp; BEAU")</f>
        <v xml:space="preserve">          5035 - PURCHASES @ COST-HEALTH &amp; BEAU</v>
      </c>
      <c r="C141" s="11"/>
      <c r="D141" s="2">
        <v>222.52</v>
      </c>
      <c r="E141" s="2"/>
      <c r="F141" s="19">
        <f t="shared" si="10"/>
        <v>3.6428334414270882E-4</v>
      </c>
      <c r="G141" s="2"/>
      <c r="H141" s="2"/>
      <c r="I141" s="2"/>
      <c r="J141" s="19">
        <f t="shared" si="11"/>
        <v>0</v>
      </c>
      <c r="K141" s="2"/>
      <c r="L141" s="2">
        <f t="shared" si="12"/>
        <v>222.52</v>
      </c>
      <c r="M141" s="2"/>
      <c r="N141" s="19">
        <f t="shared" si="13"/>
        <v>0</v>
      </c>
      <c r="O141" s="11"/>
      <c r="P141" s="2">
        <v>801.21</v>
      </c>
      <c r="Q141" s="2"/>
      <c r="R141" s="19">
        <f t="shared" si="14"/>
        <v>1.2194858264441341E-4</v>
      </c>
      <c r="S141" s="2"/>
      <c r="T141" s="2"/>
      <c r="U141" s="2"/>
      <c r="V141" s="19">
        <f t="shared" si="15"/>
        <v>0</v>
      </c>
      <c r="W141" s="2"/>
      <c r="X141" s="2">
        <f t="shared" si="16"/>
        <v>801.21</v>
      </c>
      <c r="Y141" s="2"/>
      <c r="Z141" s="19">
        <f t="shared" si="17"/>
        <v>0</v>
      </c>
    </row>
    <row r="142" spans="1:26" s="24" customFormat="1" hidden="1" outlineLevel="1" x14ac:dyDescent="0.25">
      <c r="A142" s="44"/>
      <c r="B142" s="11" t="str">
        <f>CONCATENATE("          ", "5037", " - ", "PURCHASES @ COST-WATER")</f>
        <v xml:space="preserve">          5037 - PURCHASES @ COST-WATER</v>
      </c>
      <c r="C142" s="11"/>
      <c r="D142" s="2">
        <v>667.52</v>
      </c>
      <c r="E142" s="2"/>
      <c r="F142" s="19">
        <f t="shared" si="10"/>
        <v>1.0927845491737415E-3</v>
      </c>
      <c r="G142" s="2"/>
      <c r="H142" s="2"/>
      <c r="I142" s="2"/>
      <c r="J142" s="19">
        <f t="shared" si="11"/>
        <v>0</v>
      </c>
      <c r="K142" s="2"/>
      <c r="L142" s="2">
        <f t="shared" si="12"/>
        <v>667.52</v>
      </c>
      <c r="M142" s="2"/>
      <c r="N142" s="19">
        <f t="shared" si="13"/>
        <v>0</v>
      </c>
      <c r="O142" s="11"/>
      <c r="P142" s="2">
        <v>3523.37</v>
      </c>
      <c r="Q142" s="2"/>
      <c r="R142" s="19">
        <f t="shared" si="14"/>
        <v>5.3627635405430142E-4</v>
      </c>
      <c r="S142" s="2"/>
      <c r="T142" s="2"/>
      <c r="U142" s="2"/>
      <c r="V142" s="19">
        <f t="shared" si="15"/>
        <v>0</v>
      </c>
      <c r="W142" s="2"/>
      <c r="X142" s="2">
        <f t="shared" si="16"/>
        <v>3523.37</v>
      </c>
      <c r="Y142" s="2"/>
      <c r="Z142" s="19">
        <f t="shared" si="17"/>
        <v>0</v>
      </c>
    </row>
    <row r="143" spans="1:26" s="24" customFormat="1" hidden="1" outlineLevel="1" x14ac:dyDescent="0.25">
      <c r="A143" s="44"/>
      <c r="B143" s="11" t="str">
        <f>CONCATENATE("          ", "5040", " - ", "PURCHASES @ COST-LOGO CLOTHING")</f>
        <v xml:space="preserve">          5040 - PURCHASES @ COST-LOGO CLOTHING</v>
      </c>
      <c r="C143" s="11"/>
      <c r="D143" s="2">
        <v>105691.4</v>
      </c>
      <c r="E143" s="2"/>
      <c r="F143" s="19">
        <f t="shared" si="10"/>
        <v>0.17302542081217279</v>
      </c>
      <c r="G143" s="2"/>
      <c r="H143" s="2"/>
      <c r="I143" s="2"/>
      <c r="J143" s="19">
        <f t="shared" si="11"/>
        <v>0</v>
      </c>
      <c r="K143" s="2"/>
      <c r="L143" s="2">
        <f t="shared" si="12"/>
        <v>105691.4</v>
      </c>
      <c r="M143" s="2"/>
      <c r="N143" s="19">
        <f t="shared" si="13"/>
        <v>0</v>
      </c>
      <c r="O143" s="11"/>
      <c r="P143" s="2">
        <v>618292.30999999994</v>
      </c>
      <c r="Q143" s="2"/>
      <c r="R143" s="19">
        <f t="shared" si="14"/>
        <v>9.4107500985310052E-2</v>
      </c>
      <c r="S143" s="2"/>
      <c r="T143" s="2"/>
      <c r="U143" s="2"/>
      <c r="V143" s="19">
        <f t="shared" si="15"/>
        <v>0</v>
      </c>
      <c r="W143" s="2"/>
      <c r="X143" s="2">
        <f t="shared" si="16"/>
        <v>618292.30999999994</v>
      </c>
      <c r="Y143" s="2"/>
      <c r="Z143" s="19">
        <f t="shared" si="17"/>
        <v>0</v>
      </c>
    </row>
    <row r="144" spans="1:26" s="24" customFormat="1" hidden="1" outlineLevel="1" x14ac:dyDescent="0.25">
      <c r="A144" s="44"/>
      <c r="B144" s="11" t="str">
        <f>CONCATENATE("          ", "5041", " - ", "PURCHASES @ COST-LOGO GIFTS")</f>
        <v xml:space="preserve">          5041 - PURCHASES @ COST-LOGO GIFTS</v>
      </c>
      <c r="C144" s="11"/>
      <c r="D144" s="2">
        <v>18340.09</v>
      </c>
      <c r="E144" s="2"/>
      <c r="F144" s="19">
        <f t="shared" si="10"/>
        <v>3.0024219472758639E-2</v>
      </c>
      <c r="G144" s="2"/>
      <c r="H144" s="2"/>
      <c r="I144" s="2"/>
      <c r="J144" s="19">
        <f t="shared" si="11"/>
        <v>0</v>
      </c>
      <c r="K144" s="2"/>
      <c r="L144" s="2">
        <f t="shared" si="12"/>
        <v>18340.09</v>
      </c>
      <c r="M144" s="2"/>
      <c r="N144" s="19">
        <f t="shared" si="13"/>
        <v>0</v>
      </c>
      <c r="O144" s="11"/>
      <c r="P144" s="2">
        <v>88796.55</v>
      </c>
      <c r="Q144" s="2"/>
      <c r="R144" s="19">
        <f t="shared" si="14"/>
        <v>1.351532484144455E-2</v>
      </c>
      <c r="S144" s="2"/>
      <c r="T144" s="2"/>
      <c r="U144" s="2"/>
      <c r="V144" s="19">
        <f t="shared" si="15"/>
        <v>0</v>
      </c>
      <c r="W144" s="2"/>
      <c r="X144" s="2">
        <f t="shared" si="16"/>
        <v>88796.55</v>
      </c>
      <c r="Y144" s="2"/>
      <c r="Z144" s="19">
        <f t="shared" si="17"/>
        <v>0</v>
      </c>
    </row>
    <row r="145" spans="1:26" s="24" customFormat="1" hidden="1" outlineLevel="1" x14ac:dyDescent="0.25">
      <c r="A145" s="44"/>
      <c r="B145" s="11" t="str">
        <f>CONCATENATE("          ", "5042", " - ", "PURCHASES @ COST-EVERYDAY GIFT")</f>
        <v xml:space="preserve">          5042 - PURCHASES @ COST-EVERYDAY GIFT</v>
      </c>
      <c r="C145" s="11"/>
      <c r="D145" s="2">
        <v>31316.85</v>
      </c>
      <c r="E145" s="2"/>
      <c r="F145" s="19">
        <f t="shared" si="10"/>
        <v>5.1268231377024943E-2</v>
      </c>
      <c r="G145" s="2"/>
      <c r="H145" s="2"/>
      <c r="I145" s="2"/>
      <c r="J145" s="19">
        <f t="shared" si="11"/>
        <v>0</v>
      </c>
      <c r="K145" s="2"/>
      <c r="L145" s="2">
        <f t="shared" si="12"/>
        <v>31316.85</v>
      </c>
      <c r="M145" s="2"/>
      <c r="N145" s="19">
        <f t="shared" si="13"/>
        <v>0</v>
      </c>
      <c r="O145" s="11"/>
      <c r="P145" s="2">
        <v>80565.319999999992</v>
      </c>
      <c r="Q145" s="2"/>
      <c r="R145" s="19">
        <f t="shared" si="14"/>
        <v>1.2262486219959326E-2</v>
      </c>
      <c r="S145" s="2"/>
      <c r="T145" s="2"/>
      <c r="U145" s="2"/>
      <c r="V145" s="19">
        <f t="shared" si="15"/>
        <v>0</v>
      </c>
      <c r="W145" s="2"/>
      <c r="X145" s="2">
        <f t="shared" si="16"/>
        <v>80565.319999999992</v>
      </c>
      <c r="Y145" s="2"/>
      <c r="Z145" s="19">
        <f t="shared" si="17"/>
        <v>0</v>
      </c>
    </row>
    <row r="146" spans="1:26" s="24" customFormat="1" hidden="1" outlineLevel="1" x14ac:dyDescent="0.25">
      <c r="A146" s="44"/>
      <c r="B146" s="11" t="str">
        <f>CONCATENATE("          ", "5043", " - ", "PURCHASES @ COST-CARDS")</f>
        <v xml:space="preserve">          5043 - PURCHASES @ COST-CARDS</v>
      </c>
      <c r="C146" s="11"/>
      <c r="D146" s="2">
        <v>2188.66</v>
      </c>
      <c r="E146" s="2"/>
      <c r="F146" s="19">
        <f t="shared" si="10"/>
        <v>3.583014488546562E-3</v>
      </c>
      <c r="G146" s="2"/>
      <c r="H146" s="2"/>
      <c r="I146" s="2"/>
      <c r="J146" s="19">
        <f t="shared" si="11"/>
        <v>0</v>
      </c>
      <c r="K146" s="2"/>
      <c r="L146" s="2">
        <f t="shared" si="12"/>
        <v>2188.66</v>
      </c>
      <c r="M146" s="2"/>
      <c r="N146" s="19">
        <f t="shared" si="13"/>
        <v>0</v>
      </c>
      <c r="O146" s="11"/>
      <c r="P146" s="2">
        <v>3528.74</v>
      </c>
      <c r="Q146" s="2"/>
      <c r="R146" s="19">
        <f t="shared" si="14"/>
        <v>5.3709369768306355E-4</v>
      </c>
      <c r="S146" s="2"/>
      <c r="T146" s="2"/>
      <c r="U146" s="2"/>
      <c r="V146" s="19">
        <f t="shared" si="15"/>
        <v>0</v>
      </c>
      <c r="W146" s="2"/>
      <c r="X146" s="2">
        <f t="shared" si="16"/>
        <v>3528.74</v>
      </c>
      <c r="Y146" s="2"/>
      <c r="Z146" s="19">
        <f t="shared" si="17"/>
        <v>0</v>
      </c>
    </row>
    <row r="147" spans="1:26" s="24" customFormat="1" hidden="1" outlineLevel="1" x14ac:dyDescent="0.25">
      <c r="A147" s="44"/>
      <c r="B147" s="11" t="str">
        <f>CONCATENATE("          ", "5044", " - ", "PURCHASES @ COST-ACCESSORIES")</f>
        <v xml:space="preserve">          5044 - PURCHASES @ COST-ACCESSORIES</v>
      </c>
      <c r="C147" s="11"/>
      <c r="D147" s="2">
        <v>-6895.55</v>
      </c>
      <c r="E147" s="2"/>
      <c r="F147" s="19">
        <f t="shared" si="10"/>
        <v>-1.1288576369329749E-2</v>
      </c>
      <c r="G147" s="2"/>
      <c r="H147" s="2"/>
      <c r="I147" s="2"/>
      <c r="J147" s="19">
        <f t="shared" si="11"/>
        <v>0</v>
      </c>
      <c r="K147" s="2"/>
      <c r="L147" s="2">
        <f t="shared" si="12"/>
        <v>-6895.55</v>
      </c>
      <c r="M147" s="2"/>
      <c r="N147" s="19">
        <f t="shared" si="13"/>
        <v>0</v>
      </c>
      <c r="O147" s="11"/>
      <c r="P147" s="2">
        <v>17255.580000000002</v>
      </c>
      <c r="Q147" s="2"/>
      <c r="R147" s="19">
        <f t="shared" si="14"/>
        <v>2.6263944829786039E-3</v>
      </c>
      <c r="S147" s="2"/>
      <c r="T147" s="2"/>
      <c r="U147" s="2"/>
      <c r="V147" s="19">
        <f t="shared" si="15"/>
        <v>0</v>
      </c>
      <c r="W147" s="2"/>
      <c r="X147" s="2">
        <f t="shared" si="16"/>
        <v>17255.580000000002</v>
      </c>
      <c r="Y147" s="2"/>
      <c r="Z147" s="19">
        <f t="shared" si="17"/>
        <v>0</v>
      </c>
    </row>
    <row r="148" spans="1:26" s="24" customFormat="1" hidden="1" outlineLevel="1" x14ac:dyDescent="0.25">
      <c r="A148" s="44"/>
      <c r="B148" s="11" t="str">
        <f>CONCATENATE("          ", "5045", " - ", "PURCHASES @ COST-SPECIAL ORDER")</f>
        <v xml:space="preserve">          5045 - PURCHASES @ COST-SPECIAL ORDER</v>
      </c>
      <c r="C148" s="11"/>
      <c r="D148" s="2">
        <v>14163.29</v>
      </c>
      <c r="E148" s="2"/>
      <c r="F148" s="19">
        <f t="shared" si="10"/>
        <v>2.3186458049896577E-2</v>
      </c>
      <c r="G148" s="2"/>
      <c r="H148" s="2"/>
      <c r="I148" s="2"/>
      <c r="J148" s="19">
        <f t="shared" si="11"/>
        <v>0</v>
      </c>
      <c r="K148" s="2"/>
      <c r="L148" s="2">
        <f t="shared" si="12"/>
        <v>14163.29</v>
      </c>
      <c r="M148" s="2"/>
      <c r="N148" s="19">
        <f t="shared" si="13"/>
        <v>0</v>
      </c>
      <c r="O148" s="11"/>
      <c r="P148" s="2">
        <v>42226.49</v>
      </c>
      <c r="Q148" s="2"/>
      <c r="R148" s="19">
        <f t="shared" si="14"/>
        <v>6.4271047609846307E-3</v>
      </c>
      <c r="S148" s="2"/>
      <c r="T148" s="2"/>
      <c r="U148" s="2"/>
      <c r="V148" s="19">
        <f t="shared" si="15"/>
        <v>0</v>
      </c>
      <c r="W148" s="2"/>
      <c r="X148" s="2">
        <f t="shared" si="16"/>
        <v>42226.49</v>
      </c>
      <c r="Y148" s="2"/>
      <c r="Z148" s="19">
        <f t="shared" si="17"/>
        <v>0</v>
      </c>
    </row>
    <row r="149" spans="1:26" s="24" customFormat="1" hidden="1" outlineLevel="1" x14ac:dyDescent="0.25">
      <c r="A149" s="44"/>
      <c r="B149" s="11" t="str">
        <f>CONCATENATE("          ", "5081", " - ", "PURCHASES @ COST-ELECTRONICS")</f>
        <v xml:space="preserve">          5081 - PURCHASES @ COST-ELECTRONICS</v>
      </c>
      <c r="C149" s="11"/>
      <c r="D149" s="2">
        <v>16915.849999999999</v>
      </c>
      <c r="E149" s="2"/>
      <c r="F149" s="19">
        <f t="shared" si="10"/>
        <v>2.7692622717133023E-2</v>
      </c>
      <c r="G149" s="2"/>
      <c r="H149" s="2"/>
      <c r="I149" s="2"/>
      <c r="J149" s="19">
        <f t="shared" si="11"/>
        <v>0</v>
      </c>
      <c r="K149" s="2"/>
      <c r="L149" s="2">
        <f t="shared" si="12"/>
        <v>16915.849999999999</v>
      </c>
      <c r="M149" s="2"/>
      <c r="N149" s="19">
        <f t="shared" si="13"/>
        <v>0</v>
      </c>
      <c r="O149" s="11"/>
      <c r="P149" s="2">
        <v>186052.53999999998</v>
      </c>
      <c r="Q149" s="2"/>
      <c r="R149" s="19">
        <f t="shared" si="14"/>
        <v>2.8318223125513946E-2</v>
      </c>
      <c r="S149" s="2"/>
      <c r="T149" s="2"/>
      <c r="U149" s="2"/>
      <c r="V149" s="19">
        <f t="shared" si="15"/>
        <v>0</v>
      </c>
      <c r="W149" s="2"/>
      <c r="X149" s="2">
        <f t="shared" si="16"/>
        <v>186052.53999999998</v>
      </c>
      <c r="Y149" s="2"/>
      <c r="Z149" s="19">
        <f t="shared" si="17"/>
        <v>0</v>
      </c>
    </row>
    <row r="150" spans="1:26" s="24" customFormat="1" hidden="1" outlineLevel="1" x14ac:dyDescent="0.25">
      <c r="A150" s="44"/>
      <c r="B150" s="11" t="str">
        <f>CONCATENATE("          ", "5082", " - ", "PURCHASES @ COST-COMPUTER HARD")</f>
        <v xml:space="preserve">          5082 - PURCHASES @ COST-COMPUTER HARD</v>
      </c>
      <c r="C150" s="11"/>
      <c r="D150" s="2">
        <v>62807.55999999999</v>
      </c>
      <c r="E150" s="2"/>
      <c r="F150" s="19">
        <f t="shared" si="10"/>
        <v>0.10282108571923346</v>
      </c>
      <c r="G150" s="2"/>
      <c r="H150" s="2"/>
      <c r="I150" s="2"/>
      <c r="J150" s="19">
        <f t="shared" si="11"/>
        <v>0</v>
      </c>
      <c r="K150" s="2"/>
      <c r="L150" s="2">
        <f t="shared" si="12"/>
        <v>62807.55999999999</v>
      </c>
      <c r="M150" s="2"/>
      <c r="N150" s="19">
        <f t="shared" si="13"/>
        <v>0</v>
      </c>
      <c r="O150" s="11"/>
      <c r="P150" s="2">
        <v>958594.8600000001</v>
      </c>
      <c r="Q150" s="2"/>
      <c r="R150" s="19">
        <f t="shared" si="14"/>
        <v>0.14590342670113943</v>
      </c>
      <c r="S150" s="2"/>
      <c r="T150" s="2"/>
      <c r="U150" s="2"/>
      <c r="V150" s="19">
        <f t="shared" si="15"/>
        <v>0</v>
      </c>
      <c r="W150" s="2"/>
      <c r="X150" s="2">
        <f t="shared" si="16"/>
        <v>958594.8600000001</v>
      </c>
      <c r="Y150" s="2"/>
      <c r="Z150" s="19">
        <f t="shared" si="17"/>
        <v>0</v>
      </c>
    </row>
    <row r="151" spans="1:26" s="24" customFormat="1" hidden="1" outlineLevel="1" x14ac:dyDescent="0.25">
      <c r="A151" s="44"/>
      <c r="B151" s="11" t="str">
        <f>CONCATENATE("          ", "5083", " - ", "PURCHASES @ COST-COMPUTER EQUI")</f>
        <v xml:space="preserve">          5083 - PURCHASES @ COST-COMPUTER EQUI</v>
      </c>
      <c r="C151" s="11"/>
      <c r="D151" s="2">
        <v>7127.48</v>
      </c>
      <c r="E151" s="2"/>
      <c r="F151" s="19">
        <f t="shared" si="10"/>
        <v>1.1668264649066484E-2</v>
      </c>
      <c r="G151" s="2"/>
      <c r="H151" s="2"/>
      <c r="I151" s="2"/>
      <c r="J151" s="19">
        <f t="shared" si="11"/>
        <v>0</v>
      </c>
      <c r="K151" s="2"/>
      <c r="L151" s="2">
        <f t="shared" si="12"/>
        <v>7127.48</v>
      </c>
      <c r="M151" s="2"/>
      <c r="N151" s="19">
        <f t="shared" si="13"/>
        <v>0</v>
      </c>
      <c r="O151" s="11"/>
      <c r="P151" s="2">
        <v>49168.32</v>
      </c>
      <c r="Q151" s="2"/>
      <c r="R151" s="19">
        <f t="shared" si="14"/>
        <v>7.4836895882564678E-3</v>
      </c>
      <c r="S151" s="2"/>
      <c r="T151" s="2"/>
      <c r="U151" s="2"/>
      <c r="V151" s="19">
        <f t="shared" si="15"/>
        <v>0</v>
      </c>
      <c r="W151" s="2"/>
      <c r="X151" s="2">
        <f t="shared" si="16"/>
        <v>49168.32</v>
      </c>
      <c r="Y151" s="2"/>
      <c r="Z151" s="19">
        <f t="shared" si="17"/>
        <v>0</v>
      </c>
    </row>
    <row r="152" spans="1:26" s="24" customFormat="1" hidden="1" outlineLevel="1" x14ac:dyDescent="0.25">
      <c r="A152" s="44"/>
      <c r="B152" s="11" t="str">
        <f>CONCATENATE("          ", "5084", " - ", "PURCHASES @ COST-SOFTWARE LICE")</f>
        <v xml:space="preserve">          5084 - PURCHASES @ COST-SOFTWARE LICE</v>
      </c>
      <c r="C152" s="11"/>
      <c r="D152" s="2"/>
      <c r="E152" s="2"/>
      <c r="F152" s="19">
        <f t="shared" si="10"/>
        <v>0</v>
      </c>
      <c r="G152" s="2"/>
      <c r="H152" s="2"/>
      <c r="I152" s="2"/>
      <c r="J152" s="19">
        <f t="shared" si="11"/>
        <v>0</v>
      </c>
      <c r="K152" s="2"/>
      <c r="L152" s="2">
        <f t="shared" si="12"/>
        <v>0</v>
      </c>
      <c r="M152" s="2"/>
      <c r="N152" s="19">
        <f t="shared" si="13"/>
        <v>0</v>
      </c>
      <c r="O152" s="11"/>
      <c r="P152" s="2">
        <v>2728</v>
      </c>
      <c r="Q152" s="2"/>
      <c r="R152" s="19">
        <f t="shared" si="14"/>
        <v>4.1521665163185654E-4</v>
      </c>
      <c r="S152" s="2"/>
      <c r="T152" s="2"/>
      <c r="U152" s="2"/>
      <c r="V152" s="19">
        <f t="shared" si="15"/>
        <v>0</v>
      </c>
      <c r="W152" s="2"/>
      <c r="X152" s="2">
        <f t="shared" si="16"/>
        <v>2728</v>
      </c>
      <c r="Y152" s="2"/>
      <c r="Z152" s="19">
        <f t="shared" si="17"/>
        <v>0</v>
      </c>
    </row>
    <row r="153" spans="1:26" s="24" customFormat="1" hidden="1" outlineLevel="1" x14ac:dyDescent="0.25">
      <c r="A153" s="44"/>
      <c r="B153" s="11" t="str">
        <f>CONCATENATE("          ", "5085", " - ", "PURCHASES @ COST-SOFTWARE")</f>
        <v xml:space="preserve">          5085 - PURCHASES @ COST-SOFTWARE</v>
      </c>
      <c r="C153" s="11"/>
      <c r="D153" s="2">
        <v>148.36000000000001</v>
      </c>
      <c r="E153" s="2"/>
      <c r="F153" s="19">
        <f t="shared" si="10"/>
        <v>2.4287739051326749E-4</v>
      </c>
      <c r="G153" s="2"/>
      <c r="H153" s="2"/>
      <c r="I153" s="2"/>
      <c r="J153" s="19">
        <f t="shared" si="11"/>
        <v>0</v>
      </c>
      <c r="K153" s="2"/>
      <c r="L153" s="2">
        <f t="shared" si="12"/>
        <v>148.36000000000001</v>
      </c>
      <c r="M153" s="2"/>
      <c r="N153" s="19">
        <f t="shared" si="13"/>
        <v>0</v>
      </c>
      <c r="O153" s="11"/>
      <c r="P153" s="2">
        <v>7080.4</v>
      </c>
      <c r="Q153" s="2"/>
      <c r="R153" s="19">
        <f t="shared" si="14"/>
        <v>1.0776759458263185E-3</v>
      </c>
      <c r="S153" s="2"/>
      <c r="T153" s="2"/>
      <c r="U153" s="2"/>
      <c r="V153" s="19">
        <f t="shared" si="15"/>
        <v>0</v>
      </c>
      <c r="W153" s="2"/>
      <c r="X153" s="2">
        <f t="shared" si="16"/>
        <v>7080.4</v>
      </c>
      <c r="Y153" s="2"/>
      <c r="Z153" s="19">
        <f t="shared" si="17"/>
        <v>0</v>
      </c>
    </row>
    <row r="154" spans="1:26" s="24" customFormat="1" hidden="1" outlineLevel="1" x14ac:dyDescent="0.25">
      <c r="A154" s="44"/>
      <c r="B154" s="11" t="str">
        <f>CONCATENATE("          ", "5086", " - ", "PURCHASES @ COST-COMPUTER SUPP")</f>
        <v xml:space="preserve">          5086 - PURCHASES @ COST-COMPUTER SUPP</v>
      </c>
      <c r="C154" s="11"/>
      <c r="D154" s="2">
        <v>913.55</v>
      </c>
      <c r="E154" s="2"/>
      <c r="F154" s="19">
        <f t="shared" si="10"/>
        <v>1.4955556760811236E-3</v>
      </c>
      <c r="G154" s="2"/>
      <c r="H154" s="2"/>
      <c r="I154" s="2"/>
      <c r="J154" s="19">
        <f t="shared" si="11"/>
        <v>0</v>
      </c>
      <c r="K154" s="2"/>
      <c r="L154" s="2">
        <f t="shared" si="12"/>
        <v>913.55</v>
      </c>
      <c r="M154" s="2"/>
      <c r="N154" s="19">
        <f t="shared" si="13"/>
        <v>0</v>
      </c>
      <c r="O154" s="11"/>
      <c r="P154" s="2">
        <v>19422.649999999998</v>
      </c>
      <c r="Q154" s="2"/>
      <c r="R154" s="19">
        <f t="shared" si="14"/>
        <v>2.9562344937014212E-3</v>
      </c>
      <c r="S154" s="2"/>
      <c r="T154" s="2"/>
      <c r="U154" s="2"/>
      <c r="V154" s="19">
        <f t="shared" si="15"/>
        <v>0</v>
      </c>
      <c r="W154" s="2"/>
      <c r="X154" s="2">
        <f t="shared" si="16"/>
        <v>19422.649999999998</v>
      </c>
      <c r="Y154" s="2"/>
      <c r="Z154" s="19">
        <f t="shared" si="17"/>
        <v>0</v>
      </c>
    </row>
    <row r="155" spans="1:26" s="24" customFormat="1" hidden="1" outlineLevel="1" x14ac:dyDescent="0.25">
      <c r="A155" s="44"/>
      <c r="B155" s="11" t="str">
        <f>CONCATENATE("          ", "5088", " - ", "PURCHASES @ COST-MUSIC")</f>
        <v xml:space="preserve">          5088 - PURCHASES @ COST-MUSIC</v>
      </c>
      <c r="C155" s="11"/>
      <c r="D155" s="2"/>
      <c r="E155" s="2"/>
      <c r="F155" s="19">
        <f t="shared" si="10"/>
        <v>0</v>
      </c>
      <c r="G155" s="2"/>
      <c r="H155" s="2"/>
      <c r="I155" s="2"/>
      <c r="J155" s="19">
        <f t="shared" si="11"/>
        <v>0</v>
      </c>
      <c r="K155" s="2"/>
      <c r="L155" s="2">
        <f t="shared" si="12"/>
        <v>0</v>
      </c>
      <c r="M155" s="2"/>
      <c r="N155" s="19">
        <f t="shared" si="13"/>
        <v>0</v>
      </c>
      <c r="O155" s="11"/>
      <c r="P155" s="2">
        <v>88.75</v>
      </c>
      <c r="Q155" s="2"/>
      <c r="R155" s="19">
        <f t="shared" si="14"/>
        <v>1.3508239674606769E-5</v>
      </c>
      <c r="S155" s="2"/>
      <c r="T155" s="2"/>
      <c r="U155" s="2"/>
      <c r="V155" s="19">
        <f t="shared" si="15"/>
        <v>0</v>
      </c>
      <c r="W155" s="2"/>
      <c r="X155" s="2">
        <f t="shared" si="16"/>
        <v>88.75</v>
      </c>
      <c r="Y155" s="2"/>
      <c r="Z155" s="19">
        <f t="shared" si="17"/>
        <v>0</v>
      </c>
    </row>
    <row r="156" spans="1:26" s="24" customFormat="1" hidden="1" outlineLevel="1" x14ac:dyDescent="0.25">
      <c r="A156" s="44"/>
      <c r="B156" s="11" t="str">
        <f>CONCATENATE("          ", "5092", " - ", "PURCHASES @ COST-GRAD MERCH")</f>
        <v xml:space="preserve">          5092 - PURCHASES @ COST-GRAD MERCH</v>
      </c>
      <c r="C156" s="11"/>
      <c r="D156" s="2">
        <v>628</v>
      </c>
      <c r="E156" s="2"/>
      <c r="F156" s="19">
        <f t="shared" si="10"/>
        <v>1.0280870938415474E-3</v>
      </c>
      <c r="G156" s="2"/>
      <c r="H156" s="2"/>
      <c r="I156" s="2"/>
      <c r="J156" s="19">
        <f t="shared" si="11"/>
        <v>0</v>
      </c>
      <c r="K156" s="2"/>
      <c r="L156" s="2">
        <f t="shared" si="12"/>
        <v>628</v>
      </c>
      <c r="M156" s="2"/>
      <c r="N156" s="19">
        <f t="shared" si="13"/>
        <v>0</v>
      </c>
      <c r="O156" s="11"/>
      <c r="P156" s="2">
        <v>1924.14</v>
      </c>
      <c r="Q156" s="2"/>
      <c r="R156" s="19">
        <f t="shared" si="14"/>
        <v>2.9286472436617321E-4</v>
      </c>
      <c r="S156" s="2"/>
      <c r="T156" s="2"/>
      <c r="U156" s="2"/>
      <c r="V156" s="19">
        <f t="shared" si="15"/>
        <v>0</v>
      </c>
      <c r="W156" s="2"/>
      <c r="X156" s="2">
        <f t="shared" si="16"/>
        <v>1924.14</v>
      </c>
      <c r="Y156" s="2"/>
      <c r="Z156" s="19">
        <f t="shared" si="17"/>
        <v>0</v>
      </c>
    </row>
    <row r="157" spans="1:26" s="24" customFormat="1" hidden="1" outlineLevel="1" x14ac:dyDescent="0.25">
      <c r="A157" s="44"/>
      <c r="B157" s="11" t="str">
        <f>CONCATENATE("          ", "5095", " - ", "PURCHASES @ COST-CUSTOMER SERV")</f>
        <v xml:space="preserve">          5095 - PURCHASES @ COST-CUSTOMER SERV</v>
      </c>
      <c r="C157" s="11"/>
      <c r="D157" s="2"/>
      <c r="E157" s="2"/>
      <c r="F157" s="19">
        <f t="shared" si="10"/>
        <v>0</v>
      </c>
      <c r="G157" s="2"/>
      <c r="H157" s="2"/>
      <c r="I157" s="2"/>
      <c r="J157" s="19">
        <f t="shared" si="11"/>
        <v>0</v>
      </c>
      <c r="K157" s="2"/>
      <c r="L157" s="2">
        <f t="shared" si="12"/>
        <v>0</v>
      </c>
      <c r="M157" s="2"/>
      <c r="N157" s="19">
        <f t="shared" si="13"/>
        <v>0</v>
      </c>
      <c r="O157" s="11"/>
      <c r="P157" s="2">
        <v>0</v>
      </c>
      <c r="Q157" s="2"/>
      <c r="R157" s="19">
        <f t="shared" si="14"/>
        <v>0</v>
      </c>
      <c r="S157" s="2"/>
      <c r="T157" s="2"/>
      <c r="U157" s="2"/>
      <c r="V157" s="19">
        <f t="shared" si="15"/>
        <v>0</v>
      </c>
      <c r="W157" s="2"/>
      <c r="X157" s="2">
        <f t="shared" si="16"/>
        <v>0</v>
      </c>
      <c r="Y157" s="2"/>
      <c r="Z157" s="19">
        <f t="shared" si="17"/>
        <v>0</v>
      </c>
    </row>
    <row r="158" spans="1:26" s="24" customFormat="1" hidden="1" outlineLevel="1" x14ac:dyDescent="0.25">
      <c r="A158" s="44"/>
      <c r="B158" s="11" t="str">
        <f>CONCATENATE("          ", "5200", " - ", "PURCHASES OFFSET")</f>
        <v xml:space="preserve">          5200 - PURCHASES OFFSET</v>
      </c>
      <c r="C158" s="11"/>
      <c r="D158" s="2">
        <v>27177</v>
      </c>
      <c r="E158" s="2"/>
      <c r="F158" s="19">
        <f t="shared" si="10"/>
        <v>4.4490960110400851E-2</v>
      </c>
      <c r="G158" s="2"/>
      <c r="H158" s="2"/>
      <c r="I158" s="2"/>
      <c r="J158" s="19">
        <f t="shared" si="11"/>
        <v>0</v>
      </c>
      <c r="K158" s="2"/>
      <c r="L158" s="2">
        <f t="shared" si="12"/>
        <v>27177</v>
      </c>
      <c r="M158" s="2"/>
      <c r="N158" s="19">
        <f t="shared" si="13"/>
        <v>0</v>
      </c>
      <c r="O158" s="11"/>
      <c r="P158" s="2">
        <v>-3845644</v>
      </c>
      <c r="Q158" s="2"/>
      <c r="R158" s="19">
        <f t="shared" si="14"/>
        <v>-0.58532823498832087</v>
      </c>
      <c r="S158" s="2"/>
      <c r="T158" s="2"/>
      <c r="U158" s="2"/>
      <c r="V158" s="19">
        <f t="shared" si="15"/>
        <v>0</v>
      </c>
      <c r="W158" s="2"/>
      <c r="X158" s="2">
        <f t="shared" si="16"/>
        <v>-3845644</v>
      </c>
      <c r="Y158" s="2"/>
      <c r="Z158" s="19">
        <f t="shared" si="17"/>
        <v>0</v>
      </c>
    </row>
    <row r="159" spans="1:26" s="24" customFormat="1" hidden="1" outlineLevel="1" x14ac:dyDescent="0.25">
      <c r="A159" s="44"/>
      <c r="B159" s="11" t="str">
        <f>CONCATENATE("          ", "5300", " - ", "COG$ OFFSET")</f>
        <v xml:space="preserve">          5300 - COG$ OFFSET</v>
      </c>
      <c r="C159" s="11"/>
      <c r="D159" s="2">
        <v>346925</v>
      </c>
      <c r="E159" s="2"/>
      <c r="F159" s="19">
        <f t="shared" si="10"/>
        <v>0.56794445068627208</v>
      </c>
      <c r="G159" s="2"/>
      <c r="H159" s="2"/>
      <c r="I159" s="2"/>
      <c r="J159" s="19">
        <f t="shared" si="11"/>
        <v>0</v>
      </c>
      <c r="K159" s="2"/>
      <c r="L159" s="2">
        <f t="shared" si="12"/>
        <v>346925</v>
      </c>
      <c r="M159" s="2"/>
      <c r="N159" s="19">
        <f t="shared" si="13"/>
        <v>0</v>
      </c>
      <c r="O159" s="11"/>
      <c r="P159" s="2">
        <v>3679397</v>
      </c>
      <c r="Q159" s="2"/>
      <c r="R159" s="19">
        <f t="shared" si="14"/>
        <v>0.56002452432708871</v>
      </c>
      <c r="S159" s="2"/>
      <c r="T159" s="2"/>
      <c r="U159" s="2"/>
      <c r="V159" s="19">
        <f t="shared" si="15"/>
        <v>0</v>
      </c>
      <c r="W159" s="2"/>
      <c r="X159" s="2">
        <f t="shared" si="16"/>
        <v>3679397</v>
      </c>
      <c r="Y159" s="2"/>
      <c r="Z159" s="19">
        <f t="shared" si="17"/>
        <v>0</v>
      </c>
    </row>
    <row r="160" spans="1:26" s="24" customFormat="1" hidden="1" outlineLevel="1" x14ac:dyDescent="0.25">
      <c r="A160" s="44"/>
      <c r="B160" s="11" t="str">
        <f>CONCATENATE("          ", "5500", " - ", "FREIGHT-IN")</f>
        <v xml:space="preserve">          5500 - FREIGHT-IN</v>
      </c>
      <c r="C160" s="11"/>
      <c r="D160" s="2"/>
      <c r="E160" s="2"/>
      <c r="F160" s="19">
        <f t="shared" si="10"/>
        <v>0</v>
      </c>
      <c r="G160" s="2"/>
      <c r="H160" s="2"/>
      <c r="I160" s="2"/>
      <c r="J160" s="19">
        <f t="shared" si="11"/>
        <v>0</v>
      </c>
      <c r="K160" s="2"/>
      <c r="L160" s="2">
        <f t="shared" si="12"/>
        <v>0</v>
      </c>
      <c r="M160" s="2"/>
      <c r="N160" s="19">
        <f t="shared" si="13"/>
        <v>0</v>
      </c>
      <c r="O160" s="11"/>
      <c r="P160" s="2">
        <v>35.229999999999997</v>
      </c>
      <c r="Q160" s="2"/>
      <c r="R160" s="19">
        <f t="shared" si="14"/>
        <v>5.3622003801284104E-6</v>
      </c>
      <c r="S160" s="2"/>
      <c r="T160" s="2"/>
      <c r="U160" s="2"/>
      <c r="V160" s="19">
        <f t="shared" si="15"/>
        <v>0</v>
      </c>
      <c r="W160" s="2"/>
      <c r="X160" s="2">
        <f t="shared" si="16"/>
        <v>35.229999999999997</v>
      </c>
      <c r="Y160" s="2"/>
      <c r="Z160" s="19">
        <f t="shared" si="17"/>
        <v>0</v>
      </c>
    </row>
    <row r="161" spans="1:26" s="24" customFormat="1" hidden="1" outlineLevel="1" x14ac:dyDescent="0.25">
      <c r="A161" s="44"/>
      <c r="B161" s="11" t="str">
        <f>CONCATENATE("          ", "5501", " - ", "FREIGHT-IN-NEW TEXT")</f>
        <v xml:space="preserve">          5501 - FREIGHT-IN-NEW TEXT</v>
      </c>
      <c r="C161" s="11"/>
      <c r="D161" s="2">
        <v>490.07</v>
      </c>
      <c r="E161" s="2"/>
      <c r="F161" s="19">
        <f t="shared" si="10"/>
        <v>8.0228446190911968E-4</v>
      </c>
      <c r="G161" s="2"/>
      <c r="H161" s="2"/>
      <c r="I161" s="2"/>
      <c r="J161" s="19">
        <f t="shared" si="11"/>
        <v>0</v>
      </c>
      <c r="K161" s="2"/>
      <c r="L161" s="2">
        <f t="shared" si="12"/>
        <v>490.07</v>
      </c>
      <c r="M161" s="2"/>
      <c r="N161" s="19">
        <f t="shared" si="13"/>
        <v>0</v>
      </c>
      <c r="O161" s="11"/>
      <c r="P161" s="2">
        <v>34507.550000000003</v>
      </c>
      <c r="Q161" s="2"/>
      <c r="R161" s="19">
        <f t="shared" si="14"/>
        <v>5.2522395040391755E-3</v>
      </c>
      <c r="S161" s="2"/>
      <c r="T161" s="2"/>
      <c r="U161" s="2"/>
      <c r="V161" s="19">
        <f t="shared" si="15"/>
        <v>0</v>
      </c>
      <c r="W161" s="2"/>
      <c r="X161" s="2">
        <f t="shared" si="16"/>
        <v>34507.550000000003</v>
      </c>
      <c r="Y161" s="2"/>
      <c r="Z161" s="19">
        <f t="shared" si="17"/>
        <v>0</v>
      </c>
    </row>
    <row r="162" spans="1:26" s="24" customFormat="1" hidden="1" outlineLevel="1" x14ac:dyDescent="0.25">
      <c r="A162" s="44"/>
      <c r="B162" s="11" t="str">
        <f>CONCATENATE("          ", "5502", " - ", "FREIGHT-IN-USED TEXT")</f>
        <v xml:space="preserve">          5502 - FREIGHT-IN-USED TEXT</v>
      </c>
      <c r="C162" s="11"/>
      <c r="D162" s="2">
        <v>237.65</v>
      </c>
      <c r="E162" s="2"/>
      <c r="F162" s="19">
        <f t="shared" si="10"/>
        <v>3.8905238511376393E-4</v>
      </c>
      <c r="G162" s="2"/>
      <c r="H162" s="2"/>
      <c r="I162" s="2"/>
      <c r="J162" s="19">
        <f t="shared" si="11"/>
        <v>0</v>
      </c>
      <c r="K162" s="2"/>
      <c r="L162" s="2">
        <f t="shared" si="12"/>
        <v>237.65</v>
      </c>
      <c r="M162" s="2"/>
      <c r="N162" s="19">
        <f t="shared" si="13"/>
        <v>0</v>
      </c>
      <c r="O162" s="11"/>
      <c r="P162" s="2">
        <v>7090.12</v>
      </c>
      <c r="Q162" s="2"/>
      <c r="R162" s="19">
        <f t="shared" si="14"/>
        <v>1.0791553834560332E-3</v>
      </c>
      <c r="S162" s="2"/>
      <c r="T162" s="2"/>
      <c r="U162" s="2"/>
      <c r="V162" s="19">
        <f t="shared" si="15"/>
        <v>0</v>
      </c>
      <c r="W162" s="2"/>
      <c r="X162" s="2">
        <f t="shared" si="16"/>
        <v>7090.12</v>
      </c>
      <c r="Y162" s="2"/>
      <c r="Z162" s="19">
        <f t="shared" si="17"/>
        <v>0</v>
      </c>
    </row>
    <row r="163" spans="1:26" s="24" customFormat="1" hidden="1" outlineLevel="1" x14ac:dyDescent="0.25">
      <c r="A163" s="44"/>
      <c r="B163" s="11" t="str">
        <f>CONCATENATE("          ", "5504", " - ", "FREIGHT-IN-DIGITAL TEXT")</f>
        <v xml:space="preserve">          5504 - FREIGHT-IN-DIGITAL TEXT</v>
      </c>
      <c r="C163" s="11"/>
      <c r="D163" s="2">
        <v>5</v>
      </c>
      <c r="E163" s="2"/>
      <c r="F163" s="19">
        <f t="shared" si="10"/>
        <v>8.1854067981014914E-6</v>
      </c>
      <c r="G163" s="2"/>
      <c r="H163" s="2"/>
      <c r="I163" s="2"/>
      <c r="J163" s="19">
        <f t="shared" si="11"/>
        <v>0</v>
      </c>
      <c r="K163" s="2"/>
      <c r="L163" s="2">
        <f t="shared" si="12"/>
        <v>5</v>
      </c>
      <c r="M163" s="2"/>
      <c r="N163" s="19">
        <f t="shared" si="13"/>
        <v>0</v>
      </c>
      <c r="O163" s="11"/>
      <c r="P163" s="2">
        <v>105.97</v>
      </c>
      <c r="Q163" s="2"/>
      <c r="R163" s="19">
        <f t="shared" si="14"/>
        <v>1.6129218685274134E-5</v>
      </c>
      <c r="S163" s="2"/>
      <c r="T163" s="2"/>
      <c r="U163" s="2"/>
      <c r="V163" s="19">
        <f t="shared" si="15"/>
        <v>0</v>
      </c>
      <c r="W163" s="2"/>
      <c r="X163" s="2">
        <f t="shared" si="16"/>
        <v>105.97</v>
      </c>
      <c r="Y163" s="2"/>
      <c r="Z163" s="19">
        <f t="shared" si="17"/>
        <v>0</v>
      </c>
    </row>
    <row r="164" spans="1:26" s="24" customFormat="1" hidden="1" outlineLevel="1" x14ac:dyDescent="0.25">
      <c r="A164" s="44"/>
      <c r="B164" s="11" t="str">
        <f>CONCATENATE("          ", "5513", " - ", "FREIGHT-IN-TRADE BOOKS")</f>
        <v xml:space="preserve">          5513 - FREIGHT-IN-TRADE BOOKS</v>
      </c>
      <c r="C164" s="11"/>
      <c r="D164" s="2">
        <v>12.33</v>
      </c>
      <c r="E164" s="2"/>
      <c r="F164" s="19">
        <f t="shared" si="10"/>
        <v>2.0185213164118278E-5</v>
      </c>
      <c r="G164" s="2"/>
      <c r="H164" s="2"/>
      <c r="I164" s="2"/>
      <c r="J164" s="19">
        <f t="shared" si="11"/>
        <v>0</v>
      </c>
      <c r="K164" s="2"/>
      <c r="L164" s="2">
        <f t="shared" si="12"/>
        <v>12.33</v>
      </c>
      <c r="M164" s="2"/>
      <c r="N164" s="19">
        <f t="shared" si="13"/>
        <v>0</v>
      </c>
      <c r="O164" s="11"/>
      <c r="P164" s="2">
        <v>12.33</v>
      </c>
      <c r="Q164" s="2"/>
      <c r="R164" s="19">
        <f t="shared" si="14"/>
        <v>1.8766940302862138E-6</v>
      </c>
      <c r="S164" s="2"/>
      <c r="T164" s="2"/>
      <c r="U164" s="2"/>
      <c r="V164" s="19">
        <f t="shared" si="15"/>
        <v>0</v>
      </c>
      <c r="W164" s="2"/>
      <c r="X164" s="2">
        <f t="shared" si="16"/>
        <v>12.33</v>
      </c>
      <c r="Y164" s="2"/>
      <c r="Z164" s="19">
        <f t="shared" si="17"/>
        <v>0</v>
      </c>
    </row>
    <row r="165" spans="1:26" s="24" customFormat="1" hidden="1" outlineLevel="1" x14ac:dyDescent="0.25">
      <c r="A165" s="44"/>
      <c r="B165" s="11" t="str">
        <f>CONCATENATE("          ", "5518", " - ", "FREIGHT-IN-STUDY GUIDES")</f>
        <v xml:space="preserve">          5518 - FREIGHT-IN-STUDY GUIDES</v>
      </c>
      <c r="C165" s="11"/>
      <c r="D165" s="2">
        <v>12.26</v>
      </c>
      <c r="E165" s="2"/>
      <c r="F165" s="19">
        <f t="shared" si="10"/>
        <v>2.0070617468944857E-5</v>
      </c>
      <c r="G165" s="2"/>
      <c r="H165" s="2"/>
      <c r="I165" s="2"/>
      <c r="J165" s="19">
        <f t="shared" si="11"/>
        <v>0</v>
      </c>
      <c r="K165" s="2"/>
      <c r="L165" s="2">
        <f t="shared" si="12"/>
        <v>12.26</v>
      </c>
      <c r="M165" s="2"/>
      <c r="N165" s="19">
        <f t="shared" si="13"/>
        <v>0</v>
      </c>
      <c r="O165" s="11"/>
      <c r="P165" s="2">
        <v>12.26</v>
      </c>
      <c r="Q165" s="2"/>
      <c r="R165" s="19">
        <f t="shared" si="14"/>
        <v>1.8660396440639887E-6</v>
      </c>
      <c r="S165" s="2"/>
      <c r="T165" s="2"/>
      <c r="U165" s="2"/>
      <c r="V165" s="19">
        <f t="shared" si="15"/>
        <v>0</v>
      </c>
      <c r="W165" s="2"/>
      <c r="X165" s="2">
        <f t="shared" si="16"/>
        <v>12.26</v>
      </c>
      <c r="Y165" s="2"/>
      <c r="Z165" s="19">
        <f t="shared" si="17"/>
        <v>0</v>
      </c>
    </row>
    <row r="166" spans="1:26" s="24" customFormat="1" hidden="1" outlineLevel="1" x14ac:dyDescent="0.25">
      <c r="A166" s="44"/>
      <c r="B166" s="11" t="str">
        <f>CONCATENATE("          ", "5525", " - ", "FREIGHT-IN-TEST FORMS")</f>
        <v xml:space="preserve">          5525 - FREIGHT-IN-TEST FORMS</v>
      </c>
      <c r="C166" s="11"/>
      <c r="D166" s="2">
        <v>335.7</v>
      </c>
      <c r="E166" s="2"/>
      <c r="F166" s="19">
        <f t="shared" si="10"/>
        <v>5.4956821242453419E-4</v>
      </c>
      <c r="G166" s="2"/>
      <c r="H166" s="2"/>
      <c r="I166" s="2"/>
      <c r="J166" s="19">
        <f t="shared" si="11"/>
        <v>0</v>
      </c>
      <c r="K166" s="2"/>
      <c r="L166" s="2">
        <f t="shared" si="12"/>
        <v>335.7</v>
      </c>
      <c r="M166" s="2"/>
      <c r="N166" s="19">
        <f t="shared" si="13"/>
        <v>0</v>
      </c>
      <c r="O166" s="11"/>
      <c r="P166" s="2">
        <v>374.92</v>
      </c>
      <c r="Q166" s="2"/>
      <c r="R166" s="19">
        <f t="shared" si="14"/>
        <v>5.7064892606237413E-5</v>
      </c>
      <c r="S166" s="2"/>
      <c r="T166" s="2"/>
      <c r="U166" s="2"/>
      <c r="V166" s="19">
        <f t="shared" si="15"/>
        <v>0</v>
      </c>
      <c r="W166" s="2"/>
      <c r="X166" s="2">
        <f t="shared" si="16"/>
        <v>374.92</v>
      </c>
      <c r="Y166" s="2"/>
      <c r="Z166" s="19">
        <f t="shared" si="17"/>
        <v>0</v>
      </c>
    </row>
    <row r="167" spans="1:26" s="24" customFormat="1" hidden="1" outlineLevel="1" x14ac:dyDescent="0.25">
      <c r="A167" s="44"/>
      <c r="B167" s="11" t="str">
        <f>CONCATENATE("          ", "5526", " - ", "FREIGHT-IN-WRITING INSTRUMENTS")</f>
        <v xml:space="preserve">          5526 - FREIGHT-IN-WRITING INSTRUMENTS</v>
      </c>
      <c r="C167" s="11"/>
      <c r="D167" s="2">
        <v>160.91999999999999</v>
      </c>
      <c r="E167" s="2"/>
      <c r="F167" s="19">
        <f t="shared" si="10"/>
        <v>2.6343913239009842E-4</v>
      </c>
      <c r="G167" s="2"/>
      <c r="H167" s="2"/>
      <c r="I167" s="2"/>
      <c r="J167" s="19">
        <f t="shared" si="11"/>
        <v>0</v>
      </c>
      <c r="K167" s="2"/>
      <c r="L167" s="2">
        <f t="shared" si="12"/>
        <v>160.91999999999999</v>
      </c>
      <c r="M167" s="2"/>
      <c r="N167" s="19">
        <f t="shared" si="13"/>
        <v>0</v>
      </c>
      <c r="O167" s="11"/>
      <c r="P167" s="2">
        <v>217.49</v>
      </c>
      <c r="Q167" s="2"/>
      <c r="R167" s="19">
        <f t="shared" si="14"/>
        <v>3.3103177992453253E-5</v>
      </c>
      <c r="S167" s="2"/>
      <c r="T167" s="2"/>
      <c r="U167" s="2"/>
      <c r="V167" s="19">
        <f t="shared" si="15"/>
        <v>0</v>
      </c>
      <c r="W167" s="2"/>
      <c r="X167" s="2">
        <f t="shared" si="16"/>
        <v>217.49</v>
      </c>
      <c r="Y167" s="2"/>
      <c r="Z167" s="19">
        <f t="shared" si="17"/>
        <v>0</v>
      </c>
    </row>
    <row r="168" spans="1:26" s="24" customFormat="1" hidden="1" outlineLevel="1" x14ac:dyDescent="0.25">
      <c r="A168" s="44"/>
      <c r="B168" s="11" t="str">
        <f>CONCATENATE("          ", "5527", " - ", "FREIGHT-IN-SCHOOL SUPPLIES")</f>
        <v xml:space="preserve">          5527 - FREIGHT-IN-SCHOOL SUPPLIES</v>
      </c>
      <c r="C168" s="11"/>
      <c r="D168" s="2">
        <v>134.09</v>
      </c>
      <c r="E168" s="2"/>
      <c r="F168" s="19">
        <f t="shared" si="10"/>
        <v>2.1951623951148582E-4</v>
      </c>
      <c r="G168" s="2"/>
      <c r="H168" s="2"/>
      <c r="I168" s="2"/>
      <c r="J168" s="19">
        <f t="shared" si="11"/>
        <v>0</v>
      </c>
      <c r="K168" s="2"/>
      <c r="L168" s="2">
        <f t="shared" si="12"/>
        <v>134.09</v>
      </c>
      <c r="M168" s="2"/>
      <c r="N168" s="19">
        <f t="shared" si="13"/>
        <v>0</v>
      </c>
      <c r="O168" s="11"/>
      <c r="P168" s="2">
        <v>872.58</v>
      </c>
      <c r="Q168" s="2"/>
      <c r="R168" s="19">
        <f t="shared" si="14"/>
        <v>1.3281149042555917E-4</v>
      </c>
      <c r="S168" s="2"/>
      <c r="T168" s="2"/>
      <c r="U168" s="2"/>
      <c r="V168" s="19">
        <f t="shared" si="15"/>
        <v>0</v>
      </c>
      <c r="W168" s="2"/>
      <c r="X168" s="2">
        <f t="shared" si="16"/>
        <v>872.58</v>
      </c>
      <c r="Y168" s="2"/>
      <c r="Z168" s="19">
        <f t="shared" si="17"/>
        <v>0</v>
      </c>
    </row>
    <row r="169" spans="1:26" s="24" customFormat="1" hidden="1" outlineLevel="1" x14ac:dyDescent="0.25">
      <c r="A169" s="44"/>
      <c r="B169" s="11" t="str">
        <f>CONCATENATE("          ", "5528", " - ", "FREIGHT-IN-ART/TECH")</f>
        <v xml:space="preserve">          5528 - FREIGHT-IN-ART/TECH</v>
      </c>
      <c r="C169" s="11"/>
      <c r="D169" s="2">
        <v>105.06</v>
      </c>
      <c r="E169" s="2"/>
      <c r="F169" s="19">
        <f t="shared" si="10"/>
        <v>1.7199176764170855E-4</v>
      </c>
      <c r="G169" s="2"/>
      <c r="H169" s="2"/>
      <c r="I169" s="2"/>
      <c r="J169" s="19">
        <f t="shared" si="11"/>
        <v>0</v>
      </c>
      <c r="K169" s="2"/>
      <c r="L169" s="2">
        <f t="shared" si="12"/>
        <v>105.06</v>
      </c>
      <c r="M169" s="2"/>
      <c r="N169" s="19">
        <f t="shared" si="13"/>
        <v>0</v>
      </c>
      <c r="O169" s="11"/>
      <c r="P169" s="2">
        <v>923.5</v>
      </c>
      <c r="Q169" s="2"/>
      <c r="R169" s="19">
        <f t="shared" si="14"/>
        <v>1.4056179537464059E-4</v>
      </c>
      <c r="S169" s="2"/>
      <c r="T169" s="2"/>
      <c r="U169" s="2"/>
      <c r="V169" s="19">
        <f t="shared" si="15"/>
        <v>0</v>
      </c>
      <c r="W169" s="2"/>
      <c r="X169" s="2">
        <f t="shared" si="16"/>
        <v>923.5</v>
      </c>
      <c r="Y169" s="2"/>
      <c r="Z169" s="19">
        <f t="shared" si="17"/>
        <v>0</v>
      </c>
    </row>
    <row r="170" spans="1:26" s="24" customFormat="1" hidden="1" outlineLevel="1" x14ac:dyDescent="0.25">
      <c r="A170" s="44"/>
      <c r="B170" s="11" t="str">
        <f>CONCATENATE("          ", "5540", " - ", "FREIGHT-IN-LOGO CLOTHING")</f>
        <v xml:space="preserve">          5540 - FREIGHT-IN-LOGO CLOTHING</v>
      </c>
      <c r="C170" s="11"/>
      <c r="D170" s="2">
        <v>6133.89</v>
      </c>
      <c r="E170" s="2"/>
      <c r="F170" s="19">
        <f t="shared" si="10"/>
        <v>1.0041676980961353E-2</v>
      </c>
      <c r="G170" s="2"/>
      <c r="H170" s="2"/>
      <c r="I170" s="2"/>
      <c r="J170" s="19">
        <f t="shared" si="11"/>
        <v>0</v>
      </c>
      <c r="K170" s="2"/>
      <c r="L170" s="2">
        <f t="shared" si="12"/>
        <v>6133.89</v>
      </c>
      <c r="M170" s="2"/>
      <c r="N170" s="19">
        <f t="shared" si="13"/>
        <v>0</v>
      </c>
      <c r="O170" s="11"/>
      <c r="P170" s="2">
        <v>20241.329999999998</v>
      </c>
      <c r="Q170" s="2"/>
      <c r="R170" s="19">
        <f t="shared" si="14"/>
        <v>3.0808421067358674E-3</v>
      </c>
      <c r="S170" s="2"/>
      <c r="T170" s="2"/>
      <c r="U170" s="2"/>
      <c r="V170" s="19">
        <f t="shared" si="15"/>
        <v>0</v>
      </c>
      <c r="W170" s="2"/>
      <c r="X170" s="2">
        <f t="shared" si="16"/>
        <v>20241.329999999998</v>
      </c>
      <c r="Y170" s="2"/>
      <c r="Z170" s="19">
        <f t="shared" si="17"/>
        <v>0</v>
      </c>
    </row>
    <row r="171" spans="1:26" s="24" customFormat="1" hidden="1" outlineLevel="1" x14ac:dyDescent="0.25">
      <c r="A171" s="44"/>
      <c r="B171" s="11" t="str">
        <f>CONCATENATE("          ", "5541", " - ", "FREIGHT-IN-LOGO GIFTS")</f>
        <v xml:space="preserve">          5541 - FREIGHT-IN-LOGO GIFTS</v>
      </c>
      <c r="C171" s="11"/>
      <c r="D171" s="2">
        <v>1315.98</v>
      </c>
      <c r="E171" s="2"/>
      <c r="F171" s="19">
        <f t="shared" si="10"/>
        <v>2.1543663276331203E-3</v>
      </c>
      <c r="G171" s="2"/>
      <c r="H171" s="2"/>
      <c r="I171" s="2"/>
      <c r="J171" s="19">
        <f t="shared" si="11"/>
        <v>0</v>
      </c>
      <c r="K171" s="2"/>
      <c r="L171" s="2">
        <f t="shared" si="12"/>
        <v>1315.98</v>
      </c>
      <c r="M171" s="2"/>
      <c r="N171" s="19">
        <f t="shared" si="13"/>
        <v>0</v>
      </c>
      <c r="O171" s="11"/>
      <c r="P171" s="2">
        <v>2852.83</v>
      </c>
      <c r="Q171" s="2"/>
      <c r="R171" s="19">
        <f t="shared" si="14"/>
        <v>4.3421646637643299E-4</v>
      </c>
      <c r="S171" s="2"/>
      <c r="T171" s="2"/>
      <c r="U171" s="2"/>
      <c r="V171" s="19">
        <f t="shared" si="15"/>
        <v>0</v>
      </c>
      <c r="W171" s="2"/>
      <c r="X171" s="2">
        <f t="shared" si="16"/>
        <v>2852.83</v>
      </c>
      <c r="Y171" s="2"/>
      <c r="Z171" s="19">
        <f t="shared" si="17"/>
        <v>0</v>
      </c>
    </row>
    <row r="172" spans="1:26" s="24" customFormat="1" hidden="1" outlineLevel="1" x14ac:dyDescent="0.25">
      <c r="A172" s="44"/>
      <c r="B172" s="11" t="str">
        <f>CONCATENATE("          ", "5542", " - ", "FREIGHT-IN-EVERYDAY GIFTS")</f>
        <v xml:space="preserve">          5542 - FREIGHT-IN-EVERYDAY GIFTS</v>
      </c>
      <c r="C172" s="11"/>
      <c r="D172" s="2">
        <v>745.78</v>
      </c>
      <c r="E172" s="2"/>
      <c r="F172" s="19">
        <f t="shared" si="10"/>
        <v>1.2209025363776262E-3</v>
      </c>
      <c r="G172" s="2"/>
      <c r="H172" s="2"/>
      <c r="I172" s="2"/>
      <c r="J172" s="19">
        <f t="shared" si="11"/>
        <v>0</v>
      </c>
      <c r="K172" s="2"/>
      <c r="L172" s="2">
        <f t="shared" si="12"/>
        <v>745.78</v>
      </c>
      <c r="M172" s="2"/>
      <c r="N172" s="19">
        <f t="shared" si="13"/>
        <v>0</v>
      </c>
      <c r="O172" s="11"/>
      <c r="P172" s="2">
        <v>1513.51</v>
      </c>
      <c r="Q172" s="2"/>
      <c r="R172" s="19">
        <f t="shared" si="14"/>
        <v>2.3036457273142638E-4</v>
      </c>
      <c r="S172" s="2"/>
      <c r="T172" s="2"/>
      <c r="U172" s="2"/>
      <c r="V172" s="19">
        <f t="shared" si="15"/>
        <v>0</v>
      </c>
      <c r="W172" s="2"/>
      <c r="X172" s="2">
        <f t="shared" si="16"/>
        <v>1513.51</v>
      </c>
      <c r="Y172" s="2"/>
      <c r="Z172" s="19">
        <f t="shared" si="17"/>
        <v>0</v>
      </c>
    </row>
    <row r="173" spans="1:26" s="24" customFormat="1" hidden="1" outlineLevel="1" x14ac:dyDescent="0.25">
      <c r="A173" s="44"/>
      <c r="B173" s="11" t="str">
        <f>CONCATENATE("          ", "5543", " - ", "FREIGHT-IN-CARDS")</f>
        <v xml:space="preserve">          5543 - FREIGHT-IN-CARDS</v>
      </c>
      <c r="C173" s="11"/>
      <c r="D173" s="2">
        <v>39.01</v>
      </c>
      <c r="E173" s="2"/>
      <c r="F173" s="19">
        <f t="shared" si="10"/>
        <v>6.3862543838787839E-5</v>
      </c>
      <c r="G173" s="2"/>
      <c r="H173" s="2"/>
      <c r="I173" s="2"/>
      <c r="J173" s="19">
        <f t="shared" si="11"/>
        <v>0</v>
      </c>
      <c r="K173" s="2"/>
      <c r="L173" s="2">
        <f t="shared" si="12"/>
        <v>39.01</v>
      </c>
      <c r="M173" s="2"/>
      <c r="N173" s="19">
        <f t="shared" si="13"/>
        <v>0</v>
      </c>
      <c r="O173" s="11"/>
      <c r="P173" s="2">
        <v>43.59</v>
      </c>
      <c r="Q173" s="2"/>
      <c r="R173" s="19">
        <f t="shared" si="14"/>
        <v>6.6346385060970044E-6</v>
      </c>
      <c r="S173" s="2"/>
      <c r="T173" s="2"/>
      <c r="U173" s="2"/>
      <c r="V173" s="19">
        <f t="shared" si="15"/>
        <v>0</v>
      </c>
      <c r="W173" s="2"/>
      <c r="X173" s="2">
        <f t="shared" si="16"/>
        <v>43.59</v>
      </c>
      <c r="Y173" s="2"/>
      <c r="Z173" s="19">
        <f t="shared" si="17"/>
        <v>0</v>
      </c>
    </row>
    <row r="174" spans="1:26" s="24" customFormat="1" hidden="1" outlineLevel="1" x14ac:dyDescent="0.25">
      <c r="A174" s="44"/>
      <c r="B174" s="11" t="str">
        <f>CONCATENATE("          ", "5544", " - ", "FREIGHT-IN-ACCESSORIES")</f>
        <v xml:space="preserve">          5544 - FREIGHT-IN-ACCESSORIES</v>
      </c>
      <c r="C174" s="11"/>
      <c r="D174" s="2">
        <v>54.82</v>
      </c>
      <c r="E174" s="2"/>
      <c r="F174" s="19">
        <f t="shared" si="10"/>
        <v>8.974480013438476E-5</v>
      </c>
      <c r="G174" s="2"/>
      <c r="H174" s="2"/>
      <c r="I174" s="2"/>
      <c r="J174" s="19">
        <f t="shared" si="11"/>
        <v>0</v>
      </c>
      <c r="K174" s="2"/>
      <c r="L174" s="2">
        <f t="shared" si="12"/>
        <v>54.82</v>
      </c>
      <c r="M174" s="2"/>
      <c r="N174" s="19">
        <f t="shared" si="13"/>
        <v>0</v>
      </c>
      <c r="O174" s="11"/>
      <c r="P174" s="2">
        <v>413.91</v>
      </c>
      <c r="Q174" s="2"/>
      <c r="R174" s="19">
        <f t="shared" si="14"/>
        <v>6.2999385732016774E-5</v>
      </c>
      <c r="S174" s="2"/>
      <c r="T174" s="2"/>
      <c r="U174" s="2"/>
      <c r="V174" s="19">
        <f t="shared" si="15"/>
        <v>0</v>
      </c>
      <c r="W174" s="2"/>
      <c r="X174" s="2">
        <f t="shared" si="16"/>
        <v>413.91</v>
      </c>
      <c r="Y174" s="2"/>
      <c r="Z174" s="19">
        <f t="shared" si="17"/>
        <v>0</v>
      </c>
    </row>
    <row r="175" spans="1:26" s="24" customFormat="1" hidden="1" outlineLevel="1" x14ac:dyDescent="0.25">
      <c r="A175" s="44"/>
      <c r="B175" s="11" t="str">
        <f>CONCATENATE("          ", "5545", " - ", "FREIGHT-IN-SPECIAL ORDERS")</f>
        <v xml:space="preserve">          5545 - FREIGHT-IN-SPECIAL ORDERS</v>
      </c>
      <c r="C175" s="11"/>
      <c r="D175" s="2">
        <v>158.08000000000001</v>
      </c>
      <c r="E175" s="2"/>
      <c r="F175" s="19">
        <f t="shared" si="10"/>
        <v>2.5878982132877679E-4</v>
      </c>
      <c r="G175" s="2"/>
      <c r="H175" s="2"/>
      <c r="I175" s="2"/>
      <c r="J175" s="19">
        <f t="shared" si="11"/>
        <v>0</v>
      </c>
      <c r="K175" s="2"/>
      <c r="L175" s="2">
        <f t="shared" si="12"/>
        <v>158.08000000000001</v>
      </c>
      <c r="M175" s="2"/>
      <c r="N175" s="19">
        <f t="shared" si="13"/>
        <v>0</v>
      </c>
      <c r="O175" s="11"/>
      <c r="P175" s="2">
        <v>505.06</v>
      </c>
      <c r="Q175" s="2"/>
      <c r="R175" s="19">
        <f t="shared" si="14"/>
        <v>7.6872918648528401E-5</v>
      </c>
      <c r="S175" s="2"/>
      <c r="T175" s="2"/>
      <c r="U175" s="2"/>
      <c r="V175" s="19">
        <f t="shared" si="15"/>
        <v>0</v>
      </c>
      <c r="W175" s="2"/>
      <c r="X175" s="2">
        <f t="shared" si="16"/>
        <v>505.06</v>
      </c>
      <c r="Y175" s="2"/>
      <c r="Z175" s="19">
        <f t="shared" si="17"/>
        <v>0</v>
      </c>
    </row>
    <row r="176" spans="1:26" s="24" customFormat="1" hidden="1" outlineLevel="1" x14ac:dyDescent="0.25">
      <c r="A176" s="44"/>
      <c r="B176" s="11" t="str">
        <f>CONCATENATE("          ", "5581", " - ", "FREIGHT-IN-ELECTRONICS")</f>
        <v xml:space="preserve">          5581 - FREIGHT-IN-ELECTRONICS</v>
      </c>
      <c r="C176" s="11"/>
      <c r="D176" s="2"/>
      <c r="E176" s="2"/>
      <c r="F176" s="19">
        <f t="shared" si="10"/>
        <v>0</v>
      </c>
      <c r="G176" s="2"/>
      <c r="H176" s="2"/>
      <c r="I176" s="2"/>
      <c r="J176" s="19">
        <f t="shared" si="11"/>
        <v>0</v>
      </c>
      <c r="K176" s="2"/>
      <c r="L176" s="2">
        <f t="shared" si="12"/>
        <v>0</v>
      </c>
      <c r="M176" s="2"/>
      <c r="N176" s="19">
        <f t="shared" si="13"/>
        <v>0</v>
      </c>
      <c r="O176" s="11"/>
      <c r="P176" s="2">
        <v>105.75</v>
      </c>
      <c r="Q176" s="2"/>
      <c r="R176" s="19">
        <f t="shared" si="14"/>
        <v>1.6095733471432856E-5</v>
      </c>
      <c r="S176" s="2"/>
      <c r="T176" s="2"/>
      <c r="U176" s="2"/>
      <c r="V176" s="19">
        <f t="shared" si="15"/>
        <v>0</v>
      </c>
      <c r="W176" s="2"/>
      <c r="X176" s="2">
        <f t="shared" si="16"/>
        <v>105.75</v>
      </c>
      <c r="Y176" s="2"/>
      <c r="Z176" s="19">
        <f t="shared" si="17"/>
        <v>0</v>
      </c>
    </row>
    <row r="177" spans="1:26" s="24" customFormat="1" hidden="1" outlineLevel="1" x14ac:dyDescent="0.25">
      <c r="A177" s="44"/>
      <c r="B177" s="11" t="str">
        <f>CONCATENATE("          ", "5582", " - ", "FREIGHT-IN-COMPUTER HARDWARE")</f>
        <v xml:space="preserve">          5582 - FREIGHT-IN-COMPUTER HARDWARE</v>
      </c>
      <c r="C177" s="11"/>
      <c r="D177" s="2"/>
      <c r="E177" s="2"/>
      <c r="F177" s="19">
        <f t="shared" si="10"/>
        <v>0</v>
      </c>
      <c r="G177" s="2"/>
      <c r="H177" s="2"/>
      <c r="I177" s="2"/>
      <c r="J177" s="19">
        <f t="shared" si="11"/>
        <v>0</v>
      </c>
      <c r="K177" s="2"/>
      <c r="L177" s="2">
        <f t="shared" si="12"/>
        <v>0</v>
      </c>
      <c r="M177" s="2"/>
      <c r="N177" s="19">
        <f t="shared" si="13"/>
        <v>0</v>
      </c>
      <c r="O177" s="11"/>
      <c r="P177" s="2">
        <v>4.84</v>
      </c>
      <c r="Q177" s="2"/>
      <c r="R177" s="19">
        <f t="shared" si="14"/>
        <v>7.3667470450813253E-7</v>
      </c>
      <c r="S177" s="2"/>
      <c r="T177" s="2"/>
      <c r="U177" s="2"/>
      <c r="V177" s="19">
        <f t="shared" si="15"/>
        <v>0</v>
      </c>
      <c r="W177" s="2"/>
      <c r="X177" s="2">
        <f t="shared" si="16"/>
        <v>4.84</v>
      </c>
      <c r="Y177" s="2"/>
      <c r="Z177" s="19">
        <f t="shared" si="17"/>
        <v>0</v>
      </c>
    </row>
    <row r="178" spans="1:26" s="24" customFormat="1" hidden="1" outlineLevel="1" x14ac:dyDescent="0.25">
      <c r="A178" s="44"/>
      <c r="B178" s="11" t="str">
        <f>CONCATENATE("          ", "5583", " - ", "FREIGHT-IN-COMPUTER EQUIPMENT")</f>
        <v xml:space="preserve">          5583 - FREIGHT-IN-COMPUTER EQUIPMENT</v>
      </c>
      <c r="C178" s="11"/>
      <c r="D178" s="2"/>
      <c r="E178" s="2"/>
      <c r="F178" s="19">
        <f t="shared" si="10"/>
        <v>0</v>
      </c>
      <c r="G178" s="2"/>
      <c r="H178" s="2"/>
      <c r="I178" s="2"/>
      <c r="J178" s="19">
        <f t="shared" si="11"/>
        <v>0</v>
      </c>
      <c r="K178" s="2"/>
      <c r="L178" s="2">
        <f t="shared" si="12"/>
        <v>0</v>
      </c>
      <c r="M178" s="2"/>
      <c r="N178" s="19">
        <f t="shared" si="13"/>
        <v>0</v>
      </c>
      <c r="O178" s="11"/>
      <c r="P178" s="2">
        <v>41</v>
      </c>
      <c r="Q178" s="2"/>
      <c r="R178" s="19">
        <f t="shared" si="14"/>
        <v>6.2404262158746762E-6</v>
      </c>
      <c r="S178" s="2"/>
      <c r="T178" s="2"/>
      <c r="U178" s="2"/>
      <c r="V178" s="19">
        <f t="shared" si="15"/>
        <v>0</v>
      </c>
      <c r="W178" s="2"/>
      <c r="X178" s="2">
        <f t="shared" si="16"/>
        <v>41</v>
      </c>
      <c r="Y178" s="2"/>
      <c r="Z178" s="19">
        <f t="shared" si="17"/>
        <v>0</v>
      </c>
    </row>
    <row r="179" spans="1:26" s="24" customFormat="1" hidden="1" outlineLevel="1" x14ac:dyDescent="0.25">
      <c r="A179" s="44"/>
      <c r="B179" s="11" t="str">
        <f>CONCATENATE("          ", "5586", " - ", "FREIGHT-IN-COMPUTER SUPPLIES")</f>
        <v xml:space="preserve">          5586 - FREIGHT-IN-COMPUTER SUPPLIES</v>
      </c>
      <c r="C179" s="11"/>
      <c r="D179" s="2"/>
      <c r="E179" s="2"/>
      <c r="F179" s="19">
        <f t="shared" si="10"/>
        <v>0</v>
      </c>
      <c r="G179" s="2"/>
      <c r="H179" s="2"/>
      <c r="I179" s="2"/>
      <c r="J179" s="19">
        <f t="shared" si="11"/>
        <v>0</v>
      </c>
      <c r="K179" s="2"/>
      <c r="L179" s="2">
        <f t="shared" si="12"/>
        <v>0</v>
      </c>
      <c r="M179" s="2"/>
      <c r="N179" s="19">
        <f t="shared" si="13"/>
        <v>0</v>
      </c>
      <c r="O179" s="11"/>
      <c r="P179" s="2">
        <v>162.51</v>
      </c>
      <c r="Q179" s="2"/>
      <c r="R179" s="19">
        <f t="shared" si="14"/>
        <v>2.4734918642482773E-5</v>
      </c>
      <c r="S179" s="2"/>
      <c r="T179" s="2"/>
      <c r="U179" s="2"/>
      <c r="V179" s="19">
        <f t="shared" si="15"/>
        <v>0</v>
      </c>
      <c r="W179" s="2"/>
      <c r="X179" s="2">
        <f t="shared" si="16"/>
        <v>162.51</v>
      </c>
      <c r="Y179" s="2"/>
      <c r="Z179" s="19">
        <f t="shared" si="17"/>
        <v>0</v>
      </c>
    </row>
    <row r="180" spans="1:26" s="24" customFormat="1" hidden="1" outlineLevel="1" x14ac:dyDescent="0.25">
      <c r="A180" s="44"/>
      <c r="B180" s="11" t="str">
        <f>CONCATENATE("          ", "5592", " - ", "FREIGHT-IN-GRAD MERCH")</f>
        <v xml:space="preserve">          5592 - FREIGHT-IN-GRAD MERCH</v>
      </c>
      <c r="C180" s="11"/>
      <c r="D180" s="2">
        <v>35</v>
      </c>
      <c r="E180" s="2"/>
      <c r="F180" s="19">
        <f t="shared" si="10"/>
        <v>5.7297847586710443E-5</v>
      </c>
      <c r="G180" s="2"/>
      <c r="H180" s="2"/>
      <c r="I180" s="2"/>
      <c r="J180" s="19">
        <f t="shared" si="11"/>
        <v>0</v>
      </c>
      <c r="K180" s="2"/>
      <c r="L180" s="2">
        <f t="shared" si="12"/>
        <v>35</v>
      </c>
      <c r="M180" s="2"/>
      <c r="N180" s="19">
        <f t="shared" si="13"/>
        <v>0</v>
      </c>
      <c r="O180" s="11"/>
      <c r="P180" s="2">
        <v>105.78</v>
      </c>
      <c r="Q180" s="2"/>
      <c r="R180" s="19">
        <f t="shared" si="14"/>
        <v>1.6100299636956667E-5</v>
      </c>
      <c r="S180" s="2"/>
      <c r="T180" s="2"/>
      <c r="U180" s="2"/>
      <c r="V180" s="19">
        <f t="shared" si="15"/>
        <v>0</v>
      </c>
      <c r="W180" s="2"/>
      <c r="X180" s="2">
        <f t="shared" si="16"/>
        <v>105.78</v>
      </c>
      <c r="Y180" s="2"/>
      <c r="Z180" s="19">
        <f t="shared" si="17"/>
        <v>0</v>
      </c>
    </row>
    <row r="181" spans="1:26" x14ac:dyDescent="0.25">
      <c r="A181" s="9"/>
      <c r="B181" s="10"/>
      <c r="C181" s="10"/>
      <c r="D181" s="3"/>
      <c r="E181" s="3"/>
      <c r="F181" s="8"/>
      <c r="G181" s="3"/>
      <c r="H181" s="3"/>
      <c r="I181" s="3"/>
      <c r="J181" s="8"/>
      <c r="K181" s="3"/>
      <c r="L181" s="3"/>
      <c r="M181" s="3"/>
      <c r="N181" s="8"/>
      <c r="O181" s="10"/>
      <c r="P181" s="3"/>
      <c r="Q181" s="3"/>
      <c r="R181" s="8"/>
      <c r="S181" s="3"/>
      <c r="T181" s="3"/>
      <c r="U181" s="3"/>
      <c r="V181" s="8"/>
      <c r="W181" s="3"/>
      <c r="X181" s="3"/>
      <c r="Y181" s="3"/>
      <c r="Z181" s="8"/>
    </row>
    <row r="182" spans="1:26" s="23" customFormat="1" x14ac:dyDescent="0.25">
      <c r="A182" s="10"/>
      <c r="B182" s="28" t="s">
        <v>6</v>
      </c>
      <c r="C182" s="28"/>
      <c r="D182" s="20">
        <f>D12-D122</f>
        <v>263352.4499999996</v>
      </c>
      <c r="E182" s="14"/>
      <c r="F182" s="22">
        <f>IF(D$12=0,0,D182/D$12)</f>
        <v>0.43112938690533603</v>
      </c>
      <c r="G182" s="14"/>
      <c r="H182" s="20">
        <f>H12-H122</f>
        <v>265986.22971999994</v>
      </c>
      <c r="I182" s="14"/>
      <c r="J182" s="22">
        <f>IF(H$12=0,0,H182/H$12)</f>
        <v>0.49550935187535877</v>
      </c>
      <c r="K182" s="16"/>
      <c r="L182" s="20">
        <f>+D182-H182</f>
        <v>-2633.7797200003406</v>
      </c>
      <c r="M182" s="16"/>
      <c r="N182" s="22">
        <f>IF(H182=0,0,L182/H182)</f>
        <v>-9.9019401221367154E-3</v>
      </c>
      <c r="O182" s="29"/>
      <c r="P182" s="20">
        <f>P12-P122</f>
        <v>2207299.0999999968</v>
      </c>
      <c r="Q182" s="14"/>
      <c r="R182" s="22">
        <f>IF(P$12=0,0,P182/P$12)</f>
        <v>0.33596310170528193</v>
      </c>
      <c r="S182" s="14"/>
      <c r="T182" s="20">
        <f>T12-T122</f>
        <v>2457173.8951099999</v>
      </c>
      <c r="U182" s="14"/>
      <c r="V182" s="22">
        <f>IF(T$12=0,0,T182/T$12)</f>
        <v>0.37470268228273346</v>
      </c>
      <c r="W182" s="16"/>
      <c r="X182" s="20">
        <f>+P182-T182</f>
        <v>-249874.79511000309</v>
      </c>
      <c r="Y182" s="16"/>
      <c r="Z182" s="22">
        <f>IF(T182=0,0,X182/T182)</f>
        <v>-0.10169194602273642</v>
      </c>
    </row>
    <row r="183" spans="1:26" x14ac:dyDescent="0.25">
      <c r="A183" s="9"/>
      <c r="B183" s="10"/>
      <c r="C183" s="9"/>
      <c r="D183" s="1"/>
      <c r="E183" s="1"/>
      <c r="F183" s="5"/>
      <c r="G183" s="1"/>
      <c r="H183" s="1"/>
      <c r="I183" s="1"/>
      <c r="J183" s="5"/>
      <c r="K183" s="1"/>
      <c r="L183" s="1"/>
      <c r="M183" s="1"/>
      <c r="N183" s="5"/>
      <c r="O183" s="36"/>
      <c r="P183" s="1"/>
      <c r="Q183" s="1"/>
      <c r="R183" s="5"/>
      <c r="S183" s="1"/>
      <c r="T183" s="1"/>
      <c r="U183" s="1"/>
      <c r="V183" s="5"/>
      <c r="W183" s="1"/>
      <c r="X183" s="1"/>
      <c r="Y183" s="1"/>
      <c r="Z183" s="5"/>
    </row>
    <row r="184" spans="1:26" s="23" customFormat="1" x14ac:dyDescent="0.25">
      <c r="A184" s="10"/>
      <c r="B184" s="29" t="s">
        <v>9</v>
      </c>
      <c r="C184" s="10"/>
      <c r="D184" s="21">
        <f>SUM(OSRRefD22x_0)</f>
        <v>368386.76000000007</v>
      </c>
      <c r="E184" s="21"/>
      <c r="F184" s="33">
        <f t="shared" ref="F184:F195" si="18">IF(D$12=0,0,D184/D$12)</f>
        <v>0.60307909792691672</v>
      </c>
      <c r="G184" s="21"/>
      <c r="H184" s="21">
        <f>SUM(OSRRefH22x_0)</f>
        <v>391359.09432762908</v>
      </c>
      <c r="I184" s="21"/>
      <c r="J184" s="33">
        <f t="shared" ref="J184:J195" si="19">IF(H$12=0,0,H184/H$12)</f>
        <v>0.72906816035157163</v>
      </c>
      <c r="K184" s="4"/>
      <c r="L184" s="21">
        <f t="shared" ref="L184:L195" si="20">+D184-H184</f>
        <v>-22972.334327629011</v>
      </c>
      <c r="M184" s="4"/>
      <c r="N184" s="33">
        <f t="shared" ref="N184:N195" si="21">IF(H184=0,0,L184/H184)</f>
        <v>-5.8698864190434671E-2</v>
      </c>
      <c r="O184" s="10"/>
      <c r="P184" s="21">
        <f>SUM(OSRRefP22x_0)</f>
        <v>2011129.3199999998</v>
      </c>
      <c r="Q184" s="21"/>
      <c r="R184" s="33">
        <f t="shared" ref="R184:R195" si="22">IF(P$12=0,0,P184/P$12)</f>
        <v>0.3061049788302978</v>
      </c>
      <c r="S184" s="21"/>
      <c r="T184" s="21">
        <f>SUM(OSRRefT22x_0)</f>
        <v>2096648.7580335785</v>
      </c>
      <c r="U184" s="21"/>
      <c r="V184" s="33">
        <f t="shared" ref="V184:V195" si="23">IF(T$12=0,0,T184/T$12)</f>
        <v>0.31972499585942976</v>
      </c>
      <c r="W184" s="4"/>
      <c r="X184" s="21">
        <f t="shared" ref="X184:X195" si="24">+P184-T184</f>
        <v>-85519.438033578685</v>
      </c>
      <c r="Y184" s="4"/>
      <c r="Z184" s="33">
        <f t="shared" ref="Z184:Z195" si="25">IF(T184=0,0,X184/T184)</f>
        <v>-4.0788633625875578E-2</v>
      </c>
    </row>
    <row r="185" spans="1:26" s="26" customFormat="1" outlineLevel="1" collapsed="1" x14ac:dyDescent="0.25">
      <c r="A185" s="27"/>
      <c r="B185" s="13" t="str">
        <f>CONCATENATE("     ","*Benefits                                         ")</f>
        <v xml:space="preserve">     *Benefits                                         </v>
      </c>
      <c r="C185" s="13"/>
      <c r="D185" s="1">
        <f>SUM(OSRRefD22_0x_0)</f>
        <v>45657.5</v>
      </c>
      <c r="E185" s="1"/>
      <c r="F185" s="5">
        <f t="shared" si="18"/>
        <v>7.4745042176863771E-2</v>
      </c>
      <c r="G185" s="1"/>
      <c r="H185" s="1">
        <f>SUM(OSRRefH22_0x_0)</f>
        <v>47338.75589684755</v>
      </c>
      <c r="I185" s="1"/>
      <c r="J185" s="5">
        <f t="shared" si="19"/>
        <v>8.8188009874516415E-2</v>
      </c>
      <c r="K185" s="1"/>
      <c r="L185" s="1">
        <f t="shared" si="20"/>
        <v>-1681.2558968475496</v>
      </c>
      <c r="M185" s="1"/>
      <c r="N185" s="5">
        <f t="shared" si="21"/>
        <v>-3.5515422089060653E-2</v>
      </c>
      <c r="O185" s="13"/>
      <c r="P185" s="1">
        <f>SUM(OSRRefP22_0x_0)</f>
        <v>275359.24</v>
      </c>
      <c r="Q185" s="1"/>
      <c r="R185" s="5">
        <f t="shared" si="22"/>
        <v>4.1911195611690898E-2</v>
      </c>
      <c r="S185" s="1"/>
      <c r="T185" s="1">
        <f>SUM(OSRRefT22_0x_0)</f>
        <v>262600.03630293999</v>
      </c>
      <c r="U185" s="1"/>
      <c r="V185" s="5">
        <f t="shared" si="23"/>
        <v>4.0044759618386667E-2</v>
      </c>
      <c r="W185" s="1"/>
      <c r="X185" s="1">
        <f t="shared" si="24"/>
        <v>12759.203697060002</v>
      </c>
      <c r="Y185" s="1"/>
      <c r="Z185" s="5">
        <f t="shared" si="25"/>
        <v>4.8587973850623391E-2</v>
      </c>
    </row>
    <row r="186" spans="1:26" s="24" customFormat="1" hidden="1" outlineLevel="2" x14ac:dyDescent="0.25">
      <c r="A186" s="25"/>
      <c r="B186" s="11" t="str">
        <f>CONCATENATE("          ", "6111", " - ", "F.I.C.A.")</f>
        <v xml:space="preserve">          6111 - F.I.C.A.</v>
      </c>
      <c r="C186" s="11"/>
      <c r="D186" s="6">
        <v>6680.76</v>
      </c>
      <c r="E186" s="2"/>
      <c r="F186" s="7">
        <f t="shared" si="18"/>
        <v>1.0936947664096905E-2</v>
      </c>
      <c r="G186" s="2"/>
      <c r="H186" s="6">
        <v>7800.3347288873119</v>
      </c>
      <c r="I186" s="2"/>
      <c r="J186" s="7">
        <f t="shared" si="19"/>
        <v>1.4531349273195769E-2</v>
      </c>
      <c r="K186" s="2"/>
      <c r="L186" s="6">
        <f t="shared" si="20"/>
        <v>-1119.5747288873117</v>
      </c>
      <c r="M186" s="2"/>
      <c r="N186" s="7">
        <f t="shared" si="21"/>
        <v>-0.14352906225179579</v>
      </c>
      <c r="O186" s="11"/>
      <c r="P186" s="6">
        <v>58016.67</v>
      </c>
      <c r="Q186" s="2"/>
      <c r="R186" s="7">
        <f t="shared" si="22"/>
        <v>8.8304572786768263E-3</v>
      </c>
      <c r="S186" s="2"/>
      <c r="T186" s="6">
        <v>52381.028097980896</v>
      </c>
      <c r="U186" s="2"/>
      <c r="V186" s="7">
        <f t="shared" si="23"/>
        <v>7.9877585253940748E-3</v>
      </c>
      <c r="W186" s="2"/>
      <c r="X186" s="6">
        <f t="shared" si="24"/>
        <v>5635.6419020191024</v>
      </c>
      <c r="Y186" s="2"/>
      <c r="Z186" s="7">
        <f t="shared" si="25"/>
        <v>0.10758937169918466</v>
      </c>
    </row>
    <row r="187" spans="1:26" s="24" customFormat="1" hidden="1" outlineLevel="2" x14ac:dyDescent="0.25">
      <c r="A187" s="25"/>
      <c r="B187" s="11" t="str">
        <f>CONCATENATE("          ", "6112", " - ", "COMPENSATION INSURANCE")</f>
        <v xml:space="preserve">          6112 - COMPENSATION INSURANCE</v>
      </c>
      <c r="C187" s="11"/>
      <c r="D187" s="6">
        <v>2349.5300000000002</v>
      </c>
      <c r="E187" s="2"/>
      <c r="F187" s="7">
        <f t="shared" si="18"/>
        <v>3.84637176686868E-3</v>
      </c>
      <c r="G187" s="2"/>
      <c r="H187" s="6">
        <v>3081.6088446538447</v>
      </c>
      <c r="I187" s="2"/>
      <c r="J187" s="7">
        <f t="shared" si="19"/>
        <v>5.7407708773315668E-3</v>
      </c>
      <c r="K187" s="2"/>
      <c r="L187" s="6">
        <f t="shared" si="20"/>
        <v>-732.0788446538445</v>
      </c>
      <c r="M187" s="2"/>
      <c r="N187" s="7">
        <f t="shared" si="21"/>
        <v>-0.23756384458848426</v>
      </c>
      <c r="O187" s="11"/>
      <c r="P187" s="6">
        <v>11109.97</v>
      </c>
      <c r="Q187" s="2"/>
      <c r="R187" s="7">
        <f t="shared" si="22"/>
        <v>1.690998732819053E-3</v>
      </c>
      <c r="S187" s="2"/>
      <c r="T187" s="6">
        <v>18447.652008096145</v>
      </c>
      <c r="U187" s="2"/>
      <c r="V187" s="7">
        <f t="shared" si="23"/>
        <v>2.8131442805119961E-3</v>
      </c>
      <c r="W187" s="2"/>
      <c r="X187" s="6">
        <f t="shared" si="24"/>
        <v>-7337.6820080961461</v>
      </c>
      <c r="Y187" s="2"/>
      <c r="Z187" s="7">
        <f t="shared" si="25"/>
        <v>-0.39775696142120676</v>
      </c>
    </row>
    <row r="188" spans="1:26" s="24" customFormat="1" hidden="1" outlineLevel="2" x14ac:dyDescent="0.25">
      <c r="A188" s="25"/>
      <c r="B188" s="11" t="str">
        <f>CONCATENATE("          ", "6113", " - ", "GROUP INSURANCE")</f>
        <v xml:space="preserve">          6113 - GROUP INSURANCE</v>
      </c>
      <c r="C188" s="11"/>
      <c r="D188" s="6">
        <v>19970.38</v>
      </c>
      <c r="E188" s="2"/>
      <c r="F188" s="7">
        <f t="shared" si="18"/>
        <v>3.2693136842534019E-2</v>
      </c>
      <c r="G188" s="2"/>
      <c r="H188" s="6">
        <v>19697.01923076923</v>
      </c>
      <c r="I188" s="2"/>
      <c r="J188" s="7">
        <f t="shared" si="19"/>
        <v>3.6693844050457863E-2</v>
      </c>
      <c r="K188" s="2"/>
      <c r="L188" s="6">
        <f t="shared" si="20"/>
        <v>273.36076923077053</v>
      </c>
      <c r="M188" s="2"/>
      <c r="N188" s="7">
        <f t="shared" si="21"/>
        <v>1.3878281075328723E-2</v>
      </c>
      <c r="O188" s="11"/>
      <c r="P188" s="6">
        <v>99399.5</v>
      </c>
      <c r="Q188" s="2"/>
      <c r="R188" s="7">
        <f t="shared" si="22"/>
        <v>1.5129152332800851E-2</v>
      </c>
      <c r="S188" s="2"/>
      <c r="T188" s="6">
        <v>99428.480769230766</v>
      </c>
      <c r="U188" s="2"/>
      <c r="V188" s="7">
        <f t="shared" si="23"/>
        <v>1.5162182258923971E-2</v>
      </c>
      <c r="W188" s="2"/>
      <c r="X188" s="6">
        <f t="shared" si="24"/>
        <v>-28.980769230765873</v>
      </c>
      <c r="Y188" s="2"/>
      <c r="Z188" s="7">
        <f t="shared" si="25"/>
        <v>-2.9147351952434026E-4</v>
      </c>
    </row>
    <row r="189" spans="1:26" s="24" customFormat="1" hidden="1" outlineLevel="2" x14ac:dyDescent="0.25">
      <c r="A189" s="25"/>
      <c r="B189" s="11" t="str">
        <f>CONCATENATE("          ", "6114", " - ", "STATE UNEMPLOYMENT INSURANCE")</f>
        <v xml:space="preserve">          6114 - STATE UNEMPLOYMENT INSURANCE</v>
      </c>
      <c r="C189" s="11"/>
      <c r="D189" s="6">
        <v>421.21</v>
      </c>
      <c r="E189" s="2"/>
      <c r="F189" s="7">
        <f t="shared" si="18"/>
        <v>6.8955503948566583E-4</v>
      </c>
      <c r="G189" s="2"/>
      <c r="H189" s="6">
        <v>437.89492084735201</v>
      </c>
      <c r="I189" s="2"/>
      <c r="J189" s="7">
        <f t="shared" si="19"/>
        <v>8.1576038220849197E-4</v>
      </c>
      <c r="K189" s="2"/>
      <c r="L189" s="6">
        <f t="shared" si="20"/>
        <v>-16.684920847352032</v>
      </c>
      <c r="M189" s="2"/>
      <c r="N189" s="7">
        <f t="shared" si="21"/>
        <v>-3.8102567654965593E-2</v>
      </c>
      <c r="O189" s="11"/>
      <c r="P189" s="6">
        <v>2523.85</v>
      </c>
      <c r="Q189" s="2"/>
      <c r="R189" s="7">
        <f t="shared" si="22"/>
        <v>3.8414389524232443E-4</v>
      </c>
      <c r="S189" s="2"/>
      <c r="T189" s="6">
        <v>2615.2839984749198</v>
      </c>
      <c r="U189" s="2"/>
      <c r="V189" s="7">
        <f t="shared" si="23"/>
        <v>3.9881342183793435E-4</v>
      </c>
      <c r="W189" s="2"/>
      <c r="X189" s="6">
        <f t="shared" si="24"/>
        <v>-91.433998474919917</v>
      </c>
      <c r="Y189" s="2"/>
      <c r="Z189" s="7">
        <f t="shared" si="25"/>
        <v>-3.496140324654564E-2</v>
      </c>
    </row>
    <row r="190" spans="1:26" s="24" customFormat="1" hidden="1" outlineLevel="2" x14ac:dyDescent="0.25">
      <c r="A190" s="25"/>
      <c r="B190" s="11" t="str">
        <f>CONCATENATE("          ", "6115", " - ", "P.E.R.S.")</f>
        <v xml:space="preserve">          6115 - P.E.R.S.</v>
      </c>
      <c r="C190" s="11"/>
      <c r="D190" s="6">
        <v>6444.74</v>
      </c>
      <c r="E190" s="2"/>
      <c r="F190" s="7">
        <f t="shared" si="18"/>
        <v>1.0550563721599323E-2</v>
      </c>
      <c r="G190" s="2"/>
      <c r="H190" s="6">
        <v>6302.5344405384549</v>
      </c>
      <c r="I190" s="2"/>
      <c r="J190" s="7">
        <f t="shared" si="19"/>
        <v>1.1741076818491087E-2</v>
      </c>
      <c r="K190" s="2"/>
      <c r="L190" s="6">
        <f t="shared" si="20"/>
        <v>142.20555946154491</v>
      </c>
      <c r="M190" s="2"/>
      <c r="N190" s="7">
        <f t="shared" si="21"/>
        <v>2.2563234013743147E-2</v>
      </c>
      <c r="O190" s="11"/>
      <c r="P190" s="6">
        <v>36845.07</v>
      </c>
      <c r="Q190" s="2"/>
      <c r="R190" s="7">
        <f t="shared" si="22"/>
        <v>5.6080229452131116E-3</v>
      </c>
      <c r="S190" s="2"/>
      <c r="T190" s="6">
        <v>34663.939422961506</v>
      </c>
      <c r="U190" s="2"/>
      <c r="V190" s="7">
        <f t="shared" si="23"/>
        <v>5.2860202959662331E-3</v>
      </c>
      <c r="W190" s="2"/>
      <c r="X190" s="6">
        <f t="shared" si="24"/>
        <v>2181.1305770384934</v>
      </c>
      <c r="Y190" s="2"/>
      <c r="Z190" s="7">
        <f t="shared" si="25"/>
        <v>6.292217830249569E-2</v>
      </c>
    </row>
    <row r="191" spans="1:26" s="24" customFormat="1" hidden="1" outlineLevel="2" x14ac:dyDescent="0.25">
      <c r="A191" s="25"/>
      <c r="B191" s="11" t="str">
        <f>CONCATENATE("          ", "6116", " - ", "EDUCATIONAL BENEFITS")</f>
        <v xml:space="preserve">          6116 - EDUCATIONAL BENEFITS</v>
      </c>
      <c r="C191" s="11"/>
      <c r="D191" s="6"/>
      <c r="E191" s="2"/>
      <c r="F191" s="7">
        <f t="shared" si="18"/>
        <v>0</v>
      </c>
      <c r="G191" s="2"/>
      <c r="H191" s="6">
        <v>0</v>
      </c>
      <c r="I191" s="2"/>
      <c r="J191" s="7">
        <f t="shared" si="19"/>
        <v>0</v>
      </c>
      <c r="K191" s="2"/>
      <c r="L191" s="6">
        <f t="shared" si="20"/>
        <v>0</v>
      </c>
      <c r="M191" s="2"/>
      <c r="N191" s="7">
        <f t="shared" si="21"/>
        <v>0</v>
      </c>
      <c r="O191" s="11"/>
      <c r="P191" s="6"/>
      <c r="Q191" s="2"/>
      <c r="R191" s="7">
        <f t="shared" si="22"/>
        <v>0</v>
      </c>
      <c r="S191" s="2"/>
      <c r="T191" s="6">
        <v>0</v>
      </c>
      <c r="U191" s="2"/>
      <c r="V191" s="7">
        <f t="shared" si="23"/>
        <v>0</v>
      </c>
      <c r="W191" s="2"/>
      <c r="X191" s="6">
        <f t="shared" si="24"/>
        <v>0</v>
      </c>
      <c r="Y191" s="2"/>
      <c r="Z191" s="7">
        <f t="shared" si="25"/>
        <v>0</v>
      </c>
    </row>
    <row r="192" spans="1:26" s="24" customFormat="1" hidden="1" outlineLevel="2" x14ac:dyDescent="0.25">
      <c r="A192" s="25"/>
      <c r="B192" s="11" t="str">
        <f>CONCATENATE("          ", "6117", " - ", "RETIREMENT STAFF HOURLY")</f>
        <v xml:space="preserve">          6117 - RETIREMENT STAFF HOURLY</v>
      </c>
      <c r="C192" s="11"/>
      <c r="D192" s="6">
        <v>267.5</v>
      </c>
      <c r="E192" s="2"/>
      <c r="F192" s="7">
        <f t="shared" si="18"/>
        <v>4.3791926369842984E-4</v>
      </c>
      <c r="G192" s="2"/>
      <c r="H192" s="6"/>
      <c r="I192" s="2"/>
      <c r="J192" s="7">
        <f t="shared" si="19"/>
        <v>0</v>
      </c>
      <c r="K192" s="2"/>
      <c r="L192" s="6">
        <f t="shared" si="20"/>
        <v>267.5</v>
      </c>
      <c r="M192" s="2"/>
      <c r="N192" s="7">
        <f t="shared" si="21"/>
        <v>0</v>
      </c>
      <c r="O192" s="11"/>
      <c r="P192" s="6">
        <v>1518.88</v>
      </c>
      <c r="Q192" s="2"/>
      <c r="R192" s="7">
        <f t="shared" si="22"/>
        <v>2.3118191636018853E-4</v>
      </c>
      <c r="S192" s="2"/>
      <c r="T192" s="6"/>
      <c r="U192" s="2"/>
      <c r="V192" s="7">
        <f t="shared" si="23"/>
        <v>0</v>
      </c>
      <c r="W192" s="2"/>
      <c r="X192" s="6">
        <f t="shared" si="24"/>
        <v>1518.88</v>
      </c>
      <c r="Y192" s="2"/>
      <c r="Z192" s="7">
        <f t="shared" si="25"/>
        <v>0</v>
      </c>
    </row>
    <row r="193" spans="1:26" s="24" customFormat="1" hidden="1" outlineLevel="2" x14ac:dyDescent="0.25">
      <c r="A193" s="25"/>
      <c r="B193" s="11" t="str">
        <f>CONCATENATE("          ", "6118", " - ", "VACATION")</f>
        <v xml:space="preserve">          6118 - VACATION</v>
      </c>
      <c r="C193" s="11"/>
      <c r="D193" s="6">
        <v>4925.95</v>
      </c>
      <c r="E193" s="2"/>
      <c r="F193" s="7">
        <f t="shared" si="18"/>
        <v>8.0641809234216089E-3</v>
      </c>
      <c r="G193" s="2"/>
      <c r="H193" s="6">
        <v>4547.5461527846119</v>
      </c>
      <c r="I193" s="2"/>
      <c r="J193" s="7">
        <f t="shared" si="19"/>
        <v>8.4716853543946868E-3</v>
      </c>
      <c r="K193" s="2"/>
      <c r="L193" s="6">
        <f t="shared" si="20"/>
        <v>378.40384721538794</v>
      </c>
      <c r="M193" s="2"/>
      <c r="N193" s="7">
        <f t="shared" si="21"/>
        <v>8.3210556749089587E-2</v>
      </c>
      <c r="O193" s="11"/>
      <c r="P193" s="6">
        <v>30914.940000000002</v>
      </c>
      <c r="Q193" s="2"/>
      <c r="R193" s="7">
        <f t="shared" si="22"/>
        <v>4.7054244399559195E-3</v>
      </c>
      <c r="S193" s="2"/>
      <c r="T193" s="6">
        <v>25011.50384031537</v>
      </c>
      <c r="U193" s="2"/>
      <c r="V193" s="7">
        <f t="shared" si="23"/>
        <v>3.8140880446198575E-3</v>
      </c>
      <c r="W193" s="2"/>
      <c r="X193" s="6">
        <f t="shared" si="24"/>
        <v>5903.436159684632</v>
      </c>
      <c r="Y193" s="2"/>
      <c r="Z193" s="7">
        <f t="shared" si="25"/>
        <v>0.23602883686542039</v>
      </c>
    </row>
    <row r="194" spans="1:26" s="24" customFormat="1" hidden="1" outlineLevel="2" x14ac:dyDescent="0.25">
      <c r="A194" s="25"/>
      <c r="B194" s="11" t="str">
        <f>CONCATENATE("          ", "6119", " - ", "SICK LEAVE")</f>
        <v xml:space="preserve">          6119 - SICK LEAVE</v>
      </c>
      <c r="C194" s="11"/>
      <c r="D194" s="6">
        <v>2657.01</v>
      </c>
      <c r="E194" s="2"/>
      <c r="F194" s="7">
        <f t="shared" si="18"/>
        <v>4.3497415433247297E-3</v>
      </c>
      <c r="G194" s="2"/>
      <c r="H194" s="6">
        <v>3921.8175783667375</v>
      </c>
      <c r="I194" s="2"/>
      <c r="J194" s="7">
        <f t="shared" si="19"/>
        <v>7.3060071135094985E-3</v>
      </c>
      <c r="K194" s="2"/>
      <c r="L194" s="6">
        <f t="shared" si="20"/>
        <v>-1264.8075783667373</v>
      </c>
      <c r="M194" s="2"/>
      <c r="N194" s="7">
        <f t="shared" si="21"/>
        <v>-0.32250545903603028</v>
      </c>
      <c r="O194" s="11"/>
      <c r="P194" s="6">
        <v>24508.76</v>
      </c>
      <c r="Q194" s="2"/>
      <c r="R194" s="7">
        <f t="shared" si="22"/>
        <v>3.7303684981117228E-3</v>
      </c>
      <c r="S194" s="2"/>
      <c r="T194" s="6">
        <v>22302.148165880444</v>
      </c>
      <c r="U194" s="2"/>
      <c r="V194" s="7">
        <f t="shared" si="23"/>
        <v>3.400929317641251E-3</v>
      </c>
      <c r="W194" s="2"/>
      <c r="X194" s="6">
        <f t="shared" si="24"/>
        <v>2206.6118341195543</v>
      </c>
      <c r="Y194" s="2"/>
      <c r="Z194" s="7">
        <f t="shared" si="25"/>
        <v>9.8941672241932288E-2</v>
      </c>
    </row>
    <row r="195" spans="1:26" s="24" customFormat="1" hidden="1" outlineLevel="2" x14ac:dyDescent="0.25">
      <c r="A195" s="25"/>
      <c r="B195" s="11" t="str">
        <f>CONCATENATE("          ", "6156", " - ", "EMPLOYEE MEALS")</f>
        <v xml:space="preserve">          6156 - EMPLOYEE MEALS</v>
      </c>
      <c r="C195" s="11"/>
      <c r="D195" s="6">
        <v>1940.42</v>
      </c>
      <c r="E195" s="2"/>
      <c r="F195" s="7">
        <f t="shared" si="18"/>
        <v>3.1766254118344196E-3</v>
      </c>
      <c r="G195" s="2"/>
      <c r="H195" s="6">
        <v>1550</v>
      </c>
      <c r="I195" s="2"/>
      <c r="J195" s="7">
        <f t="shared" si="19"/>
        <v>2.8875160049274384E-3</v>
      </c>
      <c r="K195" s="2"/>
      <c r="L195" s="6">
        <f t="shared" si="20"/>
        <v>390.42000000000007</v>
      </c>
      <c r="M195" s="2"/>
      <c r="N195" s="7">
        <f t="shared" si="21"/>
        <v>0.25188387096774201</v>
      </c>
      <c r="O195" s="11"/>
      <c r="P195" s="6">
        <v>10521.6</v>
      </c>
      <c r="Q195" s="2"/>
      <c r="R195" s="7">
        <f t="shared" si="22"/>
        <v>1.6014455725109024E-3</v>
      </c>
      <c r="S195" s="2"/>
      <c r="T195" s="6">
        <v>7750</v>
      </c>
      <c r="U195" s="2"/>
      <c r="V195" s="7">
        <f t="shared" si="23"/>
        <v>1.1818234734913557E-3</v>
      </c>
      <c r="W195" s="2"/>
      <c r="X195" s="6">
        <f t="shared" si="24"/>
        <v>2771.6000000000004</v>
      </c>
      <c r="Y195" s="2"/>
      <c r="Z195" s="7">
        <f t="shared" si="25"/>
        <v>0.35762580645161296</v>
      </c>
    </row>
    <row r="196" spans="1:26" s="26" customFormat="1" outlineLevel="1" collapsed="1" x14ac:dyDescent="0.25">
      <c r="A196" s="27"/>
      <c r="B196" s="13" t="str">
        <f>CONCATENATE("     ","*Payroll                                          ")</f>
        <v xml:space="preserve">     *Payroll                                          </v>
      </c>
      <c r="C196" s="13"/>
      <c r="D196" s="1">
        <f>SUM(OSRRefD22_1x_0)</f>
        <v>149164.20000000001</v>
      </c>
      <c r="E196" s="1"/>
      <c r="F196" s="5">
        <f t="shared" ref="F196:F206" si="26">IF(D$12=0,0,D196/D$12)</f>
        <v>0.24419393134267414</v>
      </c>
      <c r="G196" s="1"/>
      <c r="H196" s="1">
        <f>SUM(OSRRefH22_1x_0)</f>
        <v>160893.83843078156</v>
      </c>
      <c r="I196" s="1"/>
      <c r="J196" s="5">
        <f t="shared" ref="J196:J206" si="27">IF(H$12=0,0,H196/H$12)</f>
        <v>0.2997313119761878</v>
      </c>
      <c r="K196" s="1"/>
      <c r="L196" s="1">
        <f t="shared" ref="L196:L206" si="28">+D196-H196</f>
        <v>-11729.638430781546</v>
      </c>
      <c r="M196" s="1"/>
      <c r="N196" s="5">
        <f t="shared" ref="N196:N206" si="29">IF(H196=0,0,L196/H196)</f>
        <v>-7.2902968474008872E-2</v>
      </c>
      <c r="O196" s="13"/>
      <c r="P196" s="1">
        <f>SUM(OSRRefP22_1x_0)</f>
        <v>939657</v>
      </c>
      <c r="Q196" s="1"/>
      <c r="R196" s="5">
        <f t="shared" ref="R196:R206" si="30">IF(P$12=0,0,P196/P$12)</f>
        <v>0.14302097992024759</v>
      </c>
      <c r="S196" s="1"/>
      <c r="T196" s="1">
        <f>SUM(OSRRefT22_1x_0)</f>
        <v>964597.22173063853</v>
      </c>
      <c r="U196" s="1"/>
      <c r="V196" s="5">
        <f t="shared" ref="V196:V206" si="31">IF(T$12=0,0,T196/T$12)</f>
        <v>0.14709466311042771</v>
      </c>
      <c r="W196" s="1"/>
      <c r="X196" s="1">
        <f t="shared" ref="X196:X206" si="32">+P196-T196</f>
        <v>-24940.221730638528</v>
      </c>
      <c r="Y196" s="1"/>
      <c r="Z196" s="5">
        <f t="shared" ref="Z196:Z206" si="33">IF(T196=0,0,X196/T196)</f>
        <v>-2.5855581136644643E-2</v>
      </c>
    </row>
    <row r="197" spans="1:26" s="24" customFormat="1" hidden="1" outlineLevel="2" x14ac:dyDescent="0.25">
      <c r="A197" s="25"/>
      <c r="B197" s="11" t="str">
        <f>CONCATENATE("          ", "6001", " - ", "ADMINISTRATIVE SALARIES")</f>
        <v xml:space="preserve">          6001 - ADMINISTRATIVE SALARIES</v>
      </c>
      <c r="C197" s="11"/>
      <c r="D197" s="6">
        <v>10717.14</v>
      </c>
      <c r="E197" s="2"/>
      <c r="F197" s="7">
        <f t="shared" si="26"/>
        <v>1.7544830122441086E-2</v>
      </c>
      <c r="G197" s="2"/>
      <c r="H197" s="6">
        <v>27651.922292615382</v>
      </c>
      <c r="I197" s="2"/>
      <c r="J197" s="7">
        <f t="shared" si="27"/>
        <v>5.1513140765765637E-2</v>
      </c>
      <c r="K197" s="2"/>
      <c r="L197" s="6">
        <f t="shared" si="28"/>
        <v>-16934.782292615382</v>
      </c>
      <c r="M197" s="2"/>
      <c r="N197" s="7">
        <f t="shared" si="29"/>
        <v>-0.61242694498450556</v>
      </c>
      <c r="O197" s="11"/>
      <c r="P197" s="6">
        <v>56800.83</v>
      </c>
      <c r="Q197" s="2"/>
      <c r="R197" s="7">
        <f t="shared" si="30"/>
        <v>8.6453997223278241E-3</v>
      </c>
      <c r="S197" s="2"/>
      <c r="T197" s="6">
        <v>152085.5726093846</v>
      </c>
      <c r="U197" s="2"/>
      <c r="V197" s="7">
        <f t="shared" si="31"/>
        <v>2.319203866956706E-2</v>
      </c>
      <c r="W197" s="2"/>
      <c r="X197" s="6">
        <f t="shared" si="32"/>
        <v>-95284.742609384601</v>
      </c>
      <c r="Y197" s="2"/>
      <c r="Z197" s="7">
        <f t="shared" si="33"/>
        <v>-0.62652058952438039</v>
      </c>
    </row>
    <row r="198" spans="1:26" s="24" customFormat="1" hidden="1" outlineLevel="2" x14ac:dyDescent="0.25">
      <c r="A198" s="25"/>
      <c r="B198" s="11" t="str">
        <f>CONCATENATE("          ", "6002", " - ", "STAFF SALARIES")</f>
        <v xml:space="preserve">          6002 - STAFF SALARIES</v>
      </c>
      <c r="C198" s="11"/>
      <c r="D198" s="6">
        <v>55763.68</v>
      </c>
      <c r="E198" s="2"/>
      <c r="F198" s="7">
        <f t="shared" si="26"/>
        <v>9.1289681071831247E-2</v>
      </c>
      <c r="G198" s="2"/>
      <c r="H198" s="6">
        <v>39132.03454564618</v>
      </c>
      <c r="I198" s="2"/>
      <c r="J198" s="7">
        <f t="shared" si="27"/>
        <v>7.2899597455436616E-2</v>
      </c>
      <c r="K198" s="2"/>
      <c r="L198" s="6">
        <f t="shared" si="28"/>
        <v>16631.64545435382</v>
      </c>
      <c r="M198" s="2"/>
      <c r="N198" s="7">
        <f t="shared" si="29"/>
        <v>0.42501356363042087</v>
      </c>
      <c r="O198" s="11"/>
      <c r="P198" s="6">
        <v>312670.96000000002</v>
      </c>
      <c r="Q198" s="2"/>
      <c r="R198" s="7">
        <f t="shared" si="30"/>
        <v>4.759024526162689E-2</v>
      </c>
      <c r="S198" s="2"/>
      <c r="T198" s="6">
        <v>215226.19000105391</v>
      </c>
      <c r="U198" s="2"/>
      <c r="V198" s="7">
        <f t="shared" si="31"/>
        <v>3.2820563026239487E-2</v>
      </c>
      <c r="W198" s="2"/>
      <c r="X198" s="6">
        <f t="shared" si="32"/>
        <v>97444.769998946111</v>
      </c>
      <c r="Y198" s="2"/>
      <c r="Z198" s="7">
        <f t="shared" si="33"/>
        <v>0.45275516886894179</v>
      </c>
    </row>
    <row r="199" spans="1:26" s="24" customFormat="1" hidden="1" outlineLevel="2" x14ac:dyDescent="0.25">
      <c r="A199" s="25"/>
      <c r="B199" s="11" t="str">
        <f>CONCATENATE("          ", "6003", " - ", "STAFF HOURLY-9 MONTH")</f>
        <v xml:space="preserve">          6003 - STAFF HOURLY-9 MONTH</v>
      </c>
      <c r="C199" s="11"/>
      <c r="D199" s="6"/>
      <c r="E199" s="2"/>
      <c r="F199" s="7">
        <f t="shared" si="26"/>
        <v>0</v>
      </c>
      <c r="G199" s="2"/>
      <c r="H199" s="6">
        <v>0</v>
      </c>
      <c r="I199" s="2"/>
      <c r="J199" s="7">
        <f t="shared" si="27"/>
        <v>0</v>
      </c>
      <c r="K199" s="2"/>
      <c r="L199" s="6">
        <f t="shared" si="28"/>
        <v>0</v>
      </c>
      <c r="M199" s="2"/>
      <c r="N199" s="7">
        <f t="shared" si="29"/>
        <v>0</v>
      </c>
      <c r="O199" s="11"/>
      <c r="P199" s="6"/>
      <c r="Q199" s="2"/>
      <c r="R199" s="7">
        <f t="shared" si="30"/>
        <v>0</v>
      </c>
      <c r="S199" s="2"/>
      <c r="T199" s="6">
        <v>0</v>
      </c>
      <c r="U199" s="2"/>
      <c r="V199" s="7">
        <f t="shared" si="31"/>
        <v>0</v>
      </c>
      <c r="W199" s="2"/>
      <c r="X199" s="6">
        <f t="shared" si="32"/>
        <v>0</v>
      </c>
      <c r="Y199" s="2"/>
      <c r="Z199" s="7">
        <f t="shared" si="33"/>
        <v>0</v>
      </c>
    </row>
    <row r="200" spans="1:26" s="24" customFormat="1" hidden="1" outlineLevel="2" x14ac:dyDescent="0.25">
      <c r="A200" s="25"/>
      <c r="B200" s="11" t="str">
        <f>CONCATENATE("          ", "6004", " - ", "STAFF HOURLY")</f>
        <v xml:space="preserve">          6004 - STAFF HOURLY</v>
      </c>
      <c r="C200" s="11"/>
      <c r="D200" s="6">
        <v>2163.25</v>
      </c>
      <c r="E200" s="2"/>
      <c r="F200" s="7">
        <f t="shared" si="26"/>
        <v>3.5414162511986104E-3</v>
      </c>
      <c r="G200" s="2"/>
      <c r="H200" s="6">
        <v>22962.312382</v>
      </c>
      <c r="I200" s="2"/>
      <c r="J200" s="7">
        <f t="shared" si="27"/>
        <v>4.2776802911721604E-2</v>
      </c>
      <c r="K200" s="2"/>
      <c r="L200" s="6">
        <f t="shared" si="28"/>
        <v>-20799.062382</v>
      </c>
      <c r="M200" s="2"/>
      <c r="N200" s="7">
        <f t="shared" si="29"/>
        <v>-0.90579128251491969</v>
      </c>
      <c r="O200" s="11"/>
      <c r="P200" s="6">
        <v>12705.41</v>
      </c>
      <c r="Q200" s="2"/>
      <c r="R200" s="7">
        <f t="shared" si="30"/>
        <v>1.9338335035960067E-3</v>
      </c>
      <c r="S200" s="2"/>
      <c r="T200" s="6">
        <v>124770.31622600001</v>
      </c>
      <c r="U200" s="2"/>
      <c r="V200" s="7">
        <f t="shared" si="31"/>
        <v>1.9026643678816284E-2</v>
      </c>
      <c r="W200" s="2"/>
      <c r="X200" s="6">
        <f t="shared" si="32"/>
        <v>-112064.90622600001</v>
      </c>
      <c r="Y200" s="2"/>
      <c r="Z200" s="7">
        <f t="shared" si="33"/>
        <v>-0.8981696096931715</v>
      </c>
    </row>
    <row r="201" spans="1:26" s="24" customFormat="1" hidden="1" outlineLevel="2" x14ac:dyDescent="0.25">
      <c r="A201" s="25"/>
      <c r="B201" s="11" t="str">
        <f>CONCATENATE("          ", "6005", " - ", "TEMPORARY WAGES-HOURLY")</f>
        <v xml:space="preserve">          6005 - TEMPORARY WAGES-HOURLY</v>
      </c>
      <c r="C201" s="11"/>
      <c r="D201" s="6">
        <v>19292.84</v>
      </c>
      <c r="E201" s="2"/>
      <c r="F201" s="7">
        <f t="shared" si="26"/>
        <v>3.1583948738136879E-2</v>
      </c>
      <c r="G201" s="2"/>
      <c r="H201" s="6">
        <v>2792</v>
      </c>
      <c r="I201" s="2"/>
      <c r="J201" s="7">
        <f t="shared" si="27"/>
        <v>5.2012546359725209E-3</v>
      </c>
      <c r="K201" s="2"/>
      <c r="L201" s="6">
        <f t="shared" si="28"/>
        <v>16500.84</v>
      </c>
      <c r="M201" s="2"/>
      <c r="N201" s="7">
        <f t="shared" si="29"/>
        <v>5.9100429799426939</v>
      </c>
      <c r="O201" s="11"/>
      <c r="P201" s="6">
        <v>108199.62999999999</v>
      </c>
      <c r="Q201" s="2"/>
      <c r="R201" s="7">
        <f t="shared" si="30"/>
        <v>1.646858067316927E-2</v>
      </c>
      <c r="S201" s="2"/>
      <c r="T201" s="6">
        <v>16305.28</v>
      </c>
      <c r="U201" s="2"/>
      <c r="V201" s="7">
        <f t="shared" si="31"/>
        <v>2.4864467930127915E-3</v>
      </c>
      <c r="W201" s="2"/>
      <c r="X201" s="6">
        <f t="shared" si="32"/>
        <v>91894.349999999991</v>
      </c>
      <c r="Y201" s="2"/>
      <c r="Z201" s="7">
        <f t="shared" si="33"/>
        <v>5.6358645788358119</v>
      </c>
    </row>
    <row r="202" spans="1:26" s="24" customFormat="1" hidden="1" outlineLevel="2" x14ac:dyDescent="0.25">
      <c r="A202" s="25"/>
      <c r="B202" s="11" t="str">
        <f>CONCATENATE("          ", "6006", " - ", "TEMPORARY PART TIME")</f>
        <v xml:space="preserve">          6006 - TEMPORARY PART TIME</v>
      </c>
      <c r="C202" s="11"/>
      <c r="D202" s="6">
        <v>2350.75</v>
      </c>
      <c r="E202" s="2"/>
      <c r="F202" s="7">
        <f t="shared" si="26"/>
        <v>3.8483690061274166E-3</v>
      </c>
      <c r="G202" s="2"/>
      <c r="H202" s="6">
        <v>0</v>
      </c>
      <c r="I202" s="2"/>
      <c r="J202" s="7">
        <f t="shared" si="27"/>
        <v>0</v>
      </c>
      <c r="K202" s="2"/>
      <c r="L202" s="6">
        <f t="shared" si="28"/>
        <v>2350.75</v>
      </c>
      <c r="M202" s="2"/>
      <c r="N202" s="7">
        <f t="shared" si="29"/>
        <v>0</v>
      </c>
      <c r="O202" s="11"/>
      <c r="P202" s="6">
        <v>27436.91</v>
      </c>
      <c r="Q202" s="2"/>
      <c r="R202" s="7">
        <f t="shared" si="30"/>
        <v>4.1760490840632696E-3</v>
      </c>
      <c r="S202" s="2"/>
      <c r="T202" s="6">
        <v>0</v>
      </c>
      <c r="U202" s="2"/>
      <c r="V202" s="7">
        <f t="shared" si="31"/>
        <v>0</v>
      </c>
      <c r="W202" s="2"/>
      <c r="X202" s="6">
        <f t="shared" si="32"/>
        <v>27436.91</v>
      </c>
      <c r="Y202" s="2"/>
      <c r="Z202" s="7">
        <f t="shared" si="33"/>
        <v>0</v>
      </c>
    </row>
    <row r="203" spans="1:26" s="24" customFormat="1" hidden="1" outlineLevel="2" x14ac:dyDescent="0.25">
      <c r="A203" s="25"/>
      <c r="B203" s="11" t="str">
        <f>CONCATENATE("          ", "6007", " - ", "STUDENT HOURLY")</f>
        <v xml:space="preserve">          6007 - STUDENT HOURLY</v>
      </c>
      <c r="C203" s="11"/>
      <c r="D203" s="6">
        <v>58324.54</v>
      </c>
      <c r="E203" s="2"/>
      <c r="F203" s="7">
        <f t="shared" si="26"/>
        <v>9.5482017242428482E-2</v>
      </c>
      <c r="G203" s="2"/>
      <c r="H203" s="6">
        <v>4651.6350000000002</v>
      </c>
      <c r="I203" s="2"/>
      <c r="J203" s="7">
        <f t="shared" si="27"/>
        <v>8.6655938784391262E-3</v>
      </c>
      <c r="K203" s="2"/>
      <c r="L203" s="6">
        <f t="shared" si="28"/>
        <v>53672.904999999999</v>
      </c>
      <c r="M203" s="2"/>
      <c r="N203" s="7">
        <f t="shared" si="29"/>
        <v>11.53850312846988</v>
      </c>
      <c r="O203" s="11"/>
      <c r="P203" s="6">
        <v>416560.26</v>
      </c>
      <c r="Q203" s="2"/>
      <c r="R203" s="7">
        <f t="shared" si="30"/>
        <v>6.3402769926721253E-2</v>
      </c>
      <c r="S203" s="2"/>
      <c r="T203" s="6">
        <v>151138.75636319999</v>
      </c>
      <c r="U203" s="2"/>
      <c r="V203" s="7">
        <f t="shared" si="31"/>
        <v>2.3047655487009131E-2</v>
      </c>
      <c r="W203" s="2"/>
      <c r="X203" s="6">
        <f t="shared" si="32"/>
        <v>265421.50363679999</v>
      </c>
      <c r="Y203" s="2"/>
      <c r="Z203" s="7">
        <f t="shared" si="33"/>
        <v>1.756144552354052</v>
      </c>
    </row>
    <row r="204" spans="1:26" s="24" customFormat="1" hidden="1" outlineLevel="2" x14ac:dyDescent="0.25">
      <c r="A204" s="25"/>
      <c r="B204" s="11" t="str">
        <f>CONCATENATE("          ", "6008", " - ", "STUDENT HOURLY-FICA EXEMPT")</f>
        <v xml:space="preserve">          6008 - STUDENT HOURLY-FICA EXEMPT</v>
      </c>
      <c r="C204" s="11"/>
      <c r="D204" s="6">
        <v>552</v>
      </c>
      <c r="E204" s="2"/>
      <c r="F204" s="7">
        <f t="shared" si="26"/>
        <v>9.0366891051040475E-4</v>
      </c>
      <c r="G204" s="2"/>
      <c r="H204" s="6">
        <v>63703.934210520005</v>
      </c>
      <c r="I204" s="2"/>
      <c r="J204" s="7">
        <f t="shared" si="27"/>
        <v>0.11867492232885231</v>
      </c>
      <c r="K204" s="2"/>
      <c r="L204" s="6">
        <f t="shared" si="28"/>
        <v>-63151.934210520005</v>
      </c>
      <c r="M204" s="2"/>
      <c r="N204" s="7">
        <f t="shared" si="29"/>
        <v>-0.99133491507485505</v>
      </c>
      <c r="O204" s="11"/>
      <c r="P204" s="6">
        <v>5283</v>
      </c>
      <c r="Q204" s="2"/>
      <c r="R204" s="7">
        <f t="shared" si="30"/>
        <v>8.0410174874307112E-4</v>
      </c>
      <c r="S204" s="2"/>
      <c r="T204" s="6">
        <v>305071.106531</v>
      </c>
      <c r="U204" s="2"/>
      <c r="V204" s="7">
        <f t="shared" si="31"/>
        <v>4.6521315455782947E-2</v>
      </c>
      <c r="W204" s="2"/>
      <c r="X204" s="6">
        <f t="shared" si="32"/>
        <v>-299788.106531</v>
      </c>
      <c r="Y204" s="2"/>
      <c r="Z204" s="7">
        <f t="shared" si="33"/>
        <v>-0.98268272580752203</v>
      </c>
    </row>
    <row r="205" spans="1:26" s="24" customFormat="1" hidden="1" outlineLevel="2" x14ac:dyDescent="0.25">
      <c r="A205" s="25"/>
      <c r="B205" s="11" t="str">
        <f>CONCATENATE("          ", "6009", " - ", "TEMPORARY-SEASONAL")</f>
        <v xml:space="preserve">          6009 - TEMPORARY-SEASONAL</v>
      </c>
      <c r="C205" s="11"/>
      <c r="D205" s="6"/>
      <c r="E205" s="2"/>
      <c r="F205" s="7">
        <f t="shared" si="26"/>
        <v>0</v>
      </c>
      <c r="G205" s="2"/>
      <c r="H205" s="6">
        <v>0</v>
      </c>
      <c r="I205" s="2"/>
      <c r="J205" s="7">
        <f t="shared" si="27"/>
        <v>0</v>
      </c>
      <c r="K205" s="2"/>
      <c r="L205" s="6">
        <f t="shared" si="28"/>
        <v>0</v>
      </c>
      <c r="M205" s="2"/>
      <c r="N205" s="7">
        <f t="shared" si="29"/>
        <v>0</v>
      </c>
      <c r="O205" s="11"/>
      <c r="P205" s="6"/>
      <c r="Q205" s="2"/>
      <c r="R205" s="7">
        <f t="shared" si="30"/>
        <v>0</v>
      </c>
      <c r="S205" s="2"/>
      <c r="T205" s="6">
        <v>0</v>
      </c>
      <c r="U205" s="2"/>
      <c r="V205" s="7">
        <f t="shared" si="31"/>
        <v>0</v>
      </c>
      <c r="W205" s="2"/>
      <c r="X205" s="6">
        <f t="shared" si="32"/>
        <v>0</v>
      </c>
      <c r="Y205" s="2"/>
      <c r="Z205" s="7">
        <f t="shared" si="33"/>
        <v>0</v>
      </c>
    </row>
    <row r="206" spans="1:26" s="24" customFormat="1" hidden="1" outlineLevel="2" x14ac:dyDescent="0.25">
      <c r="A206" s="25"/>
      <c r="B206" s="11" t="str">
        <f>CONCATENATE("          ", "6010", " - ", "GRATUITY")</f>
        <v xml:space="preserve">          6010 - GRATUITY</v>
      </c>
      <c r="C206" s="11"/>
      <c r="D206" s="6"/>
      <c r="E206" s="2"/>
      <c r="F206" s="7">
        <f t="shared" si="26"/>
        <v>0</v>
      </c>
      <c r="G206" s="2"/>
      <c r="H206" s="6">
        <v>0</v>
      </c>
      <c r="I206" s="2"/>
      <c r="J206" s="7">
        <f t="shared" si="27"/>
        <v>0</v>
      </c>
      <c r="K206" s="2"/>
      <c r="L206" s="6">
        <f t="shared" si="28"/>
        <v>0</v>
      </c>
      <c r="M206" s="2"/>
      <c r="N206" s="7">
        <f t="shared" si="29"/>
        <v>0</v>
      </c>
      <c r="O206" s="11"/>
      <c r="P206" s="6"/>
      <c r="Q206" s="2"/>
      <c r="R206" s="7">
        <f t="shared" si="30"/>
        <v>0</v>
      </c>
      <c r="S206" s="2"/>
      <c r="T206" s="6">
        <v>0</v>
      </c>
      <c r="U206" s="2"/>
      <c r="V206" s="7">
        <f t="shared" si="31"/>
        <v>0</v>
      </c>
      <c r="W206" s="2"/>
      <c r="X206" s="6">
        <f t="shared" si="32"/>
        <v>0</v>
      </c>
      <c r="Y206" s="2"/>
      <c r="Z206" s="7">
        <f t="shared" si="33"/>
        <v>0</v>
      </c>
    </row>
    <row r="207" spans="1:26" s="26" customFormat="1" outlineLevel="1" collapsed="1" x14ac:dyDescent="0.25">
      <c r="A207" s="27"/>
      <c r="B207" s="13" t="str">
        <f>CONCATENATE("     ","Advertising/Promo                                 ")</f>
        <v xml:space="preserve">     Advertising/Promo                                 </v>
      </c>
      <c r="C207" s="13"/>
      <c r="D207" s="1">
        <f>SUM(OSRRefD22_2x_0)</f>
        <v>15063.470000000001</v>
      </c>
      <c r="E207" s="1"/>
      <c r="F207" s="5">
        <f t="shared" ref="F207:F211" si="34">IF(D$12=0,0,D207/D$12)</f>
        <v>2.4660125948199579E-2</v>
      </c>
      <c r="G207" s="1"/>
      <c r="H207" s="1">
        <f>SUM(OSRRefH22_2x_0)</f>
        <v>12270</v>
      </c>
      <c r="I207" s="1"/>
      <c r="J207" s="5">
        <f t="shared" ref="J207:J211" si="35">IF(H$12=0,0,H207/H$12)</f>
        <v>2.2857949277715915E-2</v>
      </c>
      <c r="K207" s="1"/>
      <c r="L207" s="1">
        <f t="shared" ref="L207:L211" si="36">+D207-H207</f>
        <v>2793.4700000000012</v>
      </c>
      <c r="M207" s="1"/>
      <c r="N207" s="5">
        <f t="shared" ref="N207:N211" si="37">IF(H207=0,0,L207/H207)</f>
        <v>0.22766666666666677</v>
      </c>
      <c r="O207" s="13"/>
      <c r="P207" s="1">
        <f>SUM(OSRRefP22_2x_0)</f>
        <v>34050.060000000005</v>
      </c>
      <c r="Q207" s="1"/>
      <c r="R207" s="5">
        <f t="shared" ref="R207:R211" si="38">IF(P$12=0,0,P207/P$12)</f>
        <v>5.1826070018562371E-3</v>
      </c>
      <c r="S207" s="1"/>
      <c r="T207" s="1">
        <f>SUM(OSRRefT22_2x_0)</f>
        <v>33900</v>
      </c>
      <c r="U207" s="1"/>
      <c r="V207" s="5">
        <f t="shared" ref="V207:V211" si="39">IF(T$12=0,0,T207/T$12)</f>
        <v>5.1695246130783173E-3</v>
      </c>
      <c r="W207" s="1"/>
      <c r="X207" s="1">
        <f t="shared" ref="X207:X211" si="40">+P207-T207</f>
        <v>150.06000000000495</v>
      </c>
      <c r="Y207" s="1"/>
      <c r="Z207" s="5">
        <f t="shared" ref="Z207:Z211" si="41">IF(T207=0,0,X207/T207)</f>
        <v>4.4265486725665179E-3</v>
      </c>
    </row>
    <row r="208" spans="1:26" s="24" customFormat="1" hidden="1" outlineLevel="2" x14ac:dyDescent="0.25">
      <c r="A208" s="25"/>
      <c r="B208" s="11" t="str">
        <f>CONCATENATE("          ", "6362", " - ", "ADVERTISING EXPENSE")</f>
        <v xml:space="preserve">          6362 - ADVERTISING EXPENSE</v>
      </c>
      <c r="C208" s="11"/>
      <c r="D208" s="6">
        <v>15063.470000000001</v>
      </c>
      <c r="E208" s="2"/>
      <c r="F208" s="7">
        <f t="shared" si="34"/>
        <v>2.4660125948199579E-2</v>
      </c>
      <c r="G208" s="2"/>
      <c r="H208" s="6">
        <v>12270</v>
      </c>
      <c r="I208" s="2"/>
      <c r="J208" s="7">
        <f t="shared" si="35"/>
        <v>2.2857949277715915E-2</v>
      </c>
      <c r="K208" s="2"/>
      <c r="L208" s="6">
        <f t="shared" si="36"/>
        <v>2793.4700000000012</v>
      </c>
      <c r="M208" s="2"/>
      <c r="N208" s="7">
        <f t="shared" si="37"/>
        <v>0.22766666666666677</v>
      </c>
      <c r="O208" s="11"/>
      <c r="P208" s="6">
        <v>34050.060000000005</v>
      </c>
      <c r="Q208" s="2"/>
      <c r="R208" s="7">
        <f t="shared" si="38"/>
        <v>5.1826070018562371E-3</v>
      </c>
      <c r="S208" s="2"/>
      <c r="T208" s="6">
        <v>33900</v>
      </c>
      <c r="U208" s="2"/>
      <c r="V208" s="7">
        <f t="shared" si="39"/>
        <v>5.1695246130783173E-3</v>
      </c>
      <c r="W208" s="2"/>
      <c r="X208" s="6">
        <f t="shared" si="40"/>
        <v>150.06000000000495</v>
      </c>
      <c r="Y208" s="2"/>
      <c r="Z208" s="7">
        <f t="shared" si="41"/>
        <v>4.4265486725665179E-3</v>
      </c>
    </row>
    <row r="209" spans="1:26" s="26" customFormat="1" outlineLevel="1" collapsed="1" x14ac:dyDescent="0.25">
      <c r="A209" s="27"/>
      <c r="B209" s="13" t="str">
        <f>CONCATENATE("     ","Bad Debts/Over/Short                              ")</f>
        <v xml:space="preserve">     Bad Debts/Over/Short                              </v>
      </c>
      <c r="C209" s="13"/>
      <c r="D209" s="1">
        <f>SUM(OSRRefD22_3x_0)</f>
        <v>150.11000000000001</v>
      </c>
      <c r="E209" s="1"/>
      <c r="F209" s="5">
        <f t="shared" si="34"/>
        <v>2.4574228289260303E-4</v>
      </c>
      <c r="G209" s="1"/>
      <c r="H209" s="1">
        <f>SUM(OSRRefH22_3x_0)</f>
        <v>135</v>
      </c>
      <c r="I209" s="1"/>
      <c r="J209" s="5">
        <f t="shared" si="35"/>
        <v>2.5149332946142205E-4</v>
      </c>
      <c r="K209" s="1"/>
      <c r="L209" s="1">
        <f t="shared" si="36"/>
        <v>15.110000000000014</v>
      </c>
      <c r="M209" s="1"/>
      <c r="N209" s="5">
        <f t="shared" si="37"/>
        <v>0.11192592592592603</v>
      </c>
      <c r="O209" s="13"/>
      <c r="P209" s="1">
        <f>SUM(OSRRefP22_3x_0)</f>
        <v>72.459999999999994</v>
      </c>
      <c r="Q209" s="1"/>
      <c r="R209" s="5">
        <f t="shared" si="38"/>
        <v>1.1028811795177538E-5</v>
      </c>
      <c r="S209" s="1"/>
      <c r="T209" s="1">
        <f>SUM(OSRRefT22_3x_0)</f>
        <v>675</v>
      </c>
      <c r="U209" s="1"/>
      <c r="V209" s="5">
        <f t="shared" si="39"/>
        <v>1.0293301220731163E-4</v>
      </c>
      <c r="W209" s="1"/>
      <c r="X209" s="1">
        <f t="shared" si="40"/>
        <v>-602.54</v>
      </c>
      <c r="Y209" s="1"/>
      <c r="Z209" s="5">
        <f t="shared" si="41"/>
        <v>-0.89265185185185181</v>
      </c>
    </row>
    <row r="210" spans="1:26" s="24" customFormat="1" hidden="1" outlineLevel="2" x14ac:dyDescent="0.25">
      <c r="A210" s="25"/>
      <c r="B210" s="11" t="str">
        <f>CONCATENATE("          ", "6272", " - ", "CASH (OVER/SHORT)")</f>
        <v xml:space="preserve">          6272 - CASH (OVER/SHORT)</v>
      </c>
      <c r="C210" s="11"/>
      <c r="D210" s="6">
        <v>150.11000000000001</v>
      </c>
      <c r="E210" s="2"/>
      <c r="F210" s="7">
        <f t="shared" si="34"/>
        <v>2.4574228289260303E-4</v>
      </c>
      <c r="G210" s="2"/>
      <c r="H210" s="6">
        <v>125</v>
      </c>
      <c r="I210" s="2"/>
      <c r="J210" s="7">
        <f t="shared" si="35"/>
        <v>2.3286419394576114E-4</v>
      </c>
      <c r="K210" s="2"/>
      <c r="L210" s="6">
        <f t="shared" si="36"/>
        <v>25.110000000000014</v>
      </c>
      <c r="M210" s="2"/>
      <c r="N210" s="7">
        <f t="shared" si="37"/>
        <v>0.20088000000000011</v>
      </c>
      <c r="O210" s="11"/>
      <c r="P210" s="6">
        <v>27.66</v>
      </c>
      <c r="Q210" s="2"/>
      <c r="R210" s="7">
        <f t="shared" si="38"/>
        <v>4.2100046129535013E-6</v>
      </c>
      <c r="S210" s="2"/>
      <c r="T210" s="6">
        <v>625</v>
      </c>
      <c r="U210" s="2"/>
      <c r="V210" s="7">
        <f t="shared" si="39"/>
        <v>9.5308344636399649E-5</v>
      </c>
      <c r="W210" s="2"/>
      <c r="X210" s="6">
        <f t="shared" si="40"/>
        <v>-597.34</v>
      </c>
      <c r="Y210" s="2"/>
      <c r="Z210" s="7">
        <f t="shared" si="41"/>
        <v>-0.95574400000000004</v>
      </c>
    </row>
    <row r="211" spans="1:26" s="24" customFormat="1" hidden="1" outlineLevel="2" x14ac:dyDescent="0.25">
      <c r="A211" s="25"/>
      <c r="B211" s="11" t="str">
        <f>CONCATENATE("          ", "6342", " - ", "BAD DEBT")</f>
        <v xml:space="preserve">          6342 - BAD DEBT</v>
      </c>
      <c r="C211" s="11"/>
      <c r="D211" s="6"/>
      <c r="E211" s="2"/>
      <c r="F211" s="7">
        <f t="shared" si="34"/>
        <v>0</v>
      </c>
      <c r="G211" s="2"/>
      <c r="H211" s="6">
        <v>10</v>
      </c>
      <c r="I211" s="2"/>
      <c r="J211" s="7">
        <f t="shared" si="35"/>
        <v>1.8629135515660892E-5</v>
      </c>
      <c r="K211" s="2"/>
      <c r="L211" s="6">
        <f t="shared" si="36"/>
        <v>-10</v>
      </c>
      <c r="M211" s="2"/>
      <c r="N211" s="7">
        <f t="shared" si="37"/>
        <v>-1</v>
      </c>
      <c r="O211" s="11"/>
      <c r="P211" s="6">
        <v>44.8</v>
      </c>
      <c r="Q211" s="2"/>
      <c r="R211" s="7">
        <f t="shared" si="38"/>
        <v>6.8188071822240367E-6</v>
      </c>
      <c r="S211" s="2"/>
      <c r="T211" s="6">
        <v>50</v>
      </c>
      <c r="U211" s="2"/>
      <c r="V211" s="7">
        <f t="shared" si="39"/>
        <v>7.6246675709119723E-6</v>
      </c>
      <c r="W211" s="2"/>
      <c r="X211" s="6">
        <f t="shared" si="40"/>
        <v>-5.2000000000000028</v>
      </c>
      <c r="Y211" s="2"/>
      <c r="Z211" s="7">
        <f t="shared" si="41"/>
        <v>-0.10400000000000005</v>
      </c>
    </row>
    <row r="212" spans="1:26" s="26" customFormat="1" outlineLevel="1" collapsed="1" x14ac:dyDescent="0.25">
      <c r="A212" s="27"/>
      <c r="B212" s="13" t="str">
        <f>CONCATENATE("     ","Bank/card Fees                                    ")</f>
        <v xml:space="preserve">     Bank/card Fees                                    </v>
      </c>
      <c r="C212" s="13"/>
      <c r="D212" s="1">
        <f>SUM(OSRRefD22_4x_0)</f>
        <v>10714.71</v>
      </c>
      <c r="E212" s="1"/>
      <c r="F212" s="5">
        <f t="shared" ref="F212:F218" si="42">IF(D$12=0,0,D212/D$12)</f>
        <v>1.7540852014737207E-2</v>
      </c>
      <c r="G212" s="1"/>
      <c r="H212" s="1">
        <f>SUM(OSRRefH22_4x_0)</f>
        <v>8600</v>
      </c>
      <c r="I212" s="1"/>
      <c r="J212" s="5">
        <f t="shared" ref="J212:J218" si="43">IF(H$12=0,0,H212/H$12)</f>
        <v>1.6021056543468366E-2</v>
      </c>
      <c r="K212" s="1"/>
      <c r="L212" s="1">
        <f t="shared" ref="L212:L218" si="44">+D212-H212</f>
        <v>2114.7099999999991</v>
      </c>
      <c r="M212" s="1"/>
      <c r="N212" s="5">
        <f t="shared" ref="N212:N218" si="45">IF(H212=0,0,L212/H212)</f>
        <v>0.24589651162790688</v>
      </c>
      <c r="O212" s="13"/>
      <c r="P212" s="1">
        <f>SUM(OSRRefP22_4x_0)</f>
        <v>82063.73000000001</v>
      </c>
      <c r="Q212" s="1"/>
      <c r="R212" s="5">
        <f t="shared" ref="R212:R218" si="46">IF(P$12=0,0,P212/P$12)</f>
        <v>1.2490552489377103E-2</v>
      </c>
      <c r="S212" s="1"/>
      <c r="T212" s="1">
        <f>SUM(OSRRefT22_4x_0)</f>
        <v>83245</v>
      </c>
      <c r="U212" s="1"/>
      <c r="V212" s="5">
        <f t="shared" ref="V212:V218" si="47">IF(T$12=0,0,T212/T$12)</f>
        <v>1.2694309038811342E-2</v>
      </c>
      <c r="W212" s="1"/>
      <c r="X212" s="1">
        <f t="shared" ref="X212:X218" si="48">+P212-T212</f>
        <v>-1181.2699999999895</v>
      </c>
      <c r="Y212" s="1"/>
      <c r="Z212" s="5">
        <f t="shared" ref="Z212:Z218" si="49">IF(T212=0,0,X212/T212)</f>
        <v>-1.419028169860039E-2</v>
      </c>
    </row>
    <row r="213" spans="1:26" s="24" customFormat="1" hidden="1" outlineLevel="2" x14ac:dyDescent="0.25">
      <c r="A213" s="25"/>
      <c r="B213" s="11" t="str">
        <f>CONCATENATE("          ", "6381", " - ", "BANK/CREDIT CARD FEES")</f>
        <v xml:space="preserve">          6381 - BANK/CREDIT CARD FEES</v>
      </c>
      <c r="C213" s="11"/>
      <c r="D213" s="6">
        <v>10714.71</v>
      </c>
      <c r="E213" s="2"/>
      <c r="F213" s="7">
        <f t="shared" si="42"/>
        <v>1.7540852014737207E-2</v>
      </c>
      <c r="G213" s="2"/>
      <c r="H213" s="6">
        <v>8600</v>
      </c>
      <c r="I213" s="2"/>
      <c r="J213" s="7">
        <f t="shared" si="43"/>
        <v>1.6021056543468366E-2</v>
      </c>
      <c r="K213" s="2"/>
      <c r="L213" s="6">
        <f t="shared" si="44"/>
        <v>2114.7099999999991</v>
      </c>
      <c r="M213" s="2"/>
      <c r="N213" s="7">
        <f t="shared" si="45"/>
        <v>0.24589651162790688</v>
      </c>
      <c r="O213" s="11"/>
      <c r="P213" s="6">
        <v>82063.73000000001</v>
      </c>
      <c r="Q213" s="2"/>
      <c r="R213" s="7">
        <f t="shared" si="46"/>
        <v>1.2490552489377103E-2</v>
      </c>
      <c r="S213" s="2"/>
      <c r="T213" s="6">
        <v>83245</v>
      </c>
      <c r="U213" s="2"/>
      <c r="V213" s="7">
        <f t="shared" si="47"/>
        <v>1.2694309038811342E-2</v>
      </c>
      <c r="W213" s="2"/>
      <c r="X213" s="6">
        <f t="shared" si="48"/>
        <v>-1181.2699999999895</v>
      </c>
      <c r="Y213" s="2"/>
      <c r="Z213" s="7">
        <f t="shared" si="49"/>
        <v>-1.419028169860039E-2</v>
      </c>
    </row>
    <row r="214" spans="1:26" s="26" customFormat="1" outlineLevel="1" collapsed="1" x14ac:dyDescent="0.25">
      <c r="A214" s="27"/>
      <c r="B214" s="13" t="str">
        <f>CONCATENATE("     ","Depreciation                                      ")</f>
        <v xml:space="preserve">     Depreciation                                      </v>
      </c>
      <c r="C214" s="13"/>
      <c r="D214" s="1">
        <f>SUM(OSRRefD22_5x_0)</f>
        <v>29887.870000000003</v>
      </c>
      <c r="E214" s="1"/>
      <c r="F214" s="5">
        <f t="shared" si="42"/>
        <v>4.8928874855754735E-2</v>
      </c>
      <c r="G214" s="1"/>
      <c r="H214" s="1">
        <f>SUM(OSRRefH22_5x_0)</f>
        <v>30479</v>
      </c>
      <c r="I214" s="1"/>
      <c r="J214" s="5">
        <f t="shared" si="43"/>
        <v>5.6779742138182827E-2</v>
      </c>
      <c r="K214" s="1"/>
      <c r="L214" s="1">
        <f t="shared" si="44"/>
        <v>-591.12999999999738</v>
      </c>
      <c r="M214" s="1"/>
      <c r="N214" s="5">
        <f t="shared" si="45"/>
        <v>-1.9394665179303695E-2</v>
      </c>
      <c r="O214" s="13"/>
      <c r="P214" s="1">
        <f>SUM(OSRRefP22_5x_0)</f>
        <v>149439.34999999998</v>
      </c>
      <c r="Q214" s="1"/>
      <c r="R214" s="5">
        <f t="shared" si="46"/>
        <v>2.2745493595689541E-2</v>
      </c>
      <c r="S214" s="1"/>
      <c r="T214" s="1">
        <f>SUM(OSRRefT22_5x_0)</f>
        <v>151564</v>
      </c>
      <c r="U214" s="1"/>
      <c r="V214" s="5">
        <f t="shared" si="47"/>
        <v>2.3112502314354043E-2</v>
      </c>
      <c r="W214" s="1"/>
      <c r="X214" s="1">
        <f t="shared" si="48"/>
        <v>-2124.6500000000233</v>
      </c>
      <c r="Y214" s="1"/>
      <c r="Z214" s="5">
        <f t="shared" si="49"/>
        <v>-1.4018170541817471E-2</v>
      </c>
    </row>
    <row r="215" spans="1:26" s="24" customFormat="1" hidden="1" outlineLevel="2" x14ac:dyDescent="0.25">
      <c r="A215" s="25"/>
      <c r="B215" s="11" t="str">
        <f>CONCATENATE("          ", "6321", " - ", "BUILDING DEPRECIATION")</f>
        <v xml:space="preserve">          6321 - BUILDING DEPRECIATION</v>
      </c>
      <c r="C215" s="11"/>
      <c r="D215" s="6">
        <v>16396.52</v>
      </c>
      <c r="E215" s="2"/>
      <c r="F215" s="7">
        <f t="shared" si="42"/>
        <v>2.6842437254641416E-2</v>
      </c>
      <c r="G215" s="2"/>
      <c r="H215" s="6">
        <v>16397</v>
      </c>
      <c r="I215" s="2"/>
      <c r="J215" s="7">
        <f t="shared" si="43"/>
        <v>3.0546193505029164E-2</v>
      </c>
      <c r="K215" s="2"/>
      <c r="L215" s="6">
        <f t="shared" si="44"/>
        <v>-0.47999999999956344</v>
      </c>
      <c r="M215" s="2"/>
      <c r="N215" s="7">
        <f t="shared" si="45"/>
        <v>-2.927364761844017E-5</v>
      </c>
      <c r="O215" s="11"/>
      <c r="P215" s="6">
        <v>81982.599999999991</v>
      </c>
      <c r="Q215" s="2"/>
      <c r="R215" s="7">
        <f t="shared" si="46"/>
        <v>1.2478204055745542E-2</v>
      </c>
      <c r="S215" s="2"/>
      <c r="T215" s="6">
        <v>82153</v>
      </c>
      <c r="U215" s="2"/>
      <c r="V215" s="7">
        <f t="shared" si="47"/>
        <v>1.2527786299062626E-2</v>
      </c>
      <c r="W215" s="2"/>
      <c r="X215" s="6">
        <f t="shared" si="48"/>
        <v>-170.40000000000873</v>
      </c>
      <c r="Y215" s="2"/>
      <c r="Z215" s="7">
        <f t="shared" si="49"/>
        <v>-2.0741786666343132E-3</v>
      </c>
    </row>
    <row r="216" spans="1:26" s="24" customFormat="1" hidden="1" outlineLevel="2" x14ac:dyDescent="0.25">
      <c r="A216" s="25"/>
      <c r="B216" s="11" t="str">
        <f>CONCATENATE("          ", "6322", " - ", "EQUIPMENT DEPRECIATION EXPENSE")</f>
        <v xml:space="preserve">          6322 - EQUIPMENT DEPRECIATION EXPENSE</v>
      </c>
      <c r="C216" s="11"/>
      <c r="D216" s="6">
        <v>13491.35</v>
      </c>
      <c r="E216" s="2"/>
      <c r="F216" s="7">
        <f t="shared" si="42"/>
        <v>2.2086437601113312E-2</v>
      </c>
      <c r="G216" s="2"/>
      <c r="H216" s="6">
        <v>13049</v>
      </c>
      <c r="I216" s="2"/>
      <c r="J216" s="7">
        <f t="shared" si="43"/>
        <v>2.4309158934385896E-2</v>
      </c>
      <c r="K216" s="2"/>
      <c r="L216" s="6">
        <f t="shared" si="44"/>
        <v>442.35000000000036</v>
      </c>
      <c r="M216" s="2"/>
      <c r="N216" s="7">
        <f t="shared" si="45"/>
        <v>3.3899149360104248E-2</v>
      </c>
      <c r="O216" s="11"/>
      <c r="P216" s="6">
        <v>67456.75</v>
      </c>
      <c r="Q216" s="2"/>
      <c r="R216" s="7">
        <f t="shared" si="46"/>
        <v>1.0267289539944002E-2</v>
      </c>
      <c r="S216" s="2"/>
      <c r="T216" s="6">
        <v>65244.999999999993</v>
      </c>
      <c r="U216" s="2"/>
      <c r="V216" s="7">
        <f t="shared" si="47"/>
        <v>9.9494287132830313E-3</v>
      </c>
      <c r="W216" s="2"/>
      <c r="X216" s="6">
        <f t="shared" si="48"/>
        <v>2211.7500000000073</v>
      </c>
      <c r="Y216" s="2"/>
      <c r="Z216" s="7">
        <f t="shared" si="49"/>
        <v>3.3899149360104339E-2</v>
      </c>
    </row>
    <row r="217" spans="1:26" s="24" customFormat="1" hidden="1" outlineLevel="2" x14ac:dyDescent="0.25">
      <c r="A217" s="25"/>
      <c r="B217" s="11" t="str">
        <f>CONCATENATE("          ", "6324", " - ", "FURNITURE + FIXT DEPRECIATION")</f>
        <v xml:space="preserve">          6324 - FURNITURE + FIXT DEPRECIATION</v>
      </c>
      <c r="C217" s="11"/>
      <c r="D217" s="6"/>
      <c r="E217" s="2"/>
      <c r="F217" s="7">
        <f t="shared" si="42"/>
        <v>0</v>
      </c>
      <c r="G217" s="2"/>
      <c r="H217" s="6">
        <v>700</v>
      </c>
      <c r="I217" s="2"/>
      <c r="J217" s="7">
        <f t="shared" si="43"/>
        <v>1.3040394860962623E-3</v>
      </c>
      <c r="K217" s="2"/>
      <c r="L217" s="6">
        <f t="shared" si="44"/>
        <v>-700</v>
      </c>
      <c r="M217" s="2"/>
      <c r="N217" s="7">
        <f t="shared" si="45"/>
        <v>-1</v>
      </c>
      <c r="O217" s="11"/>
      <c r="P217" s="6"/>
      <c r="Q217" s="2"/>
      <c r="R217" s="7">
        <f t="shared" si="46"/>
        <v>0</v>
      </c>
      <c r="S217" s="2"/>
      <c r="T217" s="6">
        <v>3500</v>
      </c>
      <c r="U217" s="2"/>
      <c r="V217" s="7">
        <f t="shared" si="47"/>
        <v>5.3372672996383807E-4</v>
      </c>
      <c r="W217" s="2"/>
      <c r="X217" s="6">
        <f t="shared" si="48"/>
        <v>-3500</v>
      </c>
      <c r="Y217" s="2"/>
      <c r="Z217" s="7">
        <f t="shared" si="49"/>
        <v>-1</v>
      </c>
    </row>
    <row r="218" spans="1:26" s="24" customFormat="1" hidden="1" outlineLevel="2" x14ac:dyDescent="0.25">
      <c r="A218" s="25"/>
      <c r="B218" s="11" t="str">
        <f>CONCATENATE("          ", "6326", " - ", "VEHICLES DEPRECIATION EXPENSE")</f>
        <v xml:space="preserve">          6326 - VEHICLES DEPRECIATION EXPENSE</v>
      </c>
      <c r="C218" s="11"/>
      <c r="D218" s="6"/>
      <c r="E218" s="2"/>
      <c r="F218" s="7">
        <f t="shared" si="42"/>
        <v>0</v>
      </c>
      <c r="G218" s="2"/>
      <c r="H218" s="6">
        <v>333</v>
      </c>
      <c r="I218" s="2"/>
      <c r="J218" s="7">
        <f t="shared" si="43"/>
        <v>6.2035021267150766E-4</v>
      </c>
      <c r="K218" s="2"/>
      <c r="L218" s="6">
        <f t="shared" si="44"/>
        <v>-333</v>
      </c>
      <c r="M218" s="2"/>
      <c r="N218" s="7">
        <f t="shared" si="45"/>
        <v>-1</v>
      </c>
      <c r="O218" s="11"/>
      <c r="P218" s="6"/>
      <c r="Q218" s="2"/>
      <c r="R218" s="7">
        <f t="shared" si="46"/>
        <v>0</v>
      </c>
      <c r="S218" s="2"/>
      <c r="T218" s="6">
        <v>666</v>
      </c>
      <c r="U218" s="2"/>
      <c r="V218" s="7">
        <f t="shared" si="47"/>
        <v>1.0156057204454747E-4</v>
      </c>
      <c r="W218" s="2"/>
      <c r="X218" s="6">
        <f t="shared" si="48"/>
        <v>-666</v>
      </c>
      <c r="Y218" s="2"/>
      <c r="Z218" s="7">
        <f t="shared" si="49"/>
        <v>-1</v>
      </c>
    </row>
    <row r="219" spans="1:26" s="26" customFormat="1" outlineLevel="1" collapsed="1" x14ac:dyDescent="0.25">
      <c r="A219" s="27"/>
      <c r="B219" s="13" t="str">
        <f>CONCATENATE("     ","Discounts and Markdowns                           ")</f>
        <v xml:space="preserve">     Discounts and Markdowns                           </v>
      </c>
      <c r="C219" s="13"/>
      <c r="D219" s="1">
        <f>SUM(OSRRefD22_6x_0)</f>
        <v>29043.18</v>
      </c>
      <c r="E219" s="1"/>
      <c r="F219" s="5">
        <f t="shared" ref="F219:F221" si="50">IF(D$12=0,0,D219/D$12)</f>
        <v>4.754604860209706E-2</v>
      </c>
      <c r="G219" s="1"/>
      <c r="H219" s="1">
        <f>SUM(OSRRefH22_6x_0)</f>
        <v>33225</v>
      </c>
      <c r="I219" s="1"/>
      <c r="J219" s="5">
        <f t="shared" ref="J219:J221" si="51">IF(H$12=0,0,H219/H$12)</f>
        <v>6.189530275078331E-2</v>
      </c>
      <c r="K219" s="1"/>
      <c r="L219" s="1">
        <f t="shared" ref="L219:L221" si="52">+D219-H219</f>
        <v>-4181.82</v>
      </c>
      <c r="M219" s="1"/>
      <c r="N219" s="5">
        <f t="shared" ref="N219:N221" si="53">IF(H219=0,0,L219/H219)</f>
        <v>-0.12586365688487583</v>
      </c>
      <c r="O219" s="13"/>
      <c r="P219" s="1">
        <f>SUM(OSRRefP22_6x_0)</f>
        <v>195222.09999999998</v>
      </c>
      <c r="Q219" s="1"/>
      <c r="R219" s="5">
        <f t="shared" ref="R219:R221" si="54">IF(P$12=0,0,P219/P$12)</f>
        <v>2.9713880750197746E-2</v>
      </c>
      <c r="S219" s="1"/>
      <c r="T219" s="1">
        <f>SUM(OSRRefT22_6x_0)</f>
        <v>148125</v>
      </c>
      <c r="U219" s="1"/>
      <c r="V219" s="5">
        <f t="shared" ref="V219:V221" si="55">IF(T$12=0,0,T219/T$12)</f>
        <v>2.2588077678826719E-2</v>
      </c>
      <c r="W219" s="1"/>
      <c r="X219" s="1">
        <f t="shared" ref="X219:X221" si="56">+P219-T219</f>
        <v>47097.099999999977</v>
      </c>
      <c r="Y219" s="1"/>
      <c r="Z219" s="5">
        <f t="shared" ref="Z219:Z221" si="57">IF(T219=0,0,X219/T219)</f>
        <v>0.31795510548523193</v>
      </c>
    </row>
    <row r="220" spans="1:26" s="24" customFormat="1" hidden="1" outlineLevel="2" x14ac:dyDescent="0.25">
      <c r="A220" s="25"/>
      <c r="B220" s="11" t="str">
        <f>CONCATENATE("          ", "6382", " - ", "DISCOUNTS/MARK DOWNS")</f>
        <v xml:space="preserve">          6382 - DISCOUNTS/MARK DOWNS</v>
      </c>
      <c r="C220" s="11"/>
      <c r="D220" s="6">
        <v>29290.68</v>
      </c>
      <c r="E220" s="2"/>
      <c r="F220" s="7">
        <f t="shared" si="50"/>
        <v>4.7951226238603081E-2</v>
      </c>
      <c r="G220" s="2"/>
      <c r="H220" s="6">
        <v>33225</v>
      </c>
      <c r="I220" s="2"/>
      <c r="J220" s="7">
        <f t="shared" si="51"/>
        <v>6.189530275078331E-2</v>
      </c>
      <c r="K220" s="2"/>
      <c r="L220" s="6">
        <f t="shared" si="52"/>
        <v>-3934.3199999999997</v>
      </c>
      <c r="M220" s="2"/>
      <c r="N220" s="7">
        <f t="shared" si="53"/>
        <v>-0.11841444695259593</v>
      </c>
      <c r="O220" s="11"/>
      <c r="P220" s="6">
        <v>197587.34999999998</v>
      </c>
      <c r="Q220" s="2"/>
      <c r="R220" s="7">
        <f t="shared" si="54"/>
        <v>3.0073884850370856E-2</v>
      </c>
      <c r="S220" s="2"/>
      <c r="T220" s="6">
        <v>148125</v>
      </c>
      <c r="U220" s="2"/>
      <c r="V220" s="7">
        <f t="shared" si="55"/>
        <v>2.2588077678826719E-2</v>
      </c>
      <c r="W220" s="2"/>
      <c r="X220" s="6">
        <f t="shared" si="56"/>
        <v>49462.349999999977</v>
      </c>
      <c r="Y220" s="2"/>
      <c r="Z220" s="7">
        <f t="shared" si="57"/>
        <v>0.33392303797468337</v>
      </c>
    </row>
    <row r="221" spans="1:26" s="24" customFormat="1" hidden="1" outlineLevel="2" x14ac:dyDescent="0.25">
      <c r="A221" s="25"/>
      <c r="B221" s="11" t="str">
        <f>CONCATENATE("          ", "9175", " - ", "EARNED DISCOUNTS")</f>
        <v xml:space="preserve">          9175 - EARNED DISCOUNTS</v>
      </c>
      <c r="C221" s="11"/>
      <c r="D221" s="6">
        <v>-247.5</v>
      </c>
      <c r="E221" s="2"/>
      <c r="F221" s="7">
        <f t="shared" si="50"/>
        <v>-4.0517763650602389E-4</v>
      </c>
      <c r="G221" s="2"/>
      <c r="H221" s="6"/>
      <c r="I221" s="2"/>
      <c r="J221" s="7">
        <f t="shared" si="51"/>
        <v>0</v>
      </c>
      <c r="K221" s="2"/>
      <c r="L221" s="6">
        <f t="shared" si="52"/>
        <v>-247.5</v>
      </c>
      <c r="M221" s="2"/>
      <c r="N221" s="7">
        <f t="shared" si="53"/>
        <v>0</v>
      </c>
      <c r="O221" s="11"/>
      <c r="P221" s="6">
        <v>-2365.25</v>
      </c>
      <c r="Q221" s="2"/>
      <c r="R221" s="7">
        <f t="shared" si="54"/>
        <v>-3.600041001731117E-4</v>
      </c>
      <c r="S221" s="2"/>
      <c r="T221" s="6"/>
      <c r="U221" s="2"/>
      <c r="V221" s="7">
        <f t="shared" si="55"/>
        <v>0</v>
      </c>
      <c r="W221" s="2"/>
      <c r="X221" s="6">
        <f t="shared" si="56"/>
        <v>-2365.25</v>
      </c>
      <c r="Y221" s="2"/>
      <c r="Z221" s="7">
        <f t="shared" si="57"/>
        <v>0</v>
      </c>
    </row>
    <row r="222" spans="1:26" s="26" customFormat="1" outlineLevel="1" collapsed="1" x14ac:dyDescent="0.25">
      <c r="A222" s="27"/>
      <c r="B222" s="13" t="str">
        <f>CONCATENATE("     ","Donations                                         ")</f>
        <v xml:space="preserve">     Donations                                         </v>
      </c>
      <c r="C222" s="13"/>
      <c r="D222" s="1">
        <f>SUM(OSRRefD22_7x_0)</f>
        <v>3415.9</v>
      </c>
      <c r="E222" s="1"/>
      <c r="F222" s="5">
        <f t="shared" ref="F222:F224" si="58">IF(D$12=0,0,D222/D$12)</f>
        <v>5.5921062163269775E-3</v>
      </c>
      <c r="G222" s="1"/>
      <c r="H222" s="1">
        <f>SUM(OSRRefH22_7x_0)</f>
        <v>1025</v>
      </c>
      <c r="I222" s="1"/>
      <c r="J222" s="5">
        <f t="shared" ref="J222:J224" si="59">IF(H$12=0,0,H222/H$12)</f>
        <v>1.9094863903552414E-3</v>
      </c>
      <c r="K222" s="1"/>
      <c r="L222" s="1">
        <f t="shared" ref="L222:L224" si="60">+D222-H222</f>
        <v>2390.9</v>
      </c>
      <c r="M222" s="1"/>
      <c r="N222" s="5">
        <f t="shared" ref="N222:N224" si="61">IF(H222=0,0,L222/H222)</f>
        <v>2.3325853658536588</v>
      </c>
      <c r="O222" s="13"/>
      <c r="P222" s="1">
        <f>SUM(OSRRefP22_7x_0)</f>
        <v>9647.3799999999992</v>
      </c>
      <c r="Q222" s="1"/>
      <c r="R222" s="5">
        <f t="shared" ref="R222:R224" si="62">IF(P$12=0,0,P222/P$12)</f>
        <v>1.468384465036708E-3</v>
      </c>
      <c r="S222" s="1"/>
      <c r="T222" s="1">
        <f>SUM(OSRRefT22_7x_0)</f>
        <v>5200</v>
      </c>
      <c r="U222" s="1"/>
      <c r="V222" s="5">
        <f t="shared" ref="V222:V224" si="63">IF(T$12=0,0,T222/T$12)</f>
        <v>7.9296542737484512E-4</v>
      </c>
      <c r="W222" s="1"/>
      <c r="X222" s="1">
        <f t="shared" ref="X222:X224" si="64">+P222-T222</f>
        <v>4447.3799999999992</v>
      </c>
      <c r="Y222" s="1"/>
      <c r="Z222" s="5">
        <f t="shared" ref="Z222:Z224" si="65">IF(T222=0,0,X222/T222)</f>
        <v>0.85526538461538448</v>
      </c>
    </row>
    <row r="223" spans="1:26" s="24" customFormat="1" hidden="1" outlineLevel="2" x14ac:dyDescent="0.25">
      <c r="A223" s="25"/>
      <c r="B223" s="11" t="str">
        <f>CONCATENATE("          ", "6395", " - ", "DONATION-OFF CAMPUS")</f>
        <v xml:space="preserve">          6395 - DONATION-OFF CAMPUS</v>
      </c>
      <c r="C223" s="11"/>
      <c r="D223" s="6"/>
      <c r="E223" s="2"/>
      <c r="F223" s="7">
        <f t="shared" si="58"/>
        <v>0</v>
      </c>
      <c r="G223" s="2"/>
      <c r="H223" s="6">
        <v>1025</v>
      </c>
      <c r="I223" s="2"/>
      <c r="J223" s="7">
        <f t="shared" si="59"/>
        <v>1.9094863903552414E-3</v>
      </c>
      <c r="K223" s="2"/>
      <c r="L223" s="6">
        <f t="shared" si="60"/>
        <v>-1025</v>
      </c>
      <c r="M223" s="2"/>
      <c r="N223" s="7">
        <f t="shared" si="61"/>
        <v>-1</v>
      </c>
      <c r="O223" s="11"/>
      <c r="P223" s="6"/>
      <c r="Q223" s="2"/>
      <c r="R223" s="7">
        <f t="shared" si="62"/>
        <v>0</v>
      </c>
      <c r="S223" s="2"/>
      <c r="T223" s="6">
        <v>5200</v>
      </c>
      <c r="U223" s="2"/>
      <c r="V223" s="7">
        <f t="shared" si="63"/>
        <v>7.9296542737484512E-4</v>
      </c>
      <c r="W223" s="2"/>
      <c r="X223" s="6">
        <f t="shared" si="64"/>
        <v>-5200</v>
      </c>
      <c r="Y223" s="2"/>
      <c r="Z223" s="7">
        <f t="shared" si="65"/>
        <v>-1</v>
      </c>
    </row>
    <row r="224" spans="1:26" s="24" customFormat="1" hidden="1" outlineLevel="2" x14ac:dyDescent="0.25">
      <c r="A224" s="25"/>
      <c r="B224" s="11" t="str">
        <f>CONCATENATE("          ", "6399", " - ", "DONATION-ON CAMPUS")</f>
        <v xml:space="preserve">          6399 - DONATION-ON CAMPUS</v>
      </c>
      <c r="C224" s="11"/>
      <c r="D224" s="6">
        <v>3415.9</v>
      </c>
      <c r="E224" s="2"/>
      <c r="F224" s="7">
        <f t="shared" si="58"/>
        <v>5.5921062163269775E-3</v>
      </c>
      <c r="G224" s="2"/>
      <c r="H224" s="6"/>
      <c r="I224" s="2"/>
      <c r="J224" s="7">
        <f t="shared" si="59"/>
        <v>0</v>
      </c>
      <c r="K224" s="2"/>
      <c r="L224" s="6">
        <f t="shared" si="60"/>
        <v>3415.9</v>
      </c>
      <c r="M224" s="2"/>
      <c r="N224" s="7">
        <f t="shared" si="61"/>
        <v>0</v>
      </c>
      <c r="O224" s="11"/>
      <c r="P224" s="6">
        <v>9647.3799999999992</v>
      </c>
      <c r="Q224" s="2"/>
      <c r="R224" s="7">
        <f t="shared" si="62"/>
        <v>1.468384465036708E-3</v>
      </c>
      <c r="S224" s="2"/>
      <c r="T224" s="6"/>
      <c r="U224" s="2"/>
      <c r="V224" s="7">
        <f t="shared" si="63"/>
        <v>0</v>
      </c>
      <c r="W224" s="2"/>
      <c r="X224" s="6">
        <f t="shared" si="64"/>
        <v>9647.3799999999992</v>
      </c>
      <c r="Y224" s="2"/>
      <c r="Z224" s="7">
        <f t="shared" si="65"/>
        <v>0</v>
      </c>
    </row>
    <row r="225" spans="1:26" s="26" customFormat="1" outlineLevel="1" collapsed="1" x14ac:dyDescent="0.25">
      <c r="A225" s="27"/>
      <c r="B225" s="13" t="str">
        <f>CONCATENATE("     ","Employees' Appreciation                           ")</f>
        <v xml:space="preserve">     Employees' Appreciation                           </v>
      </c>
      <c r="C225" s="13"/>
      <c r="D225" s="1">
        <f>SUM(OSRRefD22_8x_0)</f>
        <v>396.51</v>
      </c>
      <c r="E225" s="1"/>
      <c r="F225" s="5">
        <f t="shared" ref="F225:F231" si="66">IF(D$12=0,0,D225/D$12)</f>
        <v>6.4911912990304457E-4</v>
      </c>
      <c r="G225" s="1"/>
      <c r="H225" s="1">
        <f>SUM(OSRRefH22_8x_0)</f>
        <v>740</v>
      </c>
      <c r="I225" s="1"/>
      <c r="J225" s="5">
        <f t="shared" ref="J225:J231" si="67">IF(H$12=0,0,H225/H$12)</f>
        <v>1.3785560281589059E-3</v>
      </c>
      <c r="K225" s="1"/>
      <c r="L225" s="1">
        <f t="shared" ref="L225:L231" si="68">+D225-H225</f>
        <v>-343.49</v>
      </c>
      <c r="M225" s="1"/>
      <c r="N225" s="5">
        <f t="shared" ref="N225:N231" si="69">IF(H225=0,0,L225/H225)</f>
        <v>-0.46417567567567569</v>
      </c>
      <c r="O225" s="13"/>
      <c r="P225" s="1">
        <f>SUM(OSRRefP22_8x_0)</f>
        <v>1041.6400000000001</v>
      </c>
      <c r="Q225" s="1"/>
      <c r="R225" s="5">
        <f t="shared" ref="R225:R231" si="70">IF(P$12=0,0,P225/P$12)</f>
        <v>1.5854335520740727E-4</v>
      </c>
      <c r="S225" s="1"/>
      <c r="T225" s="1">
        <f>SUM(OSRRefT22_8x_0)</f>
        <v>3700</v>
      </c>
      <c r="U225" s="1"/>
      <c r="V225" s="5">
        <f t="shared" ref="V225:V231" si="71">IF(T$12=0,0,T225/T$12)</f>
        <v>5.6422540024748599E-4</v>
      </c>
      <c r="W225" s="1"/>
      <c r="X225" s="1">
        <f t="shared" ref="X225:X231" si="72">+P225-T225</f>
        <v>-2658.3599999999997</v>
      </c>
      <c r="Y225" s="1"/>
      <c r="Z225" s="5">
        <f t="shared" ref="Z225:Z231" si="73">IF(T225=0,0,X225/T225)</f>
        <v>-0.71847567567567561</v>
      </c>
    </row>
    <row r="226" spans="1:26" s="24" customFormat="1" hidden="1" outlineLevel="2" x14ac:dyDescent="0.25">
      <c r="A226" s="25"/>
      <c r="B226" s="11" t="str">
        <f>CONCATENATE("          ", "6277", " - ", "EMPLOYEE APPRECIATION")</f>
        <v xml:space="preserve">          6277 - EMPLOYEE APPRECIATION</v>
      </c>
      <c r="C226" s="11"/>
      <c r="D226" s="6">
        <v>396.51</v>
      </c>
      <c r="E226" s="2"/>
      <c r="F226" s="7">
        <f t="shared" si="66"/>
        <v>6.4911912990304457E-4</v>
      </c>
      <c r="G226" s="2"/>
      <c r="H226" s="6">
        <v>740</v>
      </c>
      <c r="I226" s="2"/>
      <c r="J226" s="7">
        <f t="shared" si="67"/>
        <v>1.3785560281589059E-3</v>
      </c>
      <c r="K226" s="2"/>
      <c r="L226" s="6">
        <f t="shared" si="68"/>
        <v>-343.49</v>
      </c>
      <c r="M226" s="2"/>
      <c r="N226" s="7">
        <f t="shared" si="69"/>
        <v>-0.46417567567567569</v>
      </c>
      <c r="O226" s="11"/>
      <c r="P226" s="6">
        <v>1041.6400000000001</v>
      </c>
      <c r="Q226" s="2"/>
      <c r="R226" s="7">
        <f t="shared" si="70"/>
        <v>1.5854335520740727E-4</v>
      </c>
      <c r="S226" s="2"/>
      <c r="T226" s="6">
        <v>3700</v>
      </c>
      <c r="U226" s="2"/>
      <c r="V226" s="7">
        <f t="shared" si="71"/>
        <v>5.6422540024748599E-4</v>
      </c>
      <c r="W226" s="2"/>
      <c r="X226" s="6">
        <f t="shared" si="72"/>
        <v>-2658.3599999999997</v>
      </c>
      <c r="Y226" s="2"/>
      <c r="Z226" s="7">
        <f t="shared" si="73"/>
        <v>-0.71847567567567561</v>
      </c>
    </row>
    <row r="227" spans="1:26" s="26" customFormat="1" outlineLevel="1" collapsed="1" x14ac:dyDescent="0.25">
      <c r="A227" s="27"/>
      <c r="B227" s="13" t="str">
        <f>CONCATENATE("     ","Equipment Rental                                  ")</f>
        <v xml:space="preserve">     Equipment Rental                                  </v>
      </c>
      <c r="C227" s="13"/>
      <c r="D227" s="1">
        <f>SUM(OSRRefD22_9x_0)</f>
        <v>4423.12</v>
      </c>
      <c r="E227" s="1"/>
      <c r="F227" s="5">
        <f t="shared" si="66"/>
        <v>7.2410073033637341E-3</v>
      </c>
      <c r="G227" s="1"/>
      <c r="H227" s="1">
        <f>SUM(OSRRefH22_9x_0)</f>
        <v>3225</v>
      </c>
      <c r="I227" s="1"/>
      <c r="J227" s="5">
        <f t="shared" si="67"/>
        <v>6.0078962038006374E-3</v>
      </c>
      <c r="K227" s="1"/>
      <c r="L227" s="1">
        <f t="shared" si="68"/>
        <v>1198.1199999999999</v>
      </c>
      <c r="M227" s="1"/>
      <c r="N227" s="5">
        <f t="shared" si="69"/>
        <v>0.37151007751937981</v>
      </c>
      <c r="O227" s="13"/>
      <c r="P227" s="1">
        <f>SUM(OSRRefP22_9x_0)</f>
        <v>11090.14</v>
      </c>
      <c r="Q227" s="1"/>
      <c r="R227" s="5">
        <f t="shared" si="70"/>
        <v>1.6879804974078141E-3</v>
      </c>
      <c r="S227" s="1"/>
      <c r="T227" s="1">
        <f>SUM(OSRRefT22_9x_0)</f>
        <v>16125</v>
      </c>
      <c r="U227" s="1"/>
      <c r="V227" s="5">
        <f t="shared" si="71"/>
        <v>2.4589552916191113E-3</v>
      </c>
      <c r="W227" s="1"/>
      <c r="X227" s="1">
        <f t="shared" si="72"/>
        <v>-5034.8600000000006</v>
      </c>
      <c r="Y227" s="1"/>
      <c r="Z227" s="5">
        <f t="shared" si="73"/>
        <v>-0.31223937984496125</v>
      </c>
    </row>
    <row r="228" spans="1:26" s="24" customFormat="1" hidden="1" outlineLevel="2" x14ac:dyDescent="0.25">
      <c r="A228" s="25"/>
      <c r="B228" s="11" t="str">
        <f>CONCATENATE("          ", "6351", " - ", "EQUIPMENT RENTAL")</f>
        <v xml:space="preserve">          6351 - EQUIPMENT RENTAL</v>
      </c>
      <c r="C228" s="11"/>
      <c r="D228" s="6">
        <v>4423.12</v>
      </c>
      <c r="E228" s="2"/>
      <c r="F228" s="7">
        <f t="shared" si="66"/>
        <v>7.2410073033637341E-3</v>
      </c>
      <c r="G228" s="2"/>
      <c r="H228" s="6">
        <v>3225</v>
      </c>
      <c r="I228" s="2"/>
      <c r="J228" s="7">
        <f t="shared" si="67"/>
        <v>6.0078962038006374E-3</v>
      </c>
      <c r="K228" s="2"/>
      <c r="L228" s="6">
        <f t="shared" si="68"/>
        <v>1198.1199999999999</v>
      </c>
      <c r="M228" s="2"/>
      <c r="N228" s="7">
        <f t="shared" si="69"/>
        <v>0.37151007751937981</v>
      </c>
      <c r="O228" s="11"/>
      <c r="P228" s="6">
        <v>11090.14</v>
      </c>
      <c r="Q228" s="2"/>
      <c r="R228" s="7">
        <f t="shared" si="70"/>
        <v>1.6879804974078141E-3</v>
      </c>
      <c r="S228" s="2"/>
      <c r="T228" s="6">
        <v>16125</v>
      </c>
      <c r="U228" s="2"/>
      <c r="V228" s="7">
        <f t="shared" si="71"/>
        <v>2.4589552916191113E-3</v>
      </c>
      <c r="W228" s="2"/>
      <c r="X228" s="6">
        <f t="shared" si="72"/>
        <v>-5034.8600000000006</v>
      </c>
      <c r="Y228" s="2"/>
      <c r="Z228" s="7">
        <f t="shared" si="73"/>
        <v>-0.31223937984496125</v>
      </c>
    </row>
    <row r="229" spans="1:26" s="26" customFormat="1" outlineLevel="1" collapsed="1" x14ac:dyDescent="0.25">
      <c r="A229" s="27"/>
      <c r="B229" s="13" t="str">
        <f>CONCATENATE("     ","Freight out/Postage                               ")</f>
        <v xml:space="preserve">     Freight out/Postage                               </v>
      </c>
      <c r="C229" s="13"/>
      <c r="D229" s="1">
        <f>SUM(OSRRefD22_10x_0)</f>
        <v>8783.58</v>
      </c>
      <c r="E229" s="1"/>
      <c r="F229" s="5">
        <f t="shared" si="66"/>
        <v>1.437943508873366E-2</v>
      </c>
      <c r="G229" s="1"/>
      <c r="H229" s="1">
        <f>SUM(OSRRefH22_10x_0)</f>
        <v>1815</v>
      </c>
      <c r="I229" s="1"/>
      <c r="J229" s="5">
        <f t="shared" si="67"/>
        <v>3.381188096092452E-3</v>
      </c>
      <c r="K229" s="1"/>
      <c r="L229" s="1">
        <f t="shared" si="68"/>
        <v>6968.58</v>
      </c>
      <c r="M229" s="1"/>
      <c r="N229" s="5">
        <f t="shared" si="69"/>
        <v>3.8394380165289257</v>
      </c>
      <c r="O229" s="13"/>
      <c r="P229" s="1">
        <f>SUM(OSRRefP22_10x_0)</f>
        <v>4715.93</v>
      </c>
      <c r="Q229" s="1"/>
      <c r="R229" s="5">
        <f t="shared" si="70"/>
        <v>7.1779056595682594E-4</v>
      </c>
      <c r="S229" s="1"/>
      <c r="T229" s="1">
        <f>SUM(OSRRefT22_10x_0)</f>
        <v>-28625</v>
      </c>
      <c r="U229" s="1"/>
      <c r="V229" s="5">
        <f t="shared" si="71"/>
        <v>-4.3651221843471043E-3</v>
      </c>
      <c r="W229" s="1"/>
      <c r="X229" s="1">
        <f t="shared" si="72"/>
        <v>33340.93</v>
      </c>
      <c r="Y229" s="1"/>
      <c r="Z229" s="5">
        <f t="shared" si="73"/>
        <v>-1.1647486462882095</v>
      </c>
    </row>
    <row r="230" spans="1:26" s="24" customFormat="1" hidden="1" outlineLevel="2" x14ac:dyDescent="0.25">
      <c r="A230" s="25"/>
      <c r="B230" s="11" t="str">
        <f>CONCATENATE("          ", "6305", " - ", "FREIGHT OUT")</f>
        <v xml:space="preserve">          6305 - FREIGHT OUT</v>
      </c>
      <c r="C230" s="11"/>
      <c r="D230" s="6">
        <v>9242.9500000000007</v>
      </c>
      <c r="E230" s="2"/>
      <c r="F230" s="7">
        <f t="shared" si="66"/>
        <v>1.5131461152902438E-2</v>
      </c>
      <c r="G230" s="2"/>
      <c r="H230" s="6">
        <v>1775</v>
      </c>
      <c r="I230" s="2"/>
      <c r="J230" s="7">
        <f t="shared" si="67"/>
        <v>3.3066715540298083E-3</v>
      </c>
      <c r="K230" s="2"/>
      <c r="L230" s="6">
        <f t="shared" si="68"/>
        <v>7467.9500000000007</v>
      </c>
      <c r="M230" s="2"/>
      <c r="N230" s="7">
        <f t="shared" si="69"/>
        <v>4.2072957746478874</v>
      </c>
      <c r="O230" s="11"/>
      <c r="P230" s="6">
        <v>28763.53</v>
      </c>
      <c r="Q230" s="2"/>
      <c r="R230" s="7">
        <f t="shared" si="70"/>
        <v>4.3779679676365299E-3</v>
      </c>
      <c r="S230" s="2"/>
      <c r="T230" s="6">
        <v>-28825</v>
      </c>
      <c r="U230" s="2"/>
      <c r="V230" s="7">
        <f t="shared" si="71"/>
        <v>-4.3956208546307518E-3</v>
      </c>
      <c r="W230" s="2"/>
      <c r="X230" s="6">
        <f t="shared" si="72"/>
        <v>57588.53</v>
      </c>
      <c r="Y230" s="2"/>
      <c r="Z230" s="7">
        <f t="shared" si="73"/>
        <v>-1.9978674761491759</v>
      </c>
    </row>
    <row r="231" spans="1:26" s="24" customFormat="1" hidden="1" outlineLevel="2" x14ac:dyDescent="0.25">
      <c r="A231" s="25"/>
      <c r="B231" s="11" t="str">
        <f>CONCATENATE("          ", "6307", " - ", "POSTAGE")</f>
        <v xml:space="preserve">          6307 - POSTAGE</v>
      </c>
      <c r="C231" s="11"/>
      <c r="D231" s="6">
        <v>-459.37</v>
      </c>
      <c r="E231" s="2"/>
      <c r="F231" s="7">
        <f t="shared" si="66"/>
        <v>-7.5202606416877645E-4</v>
      </c>
      <c r="G231" s="2"/>
      <c r="H231" s="6">
        <v>40</v>
      </c>
      <c r="I231" s="2"/>
      <c r="J231" s="7">
        <f t="shared" si="67"/>
        <v>7.4516542062643567E-5</v>
      </c>
      <c r="K231" s="2"/>
      <c r="L231" s="6">
        <f t="shared" si="68"/>
        <v>-499.37</v>
      </c>
      <c r="M231" s="2"/>
      <c r="N231" s="7">
        <f t="shared" si="69"/>
        <v>-12.484249999999999</v>
      </c>
      <c r="O231" s="11"/>
      <c r="P231" s="6">
        <v>-24047.599999999999</v>
      </c>
      <c r="Q231" s="2"/>
      <c r="R231" s="7">
        <f t="shared" si="70"/>
        <v>-3.660177401679704E-3</v>
      </c>
      <c r="S231" s="2"/>
      <c r="T231" s="6">
        <v>200</v>
      </c>
      <c r="U231" s="2"/>
      <c r="V231" s="7">
        <f t="shared" si="71"/>
        <v>3.0498670283647889E-5</v>
      </c>
      <c r="W231" s="2"/>
      <c r="X231" s="6">
        <f t="shared" si="72"/>
        <v>-24247.599999999999</v>
      </c>
      <c r="Y231" s="2"/>
      <c r="Z231" s="7">
        <f t="shared" si="73"/>
        <v>-121.238</v>
      </c>
    </row>
    <row r="232" spans="1:26" s="26" customFormat="1" outlineLevel="1" collapsed="1" x14ac:dyDescent="0.25">
      <c r="A232" s="27"/>
      <c r="B232" s="13" t="str">
        <f>CONCATENATE("     ","General                                           ")</f>
        <v xml:space="preserve">     General                                           </v>
      </c>
      <c r="C232" s="13"/>
      <c r="D232" s="1">
        <f>SUM(OSRRefD22_11x_0)</f>
        <v>12059.82</v>
      </c>
      <c r="E232" s="1"/>
      <c r="F232" s="5">
        <f t="shared" ref="F232:F245" si="74">IF(D$12=0,0,D232/D$12)</f>
        <v>1.9742906522376067E-2</v>
      </c>
      <c r="G232" s="1"/>
      <c r="H232" s="1">
        <f>SUM(OSRRefH22_11x_0)</f>
        <v>14080</v>
      </c>
      <c r="I232" s="1"/>
      <c r="J232" s="5">
        <f t="shared" ref="J232:J245" si="75">IF(H$12=0,0,H232/H$12)</f>
        <v>2.6229822806050535E-2</v>
      </c>
      <c r="K232" s="1"/>
      <c r="L232" s="1">
        <f t="shared" ref="L232:L245" si="76">+D232-H232</f>
        <v>-2020.1800000000003</v>
      </c>
      <c r="M232" s="1"/>
      <c r="N232" s="5">
        <f t="shared" ref="N232:N245" si="77">IF(H232=0,0,L232/H232)</f>
        <v>-0.14347869318181819</v>
      </c>
      <c r="O232" s="13"/>
      <c r="P232" s="1">
        <f>SUM(OSRRefP22_11x_0)</f>
        <v>-3452.97</v>
      </c>
      <c r="Q232" s="1"/>
      <c r="R232" s="5">
        <f t="shared" ref="R232:R245" si="78">IF(P$12=0,0,P232/P$12)</f>
        <v>-5.2556108562509221E-4</v>
      </c>
      <c r="S232" s="1"/>
      <c r="T232" s="1">
        <f>SUM(OSRRefT22_11x_0)</f>
        <v>16140</v>
      </c>
      <c r="U232" s="1"/>
      <c r="V232" s="5">
        <f t="shared" ref="V232:V245" si="79">IF(T$12=0,0,T232/T$12)</f>
        <v>2.4612426918903846E-3</v>
      </c>
      <c r="W232" s="1"/>
      <c r="X232" s="1">
        <f t="shared" ref="X232:X245" si="80">+P232-T232</f>
        <v>-19592.97</v>
      </c>
      <c r="Y232" s="1"/>
      <c r="Z232" s="5">
        <f t="shared" ref="Z232:Z245" si="81">IF(T232=0,0,X232/T232)</f>
        <v>-1.2139386617100372</v>
      </c>
    </row>
    <row r="233" spans="1:26" s="24" customFormat="1" hidden="1" outlineLevel="2" x14ac:dyDescent="0.25">
      <c r="A233" s="25"/>
      <c r="B233" s="11" t="str">
        <f>CONCATENATE("          ", "6279", " - ", "GENERAL EXPENSE")</f>
        <v xml:space="preserve">          6279 - GENERAL EXPENSE</v>
      </c>
      <c r="C233" s="11"/>
      <c r="D233" s="6">
        <v>12059.82</v>
      </c>
      <c r="E233" s="2"/>
      <c r="F233" s="7">
        <f t="shared" si="74"/>
        <v>1.9742906522376067E-2</v>
      </c>
      <c r="G233" s="2"/>
      <c r="H233" s="6">
        <v>14080</v>
      </c>
      <c r="I233" s="2"/>
      <c r="J233" s="7">
        <f t="shared" si="75"/>
        <v>2.6229822806050535E-2</v>
      </c>
      <c r="K233" s="2"/>
      <c r="L233" s="6">
        <f t="shared" si="76"/>
        <v>-2020.1800000000003</v>
      </c>
      <c r="M233" s="2"/>
      <c r="N233" s="7">
        <f t="shared" si="77"/>
        <v>-0.14347869318181819</v>
      </c>
      <c r="O233" s="11"/>
      <c r="P233" s="6">
        <v>-3452.97</v>
      </c>
      <c r="Q233" s="2"/>
      <c r="R233" s="7">
        <f t="shared" si="78"/>
        <v>-5.2556108562509221E-4</v>
      </c>
      <c r="S233" s="2"/>
      <c r="T233" s="6">
        <v>16140</v>
      </c>
      <c r="U233" s="2"/>
      <c r="V233" s="7">
        <f t="shared" si="79"/>
        <v>2.4612426918903846E-3</v>
      </c>
      <c r="W233" s="2"/>
      <c r="X233" s="6">
        <f t="shared" si="80"/>
        <v>-19592.97</v>
      </c>
      <c r="Y233" s="2"/>
      <c r="Z233" s="7">
        <f t="shared" si="81"/>
        <v>-1.2139386617100372</v>
      </c>
    </row>
    <row r="234" spans="1:26" s="26" customFormat="1" outlineLevel="1" collapsed="1" x14ac:dyDescent="0.25">
      <c r="A234" s="27"/>
      <c r="B234" s="13" t="str">
        <f>CONCATENATE("     ","Insurance                                         ")</f>
        <v xml:space="preserve">     Insurance                                         </v>
      </c>
      <c r="C234" s="13"/>
      <c r="D234" s="1">
        <f>SUM(OSRRefD22_12x_0)</f>
        <v>4044.74</v>
      </c>
      <c r="E234" s="1"/>
      <c r="F234" s="5">
        <f t="shared" si="74"/>
        <v>6.6215684585106058E-3</v>
      </c>
      <c r="G234" s="1"/>
      <c r="H234" s="1">
        <f>SUM(OSRRefH22_12x_0)</f>
        <v>3815</v>
      </c>
      <c r="I234" s="1"/>
      <c r="J234" s="5">
        <f t="shared" si="75"/>
        <v>7.1070151992246302E-3</v>
      </c>
      <c r="K234" s="1"/>
      <c r="L234" s="1">
        <f t="shared" si="76"/>
        <v>229.73999999999978</v>
      </c>
      <c r="M234" s="1"/>
      <c r="N234" s="5">
        <f t="shared" si="77"/>
        <v>6.0220183486238477E-2</v>
      </c>
      <c r="O234" s="13"/>
      <c r="P234" s="1">
        <f>SUM(OSRRefP22_12x_0)</f>
        <v>20223.7</v>
      </c>
      <c r="Q234" s="1"/>
      <c r="R234" s="5">
        <f t="shared" si="78"/>
        <v>3.0781587234630413E-3</v>
      </c>
      <c r="S234" s="1"/>
      <c r="T234" s="1">
        <f>SUM(OSRRefT22_12x_0)</f>
        <v>19075</v>
      </c>
      <c r="U234" s="1"/>
      <c r="V234" s="5">
        <f t="shared" si="79"/>
        <v>2.9088106783029173E-3</v>
      </c>
      <c r="W234" s="1"/>
      <c r="X234" s="1">
        <f t="shared" si="80"/>
        <v>1148.7000000000007</v>
      </c>
      <c r="Y234" s="1"/>
      <c r="Z234" s="5">
        <f t="shared" si="81"/>
        <v>6.0220183486238567E-2</v>
      </c>
    </row>
    <row r="235" spans="1:26" s="24" customFormat="1" hidden="1" outlineLevel="2" x14ac:dyDescent="0.25">
      <c r="A235" s="25"/>
      <c r="B235" s="11" t="str">
        <f>CONCATENATE("          ", "6314", " - ", "LIABILITY INSURANCE")</f>
        <v xml:space="preserve">          6314 - LIABILITY INSURANCE</v>
      </c>
      <c r="C235" s="11"/>
      <c r="D235" s="6">
        <v>4044.74</v>
      </c>
      <c r="E235" s="2"/>
      <c r="F235" s="7">
        <f t="shared" si="74"/>
        <v>6.6215684585106058E-3</v>
      </c>
      <c r="G235" s="2"/>
      <c r="H235" s="6">
        <v>3815</v>
      </c>
      <c r="I235" s="2"/>
      <c r="J235" s="7">
        <f t="shared" si="75"/>
        <v>7.1070151992246302E-3</v>
      </c>
      <c r="K235" s="2"/>
      <c r="L235" s="6">
        <f t="shared" si="76"/>
        <v>229.73999999999978</v>
      </c>
      <c r="M235" s="2"/>
      <c r="N235" s="7">
        <f t="shared" si="77"/>
        <v>6.0220183486238477E-2</v>
      </c>
      <c r="O235" s="11"/>
      <c r="P235" s="6">
        <v>20223.7</v>
      </c>
      <c r="Q235" s="2"/>
      <c r="R235" s="7">
        <f t="shared" si="78"/>
        <v>3.0781587234630413E-3</v>
      </c>
      <c r="S235" s="2"/>
      <c r="T235" s="6">
        <v>19075</v>
      </c>
      <c r="U235" s="2"/>
      <c r="V235" s="7">
        <f t="shared" si="79"/>
        <v>2.9088106783029173E-3</v>
      </c>
      <c r="W235" s="2"/>
      <c r="X235" s="6">
        <f t="shared" si="80"/>
        <v>1148.7000000000007</v>
      </c>
      <c r="Y235" s="2"/>
      <c r="Z235" s="7">
        <f t="shared" si="81"/>
        <v>6.0220183486238567E-2</v>
      </c>
    </row>
    <row r="236" spans="1:26" s="26" customFormat="1" outlineLevel="1" collapsed="1" x14ac:dyDescent="0.25">
      <c r="A236" s="27"/>
      <c r="B236" s="13" t="str">
        <f>CONCATENATE("     ","Inventory Adjustment                              ")</f>
        <v xml:space="preserve">     Inventory Adjustment                              </v>
      </c>
      <c r="C236" s="13"/>
      <c r="D236" s="1">
        <f>SUM(OSRRefD22_13x_0)</f>
        <v>4250</v>
      </c>
      <c r="E236" s="1"/>
      <c r="F236" s="5">
        <f t="shared" si="74"/>
        <v>6.9575957783862682E-3</v>
      </c>
      <c r="G236" s="1"/>
      <c r="H236" s="1">
        <f>SUM(OSRRefH22_13x_0)</f>
        <v>4250</v>
      </c>
      <c r="I236" s="1"/>
      <c r="J236" s="5">
        <f t="shared" si="75"/>
        <v>7.9173825941558796E-3</v>
      </c>
      <c r="K236" s="1"/>
      <c r="L236" s="1">
        <f t="shared" si="76"/>
        <v>0</v>
      </c>
      <c r="M236" s="1"/>
      <c r="N236" s="5">
        <f t="shared" si="77"/>
        <v>0</v>
      </c>
      <c r="O236" s="13"/>
      <c r="P236" s="1">
        <f>SUM(OSRRefP22_13x_0)</f>
        <v>21150</v>
      </c>
      <c r="Q236" s="1"/>
      <c r="R236" s="5">
        <f t="shared" si="78"/>
        <v>3.2191466942865709E-3</v>
      </c>
      <c r="S236" s="1"/>
      <c r="T236" s="1">
        <f>SUM(OSRRefT22_13x_0)</f>
        <v>21150</v>
      </c>
      <c r="U236" s="1"/>
      <c r="V236" s="5">
        <f t="shared" si="79"/>
        <v>3.2252343824957642E-3</v>
      </c>
      <c r="W236" s="1"/>
      <c r="X236" s="1">
        <f t="shared" si="80"/>
        <v>0</v>
      </c>
      <c r="Y236" s="1"/>
      <c r="Z236" s="5">
        <f t="shared" si="81"/>
        <v>0</v>
      </c>
    </row>
    <row r="237" spans="1:26" s="24" customFormat="1" hidden="1" outlineLevel="2" x14ac:dyDescent="0.25">
      <c r="A237" s="25"/>
      <c r="B237" s="11" t="str">
        <f>CONCATENATE("          ", "6408", " - ", "INVENTORY ADJUSTMENT")</f>
        <v xml:space="preserve">          6408 - INVENTORY ADJUSTMENT</v>
      </c>
      <c r="C237" s="11"/>
      <c r="D237" s="6">
        <v>4250</v>
      </c>
      <c r="E237" s="2"/>
      <c r="F237" s="7">
        <f t="shared" si="74"/>
        <v>6.9575957783862682E-3</v>
      </c>
      <c r="G237" s="2"/>
      <c r="H237" s="6">
        <v>4250</v>
      </c>
      <c r="I237" s="2"/>
      <c r="J237" s="7">
        <f t="shared" si="75"/>
        <v>7.9173825941558796E-3</v>
      </c>
      <c r="K237" s="2"/>
      <c r="L237" s="6">
        <f t="shared" si="76"/>
        <v>0</v>
      </c>
      <c r="M237" s="2"/>
      <c r="N237" s="7">
        <f t="shared" si="77"/>
        <v>0</v>
      </c>
      <c r="O237" s="11"/>
      <c r="P237" s="6">
        <v>21150</v>
      </c>
      <c r="Q237" s="2"/>
      <c r="R237" s="7">
        <f t="shared" si="78"/>
        <v>3.2191466942865709E-3</v>
      </c>
      <c r="S237" s="2"/>
      <c r="T237" s="6">
        <v>21150</v>
      </c>
      <c r="U237" s="2"/>
      <c r="V237" s="7">
        <f t="shared" si="79"/>
        <v>3.2252343824957642E-3</v>
      </c>
      <c r="W237" s="2"/>
      <c r="X237" s="6">
        <f t="shared" si="80"/>
        <v>0</v>
      </c>
      <c r="Y237" s="2"/>
      <c r="Z237" s="7">
        <f t="shared" si="81"/>
        <v>0</v>
      </c>
    </row>
    <row r="238" spans="1:26" s="26" customFormat="1" outlineLevel="1" collapsed="1" x14ac:dyDescent="0.25">
      <c r="A238" s="27"/>
      <c r="B238" s="13" t="str">
        <f>CONCATENATE("     ","Professional Services                             ")</f>
        <v xml:space="preserve">     Professional Services                             </v>
      </c>
      <c r="C238" s="13"/>
      <c r="D238" s="1">
        <f>SUM(OSRRefD22_14x_0)</f>
        <v>0</v>
      </c>
      <c r="E238" s="1"/>
      <c r="F238" s="5">
        <f t="shared" si="74"/>
        <v>0</v>
      </c>
      <c r="G238" s="1"/>
      <c r="H238" s="1">
        <f>SUM(OSRRefH22_14x_0)</f>
        <v>1015</v>
      </c>
      <c r="I238" s="1"/>
      <c r="J238" s="5">
        <f t="shared" si="75"/>
        <v>1.8908572548395806E-3</v>
      </c>
      <c r="K238" s="1"/>
      <c r="L238" s="1">
        <f t="shared" si="76"/>
        <v>-1015</v>
      </c>
      <c r="M238" s="1"/>
      <c r="N238" s="5">
        <f t="shared" si="77"/>
        <v>-1</v>
      </c>
      <c r="O238" s="13"/>
      <c r="P238" s="1">
        <f>SUM(OSRRefP22_14x_0)</f>
        <v>6158.41</v>
      </c>
      <c r="Q238" s="1"/>
      <c r="R238" s="5">
        <f t="shared" si="78"/>
        <v>9.3734398078304309E-4</v>
      </c>
      <c r="S238" s="1"/>
      <c r="T238" s="1">
        <f>SUM(OSRRefT22_14x_0)</f>
        <v>7725</v>
      </c>
      <c r="U238" s="1"/>
      <c r="V238" s="5">
        <f t="shared" si="79"/>
        <v>1.1780111397058997E-3</v>
      </c>
      <c r="W238" s="1"/>
      <c r="X238" s="1">
        <f t="shared" si="80"/>
        <v>-1566.5900000000001</v>
      </c>
      <c r="Y238" s="1"/>
      <c r="Z238" s="5">
        <f t="shared" si="81"/>
        <v>-0.2027948220064725</v>
      </c>
    </row>
    <row r="239" spans="1:26" s="24" customFormat="1" hidden="1" outlineLevel="2" x14ac:dyDescent="0.25">
      <c r="A239" s="25"/>
      <c r="B239" s="11" t="str">
        <f>CONCATENATE("          ", "6336", " - ", "PROFESSIONAL SERVICES")</f>
        <v xml:space="preserve">          6336 - PROFESSIONAL SERVICES</v>
      </c>
      <c r="C239" s="11"/>
      <c r="D239" s="6"/>
      <c r="E239" s="2"/>
      <c r="F239" s="7">
        <f t="shared" si="74"/>
        <v>0</v>
      </c>
      <c r="G239" s="2"/>
      <c r="H239" s="6">
        <v>1015</v>
      </c>
      <c r="I239" s="2"/>
      <c r="J239" s="7">
        <f t="shared" si="75"/>
        <v>1.8908572548395806E-3</v>
      </c>
      <c r="K239" s="2"/>
      <c r="L239" s="6">
        <f t="shared" si="76"/>
        <v>-1015</v>
      </c>
      <c r="M239" s="2"/>
      <c r="N239" s="7">
        <f t="shared" si="77"/>
        <v>-1</v>
      </c>
      <c r="O239" s="11"/>
      <c r="P239" s="6">
        <v>6158.41</v>
      </c>
      <c r="Q239" s="2"/>
      <c r="R239" s="7">
        <f t="shared" si="78"/>
        <v>9.3734398078304309E-4</v>
      </c>
      <c r="S239" s="2"/>
      <c r="T239" s="6">
        <v>7725</v>
      </c>
      <c r="U239" s="2"/>
      <c r="V239" s="7">
        <f t="shared" si="79"/>
        <v>1.1780111397058997E-3</v>
      </c>
      <c r="W239" s="2"/>
      <c r="X239" s="6">
        <f t="shared" si="80"/>
        <v>-1566.5900000000001</v>
      </c>
      <c r="Y239" s="2"/>
      <c r="Z239" s="7">
        <f t="shared" si="81"/>
        <v>-0.2027948220064725</v>
      </c>
    </row>
    <row r="240" spans="1:26" s="26" customFormat="1" outlineLevel="1" collapsed="1" x14ac:dyDescent="0.25">
      <c r="A240" s="27"/>
      <c r="B240" s="13" t="str">
        <f>CONCATENATE("     ","Rent                                              ")</f>
        <v xml:space="preserve">     Rent                                              </v>
      </c>
      <c r="C240" s="13"/>
      <c r="D240" s="1">
        <f>SUM(OSRRefD22_15x_0)</f>
        <v>6100</v>
      </c>
      <c r="E240" s="1"/>
      <c r="F240" s="5">
        <f t="shared" si="74"/>
        <v>9.9861962936838196E-3</v>
      </c>
      <c r="G240" s="1"/>
      <c r="H240" s="1">
        <f>SUM(OSRRefH22_15x_0)</f>
        <v>6400</v>
      </c>
      <c r="I240" s="1"/>
      <c r="J240" s="5">
        <f t="shared" si="75"/>
        <v>1.1922646730022971E-2</v>
      </c>
      <c r="K240" s="1"/>
      <c r="L240" s="1">
        <f t="shared" si="76"/>
        <v>-300</v>
      </c>
      <c r="M240" s="1"/>
      <c r="N240" s="5">
        <f t="shared" si="77"/>
        <v>-4.6875E-2</v>
      </c>
      <c r="O240" s="13"/>
      <c r="P240" s="1">
        <f>SUM(OSRRefP22_15x_0)</f>
        <v>30500</v>
      </c>
      <c r="Q240" s="1"/>
      <c r="R240" s="5">
        <f t="shared" si="78"/>
        <v>4.6422682825409184E-3</v>
      </c>
      <c r="S240" s="1"/>
      <c r="T240" s="1">
        <f>SUM(OSRRefT22_15x_0)</f>
        <v>32000</v>
      </c>
      <c r="U240" s="1"/>
      <c r="V240" s="5">
        <f t="shared" si="79"/>
        <v>4.8797872453836622E-3</v>
      </c>
      <c r="W240" s="1"/>
      <c r="X240" s="1">
        <f t="shared" si="80"/>
        <v>-1500</v>
      </c>
      <c r="Y240" s="1"/>
      <c r="Z240" s="5">
        <f t="shared" si="81"/>
        <v>-4.6875E-2</v>
      </c>
    </row>
    <row r="241" spans="1:26" s="24" customFormat="1" hidden="1" outlineLevel="2" x14ac:dyDescent="0.25">
      <c r="A241" s="25"/>
      <c r="B241" s="11" t="str">
        <f>CONCATENATE("          ", "6273", " - ", "RENT")</f>
        <v xml:space="preserve">          6273 - RENT</v>
      </c>
      <c r="C241" s="11"/>
      <c r="D241" s="6">
        <v>6100</v>
      </c>
      <c r="E241" s="2"/>
      <c r="F241" s="7">
        <f t="shared" si="74"/>
        <v>9.9861962936838196E-3</v>
      </c>
      <c r="G241" s="2"/>
      <c r="H241" s="6">
        <v>6400</v>
      </c>
      <c r="I241" s="2"/>
      <c r="J241" s="7">
        <f t="shared" si="75"/>
        <v>1.1922646730022971E-2</v>
      </c>
      <c r="K241" s="2"/>
      <c r="L241" s="6">
        <f t="shared" si="76"/>
        <v>-300</v>
      </c>
      <c r="M241" s="2"/>
      <c r="N241" s="7">
        <f t="shared" si="77"/>
        <v>-4.6875E-2</v>
      </c>
      <c r="O241" s="11"/>
      <c r="P241" s="6">
        <v>30500</v>
      </c>
      <c r="Q241" s="2"/>
      <c r="R241" s="7">
        <f t="shared" si="78"/>
        <v>4.6422682825409184E-3</v>
      </c>
      <c r="S241" s="2"/>
      <c r="T241" s="6">
        <v>32000</v>
      </c>
      <c r="U241" s="2"/>
      <c r="V241" s="7">
        <f t="shared" si="79"/>
        <v>4.8797872453836622E-3</v>
      </c>
      <c r="W241" s="2"/>
      <c r="X241" s="6">
        <f t="shared" si="80"/>
        <v>-1500</v>
      </c>
      <c r="Y241" s="2"/>
      <c r="Z241" s="7">
        <f t="shared" si="81"/>
        <v>-4.6875E-2</v>
      </c>
    </row>
    <row r="242" spans="1:26" s="26" customFormat="1" outlineLevel="1" collapsed="1" x14ac:dyDescent="0.25">
      <c r="A242" s="27"/>
      <c r="B242" s="13" t="str">
        <f>CONCATENATE("     ","Repair and Maintenance                            ")</f>
        <v xml:space="preserve">     Repair and Maintenance                            </v>
      </c>
      <c r="C242" s="13"/>
      <c r="D242" s="1">
        <f>SUM(OSRRefD22_16x_0)</f>
        <v>5260.4400000000005</v>
      </c>
      <c r="E242" s="1"/>
      <c r="F242" s="5">
        <f t="shared" si="74"/>
        <v>8.6117682674010029E-3</v>
      </c>
      <c r="G242" s="1"/>
      <c r="H242" s="1">
        <f>SUM(OSRRefH22_16x_0)</f>
        <v>14540</v>
      </c>
      <c r="I242" s="1"/>
      <c r="J242" s="5">
        <f t="shared" si="75"/>
        <v>2.7086763039770936E-2</v>
      </c>
      <c r="K242" s="1"/>
      <c r="L242" s="1">
        <f t="shared" si="76"/>
        <v>-9279.56</v>
      </c>
      <c r="M242" s="1"/>
      <c r="N242" s="5">
        <f t="shared" si="77"/>
        <v>-0.63820907840440166</v>
      </c>
      <c r="O242" s="13"/>
      <c r="P242" s="1">
        <f>SUM(OSRRefP22_16x_0)</f>
        <v>70201.75</v>
      </c>
      <c r="Q242" s="1"/>
      <c r="R242" s="5">
        <f t="shared" si="78"/>
        <v>1.0685093685372685E-2</v>
      </c>
      <c r="S242" s="1"/>
      <c r="T242" s="1">
        <f>SUM(OSRRefT22_16x_0)</f>
        <v>115335</v>
      </c>
      <c r="U242" s="1"/>
      <c r="V242" s="5">
        <f t="shared" si="79"/>
        <v>1.7587820685822646E-2</v>
      </c>
      <c r="W242" s="1"/>
      <c r="X242" s="1">
        <f t="shared" si="80"/>
        <v>-45133.25</v>
      </c>
      <c r="Y242" s="1"/>
      <c r="Z242" s="5">
        <f t="shared" si="81"/>
        <v>-0.39132310226730826</v>
      </c>
    </row>
    <row r="243" spans="1:26" s="24" customFormat="1" hidden="1" outlineLevel="2" x14ac:dyDescent="0.25">
      <c r="A243" s="25"/>
      <c r="B243" s="11" t="str">
        <f>CONCATENATE("          ", "6371", " - ", "COMPUTER SOFTWARE MAINTENANCE")</f>
        <v xml:space="preserve">          6371 - COMPUTER SOFTWARE MAINTENANCE</v>
      </c>
      <c r="C243" s="11"/>
      <c r="D243" s="6">
        <v>601</v>
      </c>
      <c r="E243" s="2"/>
      <c r="F243" s="7">
        <f t="shared" si="74"/>
        <v>9.8388589713179929E-4</v>
      </c>
      <c r="G243" s="2"/>
      <c r="H243" s="6"/>
      <c r="I243" s="2"/>
      <c r="J243" s="7">
        <f t="shared" si="75"/>
        <v>0</v>
      </c>
      <c r="K243" s="2"/>
      <c r="L243" s="6">
        <f t="shared" si="76"/>
        <v>601</v>
      </c>
      <c r="M243" s="2"/>
      <c r="N243" s="7">
        <f t="shared" si="77"/>
        <v>0</v>
      </c>
      <c r="O243" s="11"/>
      <c r="P243" s="6">
        <v>13352.4</v>
      </c>
      <c r="Q243" s="2"/>
      <c r="R243" s="7">
        <f t="shared" si="78"/>
        <v>2.0323089513376836E-3</v>
      </c>
      <c r="S243" s="2"/>
      <c r="T243" s="6">
        <v>48535</v>
      </c>
      <c r="U243" s="2"/>
      <c r="V243" s="7">
        <f t="shared" si="79"/>
        <v>7.4012648110842513E-3</v>
      </c>
      <c r="W243" s="2"/>
      <c r="X243" s="6">
        <f t="shared" si="80"/>
        <v>-35182.6</v>
      </c>
      <c r="Y243" s="2"/>
      <c r="Z243" s="7">
        <f t="shared" si="81"/>
        <v>-0.72489131554548258</v>
      </c>
    </row>
    <row r="244" spans="1:26" s="24" customFormat="1" hidden="1" outlineLevel="2" x14ac:dyDescent="0.25">
      <c r="A244" s="25"/>
      <c r="B244" s="11" t="str">
        <f>CONCATENATE("          ", "6373", " - ", "MAINTENANCE CONTRACTS")</f>
        <v xml:space="preserve">          6373 - MAINTENANCE CONTRACTS</v>
      </c>
      <c r="C244" s="11"/>
      <c r="D244" s="6">
        <v>1461.73</v>
      </c>
      <c r="E244" s="2"/>
      <c r="F244" s="7">
        <f t="shared" si="74"/>
        <v>2.392970935797779E-3</v>
      </c>
      <c r="G244" s="2"/>
      <c r="H244" s="6">
        <v>7040</v>
      </c>
      <c r="I244" s="2"/>
      <c r="J244" s="7">
        <f t="shared" si="75"/>
        <v>1.3114911403025268E-2</v>
      </c>
      <c r="K244" s="2"/>
      <c r="L244" s="6">
        <f t="shared" si="76"/>
        <v>-5578.27</v>
      </c>
      <c r="M244" s="2"/>
      <c r="N244" s="7">
        <f t="shared" si="77"/>
        <v>-0.79236789772727279</v>
      </c>
      <c r="O244" s="11"/>
      <c r="P244" s="6">
        <v>31837.919999999998</v>
      </c>
      <c r="Q244" s="2"/>
      <c r="R244" s="7">
        <f t="shared" si="78"/>
        <v>4.8459070884614795E-3</v>
      </c>
      <c r="S244" s="2"/>
      <c r="T244" s="6">
        <v>35275</v>
      </c>
      <c r="U244" s="2"/>
      <c r="V244" s="7">
        <f t="shared" si="79"/>
        <v>5.3792029712783967E-3</v>
      </c>
      <c r="W244" s="2"/>
      <c r="X244" s="6">
        <f t="shared" si="80"/>
        <v>-3437.0800000000017</v>
      </c>
      <c r="Y244" s="2"/>
      <c r="Z244" s="7">
        <f t="shared" si="81"/>
        <v>-9.7436711552090771E-2</v>
      </c>
    </row>
    <row r="245" spans="1:26" s="24" customFormat="1" hidden="1" outlineLevel="2" x14ac:dyDescent="0.25">
      <c r="A245" s="25"/>
      <c r="B245" s="11" t="str">
        <f>CONCATENATE("          ", "6375", " - ", "OUTSIDE REPAIRS &amp; MAINTENANCE")</f>
        <v xml:space="preserve">          6375 - OUTSIDE REPAIRS &amp; MAINTENANCE</v>
      </c>
      <c r="C245" s="11"/>
      <c r="D245" s="6">
        <v>3197.71</v>
      </c>
      <c r="E245" s="2"/>
      <c r="F245" s="7">
        <f t="shared" si="74"/>
        <v>5.2349114344714242E-3</v>
      </c>
      <c r="G245" s="2"/>
      <c r="H245" s="6">
        <v>7500</v>
      </c>
      <c r="I245" s="2"/>
      <c r="J245" s="7">
        <f t="shared" si="75"/>
        <v>1.3971851636745669E-2</v>
      </c>
      <c r="K245" s="2"/>
      <c r="L245" s="6">
        <f t="shared" si="76"/>
        <v>-4302.29</v>
      </c>
      <c r="M245" s="2"/>
      <c r="N245" s="7">
        <f t="shared" si="77"/>
        <v>-0.57363866666666663</v>
      </c>
      <c r="O245" s="11"/>
      <c r="P245" s="6">
        <v>25011.43</v>
      </c>
      <c r="Q245" s="2"/>
      <c r="R245" s="7">
        <f t="shared" si="78"/>
        <v>3.806877645573521E-3</v>
      </c>
      <c r="S245" s="2"/>
      <c r="T245" s="6">
        <v>31525</v>
      </c>
      <c r="U245" s="2"/>
      <c r="V245" s="7">
        <f t="shared" si="79"/>
        <v>4.8073529034599986E-3</v>
      </c>
      <c r="W245" s="2"/>
      <c r="X245" s="6">
        <f t="shared" si="80"/>
        <v>-6513.57</v>
      </c>
      <c r="Y245" s="2"/>
      <c r="Z245" s="7">
        <f t="shared" si="81"/>
        <v>-0.20661601903251386</v>
      </c>
    </row>
    <row r="246" spans="1:26" s="26" customFormat="1" outlineLevel="1" collapsed="1" x14ac:dyDescent="0.25">
      <c r="A246" s="27"/>
      <c r="B246" s="13" t="str">
        <f>CONCATENATE("     ","Royalty &amp; Commissions                             ")</f>
        <v xml:space="preserve">     Royalty &amp; Commissions                             </v>
      </c>
      <c r="C246" s="13"/>
      <c r="D246" s="1">
        <f>SUM(OSRRefD22_17x_0)</f>
        <v>18456.649999999998</v>
      </c>
      <c r="E246" s="1"/>
      <c r="F246" s="5">
        <f t="shared" ref="F246:F250" si="82">IF(D$12=0,0,D246/D$12)</f>
        <v>3.0215037676035977E-2</v>
      </c>
      <c r="G246" s="1"/>
      <c r="H246" s="1">
        <f>SUM(OSRRefH22_17x_0)</f>
        <v>16485</v>
      </c>
      <c r="I246" s="1"/>
      <c r="J246" s="5">
        <f t="shared" ref="J246:J250" si="83">IF(H$12=0,0,H246/H$12)</f>
        <v>3.0710129897566978E-2</v>
      </c>
      <c r="K246" s="1"/>
      <c r="L246" s="1">
        <f t="shared" ref="L246:L250" si="84">+D246-H246</f>
        <v>1971.6499999999978</v>
      </c>
      <c r="M246" s="1"/>
      <c r="N246" s="5">
        <f t="shared" ref="N246:N250" si="85">IF(H246=0,0,L246/H246)</f>
        <v>0.11960266909311482</v>
      </c>
      <c r="O246" s="13"/>
      <c r="P246" s="1">
        <f>SUM(OSRRefP22_17x_0)</f>
        <v>50535.75</v>
      </c>
      <c r="Q246" s="1"/>
      <c r="R246" s="5">
        <f t="shared" ref="R246:R250" si="86">IF(P$12=0,0,P246/P$12)</f>
        <v>7.6918199789972851E-3</v>
      </c>
      <c r="S246" s="1"/>
      <c r="T246" s="1">
        <f>SUM(OSRRefT22_17x_0)</f>
        <v>82425</v>
      </c>
      <c r="U246" s="1"/>
      <c r="V246" s="5">
        <f t="shared" ref="V246:V250" si="87">IF(T$12=0,0,T246/T$12)</f>
        <v>1.2569264490648387E-2</v>
      </c>
      <c r="W246" s="1"/>
      <c r="X246" s="1">
        <f t="shared" ref="X246:X250" si="88">+P246-T246</f>
        <v>-31889.25</v>
      </c>
      <c r="Y246" s="1"/>
      <c r="Z246" s="5">
        <f t="shared" ref="Z246:Z250" si="89">IF(T246=0,0,X246/T246)</f>
        <v>-0.38688808007279346</v>
      </c>
    </row>
    <row r="247" spans="1:26" s="24" customFormat="1" hidden="1" outlineLevel="2" x14ac:dyDescent="0.25">
      <c r="A247" s="25"/>
      <c r="B247" s="11" t="str">
        <f>CONCATENATE("          ", "6252", " - ", "ROYALTY DUE CSTV")</f>
        <v xml:space="preserve">          6252 - ROYALTY DUE CSTV</v>
      </c>
      <c r="C247" s="11"/>
      <c r="D247" s="6"/>
      <c r="E247" s="2"/>
      <c r="F247" s="7">
        <f t="shared" si="82"/>
        <v>0</v>
      </c>
      <c r="G247" s="2"/>
      <c r="H247" s="6">
        <v>1085</v>
      </c>
      <c r="I247" s="2"/>
      <c r="J247" s="7">
        <f t="shared" si="83"/>
        <v>2.0212612034492066E-3</v>
      </c>
      <c r="K247" s="2"/>
      <c r="L247" s="6">
        <f t="shared" si="84"/>
        <v>-1085</v>
      </c>
      <c r="M247" s="2"/>
      <c r="N247" s="7">
        <f t="shared" si="85"/>
        <v>-1</v>
      </c>
      <c r="O247" s="11"/>
      <c r="P247" s="6"/>
      <c r="Q247" s="2"/>
      <c r="R247" s="7">
        <f t="shared" si="86"/>
        <v>0</v>
      </c>
      <c r="S247" s="2"/>
      <c r="T247" s="6">
        <v>5425</v>
      </c>
      <c r="U247" s="2"/>
      <c r="V247" s="7">
        <f t="shared" si="87"/>
        <v>8.2727643144394898E-4</v>
      </c>
      <c r="W247" s="2"/>
      <c r="X247" s="6">
        <f t="shared" si="88"/>
        <v>-5425</v>
      </c>
      <c r="Y247" s="2"/>
      <c r="Z247" s="7">
        <f t="shared" si="89"/>
        <v>-1</v>
      </c>
    </row>
    <row r="248" spans="1:26" s="24" customFormat="1" hidden="1" outlineLevel="2" x14ac:dyDescent="0.25">
      <c r="A248" s="25"/>
      <c r="B248" s="11" t="str">
        <f>CONCATENATE("          ", "6253", " - ", "ROYALTY DUE ATHLETICS-LRG")</f>
        <v xml:space="preserve">          6253 - ROYALTY DUE ATHLETICS-LRG</v>
      </c>
      <c r="C248" s="11"/>
      <c r="D248" s="6"/>
      <c r="E248" s="2"/>
      <c r="F248" s="7">
        <f t="shared" si="82"/>
        <v>0</v>
      </c>
      <c r="G248" s="2"/>
      <c r="H248" s="6">
        <v>3700</v>
      </c>
      <c r="I248" s="2"/>
      <c r="J248" s="7">
        <f t="shared" si="83"/>
        <v>6.8927801407945299E-3</v>
      </c>
      <c r="K248" s="2"/>
      <c r="L248" s="6">
        <f t="shared" si="84"/>
        <v>-3700</v>
      </c>
      <c r="M248" s="2"/>
      <c r="N248" s="7">
        <f t="shared" si="85"/>
        <v>-1</v>
      </c>
      <c r="O248" s="11"/>
      <c r="P248" s="6">
        <v>4366.95</v>
      </c>
      <c r="Q248" s="2"/>
      <c r="R248" s="7">
        <f t="shared" si="86"/>
        <v>6.6467388447351023E-4</v>
      </c>
      <c r="S248" s="2"/>
      <c r="T248" s="6">
        <v>18500</v>
      </c>
      <c r="U248" s="2"/>
      <c r="V248" s="7">
        <f t="shared" si="87"/>
        <v>2.82112700123743E-3</v>
      </c>
      <c r="W248" s="2"/>
      <c r="X248" s="6">
        <f t="shared" si="88"/>
        <v>-14133.05</v>
      </c>
      <c r="Y248" s="2"/>
      <c r="Z248" s="7">
        <f t="shared" si="89"/>
        <v>-0.76394864864864864</v>
      </c>
    </row>
    <row r="249" spans="1:26" s="24" customFormat="1" hidden="1" outlineLevel="2" x14ac:dyDescent="0.25">
      <c r="A249" s="25"/>
      <c r="B249" s="11" t="str">
        <f>CONCATENATE("          ", "6254", " - ", "ROYALTY &amp; COMMISSIONS")</f>
        <v xml:space="preserve">          6254 - ROYALTY &amp; COMMISSIONS</v>
      </c>
      <c r="C249" s="11"/>
      <c r="D249" s="6">
        <v>803.23</v>
      </c>
      <c r="E249" s="2"/>
      <c r="F249" s="7">
        <f t="shared" si="82"/>
        <v>1.3149528604878124E-3</v>
      </c>
      <c r="G249" s="2"/>
      <c r="H249" s="6">
        <v>11700</v>
      </c>
      <c r="I249" s="2"/>
      <c r="J249" s="7">
        <f t="shared" si="83"/>
        <v>2.1796088553323243E-2</v>
      </c>
      <c r="K249" s="2"/>
      <c r="L249" s="6">
        <f t="shared" si="84"/>
        <v>-10896.77</v>
      </c>
      <c r="M249" s="2"/>
      <c r="N249" s="7">
        <f t="shared" si="85"/>
        <v>-0.93134786324786334</v>
      </c>
      <c r="O249" s="11"/>
      <c r="P249" s="6">
        <v>2301.12</v>
      </c>
      <c r="Q249" s="2"/>
      <c r="R249" s="7">
        <f t="shared" si="86"/>
        <v>3.5024316033837889E-4</v>
      </c>
      <c r="S249" s="2"/>
      <c r="T249" s="6">
        <v>58500</v>
      </c>
      <c r="U249" s="2"/>
      <c r="V249" s="7">
        <f t="shared" si="87"/>
        <v>8.9208610579670083E-3</v>
      </c>
      <c r="W249" s="2"/>
      <c r="X249" s="6">
        <f t="shared" si="88"/>
        <v>-56198.879999999997</v>
      </c>
      <c r="Y249" s="2"/>
      <c r="Z249" s="7">
        <f t="shared" si="89"/>
        <v>-0.96066461538461534</v>
      </c>
    </row>
    <row r="250" spans="1:26" s="24" customFormat="1" hidden="1" outlineLevel="2" x14ac:dyDescent="0.25">
      <c r="A250" s="25"/>
      <c r="B250" s="11" t="str">
        <f>CONCATENATE("          ", "6259", " - ", "ROYALTY &amp; COMMISSIONS")</f>
        <v xml:space="preserve">          6259 - ROYALTY &amp; COMMISSIONS</v>
      </c>
      <c r="C250" s="11"/>
      <c r="D250" s="6">
        <v>17653.419999999998</v>
      </c>
      <c r="E250" s="2"/>
      <c r="F250" s="7">
        <f t="shared" si="82"/>
        <v>2.8900084815548167E-2</v>
      </c>
      <c r="G250" s="2"/>
      <c r="H250" s="6"/>
      <c r="I250" s="2"/>
      <c r="J250" s="7">
        <f t="shared" si="83"/>
        <v>0</v>
      </c>
      <c r="K250" s="2"/>
      <c r="L250" s="6">
        <f t="shared" si="84"/>
        <v>17653.419999999998</v>
      </c>
      <c r="M250" s="2"/>
      <c r="N250" s="7">
        <f t="shared" si="85"/>
        <v>0</v>
      </c>
      <c r="O250" s="11"/>
      <c r="P250" s="6">
        <v>43867.68</v>
      </c>
      <c r="Q250" s="2"/>
      <c r="R250" s="7">
        <f t="shared" si="86"/>
        <v>6.6769029341853959E-3</v>
      </c>
      <c r="S250" s="2"/>
      <c r="T250" s="6"/>
      <c r="U250" s="2"/>
      <c r="V250" s="7">
        <f t="shared" si="87"/>
        <v>0</v>
      </c>
      <c r="W250" s="2"/>
      <c r="X250" s="6">
        <f t="shared" si="88"/>
        <v>43867.68</v>
      </c>
      <c r="Y250" s="2"/>
      <c r="Z250" s="7">
        <f t="shared" si="89"/>
        <v>0</v>
      </c>
    </row>
    <row r="251" spans="1:26" s="26" customFormat="1" outlineLevel="1" collapsed="1" x14ac:dyDescent="0.25">
      <c r="A251" s="27"/>
      <c r="B251" s="13" t="str">
        <f>CONCATENATE("     ","Services                                          ")</f>
        <v xml:space="preserve">     Services                                          </v>
      </c>
      <c r="C251" s="13"/>
      <c r="D251" s="1">
        <f>SUM(OSRRefD22_18x_0)</f>
        <v>4391.5599999999995</v>
      </c>
      <c r="E251" s="1"/>
      <c r="F251" s="5">
        <f t="shared" ref="F251:F255" si="90">IF(D$12=0,0,D251/D$12)</f>
        <v>7.189341015654117E-3</v>
      </c>
      <c r="G251" s="1"/>
      <c r="H251" s="1">
        <f>SUM(OSRRefH22_18x_0)</f>
        <v>4432.5</v>
      </c>
      <c r="I251" s="1"/>
      <c r="J251" s="5">
        <f t="shared" ref="J251:J255" si="91">IF(H$12=0,0,H251/H$12)</f>
        <v>8.25736431731669E-3</v>
      </c>
      <c r="K251" s="1"/>
      <c r="L251" s="1">
        <f t="shared" ref="L251:L255" si="92">+D251-H251</f>
        <v>-40.940000000000509</v>
      </c>
      <c r="M251" s="1"/>
      <c r="N251" s="5">
        <f t="shared" ref="N251:N255" si="93">IF(H251=0,0,L251/H251)</f>
        <v>-9.2363226170333913E-3</v>
      </c>
      <c r="O251" s="13"/>
      <c r="P251" s="1">
        <f>SUM(OSRRefP22_18x_0)</f>
        <v>22866.47</v>
      </c>
      <c r="Q251" s="1"/>
      <c r="R251" s="5">
        <f t="shared" ref="R251:R255" si="94">IF(P$12=0,0,P251/P$12)</f>
        <v>3.480402898841752E-3</v>
      </c>
      <c r="S251" s="1"/>
      <c r="T251" s="1">
        <f>SUM(OSRRefT22_18x_0)</f>
        <v>22162.5</v>
      </c>
      <c r="U251" s="1"/>
      <c r="V251" s="5">
        <f t="shared" ref="V251:V255" si="95">IF(T$12=0,0,T251/T$12)</f>
        <v>3.3796339008067317E-3</v>
      </c>
      <c r="W251" s="1"/>
      <c r="X251" s="1">
        <f t="shared" ref="X251:X255" si="96">+P251-T251</f>
        <v>703.97000000000116</v>
      </c>
      <c r="Y251" s="1"/>
      <c r="Z251" s="5">
        <f t="shared" ref="Z251:Z255" si="97">IF(T251=0,0,X251/T251)</f>
        <v>3.1764015792442243E-2</v>
      </c>
    </row>
    <row r="252" spans="1:26" s="24" customFormat="1" hidden="1" outlineLevel="2" x14ac:dyDescent="0.25">
      <c r="A252" s="25"/>
      <c r="B252" s="11" t="str">
        <f>CONCATENATE("          ", "6282", " - ", "JANITORIAL/EXTERMINATOR EXPENS")</f>
        <v xml:space="preserve">          6282 - JANITORIAL/EXTERMINATOR EXPENS</v>
      </c>
      <c r="C252" s="11"/>
      <c r="D252" s="6">
        <v>266.5</v>
      </c>
      <c r="E252" s="2"/>
      <c r="F252" s="7">
        <f t="shared" si="90"/>
        <v>4.3628218233880955E-4</v>
      </c>
      <c r="G252" s="2"/>
      <c r="H252" s="6">
        <v>50</v>
      </c>
      <c r="I252" s="2"/>
      <c r="J252" s="7">
        <f t="shared" si="91"/>
        <v>9.3145677578304462E-5</v>
      </c>
      <c r="K252" s="2"/>
      <c r="L252" s="6">
        <f t="shared" si="92"/>
        <v>216.5</v>
      </c>
      <c r="M252" s="2"/>
      <c r="N252" s="7">
        <f t="shared" si="93"/>
        <v>4.33</v>
      </c>
      <c r="O252" s="11"/>
      <c r="P252" s="6">
        <v>1332.5</v>
      </c>
      <c r="Q252" s="2"/>
      <c r="R252" s="7">
        <f t="shared" si="94"/>
        <v>2.0281385201592698E-4</v>
      </c>
      <c r="S252" s="2"/>
      <c r="T252" s="6">
        <v>250</v>
      </c>
      <c r="U252" s="2"/>
      <c r="V252" s="7">
        <f t="shared" si="95"/>
        <v>3.8123337854559861E-5</v>
      </c>
      <c r="W252" s="2"/>
      <c r="X252" s="6">
        <f t="shared" si="96"/>
        <v>1082.5</v>
      </c>
      <c r="Y252" s="2"/>
      <c r="Z252" s="7">
        <f t="shared" si="97"/>
        <v>4.33</v>
      </c>
    </row>
    <row r="253" spans="1:26" s="24" customFormat="1" hidden="1" outlineLevel="2" x14ac:dyDescent="0.25">
      <c r="A253" s="25"/>
      <c r="B253" s="11" t="str">
        <f>CONCATENATE("          ", "6283", " - ", "PLANT SERVICE")</f>
        <v xml:space="preserve">          6283 - PLANT SERVICE</v>
      </c>
      <c r="C253" s="11"/>
      <c r="D253" s="6"/>
      <c r="E253" s="2"/>
      <c r="F253" s="7">
        <f t="shared" si="90"/>
        <v>0</v>
      </c>
      <c r="G253" s="2"/>
      <c r="H253" s="6">
        <v>60</v>
      </c>
      <c r="I253" s="2"/>
      <c r="J253" s="7">
        <f t="shared" si="91"/>
        <v>1.1177481309396534E-4</v>
      </c>
      <c r="K253" s="2"/>
      <c r="L253" s="6">
        <f t="shared" si="92"/>
        <v>-60</v>
      </c>
      <c r="M253" s="2"/>
      <c r="N253" s="7">
        <f t="shared" si="93"/>
        <v>-1</v>
      </c>
      <c r="O253" s="11"/>
      <c r="P253" s="6">
        <v>541.98</v>
      </c>
      <c r="Q253" s="2"/>
      <c r="R253" s="7">
        <f t="shared" si="94"/>
        <v>8.2492346353164813E-5</v>
      </c>
      <c r="S253" s="2"/>
      <c r="T253" s="6">
        <v>300</v>
      </c>
      <c r="U253" s="2"/>
      <c r="V253" s="7">
        <f t="shared" si="95"/>
        <v>4.5748005425471836E-5</v>
      </c>
      <c r="W253" s="2"/>
      <c r="X253" s="6">
        <f t="shared" si="96"/>
        <v>241.98000000000002</v>
      </c>
      <c r="Y253" s="2"/>
      <c r="Z253" s="7">
        <f t="shared" si="97"/>
        <v>0.80660000000000009</v>
      </c>
    </row>
    <row r="254" spans="1:26" s="24" customFormat="1" hidden="1" outlineLevel="2" x14ac:dyDescent="0.25">
      <c r="A254" s="25"/>
      <c r="B254" s="11" t="str">
        <f>CONCATENATE("          ", "6284", " - ", "TRASH REMOVAL EXPENSE")</f>
        <v xml:space="preserve">          6284 - TRASH REMOVAL EXPENSE</v>
      </c>
      <c r="C254" s="11"/>
      <c r="D254" s="6">
        <v>134.82</v>
      </c>
      <c r="E254" s="2"/>
      <c r="F254" s="7">
        <f t="shared" si="90"/>
        <v>2.2071130890400864E-4</v>
      </c>
      <c r="G254" s="2"/>
      <c r="H254" s="6">
        <v>62.5</v>
      </c>
      <c r="I254" s="2"/>
      <c r="J254" s="7">
        <f t="shared" si="91"/>
        <v>1.1643209697288057E-4</v>
      </c>
      <c r="K254" s="2"/>
      <c r="L254" s="6">
        <f t="shared" si="92"/>
        <v>72.319999999999993</v>
      </c>
      <c r="M254" s="2"/>
      <c r="N254" s="7">
        <f t="shared" si="93"/>
        <v>1.1571199999999999</v>
      </c>
      <c r="O254" s="11"/>
      <c r="P254" s="6">
        <v>674.1</v>
      </c>
      <c r="Q254" s="2"/>
      <c r="R254" s="7">
        <f t="shared" si="94"/>
        <v>1.0260173932002731E-4</v>
      </c>
      <c r="S254" s="2"/>
      <c r="T254" s="6">
        <v>312.5</v>
      </c>
      <c r="U254" s="2"/>
      <c r="V254" s="7">
        <f t="shared" si="95"/>
        <v>4.7654172318199824E-5</v>
      </c>
      <c r="W254" s="2"/>
      <c r="X254" s="6">
        <f t="shared" si="96"/>
        <v>361.6</v>
      </c>
      <c r="Y254" s="2"/>
      <c r="Z254" s="7">
        <f t="shared" si="97"/>
        <v>1.1571200000000001</v>
      </c>
    </row>
    <row r="255" spans="1:26" s="24" customFormat="1" hidden="1" outlineLevel="2" x14ac:dyDescent="0.25">
      <c r="A255" s="25"/>
      <c r="B255" s="11" t="str">
        <f>CONCATENATE("          ", "6285", " - ", "JANITORIAL SERVICES")</f>
        <v xml:space="preserve">          6285 - JANITORIAL SERVICES</v>
      </c>
      <c r="C255" s="11"/>
      <c r="D255" s="6">
        <v>3990.24</v>
      </c>
      <c r="E255" s="2"/>
      <c r="F255" s="7">
        <f t="shared" si="90"/>
        <v>6.5323475244112991E-3</v>
      </c>
      <c r="G255" s="2"/>
      <c r="H255" s="6">
        <v>4260</v>
      </c>
      <c r="I255" s="2"/>
      <c r="J255" s="7">
        <f t="shared" si="91"/>
        <v>7.93601172967154E-3</v>
      </c>
      <c r="K255" s="2"/>
      <c r="L255" s="6">
        <f t="shared" si="92"/>
        <v>-269.76000000000022</v>
      </c>
      <c r="M255" s="2"/>
      <c r="N255" s="7">
        <f t="shared" si="93"/>
        <v>-6.3323943661971888E-2</v>
      </c>
      <c r="O255" s="11"/>
      <c r="P255" s="6">
        <v>20317.89</v>
      </c>
      <c r="Q255" s="2"/>
      <c r="R255" s="7">
        <f t="shared" si="94"/>
        <v>3.0924949611526326E-3</v>
      </c>
      <c r="S255" s="2"/>
      <c r="T255" s="6">
        <v>21300</v>
      </c>
      <c r="U255" s="2"/>
      <c r="V255" s="7">
        <f t="shared" si="95"/>
        <v>3.2481083852085001E-3</v>
      </c>
      <c r="W255" s="2"/>
      <c r="X255" s="6">
        <f t="shared" si="96"/>
        <v>-982.11000000000058</v>
      </c>
      <c r="Y255" s="2"/>
      <c r="Z255" s="7">
        <f t="shared" si="97"/>
        <v>-4.6108450704225382E-2</v>
      </c>
    </row>
    <row r="256" spans="1:26" s="26" customFormat="1" outlineLevel="1" collapsed="1" x14ac:dyDescent="0.25">
      <c r="A256" s="27"/>
      <c r="B256" s="13" t="str">
        <f>CONCATENATE("     ","Subscriptions &amp; Dues                              ")</f>
        <v xml:space="preserve">     Subscriptions &amp; Dues                              </v>
      </c>
      <c r="C256" s="13"/>
      <c r="D256" s="1">
        <f>SUM(OSRRefD22_19x_0)</f>
        <v>175.36</v>
      </c>
      <c r="E256" s="1"/>
      <c r="F256" s="5">
        <f t="shared" ref="F256:F258" si="98">IF(D$12=0,0,D256/D$12)</f>
        <v>2.8707858722301557E-4</v>
      </c>
      <c r="G256" s="1"/>
      <c r="H256" s="1">
        <f>SUM(OSRRefH22_19x_0)</f>
        <v>2915</v>
      </c>
      <c r="I256" s="1"/>
      <c r="J256" s="5">
        <f t="shared" ref="J256:J258" si="99">IF(H$12=0,0,H256/H$12)</f>
        <v>5.4303930028151495E-3</v>
      </c>
      <c r="K256" s="1"/>
      <c r="L256" s="1">
        <f t="shared" ref="L256:L258" si="100">+D256-H256</f>
        <v>-2739.64</v>
      </c>
      <c r="M256" s="1"/>
      <c r="N256" s="5">
        <f t="shared" ref="N256:N258" si="101">IF(H256=0,0,L256/H256)</f>
        <v>-0.93984219554030868</v>
      </c>
      <c r="O256" s="13"/>
      <c r="P256" s="1">
        <f>SUM(OSRRefP22_19x_0)</f>
        <v>-2782.24</v>
      </c>
      <c r="Q256" s="1"/>
      <c r="R256" s="5">
        <f t="shared" ref="R256:R258" si="102">IF(P$12=0,0,P256/P$12)</f>
        <v>-4.2347227889890629E-4</v>
      </c>
      <c r="S256" s="1"/>
      <c r="T256" s="1">
        <f>SUM(OSRRefT22_19x_0)</f>
        <v>9520</v>
      </c>
      <c r="U256" s="1"/>
      <c r="V256" s="5">
        <f t="shared" ref="V256:V258" si="103">IF(T$12=0,0,T256/T$12)</f>
        <v>1.4517367055016394E-3</v>
      </c>
      <c r="W256" s="1"/>
      <c r="X256" s="1">
        <f t="shared" ref="X256:X258" si="104">+P256-T256</f>
        <v>-12302.24</v>
      </c>
      <c r="Y256" s="1"/>
      <c r="Z256" s="5">
        <f t="shared" ref="Z256:Z258" si="105">IF(T256=0,0,X256/T256)</f>
        <v>-1.292252100840336</v>
      </c>
    </row>
    <row r="257" spans="1:26" s="24" customFormat="1" hidden="1" outlineLevel="2" x14ac:dyDescent="0.25">
      <c r="A257" s="25"/>
      <c r="B257" s="11" t="str">
        <f>CONCATENATE("          ", "6258", " - ", "MEMBERSHIP DUES")</f>
        <v xml:space="preserve">          6258 - MEMBERSHIP DUES</v>
      </c>
      <c r="C257" s="11"/>
      <c r="D257" s="6">
        <v>250</v>
      </c>
      <c r="E257" s="2"/>
      <c r="F257" s="7">
        <f t="shared" si="98"/>
        <v>4.0927033990507462E-4</v>
      </c>
      <c r="G257" s="2"/>
      <c r="H257" s="6">
        <v>2700</v>
      </c>
      <c r="I257" s="2"/>
      <c r="J257" s="7">
        <f t="shared" si="99"/>
        <v>5.0298665892284404E-3</v>
      </c>
      <c r="K257" s="2"/>
      <c r="L257" s="6">
        <f t="shared" si="100"/>
        <v>-2450</v>
      </c>
      <c r="M257" s="2"/>
      <c r="N257" s="7">
        <f t="shared" si="101"/>
        <v>-0.90740740740740744</v>
      </c>
      <c r="O257" s="11"/>
      <c r="P257" s="6">
        <v>-3572.6</v>
      </c>
      <c r="Q257" s="2"/>
      <c r="R257" s="7">
        <f t="shared" si="102"/>
        <v>-5.4376943167887487E-4</v>
      </c>
      <c r="S257" s="2"/>
      <c r="T257" s="6">
        <v>7195</v>
      </c>
      <c r="U257" s="2"/>
      <c r="V257" s="7">
        <f t="shared" si="103"/>
        <v>1.0971896634542329E-3</v>
      </c>
      <c r="W257" s="2"/>
      <c r="X257" s="6">
        <f t="shared" si="104"/>
        <v>-10767.6</v>
      </c>
      <c r="Y257" s="2"/>
      <c r="Z257" s="7">
        <f t="shared" si="105"/>
        <v>-1.4965392633773453</v>
      </c>
    </row>
    <row r="258" spans="1:26" s="24" customFormat="1" hidden="1" outlineLevel="2" x14ac:dyDescent="0.25">
      <c r="A258" s="25"/>
      <c r="B258" s="11" t="str">
        <f>CONCATENATE("          ", "6275", " - ", "SUBSCRIPTIONS")</f>
        <v xml:space="preserve">          6275 - SUBSCRIPTIONS</v>
      </c>
      <c r="C258" s="11"/>
      <c r="D258" s="6">
        <v>-74.64</v>
      </c>
      <c r="E258" s="2"/>
      <c r="F258" s="7">
        <f t="shared" si="98"/>
        <v>-1.2219175268205908E-4</v>
      </c>
      <c r="G258" s="2"/>
      <c r="H258" s="6">
        <v>215</v>
      </c>
      <c r="I258" s="2"/>
      <c r="J258" s="7">
        <f t="shared" si="99"/>
        <v>4.0052641358670916E-4</v>
      </c>
      <c r="K258" s="2"/>
      <c r="L258" s="6">
        <f t="shared" si="100"/>
        <v>-289.64</v>
      </c>
      <c r="M258" s="2"/>
      <c r="N258" s="7">
        <f t="shared" si="101"/>
        <v>-1.3471627906976744</v>
      </c>
      <c r="O258" s="11"/>
      <c r="P258" s="6">
        <v>790.36</v>
      </c>
      <c r="Q258" s="2"/>
      <c r="R258" s="7">
        <f t="shared" si="102"/>
        <v>1.2029715277996853E-4</v>
      </c>
      <c r="S258" s="2"/>
      <c r="T258" s="6">
        <v>2325</v>
      </c>
      <c r="U258" s="2"/>
      <c r="V258" s="7">
        <f t="shared" si="103"/>
        <v>3.5454704204740671E-4</v>
      </c>
      <c r="W258" s="2"/>
      <c r="X258" s="6">
        <f t="shared" si="104"/>
        <v>-1534.6399999999999</v>
      </c>
      <c r="Y258" s="2"/>
      <c r="Z258" s="7">
        <f t="shared" si="105"/>
        <v>-0.66006021505376333</v>
      </c>
    </row>
    <row r="259" spans="1:26" s="26" customFormat="1" outlineLevel="1" collapsed="1" x14ac:dyDescent="0.25">
      <c r="A259" s="27"/>
      <c r="B259" s="13" t="str">
        <f>CONCATENATE("     ","Supplies                                          ")</f>
        <v xml:space="preserve">     Supplies                                          </v>
      </c>
      <c r="C259" s="13"/>
      <c r="D259" s="1">
        <f>SUM(OSRRefD22_20x_0)</f>
        <v>5254.77</v>
      </c>
      <c r="E259" s="1"/>
      <c r="F259" s="5">
        <f t="shared" ref="F259:F266" si="106">IF(D$12=0,0,D259/D$12)</f>
        <v>8.6024860160919571E-3</v>
      </c>
      <c r="G259" s="1"/>
      <c r="H259" s="1">
        <f>SUM(OSRRefH22_20x_0)</f>
        <v>11660</v>
      </c>
      <c r="I259" s="1"/>
      <c r="J259" s="5">
        <f t="shared" ref="J259:J266" si="107">IF(H$12=0,0,H259/H$12)</f>
        <v>2.1721572011260598E-2</v>
      </c>
      <c r="K259" s="1"/>
      <c r="L259" s="1">
        <f t="shared" ref="L259:L266" si="108">+D259-H259</f>
        <v>-6405.23</v>
      </c>
      <c r="M259" s="1"/>
      <c r="N259" s="5">
        <f t="shared" ref="N259:N266" si="109">IF(H259=0,0,L259/H259)</f>
        <v>-0.54933361921097767</v>
      </c>
      <c r="O259" s="13"/>
      <c r="P259" s="1">
        <f>SUM(OSRRefP22_20x_0)</f>
        <v>45885.55</v>
      </c>
      <c r="Q259" s="1"/>
      <c r="R259" s="5">
        <f t="shared" ref="R259:R266" si="110">IF(P$12=0,0,P259/P$12)</f>
        <v>6.9840338817031286E-3</v>
      </c>
      <c r="S259" s="1"/>
      <c r="T259" s="1">
        <f>SUM(OSRRefT22_20x_0)</f>
        <v>74800</v>
      </c>
      <c r="U259" s="1"/>
      <c r="V259" s="5">
        <f t="shared" ref="V259:V266" si="111">IF(T$12=0,0,T259/T$12)</f>
        <v>1.1406502686084312E-2</v>
      </c>
      <c r="W259" s="1"/>
      <c r="X259" s="1">
        <f t="shared" ref="X259:X266" si="112">+P259-T259</f>
        <v>-28914.449999999997</v>
      </c>
      <c r="Y259" s="1"/>
      <c r="Z259" s="5">
        <f t="shared" ref="Z259:Z266" si="113">IF(T259=0,0,X259/T259)</f>
        <v>-0.38655681818181814</v>
      </c>
    </row>
    <row r="260" spans="1:26" s="24" customFormat="1" hidden="1" outlineLevel="2" x14ac:dyDescent="0.25">
      <c r="A260" s="25"/>
      <c r="B260" s="11" t="str">
        <f>CONCATENATE("          ", "6234", " - ", "EXPENDABLE SUPPLIES &amp; EQUIPMEN")</f>
        <v xml:space="preserve">          6234 - EXPENDABLE SUPPLIES &amp; EQUIPMEN</v>
      </c>
      <c r="C260" s="11"/>
      <c r="D260" s="6">
        <v>106.65</v>
      </c>
      <c r="E260" s="2"/>
      <c r="F260" s="7">
        <f t="shared" si="106"/>
        <v>1.7459472700350484E-4</v>
      </c>
      <c r="G260" s="2"/>
      <c r="H260" s="6">
        <v>300</v>
      </c>
      <c r="I260" s="2"/>
      <c r="J260" s="7">
        <f t="shared" si="107"/>
        <v>5.5887406546982672E-4</v>
      </c>
      <c r="K260" s="2"/>
      <c r="L260" s="6">
        <f t="shared" si="108"/>
        <v>-193.35</v>
      </c>
      <c r="M260" s="2"/>
      <c r="N260" s="7">
        <f t="shared" si="109"/>
        <v>-0.64449999999999996</v>
      </c>
      <c r="O260" s="11"/>
      <c r="P260" s="6">
        <v>1822.75</v>
      </c>
      <c r="Q260" s="2"/>
      <c r="R260" s="7">
        <f t="shared" si="110"/>
        <v>2.7743260695086748E-4</v>
      </c>
      <c r="S260" s="2"/>
      <c r="T260" s="6">
        <v>2850</v>
      </c>
      <c r="U260" s="2"/>
      <c r="V260" s="7">
        <f t="shared" si="111"/>
        <v>4.3460605154198241E-4</v>
      </c>
      <c r="W260" s="2"/>
      <c r="X260" s="6">
        <f t="shared" si="112"/>
        <v>-1027.25</v>
      </c>
      <c r="Y260" s="2"/>
      <c r="Z260" s="7">
        <f t="shared" si="113"/>
        <v>-0.36043859649122806</v>
      </c>
    </row>
    <row r="261" spans="1:26" s="24" customFormat="1" hidden="1" outlineLevel="2" x14ac:dyDescent="0.25">
      <c r="A261" s="25"/>
      <c r="B261" s="11" t="str">
        <f>CONCATENATE("          ", "6237", " - ", "JANITORIAL SUPPLIES")</f>
        <v xml:space="preserve">          6237 - JANITORIAL SUPPLIES</v>
      </c>
      <c r="C261" s="11"/>
      <c r="D261" s="6">
        <v>691.53</v>
      </c>
      <c r="E261" s="2"/>
      <c r="F261" s="7">
        <f t="shared" si="106"/>
        <v>1.132090872618225E-3</v>
      </c>
      <c r="G261" s="2"/>
      <c r="H261" s="6">
        <v>35</v>
      </c>
      <c r="I261" s="2"/>
      <c r="J261" s="7">
        <f t="shared" si="107"/>
        <v>6.5201974304813113E-5</v>
      </c>
      <c r="K261" s="2"/>
      <c r="L261" s="6">
        <f t="shared" si="108"/>
        <v>656.53</v>
      </c>
      <c r="M261" s="2"/>
      <c r="N261" s="7">
        <f t="shared" si="109"/>
        <v>18.757999999999999</v>
      </c>
      <c r="O261" s="11"/>
      <c r="P261" s="6">
        <v>2857.75</v>
      </c>
      <c r="Q261" s="2"/>
      <c r="R261" s="7">
        <f t="shared" si="110"/>
        <v>4.3496531752233795E-4</v>
      </c>
      <c r="S261" s="2"/>
      <c r="T261" s="6">
        <v>225</v>
      </c>
      <c r="U261" s="2"/>
      <c r="V261" s="7">
        <f t="shared" si="111"/>
        <v>3.4311004069103877E-5</v>
      </c>
      <c r="W261" s="2"/>
      <c r="X261" s="6">
        <f t="shared" si="112"/>
        <v>2632.75</v>
      </c>
      <c r="Y261" s="2"/>
      <c r="Z261" s="7">
        <f t="shared" si="113"/>
        <v>11.701111111111111</v>
      </c>
    </row>
    <row r="262" spans="1:26" s="24" customFormat="1" hidden="1" outlineLevel="2" x14ac:dyDescent="0.25">
      <c r="A262" s="25"/>
      <c r="B262" s="11" t="str">
        <f>CONCATENATE("          ", "6241", " - ", "OFFICE EXPENSE")</f>
        <v xml:space="preserve">          6241 - OFFICE EXPENSE</v>
      </c>
      <c r="C262" s="11"/>
      <c r="D262" s="6">
        <v>2341.3000000000002</v>
      </c>
      <c r="E262" s="2"/>
      <c r="F262" s="7">
        <f t="shared" si="106"/>
        <v>3.8328985872790049E-3</v>
      </c>
      <c r="G262" s="2"/>
      <c r="H262" s="6">
        <v>1250</v>
      </c>
      <c r="I262" s="2"/>
      <c r="J262" s="7">
        <f t="shared" si="107"/>
        <v>2.3286419394576113E-3</v>
      </c>
      <c r="K262" s="2"/>
      <c r="L262" s="6">
        <f t="shared" si="108"/>
        <v>1091.3000000000002</v>
      </c>
      <c r="M262" s="2"/>
      <c r="N262" s="7">
        <f t="shared" si="109"/>
        <v>0.87304000000000015</v>
      </c>
      <c r="O262" s="11"/>
      <c r="P262" s="6">
        <v>15256.12</v>
      </c>
      <c r="Q262" s="2"/>
      <c r="R262" s="7">
        <f t="shared" si="110"/>
        <v>2.3220656390373164E-3</v>
      </c>
      <c r="S262" s="2"/>
      <c r="T262" s="6">
        <v>7350</v>
      </c>
      <c r="U262" s="2"/>
      <c r="V262" s="7">
        <f t="shared" si="111"/>
        <v>1.1208261329240599E-3</v>
      </c>
      <c r="W262" s="2"/>
      <c r="X262" s="6">
        <f t="shared" si="112"/>
        <v>7906.1200000000008</v>
      </c>
      <c r="Y262" s="2"/>
      <c r="Z262" s="7">
        <f t="shared" si="113"/>
        <v>1.0756625850340138</v>
      </c>
    </row>
    <row r="263" spans="1:26" s="24" customFormat="1" hidden="1" outlineLevel="2" x14ac:dyDescent="0.25">
      <c r="A263" s="25"/>
      <c r="B263" s="11" t="str">
        <f>CONCATENATE("          ", "6243", " - ", "PAPER SUPPLIES")</f>
        <v xml:space="preserve">          6243 - PAPER SUPPLIES</v>
      </c>
      <c r="C263" s="11"/>
      <c r="D263" s="6">
        <v>1423.15</v>
      </c>
      <c r="E263" s="2"/>
      <c r="F263" s="7">
        <f t="shared" si="106"/>
        <v>2.3298123369436281E-3</v>
      </c>
      <c r="G263" s="2"/>
      <c r="H263" s="6">
        <v>250</v>
      </c>
      <c r="I263" s="2"/>
      <c r="J263" s="7">
        <f t="shared" si="107"/>
        <v>4.6572838789152228E-4</v>
      </c>
      <c r="K263" s="2"/>
      <c r="L263" s="6">
        <f t="shared" si="108"/>
        <v>1173.1500000000001</v>
      </c>
      <c r="M263" s="2"/>
      <c r="N263" s="7">
        <f t="shared" si="109"/>
        <v>4.6926000000000005</v>
      </c>
      <c r="O263" s="11"/>
      <c r="P263" s="6">
        <v>6329.48</v>
      </c>
      <c r="Q263" s="2"/>
      <c r="R263" s="7">
        <f t="shared" si="110"/>
        <v>9.6338177865498643E-4</v>
      </c>
      <c r="S263" s="2"/>
      <c r="T263" s="6">
        <v>1750</v>
      </c>
      <c r="U263" s="2"/>
      <c r="V263" s="7">
        <f t="shared" si="111"/>
        <v>2.6686336498191903E-4</v>
      </c>
      <c r="W263" s="2"/>
      <c r="X263" s="6">
        <f t="shared" si="112"/>
        <v>4579.4799999999996</v>
      </c>
      <c r="Y263" s="2"/>
      <c r="Z263" s="7">
        <f t="shared" si="113"/>
        <v>2.6168457142857142</v>
      </c>
    </row>
    <row r="264" spans="1:26" s="24" customFormat="1" hidden="1" outlineLevel="2" x14ac:dyDescent="0.25">
      <c r="A264" s="25"/>
      <c r="B264" s="11" t="str">
        <f>CONCATENATE("          ", "6245", " - ", "PRINTING")</f>
        <v xml:space="preserve">          6245 - PRINTING</v>
      </c>
      <c r="C264" s="11"/>
      <c r="D264" s="6">
        <v>-402.2</v>
      </c>
      <c r="E264" s="2"/>
      <c r="F264" s="7">
        <f t="shared" si="106"/>
        <v>-6.5843412283928405E-4</v>
      </c>
      <c r="G264" s="2"/>
      <c r="H264" s="6">
        <v>100</v>
      </c>
      <c r="I264" s="2"/>
      <c r="J264" s="7">
        <f t="shared" si="107"/>
        <v>1.8629135515660892E-4</v>
      </c>
      <c r="K264" s="2"/>
      <c r="L264" s="6">
        <f t="shared" si="108"/>
        <v>-502.2</v>
      </c>
      <c r="M264" s="2"/>
      <c r="N264" s="7">
        <f t="shared" si="109"/>
        <v>-5.0220000000000002</v>
      </c>
      <c r="O264" s="11"/>
      <c r="P264" s="6">
        <v>4845.05</v>
      </c>
      <c r="Q264" s="2"/>
      <c r="R264" s="7">
        <f t="shared" si="110"/>
        <v>7.3744334237130736E-4</v>
      </c>
      <c r="S264" s="2"/>
      <c r="T264" s="6">
        <v>900</v>
      </c>
      <c r="U264" s="2"/>
      <c r="V264" s="7">
        <f t="shared" si="111"/>
        <v>1.3724401627641551E-4</v>
      </c>
      <c r="W264" s="2"/>
      <c r="X264" s="6">
        <f t="shared" si="112"/>
        <v>3945.05</v>
      </c>
      <c r="Y264" s="2"/>
      <c r="Z264" s="7">
        <f t="shared" si="113"/>
        <v>4.3833888888888888</v>
      </c>
    </row>
    <row r="265" spans="1:26" s="24" customFormat="1" hidden="1" outlineLevel="2" x14ac:dyDescent="0.25">
      <c r="A265" s="25"/>
      <c r="B265" s="11" t="str">
        <f>CONCATENATE("          ", "6247", " - ", "STORE SUPPLIES")</f>
        <v xml:space="preserve">          6247 - STORE SUPPLIES</v>
      </c>
      <c r="C265" s="11"/>
      <c r="D265" s="6">
        <v>1094.3399999999999</v>
      </c>
      <c r="E265" s="2"/>
      <c r="F265" s="7">
        <f t="shared" si="106"/>
        <v>1.7915236150868772E-3</v>
      </c>
      <c r="G265" s="2"/>
      <c r="H265" s="6">
        <v>8725</v>
      </c>
      <c r="I265" s="2"/>
      <c r="J265" s="7">
        <f t="shared" si="107"/>
        <v>1.6253920737414128E-2</v>
      </c>
      <c r="K265" s="2"/>
      <c r="L265" s="6">
        <f t="shared" si="108"/>
        <v>-7630.66</v>
      </c>
      <c r="M265" s="2"/>
      <c r="N265" s="7">
        <f t="shared" si="109"/>
        <v>-0.8745742120343839</v>
      </c>
      <c r="O265" s="11"/>
      <c r="P265" s="6">
        <v>14774.4</v>
      </c>
      <c r="Q265" s="2"/>
      <c r="R265" s="7">
        <f t="shared" si="110"/>
        <v>2.2487451971663127E-3</v>
      </c>
      <c r="S265" s="2"/>
      <c r="T265" s="6">
        <v>56725</v>
      </c>
      <c r="U265" s="2"/>
      <c r="V265" s="7">
        <f t="shared" si="111"/>
        <v>8.6501853591996331E-3</v>
      </c>
      <c r="W265" s="2"/>
      <c r="X265" s="6">
        <f t="shared" si="112"/>
        <v>-41950.6</v>
      </c>
      <c r="Y265" s="2"/>
      <c r="Z265" s="7">
        <f t="shared" si="113"/>
        <v>-0.73954341119435874</v>
      </c>
    </row>
    <row r="266" spans="1:26" s="24" customFormat="1" hidden="1" outlineLevel="2" x14ac:dyDescent="0.25">
      <c r="A266" s="25"/>
      <c r="B266" s="11" t="str">
        <f>CONCATENATE("          ", "6248", " - ", "UNIFORMS")</f>
        <v xml:space="preserve">          6248 - UNIFORMS</v>
      </c>
      <c r="C266" s="11"/>
      <c r="D266" s="6"/>
      <c r="E266" s="2"/>
      <c r="F266" s="7">
        <f t="shared" si="106"/>
        <v>0</v>
      </c>
      <c r="G266" s="2"/>
      <c r="H266" s="6">
        <v>1000</v>
      </c>
      <c r="I266" s="2"/>
      <c r="J266" s="7">
        <f t="shared" si="107"/>
        <v>1.8629135515660891E-3</v>
      </c>
      <c r="K266" s="2"/>
      <c r="L266" s="6">
        <f t="shared" si="108"/>
        <v>-1000</v>
      </c>
      <c r="M266" s="2"/>
      <c r="N266" s="7">
        <f t="shared" si="109"/>
        <v>-1</v>
      </c>
      <c r="O266" s="11"/>
      <c r="P266" s="6"/>
      <c r="Q266" s="2"/>
      <c r="R266" s="7">
        <f t="shared" si="110"/>
        <v>0</v>
      </c>
      <c r="S266" s="2"/>
      <c r="T266" s="6">
        <v>5000</v>
      </c>
      <c r="U266" s="2"/>
      <c r="V266" s="7">
        <f t="shared" si="111"/>
        <v>7.6246675709119719E-4</v>
      </c>
      <c r="W266" s="2"/>
      <c r="X266" s="6">
        <f t="shared" si="112"/>
        <v>-5000</v>
      </c>
      <c r="Y266" s="2"/>
      <c r="Z266" s="7">
        <f t="shared" si="113"/>
        <v>-1</v>
      </c>
    </row>
    <row r="267" spans="1:26" s="26" customFormat="1" outlineLevel="1" collapsed="1" x14ac:dyDescent="0.25">
      <c r="A267" s="27"/>
      <c r="B267" s="13" t="str">
        <f>CONCATENATE("     ","Telephone/Data Lines                              ")</f>
        <v xml:space="preserve">     Telephone/Data Lines                              </v>
      </c>
      <c r="C267" s="13"/>
      <c r="D267" s="1">
        <f>SUM(OSRRefD22_21x_0)</f>
        <v>2625.75</v>
      </c>
      <c r="E267" s="1"/>
      <c r="F267" s="5">
        <f t="shared" ref="F267:F269" si="114">IF(D$12=0,0,D267/D$12)</f>
        <v>4.2985663800229985E-3</v>
      </c>
      <c r="G267" s="1"/>
      <c r="H267" s="1">
        <f>SUM(OSRRefH22_21x_0)</f>
        <v>2920</v>
      </c>
      <c r="I267" s="1"/>
      <c r="J267" s="5">
        <f t="shared" ref="J267:J269" si="115">IF(H$12=0,0,H267/H$12)</f>
        <v>5.4397075705729806E-3</v>
      </c>
      <c r="K267" s="1"/>
      <c r="L267" s="1">
        <f t="shared" ref="L267:L269" si="116">+D267-H267</f>
        <v>-294.25</v>
      </c>
      <c r="M267" s="1"/>
      <c r="N267" s="5">
        <f t="shared" ref="N267:N269" si="117">IF(H267=0,0,L267/H267)</f>
        <v>-0.10077054794520549</v>
      </c>
      <c r="O267" s="13"/>
      <c r="P267" s="1">
        <f>SUM(OSRRefP22_21x_0)</f>
        <v>14733.82</v>
      </c>
      <c r="Q267" s="1"/>
      <c r="R267" s="5">
        <f t="shared" ref="R267:R269" si="118">IF(P$12=0,0,P267/P$12)</f>
        <v>2.2425686972677712E-3</v>
      </c>
      <c r="S267" s="1"/>
      <c r="T267" s="1">
        <f>SUM(OSRRefT22_21x_0)</f>
        <v>16675</v>
      </c>
      <c r="U267" s="1"/>
      <c r="V267" s="5">
        <f t="shared" ref="V267:V269" si="119">IF(T$12=0,0,T267/T$12)</f>
        <v>2.542826634899143E-3</v>
      </c>
      <c r="W267" s="1"/>
      <c r="X267" s="1">
        <f t="shared" ref="X267:X269" si="120">+P267-T267</f>
        <v>-1941.1800000000003</v>
      </c>
      <c r="Y267" s="1"/>
      <c r="Z267" s="5">
        <f t="shared" ref="Z267:Z269" si="121">IF(T267=0,0,X267/T267)</f>
        <v>-0.11641259370314844</v>
      </c>
    </row>
    <row r="268" spans="1:26" s="24" customFormat="1" hidden="1" outlineLevel="2" x14ac:dyDescent="0.25">
      <c r="A268" s="25"/>
      <c r="B268" s="11" t="str">
        <f>CONCATENATE("          ", "6303", " - ", "DATA PHONE LINES")</f>
        <v xml:space="preserve">          6303 - DATA PHONE LINES</v>
      </c>
      <c r="C268" s="11"/>
      <c r="D268" s="6">
        <v>295</v>
      </c>
      <c r="E268" s="2"/>
      <c r="F268" s="7">
        <f t="shared" si="114"/>
        <v>4.8293900108798804E-4</v>
      </c>
      <c r="G268" s="2"/>
      <c r="H268" s="6">
        <v>1180</v>
      </c>
      <c r="I268" s="2"/>
      <c r="J268" s="7">
        <f t="shared" si="115"/>
        <v>2.1982379908479853E-3</v>
      </c>
      <c r="K268" s="2"/>
      <c r="L268" s="6">
        <f t="shared" si="116"/>
        <v>-885</v>
      </c>
      <c r="M268" s="2"/>
      <c r="N268" s="7">
        <f t="shared" si="117"/>
        <v>-0.75</v>
      </c>
      <c r="O268" s="11"/>
      <c r="P268" s="6">
        <v>1475</v>
      </c>
      <c r="Q268" s="2"/>
      <c r="R268" s="7">
        <f t="shared" si="118"/>
        <v>2.2450313825402799E-4</v>
      </c>
      <c r="S268" s="2"/>
      <c r="T268" s="6">
        <v>6975</v>
      </c>
      <c r="U268" s="2"/>
      <c r="V268" s="7">
        <f t="shared" si="119"/>
        <v>1.0636411261422201E-3</v>
      </c>
      <c r="W268" s="2"/>
      <c r="X268" s="6">
        <f t="shared" si="120"/>
        <v>-5500</v>
      </c>
      <c r="Y268" s="2"/>
      <c r="Z268" s="7">
        <f t="shared" si="121"/>
        <v>-0.78853046594982079</v>
      </c>
    </row>
    <row r="269" spans="1:26" s="24" customFormat="1" hidden="1" outlineLevel="2" x14ac:dyDescent="0.25">
      <c r="A269" s="25"/>
      <c r="B269" s="11" t="str">
        <f>CONCATENATE("          ", "6309", " - ", "TELEPHONE")</f>
        <v xml:space="preserve">          6309 - TELEPHONE</v>
      </c>
      <c r="C269" s="11"/>
      <c r="D269" s="6">
        <v>2330.75</v>
      </c>
      <c r="E269" s="2"/>
      <c r="F269" s="7">
        <f t="shared" si="114"/>
        <v>3.8156273789350104E-3</v>
      </c>
      <c r="G269" s="2"/>
      <c r="H269" s="6">
        <v>1740</v>
      </c>
      <c r="I269" s="2"/>
      <c r="J269" s="7">
        <f t="shared" si="115"/>
        <v>3.2414695797249949E-3</v>
      </c>
      <c r="K269" s="2"/>
      <c r="L269" s="6">
        <f t="shared" si="116"/>
        <v>590.75</v>
      </c>
      <c r="M269" s="2"/>
      <c r="N269" s="7">
        <f t="shared" si="117"/>
        <v>0.33951149425287358</v>
      </c>
      <c r="O269" s="11"/>
      <c r="P269" s="6">
        <v>13258.82</v>
      </c>
      <c r="Q269" s="2"/>
      <c r="R269" s="7">
        <f t="shared" si="118"/>
        <v>2.0180655590137432E-3</v>
      </c>
      <c r="S269" s="2"/>
      <c r="T269" s="6">
        <v>9700</v>
      </c>
      <c r="U269" s="2"/>
      <c r="V269" s="7">
        <f t="shared" si="119"/>
        <v>1.4791855087569227E-3</v>
      </c>
      <c r="W269" s="2"/>
      <c r="X269" s="6">
        <f t="shared" si="120"/>
        <v>3558.8199999999997</v>
      </c>
      <c r="Y269" s="2"/>
      <c r="Z269" s="7">
        <f t="shared" si="121"/>
        <v>0.36688865979381441</v>
      </c>
    </row>
    <row r="270" spans="1:26" s="26" customFormat="1" outlineLevel="1" collapsed="1" x14ac:dyDescent="0.25">
      <c r="A270" s="27"/>
      <c r="B270" s="13" t="str">
        <f>CONCATENATE("     ","Training                                          ")</f>
        <v xml:space="preserve">     Training                                          </v>
      </c>
      <c r="C270" s="13"/>
      <c r="D270" s="1">
        <f>SUM(OSRRefD22_22x_0)</f>
        <v>3266.68</v>
      </c>
      <c r="E270" s="1"/>
      <c r="F270" s="5">
        <f t="shared" ref="F270:F275" si="122">IF(D$12=0,0,D270/D$12)</f>
        <v>5.3478209358444363E-3</v>
      </c>
      <c r="G270" s="1"/>
      <c r="H270" s="1">
        <f>SUM(OSRRefH22_22x_0)</f>
        <v>3925</v>
      </c>
      <c r="I270" s="1"/>
      <c r="J270" s="5">
        <f t="shared" ref="J270:J275" si="123">IF(H$12=0,0,H270/H$12)</f>
        <v>7.3119356898968995E-3</v>
      </c>
      <c r="K270" s="1"/>
      <c r="L270" s="1">
        <f t="shared" ref="L270:L275" si="124">+D270-H270</f>
        <v>-658.32000000000016</v>
      </c>
      <c r="M270" s="1"/>
      <c r="N270" s="5">
        <f t="shared" ref="N270:N275" si="125">IF(H270=0,0,L270/H270)</f>
        <v>-0.16772484076433125</v>
      </c>
      <c r="O270" s="13"/>
      <c r="P270" s="1">
        <f>SUM(OSRRefP22_22x_0)</f>
        <v>8727.44</v>
      </c>
      <c r="Q270" s="1"/>
      <c r="R270" s="5">
        <f t="shared" ref="R270:R275" si="126">IF(P$12=0,0,P270/P$12)</f>
        <v>1.3283645213042266E-3</v>
      </c>
      <c r="S270" s="1"/>
      <c r="T270" s="1">
        <f>SUM(OSRRefT22_22x_0)</f>
        <v>12125</v>
      </c>
      <c r="U270" s="1"/>
      <c r="V270" s="5">
        <f t="shared" ref="V270:V275" si="127">IF(T$12=0,0,T270/T$12)</f>
        <v>1.8489818859461532E-3</v>
      </c>
      <c r="W270" s="1"/>
      <c r="X270" s="1">
        <f t="shared" ref="X270:X275" si="128">+P270-T270</f>
        <v>-3397.5599999999995</v>
      </c>
      <c r="Y270" s="1"/>
      <c r="Z270" s="5">
        <f t="shared" ref="Z270:Z275" si="129">IF(T270=0,0,X270/T270)</f>
        <v>-0.28021113402061854</v>
      </c>
    </row>
    <row r="271" spans="1:26" s="24" customFormat="1" hidden="1" outlineLevel="2" x14ac:dyDescent="0.25">
      <c r="A271" s="25"/>
      <c r="B271" s="11" t="str">
        <f>CONCATENATE("          ", "6376", " - ", "TRAINING")</f>
        <v xml:space="preserve">          6376 - TRAINING</v>
      </c>
      <c r="C271" s="11"/>
      <c r="D271" s="6">
        <v>3266.68</v>
      </c>
      <c r="E271" s="2"/>
      <c r="F271" s="7">
        <f t="shared" si="122"/>
        <v>5.3478209358444363E-3</v>
      </c>
      <c r="G271" s="2"/>
      <c r="H271" s="6">
        <v>3925</v>
      </c>
      <c r="I271" s="2"/>
      <c r="J271" s="7">
        <f t="shared" si="123"/>
        <v>7.3119356898968995E-3</v>
      </c>
      <c r="K271" s="2"/>
      <c r="L271" s="6">
        <f t="shared" si="124"/>
        <v>-658.32000000000016</v>
      </c>
      <c r="M271" s="2"/>
      <c r="N271" s="7">
        <f t="shared" si="125"/>
        <v>-0.16772484076433125</v>
      </c>
      <c r="O271" s="11"/>
      <c r="P271" s="6">
        <v>8727.44</v>
      </c>
      <c r="Q271" s="2"/>
      <c r="R271" s="7">
        <f t="shared" si="126"/>
        <v>1.3283645213042266E-3</v>
      </c>
      <c r="S271" s="2"/>
      <c r="T271" s="6">
        <v>12125</v>
      </c>
      <c r="U271" s="2"/>
      <c r="V271" s="7">
        <f t="shared" si="127"/>
        <v>1.8489818859461532E-3</v>
      </c>
      <c r="W271" s="2"/>
      <c r="X271" s="6">
        <f t="shared" si="128"/>
        <v>-3397.5599999999995</v>
      </c>
      <c r="Y271" s="2"/>
      <c r="Z271" s="7">
        <f t="shared" si="129"/>
        <v>-0.28021113402061854</v>
      </c>
    </row>
    <row r="272" spans="1:26" s="26" customFormat="1" outlineLevel="1" collapsed="1" x14ac:dyDescent="0.25">
      <c r="A272" s="27"/>
      <c r="B272" s="13" t="str">
        <f>CONCATENATE("     ","Travel                                            ")</f>
        <v xml:space="preserve">     Travel                                            </v>
      </c>
      <c r="C272" s="13"/>
      <c r="D272" s="1">
        <f>SUM(OSRRefD22_23x_0)</f>
        <v>176.57999999999998</v>
      </c>
      <c r="E272" s="1"/>
      <c r="F272" s="5">
        <f t="shared" si="122"/>
        <v>2.8907582648175225E-4</v>
      </c>
      <c r="G272" s="1"/>
      <c r="H272" s="1">
        <f>SUM(OSRRefH22_23x_0)</f>
        <v>75</v>
      </c>
      <c r="I272" s="1"/>
      <c r="J272" s="5">
        <f t="shared" si="123"/>
        <v>1.3971851636745668E-4</v>
      </c>
      <c r="K272" s="1"/>
      <c r="L272" s="1">
        <f t="shared" si="124"/>
        <v>101.57999999999998</v>
      </c>
      <c r="M272" s="1"/>
      <c r="N272" s="5">
        <f t="shared" si="125"/>
        <v>1.3543999999999998</v>
      </c>
      <c r="O272" s="13"/>
      <c r="P272" s="1">
        <f>SUM(OSRRefP22_23x_0)</f>
        <v>1423.6899999999998</v>
      </c>
      <c r="Q272" s="1"/>
      <c r="R272" s="5">
        <f t="shared" si="126"/>
        <v>2.1669347315313701E-4</v>
      </c>
      <c r="S272" s="1"/>
      <c r="T272" s="1">
        <f>SUM(OSRRefT22_23x_0)</f>
        <v>960</v>
      </c>
      <c r="U272" s="1"/>
      <c r="V272" s="5">
        <f t="shared" si="127"/>
        <v>1.4639361736150987E-4</v>
      </c>
      <c r="W272" s="1"/>
      <c r="X272" s="1">
        <f t="shared" si="128"/>
        <v>463.68999999999983</v>
      </c>
      <c r="Y272" s="1"/>
      <c r="Z272" s="5">
        <f t="shared" si="129"/>
        <v>0.4830104166666665</v>
      </c>
    </row>
    <row r="273" spans="1:26" s="24" customFormat="1" hidden="1" outlineLevel="2" x14ac:dyDescent="0.25">
      <c r="A273" s="25"/>
      <c r="B273" s="11" t="str">
        <f>CONCATENATE("          ", "6292", " - ", "TRAVEL/CONFERENCE")</f>
        <v xml:space="preserve">          6292 - TRAVEL/CONFERENCE</v>
      </c>
      <c r="C273" s="11"/>
      <c r="D273" s="6">
        <v>-130.1</v>
      </c>
      <c r="E273" s="2"/>
      <c r="F273" s="7">
        <f t="shared" si="122"/>
        <v>-2.1298428488660082E-4</v>
      </c>
      <c r="G273" s="2"/>
      <c r="H273" s="6"/>
      <c r="I273" s="2"/>
      <c r="J273" s="7">
        <f t="shared" si="123"/>
        <v>0</v>
      </c>
      <c r="K273" s="2"/>
      <c r="L273" s="6">
        <f t="shared" si="124"/>
        <v>-130.1</v>
      </c>
      <c r="M273" s="2"/>
      <c r="N273" s="7">
        <f t="shared" si="125"/>
        <v>0</v>
      </c>
      <c r="O273" s="11"/>
      <c r="P273" s="6">
        <v>510.55</v>
      </c>
      <c r="Q273" s="2"/>
      <c r="R273" s="7">
        <f t="shared" si="126"/>
        <v>7.7708526939385757E-5</v>
      </c>
      <c r="S273" s="2"/>
      <c r="T273" s="6"/>
      <c r="U273" s="2"/>
      <c r="V273" s="7">
        <f t="shared" si="127"/>
        <v>0</v>
      </c>
      <c r="W273" s="2"/>
      <c r="X273" s="6">
        <f t="shared" si="128"/>
        <v>510.55</v>
      </c>
      <c r="Y273" s="2"/>
      <c r="Z273" s="7">
        <f t="shared" si="129"/>
        <v>0</v>
      </c>
    </row>
    <row r="274" spans="1:26" s="24" customFormat="1" hidden="1" outlineLevel="2" x14ac:dyDescent="0.25">
      <c r="A274" s="25"/>
      <c r="B274" s="11" t="str">
        <f>CONCATENATE("          ", "6294", " - ", "TRAVEL OPERATIONAL")</f>
        <v xml:space="preserve">          6294 - TRAVEL OPERATIONAL</v>
      </c>
      <c r="C274" s="11"/>
      <c r="D274" s="6">
        <v>257.33</v>
      </c>
      <c r="E274" s="2"/>
      <c r="F274" s="7">
        <f t="shared" si="122"/>
        <v>4.2127014627109139E-4</v>
      </c>
      <c r="G274" s="2"/>
      <c r="H274" s="6">
        <v>75</v>
      </c>
      <c r="I274" s="2"/>
      <c r="J274" s="7">
        <f t="shared" si="123"/>
        <v>1.3971851636745668E-4</v>
      </c>
      <c r="K274" s="2"/>
      <c r="L274" s="6">
        <f t="shared" si="124"/>
        <v>182.32999999999998</v>
      </c>
      <c r="M274" s="2"/>
      <c r="N274" s="7">
        <f t="shared" si="125"/>
        <v>2.4310666666666663</v>
      </c>
      <c r="O274" s="11"/>
      <c r="P274" s="6">
        <v>693.8</v>
      </c>
      <c r="Q274" s="2"/>
      <c r="R274" s="7">
        <f t="shared" si="126"/>
        <v>1.0560018801399634E-4</v>
      </c>
      <c r="S274" s="2"/>
      <c r="T274" s="6">
        <v>510</v>
      </c>
      <c r="U274" s="2"/>
      <c r="V274" s="7">
        <f t="shared" si="127"/>
        <v>7.7771609223302121E-5</v>
      </c>
      <c r="W274" s="2"/>
      <c r="X274" s="6">
        <f t="shared" si="128"/>
        <v>183.79999999999995</v>
      </c>
      <c r="Y274" s="2"/>
      <c r="Z274" s="7">
        <f t="shared" si="129"/>
        <v>0.36039215686274501</v>
      </c>
    </row>
    <row r="275" spans="1:26" s="24" customFormat="1" hidden="1" outlineLevel="2" x14ac:dyDescent="0.25">
      <c r="A275" s="25"/>
      <c r="B275" s="11" t="str">
        <f>CONCATENATE("          ", "6298", " - ", "VEHICLE MILEAGE")</f>
        <v xml:space="preserve">          6298 - VEHICLE MILEAGE</v>
      </c>
      <c r="C275" s="11"/>
      <c r="D275" s="6">
        <v>49.35</v>
      </c>
      <c r="E275" s="2"/>
      <c r="F275" s="7">
        <f t="shared" si="122"/>
        <v>8.0789965097261725E-5</v>
      </c>
      <c r="G275" s="2"/>
      <c r="H275" s="6"/>
      <c r="I275" s="2"/>
      <c r="J275" s="7">
        <f t="shared" si="123"/>
        <v>0</v>
      </c>
      <c r="K275" s="2"/>
      <c r="L275" s="6">
        <f t="shared" si="124"/>
        <v>49.35</v>
      </c>
      <c r="M275" s="2"/>
      <c r="N275" s="7">
        <f t="shared" si="125"/>
        <v>0</v>
      </c>
      <c r="O275" s="11"/>
      <c r="P275" s="6">
        <v>219.34</v>
      </c>
      <c r="Q275" s="2"/>
      <c r="R275" s="7">
        <f t="shared" si="126"/>
        <v>3.3384758199754917E-5</v>
      </c>
      <c r="S275" s="2"/>
      <c r="T275" s="6">
        <v>450</v>
      </c>
      <c r="U275" s="2"/>
      <c r="V275" s="7">
        <f t="shared" si="127"/>
        <v>6.8622008138207754E-5</v>
      </c>
      <c r="W275" s="2"/>
      <c r="X275" s="6">
        <f t="shared" si="128"/>
        <v>-230.66</v>
      </c>
      <c r="Y275" s="2"/>
      <c r="Z275" s="7">
        <f t="shared" si="129"/>
        <v>-0.5125777777777778</v>
      </c>
    </row>
    <row r="276" spans="1:26" s="26" customFormat="1" outlineLevel="1" collapsed="1" x14ac:dyDescent="0.25">
      <c r="A276" s="27"/>
      <c r="B276" s="13" t="str">
        <f>CONCATENATE("     ","Utilities                                         ")</f>
        <v xml:space="preserve">     Utilities                                         </v>
      </c>
      <c r="C276" s="13"/>
      <c r="D276" s="1">
        <f>SUM(OSRRefD22_24x_0)</f>
        <v>5624.26</v>
      </c>
      <c r="E276" s="1"/>
      <c r="F276" s="5">
        <f t="shared" ref="F276:F277" si="130">IF(D$12=0,0,D276/D$12)</f>
        <v>9.2073712076580598E-3</v>
      </c>
      <c r="G276" s="1"/>
      <c r="H276" s="1">
        <f>SUM(OSRRefH22_24x_0)</f>
        <v>5100</v>
      </c>
      <c r="I276" s="1"/>
      <c r="J276" s="5">
        <f t="shared" ref="J276:J277" si="131">IF(H$12=0,0,H276/H$12)</f>
        <v>9.5008591129870541E-3</v>
      </c>
      <c r="K276" s="1"/>
      <c r="L276" s="1">
        <f t="shared" ref="L276:L277" si="132">+D276-H276</f>
        <v>524.26000000000022</v>
      </c>
      <c r="M276" s="1"/>
      <c r="N276" s="5">
        <f t="shared" ref="N276:N277" si="133">IF(H276=0,0,L276/H276)</f>
        <v>0.10279607843137259</v>
      </c>
      <c r="O276" s="13"/>
      <c r="P276" s="1">
        <f>SUM(OSRRefP22_24x_0)</f>
        <v>22598.92</v>
      </c>
      <c r="Q276" s="1"/>
      <c r="R276" s="5">
        <f t="shared" ref="R276:R277" si="134">IF(P$12=0,0,P276/P$12)</f>
        <v>3.4396803126452327E-3</v>
      </c>
      <c r="S276" s="1"/>
      <c r="T276" s="1">
        <f>SUM(OSRRefT22_24x_0)</f>
        <v>25450</v>
      </c>
      <c r="U276" s="1"/>
      <c r="V276" s="5">
        <f t="shared" ref="V276:V277" si="135">IF(T$12=0,0,T276/T$12)</f>
        <v>3.880955793594194E-3</v>
      </c>
      <c r="W276" s="1"/>
      <c r="X276" s="1">
        <f t="shared" ref="X276:X277" si="136">+P276-T276</f>
        <v>-2851.0800000000017</v>
      </c>
      <c r="Y276" s="1"/>
      <c r="Z276" s="5">
        <f t="shared" ref="Z276:Z277" si="137">IF(T276=0,0,X276/T276)</f>
        <v>-0.11202671905697453</v>
      </c>
    </row>
    <row r="277" spans="1:26" s="24" customFormat="1" hidden="1" outlineLevel="2" x14ac:dyDescent="0.25">
      <c r="A277" s="25"/>
      <c r="B277" s="11" t="str">
        <f>CONCATENATE("          ", "6274", " - ", "UTILITIES")</f>
        <v xml:space="preserve">          6274 - UTILITIES</v>
      </c>
      <c r="C277" s="11"/>
      <c r="D277" s="6">
        <v>5624.26</v>
      </c>
      <c r="E277" s="2"/>
      <c r="F277" s="7">
        <f t="shared" si="130"/>
        <v>9.2073712076580598E-3</v>
      </c>
      <c r="G277" s="2"/>
      <c r="H277" s="6">
        <v>5100</v>
      </c>
      <c r="I277" s="2"/>
      <c r="J277" s="7">
        <f t="shared" si="131"/>
        <v>9.5008591129870541E-3</v>
      </c>
      <c r="K277" s="2"/>
      <c r="L277" s="6">
        <f t="shared" si="132"/>
        <v>524.26000000000022</v>
      </c>
      <c r="M277" s="2"/>
      <c r="N277" s="7">
        <f t="shared" si="133"/>
        <v>0.10279607843137259</v>
      </c>
      <c r="O277" s="11"/>
      <c r="P277" s="6">
        <v>22598.92</v>
      </c>
      <c r="Q277" s="2"/>
      <c r="R277" s="7">
        <f t="shared" si="134"/>
        <v>3.4396803126452327E-3</v>
      </c>
      <c r="S277" s="2"/>
      <c r="T277" s="6">
        <v>25450</v>
      </c>
      <c r="U277" s="2"/>
      <c r="V277" s="7">
        <f t="shared" si="135"/>
        <v>3.880955793594194E-3</v>
      </c>
      <c r="W277" s="2"/>
      <c r="X277" s="6">
        <f t="shared" si="136"/>
        <v>-2851.0800000000017</v>
      </c>
      <c r="Y277" s="2"/>
      <c r="Z277" s="7">
        <f t="shared" si="137"/>
        <v>-0.11202671905697453</v>
      </c>
    </row>
    <row r="278" spans="1:26" s="59" customFormat="1" x14ac:dyDescent="0.25">
      <c r="A278" s="36"/>
      <c r="B278" s="36"/>
      <c r="C278" s="36"/>
      <c r="D278" s="1"/>
      <c r="E278" s="1"/>
      <c r="F278" s="5"/>
      <c r="G278" s="1"/>
      <c r="H278" s="1"/>
      <c r="I278" s="1"/>
      <c r="J278" s="5"/>
      <c r="K278" s="1"/>
      <c r="L278" s="1"/>
      <c r="M278" s="1"/>
      <c r="N278" s="5"/>
      <c r="O278" s="36"/>
      <c r="P278" s="1"/>
      <c r="Q278" s="1"/>
      <c r="R278" s="5"/>
      <c r="S278" s="1"/>
      <c r="T278" s="1"/>
      <c r="U278" s="1"/>
      <c r="V278" s="5"/>
      <c r="W278" s="1"/>
      <c r="X278" s="1"/>
      <c r="Y278" s="1"/>
      <c r="Z278" s="5"/>
    </row>
    <row r="279" spans="1:26" s="23" customFormat="1" collapsed="1" x14ac:dyDescent="0.25">
      <c r="A279" s="10"/>
      <c r="B279" s="29" t="s">
        <v>0</v>
      </c>
      <c r="C279" s="10"/>
      <c r="D279" s="4">
        <f>SUM(OSRRefD25x_0)</f>
        <v>22346.430000000004</v>
      </c>
      <c r="E279" s="4"/>
      <c r="F279" s="12">
        <f t="shared" ref="F279:F290" si="138">IF(D$12=0,0,D279/D$12)</f>
        <v>3.6582924007059835E-2</v>
      </c>
      <c r="G279" s="4"/>
      <c r="H279" s="4">
        <f>SUM(OSRRefH25x_0)</f>
        <v>61400</v>
      </c>
      <c r="I279" s="4"/>
      <c r="J279" s="12">
        <f t="shared" ref="J279:J290" si="139">IF(H$12=0,0,H279/H$12)</f>
        <v>0.11438289206615787</v>
      </c>
      <c r="K279" s="4"/>
      <c r="L279" s="4">
        <f t="shared" ref="L279:L290" si="140">+D279-H279</f>
        <v>-39053.569999999992</v>
      </c>
      <c r="M279" s="4"/>
      <c r="N279" s="12">
        <f t="shared" ref="N279:N290" si="141">IF(H279=0,0,L279/H279)</f>
        <v>-0.63605162866449494</v>
      </c>
      <c r="O279" s="10"/>
      <c r="P279" s="4">
        <f>SUM(OSRRefP25x_0)</f>
        <v>407632.37</v>
      </c>
      <c r="Q279" s="4"/>
      <c r="R279" s="12">
        <f t="shared" ref="R279:R290" si="142">IF(P$12=0,0,P279/P$12)</f>
        <v>6.2043895809442098E-2</v>
      </c>
      <c r="S279" s="4"/>
      <c r="T279" s="4">
        <f>SUM(OSRRefT25x_0)</f>
        <v>386925</v>
      </c>
      <c r="U279" s="4"/>
      <c r="V279" s="12">
        <f t="shared" ref="V279:V290" si="143">IF(T$12=0,0,T279/T$12)</f>
        <v>5.9003489997502295E-2</v>
      </c>
      <c r="W279" s="4"/>
      <c r="X279" s="4">
        <f t="shared" ref="X279:X290" si="144">+P279-T279</f>
        <v>20707.369999999995</v>
      </c>
      <c r="Y279" s="4"/>
      <c r="Z279" s="12">
        <f t="shared" ref="Z279:Z290" si="145">IF(T279=0,0,X279/T279)</f>
        <v>5.3517787684951849E-2</v>
      </c>
    </row>
    <row r="280" spans="1:26" s="24" customFormat="1" hidden="1" outlineLevel="1" x14ac:dyDescent="0.25">
      <c r="A280" s="44"/>
      <c r="B280" s="11" t="str">
        <f>CONCATENATE("          ", "4098", " - ", "TAXABLE SALES-GRAD RENTALS")</f>
        <v xml:space="preserve">          4098 - TAXABLE SALES-GRAD RENTALS</v>
      </c>
      <c r="C280" s="11"/>
      <c r="D280" s="2">
        <f>0</f>
        <v>0</v>
      </c>
      <c r="E280" s="2"/>
      <c r="F280" s="19">
        <f t="shared" si="138"/>
        <v>0</v>
      </c>
      <c r="G280" s="2"/>
      <c r="H280" s="2"/>
      <c r="I280" s="2"/>
      <c r="J280" s="19">
        <f t="shared" si="139"/>
        <v>0</v>
      </c>
      <c r="K280" s="2"/>
      <c r="L280" s="2">
        <f t="shared" si="140"/>
        <v>0</v>
      </c>
      <c r="M280" s="2"/>
      <c r="N280" s="19">
        <f t="shared" si="141"/>
        <v>0</v>
      </c>
      <c r="O280" s="11"/>
      <c r="P280" s="2">
        <f>--1626.85</f>
        <v>1626.85</v>
      </c>
      <c r="Q280" s="2"/>
      <c r="R280" s="19">
        <f t="shared" si="142"/>
        <v>2.4761554608038335E-4</v>
      </c>
      <c r="S280" s="2"/>
      <c r="T280" s="2"/>
      <c r="U280" s="2"/>
      <c r="V280" s="19">
        <f t="shared" si="143"/>
        <v>0</v>
      </c>
      <c r="W280" s="2"/>
      <c r="X280" s="2">
        <f t="shared" si="144"/>
        <v>1626.85</v>
      </c>
      <c r="Y280" s="2"/>
      <c r="Z280" s="19">
        <f t="shared" si="145"/>
        <v>0</v>
      </c>
    </row>
    <row r="281" spans="1:26" s="24" customFormat="1" hidden="1" outlineLevel="1" x14ac:dyDescent="0.25">
      <c r="A281" s="44"/>
      <c r="B281" s="11" t="str">
        <f>CONCATENATE("          ", "4187", " - ", "NON-TAXABLE SALES-COMPUTER REP")</f>
        <v xml:space="preserve">          4187 - NON-TAXABLE SALES-COMPUTER REP</v>
      </c>
      <c r="C281" s="11"/>
      <c r="D281" s="2">
        <f>--949.24</f>
        <v>949.24</v>
      </c>
      <c r="E281" s="2"/>
      <c r="F281" s="19">
        <f t="shared" si="138"/>
        <v>1.5539831098059721E-3</v>
      </c>
      <c r="G281" s="2"/>
      <c r="H281" s="2"/>
      <c r="I281" s="2"/>
      <c r="J281" s="19">
        <f t="shared" si="139"/>
        <v>0</v>
      </c>
      <c r="K281" s="2"/>
      <c r="L281" s="2">
        <f t="shared" si="140"/>
        <v>949.24</v>
      </c>
      <c r="M281" s="2"/>
      <c r="N281" s="19">
        <f t="shared" si="141"/>
        <v>0</v>
      </c>
      <c r="O281" s="11"/>
      <c r="P281" s="2">
        <f>--12731.93</f>
        <v>12731.93</v>
      </c>
      <c r="Q281" s="2"/>
      <c r="R281" s="19">
        <f t="shared" si="142"/>
        <v>1.9378699939190554E-3</v>
      </c>
      <c r="S281" s="2"/>
      <c r="T281" s="2"/>
      <c r="U281" s="2"/>
      <c r="V281" s="19">
        <f t="shared" si="143"/>
        <v>0</v>
      </c>
      <c r="W281" s="2"/>
      <c r="X281" s="2">
        <f t="shared" si="144"/>
        <v>12731.93</v>
      </c>
      <c r="Y281" s="2"/>
      <c r="Z281" s="19">
        <f t="shared" si="145"/>
        <v>0</v>
      </c>
    </row>
    <row r="282" spans="1:26" s="24" customFormat="1" hidden="1" outlineLevel="1" x14ac:dyDescent="0.25">
      <c r="A282" s="44"/>
      <c r="B282" s="11" t="str">
        <f>CONCATENATE("          ", "4197", " - ", "NON-TAXABLE SALES-RETURNED CHE")</f>
        <v xml:space="preserve">          4197 - NON-TAXABLE SALES-RETURNED CHE</v>
      </c>
      <c r="C282" s="11"/>
      <c r="D282" s="2">
        <f t="shared" ref="D282:D283" si="146">0</f>
        <v>0</v>
      </c>
      <c r="E282" s="2"/>
      <c r="F282" s="19">
        <f t="shared" si="138"/>
        <v>0</v>
      </c>
      <c r="G282" s="2"/>
      <c r="H282" s="2"/>
      <c r="I282" s="2"/>
      <c r="J282" s="19">
        <f t="shared" si="139"/>
        <v>0</v>
      </c>
      <c r="K282" s="2"/>
      <c r="L282" s="2">
        <f t="shared" si="140"/>
        <v>0</v>
      </c>
      <c r="M282" s="2"/>
      <c r="N282" s="19">
        <f t="shared" si="141"/>
        <v>0</v>
      </c>
      <c r="O282" s="11"/>
      <c r="P282" s="2">
        <f>--30</f>
        <v>30</v>
      </c>
      <c r="Q282" s="2"/>
      <c r="R282" s="19">
        <f t="shared" si="142"/>
        <v>4.5661655238107393E-6</v>
      </c>
      <c r="S282" s="2"/>
      <c r="T282" s="2"/>
      <c r="U282" s="2"/>
      <c r="V282" s="19">
        <f t="shared" si="143"/>
        <v>0</v>
      </c>
      <c r="W282" s="2"/>
      <c r="X282" s="2">
        <f t="shared" si="144"/>
        <v>30</v>
      </c>
      <c r="Y282" s="2"/>
      <c r="Z282" s="19">
        <f t="shared" si="145"/>
        <v>0</v>
      </c>
    </row>
    <row r="283" spans="1:26" s="24" customFormat="1" hidden="1" outlineLevel="1" x14ac:dyDescent="0.25">
      <c r="A283" s="44"/>
      <c r="B283" s="11" t="str">
        <f>CONCATENATE("          ", "4198", " - ", "NON-TAXABLE SALES-GRAD RENTALS")</f>
        <v xml:space="preserve">          4198 - NON-TAXABLE SALES-GRAD RENTALS</v>
      </c>
      <c r="C283" s="11"/>
      <c r="D283" s="2">
        <f t="shared" si="146"/>
        <v>0</v>
      </c>
      <c r="E283" s="2"/>
      <c r="F283" s="19">
        <f t="shared" si="138"/>
        <v>0</v>
      </c>
      <c r="G283" s="2"/>
      <c r="H283" s="2"/>
      <c r="I283" s="2"/>
      <c r="J283" s="19">
        <f t="shared" si="139"/>
        <v>0</v>
      </c>
      <c r="K283" s="2"/>
      <c r="L283" s="2">
        <f t="shared" si="140"/>
        <v>0</v>
      </c>
      <c r="M283" s="2"/>
      <c r="N283" s="19">
        <f t="shared" si="141"/>
        <v>0</v>
      </c>
      <c r="O283" s="11"/>
      <c r="P283" s="2">
        <f>--495</f>
        <v>495</v>
      </c>
      <c r="Q283" s="2"/>
      <c r="R283" s="19">
        <f t="shared" si="142"/>
        <v>7.5341731142877194E-5</v>
      </c>
      <c r="S283" s="2"/>
      <c r="T283" s="2"/>
      <c r="U283" s="2"/>
      <c r="V283" s="19">
        <f t="shared" si="143"/>
        <v>0</v>
      </c>
      <c r="W283" s="2"/>
      <c r="X283" s="2">
        <f t="shared" si="144"/>
        <v>495</v>
      </c>
      <c r="Y283" s="2"/>
      <c r="Z283" s="19">
        <f t="shared" si="145"/>
        <v>0</v>
      </c>
    </row>
    <row r="284" spans="1:26" s="24" customFormat="1" hidden="1" outlineLevel="1" x14ac:dyDescent="0.25">
      <c r="A284" s="44"/>
      <c r="B284" s="11" t="str">
        <f>CONCATENATE("          ", "4387", " - ", "SALES RETURN NON TAXABLE-COMPU")</f>
        <v xml:space="preserve">          4387 - SALES RETURN NON TAXABLE-COMPU</v>
      </c>
      <c r="C284" s="11"/>
      <c r="D284" s="2">
        <f>-1098.25</f>
        <v>-1098.25</v>
      </c>
      <c r="E284" s="2"/>
      <c r="F284" s="19">
        <f t="shared" si="138"/>
        <v>-1.7979246032029928E-3</v>
      </c>
      <c r="G284" s="2"/>
      <c r="H284" s="2"/>
      <c r="I284" s="2"/>
      <c r="J284" s="19">
        <f t="shared" si="139"/>
        <v>0</v>
      </c>
      <c r="K284" s="2"/>
      <c r="L284" s="2">
        <f t="shared" si="140"/>
        <v>-1098.25</v>
      </c>
      <c r="M284" s="2"/>
      <c r="N284" s="19">
        <f t="shared" si="141"/>
        <v>0</v>
      </c>
      <c r="O284" s="11"/>
      <c r="P284" s="2">
        <f>-7889</f>
        <v>-7889</v>
      </c>
      <c r="Q284" s="2"/>
      <c r="R284" s="19">
        <f t="shared" si="142"/>
        <v>-1.2007493272447639E-3</v>
      </c>
      <c r="S284" s="2"/>
      <c r="T284" s="2"/>
      <c r="U284" s="2"/>
      <c r="V284" s="19">
        <f t="shared" si="143"/>
        <v>0</v>
      </c>
      <c r="W284" s="2"/>
      <c r="X284" s="2">
        <f t="shared" si="144"/>
        <v>-7889</v>
      </c>
      <c r="Y284" s="2"/>
      <c r="Z284" s="19">
        <f t="shared" si="145"/>
        <v>0</v>
      </c>
    </row>
    <row r="285" spans="1:26" s="24" customFormat="1" hidden="1" outlineLevel="1" x14ac:dyDescent="0.25">
      <c r="A285" s="44"/>
      <c r="B285" s="11" t="str">
        <f>CONCATENATE("          ", "9150", " - ", "MISC. INCOME")</f>
        <v xml:space="preserve">          9150 - MISC. INCOME</v>
      </c>
      <c r="C285" s="11"/>
      <c r="D285" s="2">
        <f>--20586.22</f>
        <v>20586.22</v>
      </c>
      <c r="E285" s="2"/>
      <c r="F285" s="19">
        <f t="shared" si="138"/>
        <v>3.3701317027042585E-2</v>
      </c>
      <c r="G285" s="2"/>
      <c r="H285" s="2">
        <v>31250</v>
      </c>
      <c r="I285" s="2"/>
      <c r="J285" s="19">
        <f t="shared" si="139"/>
        <v>5.8216048486440283E-2</v>
      </c>
      <c r="K285" s="2"/>
      <c r="L285" s="2">
        <f t="shared" si="140"/>
        <v>-10663.779999999999</v>
      </c>
      <c r="M285" s="2"/>
      <c r="N285" s="19">
        <f t="shared" si="141"/>
        <v>-0.34124095999999998</v>
      </c>
      <c r="O285" s="11"/>
      <c r="P285" s="2">
        <f>--228533.45</f>
        <v>228533.45</v>
      </c>
      <c r="Q285" s="2"/>
      <c r="R285" s="19">
        <f t="shared" si="142"/>
        <v>3.4784052014250846E-2</v>
      </c>
      <c r="S285" s="2"/>
      <c r="T285" s="2">
        <v>167825</v>
      </c>
      <c r="U285" s="2"/>
      <c r="V285" s="19">
        <f t="shared" si="143"/>
        <v>2.5592196701766035E-2</v>
      </c>
      <c r="W285" s="2"/>
      <c r="X285" s="2">
        <f t="shared" si="144"/>
        <v>60708.450000000012</v>
      </c>
      <c r="Y285" s="2"/>
      <c r="Z285" s="19">
        <f t="shared" si="145"/>
        <v>0.36173663041859089</v>
      </c>
    </row>
    <row r="286" spans="1:26" s="24" customFormat="1" hidden="1" outlineLevel="1" x14ac:dyDescent="0.25">
      <c r="A286" s="44"/>
      <c r="B286" s="11" t="str">
        <f>CONCATENATE("          ", "9151", " - ", "MISC. INCOME")</f>
        <v xml:space="preserve">          9151 - MISC. INCOME</v>
      </c>
      <c r="C286" s="11"/>
      <c r="D286" s="2">
        <f>0</f>
        <v>0</v>
      </c>
      <c r="E286" s="2"/>
      <c r="F286" s="19">
        <f t="shared" si="138"/>
        <v>0</v>
      </c>
      <c r="G286" s="2"/>
      <c r="H286" s="2">
        <v>12850</v>
      </c>
      <c r="I286" s="2"/>
      <c r="J286" s="19">
        <f t="shared" si="139"/>
        <v>2.3938439137624244E-2</v>
      </c>
      <c r="K286" s="2"/>
      <c r="L286" s="2">
        <f t="shared" si="140"/>
        <v>-12850</v>
      </c>
      <c r="M286" s="2"/>
      <c r="N286" s="19">
        <f t="shared" si="141"/>
        <v>-1</v>
      </c>
      <c r="O286" s="11"/>
      <c r="P286" s="2">
        <f>--87224.27</f>
        <v>87224.27</v>
      </c>
      <c r="Q286" s="2"/>
      <c r="R286" s="19">
        <f t="shared" si="142"/>
        <v>1.3276015150451978E-2</v>
      </c>
      <c r="S286" s="2"/>
      <c r="T286" s="2">
        <v>52000</v>
      </c>
      <c r="U286" s="2"/>
      <c r="V286" s="19">
        <f t="shared" si="143"/>
        <v>7.9296542737484505E-3</v>
      </c>
      <c r="W286" s="2"/>
      <c r="X286" s="2">
        <f t="shared" si="144"/>
        <v>35224.270000000004</v>
      </c>
      <c r="Y286" s="2"/>
      <c r="Z286" s="19">
        <f t="shared" si="145"/>
        <v>0.67738980769230772</v>
      </c>
    </row>
    <row r="287" spans="1:26" s="24" customFormat="1" hidden="1" outlineLevel="1" x14ac:dyDescent="0.25">
      <c r="A287" s="44"/>
      <c r="B287" s="11" t="str">
        <f>CONCATENATE("          ", "9152", " - ", "MISC. INCOME")</f>
        <v xml:space="preserve">          9152 - MISC. INCOME</v>
      </c>
      <c r="C287" s="11"/>
      <c r="D287" s="2">
        <f>--154.22</f>
        <v>154.22</v>
      </c>
      <c r="E287" s="2"/>
      <c r="F287" s="19">
        <f t="shared" si="138"/>
        <v>2.5247068728064242E-4</v>
      </c>
      <c r="G287" s="2"/>
      <c r="H287" s="2"/>
      <c r="I287" s="2"/>
      <c r="J287" s="19">
        <f t="shared" si="139"/>
        <v>0</v>
      </c>
      <c r="K287" s="2"/>
      <c r="L287" s="2">
        <f t="shared" si="140"/>
        <v>154.22</v>
      </c>
      <c r="M287" s="2"/>
      <c r="N287" s="19">
        <f t="shared" si="141"/>
        <v>0</v>
      </c>
      <c r="O287" s="11"/>
      <c r="P287" s="2">
        <f>--848.32</f>
        <v>848.32</v>
      </c>
      <c r="Q287" s="2"/>
      <c r="R287" s="19">
        <f t="shared" si="142"/>
        <v>1.2911898457197089E-4</v>
      </c>
      <c r="S287" s="2"/>
      <c r="T287" s="2"/>
      <c r="U287" s="2"/>
      <c r="V287" s="19">
        <f t="shared" si="143"/>
        <v>0</v>
      </c>
      <c r="W287" s="2"/>
      <c r="X287" s="2">
        <f t="shared" si="144"/>
        <v>848.32</v>
      </c>
      <c r="Y287" s="2"/>
      <c r="Z287" s="19">
        <f t="shared" si="145"/>
        <v>0</v>
      </c>
    </row>
    <row r="288" spans="1:26" s="24" customFormat="1" hidden="1" outlineLevel="1" x14ac:dyDescent="0.25">
      <c r="A288" s="44"/>
      <c r="B288" s="11" t="str">
        <f>CONCATENATE("          ", "9153", " - ", "MISC. INCOME")</f>
        <v xml:space="preserve">          9153 - MISC. INCOME</v>
      </c>
      <c r="C288" s="11"/>
      <c r="D288" s="2">
        <f>--450</f>
        <v>450</v>
      </c>
      <c r="E288" s="2"/>
      <c r="F288" s="19">
        <f t="shared" si="138"/>
        <v>7.366866118291343E-4</v>
      </c>
      <c r="G288" s="2"/>
      <c r="H288" s="2"/>
      <c r="I288" s="2"/>
      <c r="J288" s="19">
        <f t="shared" si="139"/>
        <v>0</v>
      </c>
      <c r="K288" s="2"/>
      <c r="L288" s="2">
        <f t="shared" si="140"/>
        <v>450</v>
      </c>
      <c r="M288" s="2"/>
      <c r="N288" s="19">
        <f t="shared" si="141"/>
        <v>0</v>
      </c>
      <c r="O288" s="11"/>
      <c r="P288" s="2">
        <f>--450</f>
        <v>450</v>
      </c>
      <c r="Q288" s="2"/>
      <c r="R288" s="19">
        <f t="shared" si="142"/>
        <v>6.8492482857161082E-5</v>
      </c>
      <c r="S288" s="2"/>
      <c r="T288" s="2"/>
      <c r="U288" s="2"/>
      <c r="V288" s="19">
        <f t="shared" si="143"/>
        <v>0</v>
      </c>
      <c r="W288" s="2"/>
      <c r="X288" s="2">
        <f t="shared" si="144"/>
        <v>450</v>
      </c>
      <c r="Y288" s="2"/>
      <c r="Z288" s="19">
        <f t="shared" si="145"/>
        <v>0</v>
      </c>
    </row>
    <row r="289" spans="1:26" s="24" customFormat="1" hidden="1" outlineLevel="1" x14ac:dyDescent="0.25">
      <c r="A289" s="44"/>
      <c r="B289" s="11" t="str">
        <f>CONCATENATE("          ", "9160", " - ", "MISC. INCOME")</f>
        <v xml:space="preserve">          9160 - MISC. INCOME</v>
      </c>
      <c r="C289" s="11"/>
      <c r="D289" s="2">
        <f>--1305</f>
        <v>1305</v>
      </c>
      <c r="E289" s="2"/>
      <c r="F289" s="19">
        <f t="shared" si="138"/>
        <v>2.1363911743044893E-3</v>
      </c>
      <c r="G289" s="2"/>
      <c r="H289" s="2">
        <v>17300</v>
      </c>
      <c r="I289" s="2"/>
      <c r="J289" s="19">
        <f t="shared" si="139"/>
        <v>3.2228404442093343E-2</v>
      </c>
      <c r="K289" s="2"/>
      <c r="L289" s="2">
        <f t="shared" si="140"/>
        <v>-15995</v>
      </c>
      <c r="M289" s="2"/>
      <c r="N289" s="19">
        <f t="shared" si="141"/>
        <v>-0.92456647398843927</v>
      </c>
      <c r="O289" s="11"/>
      <c r="P289" s="2">
        <f>--22475</f>
        <v>22475</v>
      </c>
      <c r="Q289" s="2"/>
      <c r="R289" s="19">
        <f t="shared" si="142"/>
        <v>3.4208190049215452E-3</v>
      </c>
      <c r="S289" s="2"/>
      <c r="T289" s="2">
        <v>167100</v>
      </c>
      <c r="U289" s="2"/>
      <c r="V289" s="19">
        <f t="shared" si="143"/>
        <v>2.5481639021987811E-2</v>
      </c>
      <c r="W289" s="2"/>
      <c r="X289" s="2">
        <f t="shared" si="144"/>
        <v>-144625</v>
      </c>
      <c r="Y289" s="2"/>
      <c r="Z289" s="19">
        <f t="shared" si="145"/>
        <v>-0.86549970077797722</v>
      </c>
    </row>
    <row r="290" spans="1:26" s="24" customFormat="1" hidden="1" outlineLevel="1" x14ac:dyDescent="0.25">
      <c r="A290" s="44"/>
      <c r="B290" s="11" t="str">
        <f>CONCATENATE("          ", "9163", " - ", "MISC. INCOME")</f>
        <v xml:space="preserve">          9163 - MISC. INCOME</v>
      </c>
      <c r="C290" s="11"/>
      <c r="D290" s="2">
        <f>0</f>
        <v>0</v>
      </c>
      <c r="E290" s="2"/>
      <c r="F290" s="19">
        <f t="shared" si="138"/>
        <v>0</v>
      </c>
      <c r="G290" s="2"/>
      <c r="H290" s="2"/>
      <c r="I290" s="2"/>
      <c r="J290" s="19">
        <f t="shared" si="139"/>
        <v>0</v>
      </c>
      <c r="K290" s="2"/>
      <c r="L290" s="2">
        <f t="shared" si="140"/>
        <v>0</v>
      </c>
      <c r="M290" s="2"/>
      <c r="N290" s="19">
        <f t="shared" si="141"/>
        <v>0</v>
      </c>
      <c r="O290" s="11"/>
      <c r="P290" s="2">
        <f>--61106.55</f>
        <v>61106.55</v>
      </c>
      <c r="Q290" s="2"/>
      <c r="R290" s="19">
        <f t="shared" si="142"/>
        <v>9.3007540629672369E-3</v>
      </c>
      <c r="S290" s="2"/>
      <c r="T290" s="2"/>
      <c r="U290" s="2"/>
      <c r="V290" s="19">
        <f t="shared" si="143"/>
        <v>0</v>
      </c>
      <c r="W290" s="2"/>
      <c r="X290" s="2">
        <f t="shared" si="144"/>
        <v>61106.55</v>
      </c>
      <c r="Y290" s="2"/>
      <c r="Z290" s="19">
        <f t="shared" si="145"/>
        <v>0</v>
      </c>
    </row>
    <row r="291" spans="1:26" x14ac:dyDescent="0.25">
      <c r="A291" s="9"/>
      <c r="B291" s="10"/>
      <c r="C291" s="10"/>
      <c r="D291" s="3"/>
      <c r="E291" s="3"/>
      <c r="F291" s="8"/>
      <c r="G291" s="3"/>
      <c r="H291" s="3"/>
      <c r="I291" s="3"/>
      <c r="J291" s="8"/>
      <c r="K291" s="3"/>
      <c r="L291" s="3"/>
      <c r="M291" s="3"/>
      <c r="N291" s="8"/>
      <c r="O291" s="10"/>
      <c r="P291" s="3"/>
      <c r="Q291" s="3"/>
      <c r="R291" s="8"/>
      <c r="S291" s="3"/>
      <c r="T291" s="3"/>
      <c r="U291" s="3"/>
      <c r="V291" s="8"/>
      <c r="W291" s="3"/>
      <c r="X291" s="3"/>
      <c r="Y291" s="3"/>
      <c r="Z291" s="8"/>
    </row>
    <row r="292" spans="1:26" s="23" customFormat="1" x14ac:dyDescent="0.25">
      <c r="A292" s="10"/>
      <c r="B292" s="28" t="s">
        <v>3</v>
      </c>
      <c r="C292" s="28"/>
      <c r="D292" s="20">
        <f>+D182-D184+D279</f>
        <v>-82687.880000000456</v>
      </c>
      <c r="E292" s="14"/>
      <c r="F292" s="22">
        <f>IF(D$12=0,0,D292/D$12)</f>
        <v>-0.13536678701452082</v>
      </c>
      <c r="G292" s="14"/>
      <c r="H292" s="20">
        <f>+H182-H184+H279</f>
        <v>-63972.864607629133</v>
      </c>
      <c r="I292" s="14"/>
      <c r="J292" s="22">
        <f>IF(H$12=0,0,H292/H$12)</f>
        <v>-0.11917591641005496</v>
      </c>
      <c r="K292" s="16"/>
      <c r="L292" s="20">
        <f>+D292-H292</f>
        <v>-18715.015392371322</v>
      </c>
      <c r="M292" s="16"/>
      <c r="N292" s="22">
        <f>IF(H292=0,0,L292/H292)</f>
        <v>0.29254615229688258</v>
      </c>
      <c r="O292" s="29"/>
      <c r="P292" s="20">
        <f>+P182-P184+P279</f>
        <v>603802.149999997</v>
      </c>
      <c r="Q292" s="14"/>
      <c r="R292" s="22">
        <f>IF(P$12=0,0,P292/P$12)</f>
        <v>9.1902018684426226E-2</v>
      </c>
      <c r="S292" s="14"/>
      <c r="T292" s="20">
        <f>+T182-T184+T279</f>
        <v>747450.13707642141</v>
      </c>
      <c r="U292" s="14"/>
      <c r="V292" s="22">
        <f>IF(T$12=0,0,T292/T$12)</f>
        <v>0.11398117642080598</v>
      </c>
      <c r="W292" s="16"/>
      <c r="X292" s="20">
        <f>+P292-T292</f>
        <v>-143647.98707642441</v>
      </c>
      <c r="Y292" s="16"/>
      <c r="Z292" s="22">
        <f>IF(T292=0,0,X292/T292)</f>
        <v>-0.19218404004618897</v>
      </c>
    </row>
    <row r="293" spans="1:26" x14ac:dyDescent="0.25">
      <c r="A293" s="9"/>
      <c r="B293" s="10"/>
      <c r="C293" s="9"/>
      <c r="D293" s="3"/>
      <c r="E293" s="3"/>
      <c r="F293" s="8"/>
      <c r="G293" s="3"/>
      <c r="H293" s="3"/>
      <c r="I293" s="3"/>
      <c r="J293" s="8"/>
      <c r="K293" s="3"/>
      <c r="L293" s="3"/>
      <c r="M293" s="3"/>
      <c r="N293" s="8"/>
      <c r="P293" s="3"/>
      <c r="Q293" s="3"/>
      <c r="R293" s="8"/>
      <c r="S293" s="3"/>
      <c r="T293" s="3"/>
      <c r="U293" s="3"/>
      <c r="V293" s="8"/>
      <c r="W293" s="3"/>
      <c r="X293" s="3"/>
      <c r="Y293" s="3"/>
      <c r="Z293" s="8"/>
    </row>
    <row r="294" spans="1:26" s="23" customFormat="1" x14ac:dyDescent="0.25">
      <c r="A294" s="52"/>
      <c r="B294" s="10" t="s">
        <v>14</v>
      </c>
      <c r="C294" s="10"/>
      <c r="D294" s="4">
        <v>95854.95</v>
      </c>
      <c r="E294" s="4"/>
      <c r="F294" s="12">
        <f>IF(D$12=0,0,D294/D$12)</f>
        <v>0.15692235187233572</v>
      </c>
      <c r="G294" s="4"/>
      <c r="H294" s="4">
        <v>106012</v>
      </c>
      <c r="I294" s="4"/>
      <c r="J294" s="12">
        <f>IF(H$12=0,0,H294/H$12)</f>
        <v>0.19749119142862423</v>
      </c>
      <c r="K294" s="4"/>
      <c r="L294" s="4">
        <f>+D294-H294</f>
        <v>-10157.050000000003</v>
      </c>
      <c r="M294" s="4"/>
      <c r="N294" s="12">
        <f>IF(H294=0,0,L294/H294)</f>
        <v>-9.5810379956986033E-2</v>
      </c>
      <c r="O294" s="10"/>
      <c r="P294" s="4">
        <v>695725.33</v>
      </c>
      <c r="Q294" s="4"/>
      <c r="R294" s="12">
        <f>IF(P$12=0,0,P294/P$12)</f>
        <v>0.1058932338629283</v>
      </c>
      <c r="S294" s="4"/>
      <c r="T294" s="4">
        <v>831064</v>
      </c>
      <c r="U294" s="4"/>
      <c r="V294" s="12">
        <f>IF(T$12=0,0,T294/T$12)</f>
        <v>0.12673173460304774</v>
      </c>
      <c r="W294" s="4"/>
      <c r="X294" s="4">
        <f>+P294-T294</f>
        <v>-135338.67000000004</v>
      </c>
      <c r="Y294" s="4"/>
      <c r="Z294" s="12">
        <f>IF(T294=0,0,X294/T294)</f>
        <v>-0.1628498767844595</v>
      </c>
    </row>
    <row r="295" spans="1:26" x14ac:dyDescent="0.25">
      <c r="A295" s="9"/>
      <c r="B295" s="10"/>
      <c r="C295" s="10"/>
      <c r="D295" s="3"/>
      <c r="E295" s="3"/>
      <c r="F295" s="8"/>
      <c r="G295" s="3"/>
      <c r="H295" s="3"/>
      <c r="I295" s="3"/>
      <c r="J295" s="8"/>
      <c r="K295" s="3"/>
      <c r="L295" s="3"/>
      <c r="M295" s="3"/>
      <c r="N295" s="8"/>
      <c r="O295" s="10"/>
      <c r="P295" s="3"/>
      <c r="Q295" s="3"/>
      <c r="R295" s="8"/>
      <c r="S295" s="3"/>
      <c r="T295" s="3"/>
      <c r="U295" s="3"/>
      <c r="V295" s="8"/>
      <c r="W295" s="3"/>
      <c r="X295" s="3"/>
      <c r="Y295" s="3"/>
      <c r="Z295" s="8"/>
    </row>
    <row r="296" spans="1:26" s="23" customFormat="1" ht="15.75" thickBot="1" x14ac:dyDescent="0.3">
      <c r="A296" s="10"/>
      <c r="B296" s="28" t="s">
        <v>4</v>
      </c>
      <c r="C296" s="28"/>
      <c r="D296" s="30">
        <f>+D292-D294</f>
        <v>-178542.83000000045</v>
      </c>
      <c r="E296" s="14"/>
      <c r="F296" s="32">
        <f>IF(D$12=0,0,D296/D$12)</f>
        <v>-0.29228913888685654</v>
      </c>
      <c r="G296" s="14"/>
      <c r="H296" s="30">
        <f>+H292-H294</f>
        <v>-169984.86460762913</v>
      </c>
      <c r="I296" s="14"/>
      <c r="J296" s="32">
        <f>IF(H$12=0,0,H296/H$12)</f>
        <v>-0.31666710783867918</v>
      </c>
      <c r="K296" s="16"/>
      <c r="L296" s="30">
        <f>D296-H296</f>
        <v>-8557.9653923713195</v>
      </c>
      <c r="M296" s="16"/>
      <c r="N296" s="32">
        <f>IF(H296=0,0,L296/H296)</f>
        <v>5.0345455238767343E-2</v>
      </c>
      <c r="O296" s="29"/>
      <c r="P296" s="30">
        <f>+P292-P294</f>
        <v>-91923.180000002962</v>
      </c>
      <c r="Q296" s="14"/>
      <c r="R296" s="32">
        <f>IF(P$12=0,0,P296/P$12)</f>
        <v>-1.3991215178502079E-2</v>
      </c>
      <c r="S296" s="14"/>
      <c r="T296" s="30">
        <f>+T292-T294</f>
        <v>-83613.862923578592</v>
      </c>
      <c r="U296" s="14"/>
      <c r="V296" s="32">
        <f>IF(T$12=0,0,T296/T$12)</f>
        <v>-1.2750558182241772E-2</v>
      </c>
      <c r="W296" s="16"/>
      <c r="X296" s="30">
        <f>P296-T296</f>
        <v>-8309.3170764243696</v>
      </c>
      <c r="Y296" s="16"/>
      <c r="Z296" s="32">
        <f>IF(T296=0,0,X296/T296)</f>
        <v>9.9377265753394506E-2</v>
      </c>
    </row>
    <row r="297" spans="1:26" ht="15.75" thickTop="1" x14ac:dyDescent="0.25">
      <c r="A297" s="9"/>
      <c r="B297" s="9"/>
      <c r="C297" s="9"/>
      <c r="D297" s="3"/>
      <c r="E297" s="3"/>
      <c r="F297" s="8"/>
      <c r="G297" s="3"/>
      <c r="H297" s="3"/>
      <c r="I297" s="3"/>
      <c r="J297" s="8"/>
      <c r="K297" s="3"/>
      <c r="L297" s="3"/>
      <c r="M297" s="3"/>
      <c r="N297" s="8"/>
      <c r="P297" s="3"/>
      <c r="Q297" s="3"/>
      <c r="R297" s="8"/>
      <c r="S297" s="3"/>
      <c r="T297" s="3"/>
      <c r="U297" s="3"/>
      <c r="V297" s="8"/>
      <c r="W297" s="3"/>
      <c r="X297" s="3"/>
      <c r="Y297" s="3"/>
      <c r="Z297" s="8"/>
    </row>
    <row r="298" spans="1:26" x14ac:dyDescent="0.25">
      <c r="A298" s="9"/>
      <c r="B298" s="9"/>
      <c r="C298" s="9"/>
      <c r="D298" s="3"/>
      <c r="E298" s="3"/>
      <c r="F298" s="8"/>
      <c r="G298" s="3"/>
      <c r="H298" s="3"/>
      <c r="I298" s="3"/>
      <c r="J298" s="8"/>
      <c r="K298" s="3"/>
      <c r="L298" s="3"/>
      <c r="M298" s="3"/>
      <c r="N298" s="8"/>
      <c r="P298" s="3"/>
      <c r="Q298" s="3"/>
      <c r="R298" s="8"/>
      <c r="S298" s="3"/>
      <c r="T298" s="3"/>
      <c r="U298" s="3"/>
      <c r="V298" s="8"/>
      <c r="W298" s="3"/>
      <c r="X298" s="3"/>
      <c r="Y298" s="3"/>
      <c r="Z298" s="8"/>
    </row>
    <row r="299" spans="1:26" s="23" customFormat="1" ht="15.75" thickBot="1" x14ac:dyDescent="0.3">
      <c r="A299" s="10"/>
      <c r="B299" s="28" t="s">
        <v>5</v>
      </c>
      <c r="C299" s="28"/>
      <c r="D299" s="31">
        <f>SUM(D296:D298)</f>
        <v>-178542.83000000045</v>
      </c>
      <c r="E299" s="14"/>
      <c r="F299" s="35">
        <f>IF(D$12=0,0,D299/D$12)</f>
        <v>-0.29228913888685654</v>
      </c>
      <c r="G299" s="14"/>
      <c r="H299" s="31">
        <f>SUM(H296:H298)</f>
        <v>-169984.86460762913</v>
      </c>
      <c r="I299" s="14"/>
      <c r="J299" s="35">
        <f>IF(H$12=0,0,H299/H$12)</f>
        <v>-0.31666710783867918</v>
      </c>
      <c r="K299" s="16"/>
      <c r="L299" s="31">
        <f>+D299-H299</f>
        <v>-8557.9653923713195</v>
      </c>
      <c r="M299" s="16"/>
      <c r="N299" s="35">
        <f>IF(H299=0,0,L299/H299)</f>
        <v>5.0345455238767343E-2</v>
      </c>
      <c r="O299" s="29"/>
      <c r="P299" s="31">
        <f>SUM(P296:P298)</f>
        <v>-91923.180000002962</v>
      </c>
      <c r="Q299" s="14"/>
      <c r="R299" s="35">
        <f>IF(P$12=0,0,P299/P$12)</f>
        <v>-1.3991215178502079E-2</v>
      </c>
      <c r="S299" s="14"/>
      <c r="T299" s="31">
        <f>SUM(T296:T298)</f>
        <v>-83613.862923578592</v>
      </c>
      <c r="U299" s="14"/>
      <c r="V299" s="35">
        <f>IF(T$12=0,0,T299/T$12)</f>
        <v>-1.2750558182241772E-2</v>
      </c>
      <c r="W299" s="16"/>
      <c r="X299" s="31">
        <f>+P299-T299</f>
        <v>-8309.3170764243696</v>
      </c>
      <c r="Y299" s="16"/>
      <c r="Z299" s="35">
        <f>IF(T299=0,0,X299/T299)</f>
        <v>9.9377265753394506E-2</v>
      </c>
    </row>
    <row r="300" spans="1:26" ht="15.75" thickTop="1" x14ac:dyDescent="0.25">
      <c r="A300" s="9"/>
      <c r="C300" s="9"/>
      <c r="D300" s="17"/>
      <c r="E300" s="17"/>
      <c r="G300" s="17"/>
      <c r="H300" s="17"/>
      <c r="I300" s="17"/>
      <c r="J300" s="43"/>
      <c r="K300" s="17"/>
      <c r="L300" s="17"/>
      <c r="M300" s="17"/>
      <c r="P300" s="17"/>
      <c r="Q300" s="17"/>
      <c r="R300" s="43"/>
      <c r="S300" s="17"/>
      <c r="T300" s="17"/>
      <c r="U300" s="17"/>
      <c r="V300" s="43"/>
      <c r="W300" s="17"/>
      <c r="X300" s="17"/>
    </row>
    <row r="301" spans="1:26" x14ac:dyDescent="0.25">
      <c r="A301" s="9"/>
      <c r="B301" s="56">
        <v>43815.483192789354</v>
      </c>
      <c r="D301" s="17"/>
      <c r="E301" s="17"/>
      <c r="G301" s="17"/>
      <c r="H301" s="17"/>
      <c r="I301" s="17"/>
      <c r="J301" s="43"/>
      <c r="K301" s="17"/>
      <c r="L301" s="17"/>
      <c r="M301" s="17"/>
      <c r="P301" s="17"/>
      <c r="Q301" s="17"/>
      <c r="R301" s="43"/>
      <c r="S301" s="17"/>
      <c r="T301" s="17"/>
      <c r="U301" s="17"/>
      <c r="V301" s="43"/>
      <c r="W301" s="17"/>
      <c r="X301" s="17"/>
    </row>
    <row r="302" spans="1:26" x14ac:dyDescent="0.25">
      <c r="A302" s="9"/>
      <c r="B302" s="62" t="s">
        <v>314</v>
      </c>
      <c r="D302" s="17"/>
      <c r="E302" s="17"/>
      <c r="G302" s="17"/>
      <c r="H302" s="17"/>
      <c r="I302" s="17"/>
      <c r="J302" s="43"/>
      <c r="K302" s="17"/>
      <c r="L302" s="17"/>
      <c r="M302" s="17"/>
      <c r="P302" s="17"/>
      <c r="Q302" s="17"/>
      <c r="R302" s="43"/>
      <c r="S302" s="17"/>
      <c r="T302" s="17"/>
      <c r="U302" s="17"/>
      <c r="V302" s="43"/>
      <c r="W302" s="17"/>
      <c r="X302" s="17"/>
    </row>
    <row r="303" spans="1:26" x14ac:dyDescent="0.25">
      <c r="A303" s="9"/>
      <c r="B303" s="58"/>
      <c r="D303" s="17"/>
      <c r="E303" s="17"/>
      <c r="G303" s="17"/>
      <c r="H303" s="17"/>
      <c r="I303" s="17"/>
      <c r="J303" s="43"/>
      <c r="K303" s="17"/>
      <c r="L303" s="17"/>
      <c r="M303" s="17"/>
      <c r="P303" s="17"/>
      <c r="Q303" s="17"/>
      <c r="R303" s="43"/>
      <c r="S303" s="17"/>
      <c r="T303" s="17"/>
      <c r="U303" s="17"/>
      <c r="V303" s="43"/>
      <c r="W303" s="17"/>
      <c r="X303" s="17"/>
    </row>
    <row r="304" spans="1:26" x14ac:dyDescent="0.25">
      <c r="D304" s="17"/>
      <c r="E304" s="17"/>
      <c r="G304" s="17"/>
      <c r="H304" s="17"/>
      <c r="I304" s="17"/>
      <c r="J304" s="43"/>
      <c r="K304" s="17"/>
      <c r="L304" s="17"/>
      <c r="M304" s="17"/>
      <c r="P304" s="17"/>
      <c r="Q304" s="17"/>
      <c r="R304" s="43"/>
      <c r="S304" s="17"/>
      <c r="T304" s="17"/>
      <c r="U304" s="17"/>
      <c r="V304" s="43"/>
      <c r="W304" s="17"/>
      <c r="X304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","301", " - ", "Bookstore")</f>
        <v>Department 301 - Bookstore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118481.23000000003</v>
      </c>
      <c r="E18" s="21"/>
      <c r="F18" s="33">
        <f t="shared" ref="F18:F28" si="0">IF(D$12=0,0,D18/D$12)</f>
        <v>0</v>
      </c>
      <c r="G18" s="21"/>
      <c r="H18" s="21">
        <f>SUM(OSRRefH22x_0)</f>
        <v>134126.22338311691</v>
      </c>
      <c r="I18" s="21"/>
      <c r="J18" s="33">
        <f t="shared" ref="J18:J28" si="1">IF(H$12=0,0,H18/H$12)</f>
        <v>0</v>
      </c>
      <c r="K18" s="4"/>
      <c r="L18" s="21">
        <f t="shared" ref="L18:L28" si="2">+D18-H18</f>
        <v>-15644.993383116889</v>
      </c>
      <c r="M18" s="4"/>
      <c r="N18" s="33">
        <f t="shared" ref="N18:N28" si="3">IF(H18=0,0,L18/H18)</f>
        <v>-0.11664380751576575</v>
      </c>
      <c r="O18" s="10"/>
      <c r="P18" s="21">
        <f>SUM(OSRRefP22x_0)</f>
        <v>678488.40000000014</v>
      </c>
      <c r="Q18" s="21"/>
      <c r="R18" s="33">
        <f t="shared" ref="R18:R28" si="4">IF(P$12=0,0,P18/P$12)</f>
        <v>0</v>
      </c>
      <c r="S18" s="21"/>
      <c r="T18" s="21">
        <f>SUM(OSRRefT22x_0)</f>
        <v>746633.20626026811</v>
      </c>
      <c r="U18" s="21"/>
      <c r="V18" s="33">
        <f t="shared" ref="V18:V28" si="5">IF(T$12=0,0,T18/T$12)</f>
        <v>0</v>
      </c>
      <c r="W18" s="4"/>
      <c r="X18" s="21">
        <f t="shared" ref="X18:X28" si="6">+P18-T18</f>
        <v>-68144.806260267971</v>
      </c>
      <c r="Y18" s="4"/>
      <c r="Z18" s="33">
        <f t="shared" ref="Z18:Z28" si="7">IF(T18=0,0,X18/T18)</f>
        <v>-9.1269455589299678E-2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8912.94</v>
      </c>
      <c r="E19" s="1"/>
      <c r="F19" s="5">
        <f t="shared" si="0"/>
        <v>0</v>
      </c>
      <c r="G19" s="1"/>
      <c r="H19" s="1">
        <f>SUM(OSRRefH22_0x_0)</f>
        <v>13324.522603886138</v>
      </c>
      <c r="I19" s="1"/>
      <c r="J19" s="5">
        <f t="shared" si="1"/>
        <v>0</v>
      </c>
      <c r="K19" s="1"/>
      <c r="L19" s="1">
        <f t="shared" si="2"/>
        <v>-4411.5826038861378</v>
      </c>
      <c r="M19" s="1"/>
      <c r="N19" s="5">
        <f t="shared" si="3"/>
        <v>-0.33108747945682393</v>
      </c>
      <c r="O19" s="13"/>
      <c r="P19" s="1">
        <f>SUM(OSRRefP22_0x_0)</f>
        <v>71018.77</v>
      </c>
      <c r="Q19" s="1"/>
      <c r="R19" s="5">
        <f t="shared" si="4"/>
        <v>0</v>
      </c>
      <c r="S19" s="1"/>
      <c r="T19" s="1">
        <f>SUM(OSRRefT22_0x_0)</f>
        <v>71224.673849498766</v>
      </c>
      <c r="U19" s="1"/>
      <c r="V19" s="5">
        <f t="shared" si="5"/>
        <v>0</v>
      </c>
      <c r="W19" s="1"/>
      <c r="X19" s="1">
        <f t="shared" si="6"/>
        <v>-205.9038494987617</v>
      </c>
      <c r="Y19" s="1"/>
      <c r="Z19" s="5">
        <f t="shared" si="7"/>
        <v>-2.8909061757705855E-3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1186.69</v>
      </c>
      <c r="E20" s="2"/>
      <c r="F20" s="7">
        <f t="shared" si="0"/>
        <v>0</v>
      </c>
      <c r="G20" s="2"/>
      <c r="H20" s="6">
        <v>2012.4276053169201</v>
      </c>
      <c r="I20" s="2"/>
      <c r="J20" s="7">
        <f t="shared" si="1"/>
        <v>0</v>
      </c>
      <c r="K20" s="2"/>
      <c r="L20" s="6">
        <f t="shared" si="2"/>
        <v>-825.73760531692005</v>
      </c>
      <c r="M20" s="2"/>
      <c r="N20" s="7">
        <f t="shared" si="3"/>
        <v>-0.41031916036894239</v>
      </c>
      <c r="O20" s="11"/>
      <c r="P20" s="6">
        <v>15724.910000000002</v>
      </c>
      <c r="Q20" s="2"/>
      <c r="R20" s="7">
        <f t="shared" si="4"/>
        <v>0</v>
      </c>
      <c r="S20" s="2"/>
      <c r="T20" s="6">
        <v>12323.27641986806</v>
      </c>
      <c r="U20" s="2"/>
      <c r="V20" s="7">
        <f t="shared" si="5"/>
        <v>0</v>
      </c>
      <c r="W20" s="2"/>
      <c r="X20" s="6">
        <f t="shared" si="6"/>
        <v>3401.6335801319419</v>
      </c>
      <c r="Y20" s="2"/>
      <c r="Z20" s="7">
        <f t="shared" si="7"/>
        <v>0.2760332126160619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436.81</v>
      </c>
      <c r="E21" s="2"/>
      <c r="F21" s="7">
        <f t="shared" si="0"/>
        <v>0</v>
      </c>
      <c r="G21" s="2"/>
      <c r="H21" s="6">
        <v>899.762690461538</v>
      </c>
      <c r="I21" s="2"/>
      <c r="J21" s="7">
        <f t="shared" si="1"/>
        <v>0</v>
      </c>
      <c r="K21" s="2"/>
      <c r="L21" s="6">
        <f t="shared" si="2"/>
        <v>-462.952690461538</v>
      </c>
      <c r="M21" s="2"/>
      <c r="N21" s="7">
        <f t="shared" si="3"/>
        <v>-0.51452754750706986</v>
      </c>
      <c r="O21" s="11"/>
      <c r="P21" s="6">
        <v>2659.1</v>
      </c>
      <c r="Q21" s="2"/>
      <c r="R21" s="7">
        <f t="shared" si="4"/>
        <v>0</v>
      </c>
      <c r="S21" s="2"/>
      <c r="T21" s="6">
        <v>4816.6032350384576</v>
      </c>
      <c r="U21" s="2"/>
      <c r="V21" s="7">
        <f t="shared" si="5"/>
        <v>0</v>
      </c>
      <c r="W21" s="2"/>
      <c r="X21" s="6">
        <f t="shared" si="6"/>
        <v>-2157.5032350384577</v>
      </c>
      <c r="Y21" s="2"/>
      <c r="Z21" s="7">
        <f t="shared" si="7"/>
        <v>-0.44793044595072018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3107.42</v>
      </c>
      <c r="E22" s="2"/>
      <c r="F22" s="7">
        <f t="shared" si="0"/>
        <v>0</v>
      </c>
      <c r="G22" s="2"/>
      <c r="H22" s="6">
        <v>5680.25</v>
      </c>
      <c r="I22" s="2"/>
      <c r="J22" s="7">
        <f t="shared" si="1"/>
        <v>0</v>
      </c>
      <c r="K22" s="2"/>
      <c r="L22" s="6">
        <f t="shared" si="2"/>
        <v>-2572.83</v>
      </c>
      <c r="M22" s="2"/>
      <c r="N22" s="7">
        <f t="shared" si="3"/>
        <v>-0.45294309229347296</v>
      </c>
      <c r="O22" s="11"/>
      <c r="P22" s="6">
        <v>24212.57</v>
      </c>
      <c r="Q22" s="2"/>
      <c r="R22" s="7">
        <f t="shared" si="4"/>
        <v>0</v>
      </c>
      <c r="S22" s="2"/>
      <c r="T22" s="6">
        <v>28401.25</v>
      </c>
      <c r="U22" s="2"/>
      <c r="V22" s="7">
        <f t="shared" si="5"/>
        <v>0</v>
      </c>
      <c r="W22" s="2"/>
      <c r="X22" s="6">
        <f t="shared" si="6"/>
        <v>-4188.68</v>
      </c>
      <c r="Y22" s="2"/>
      <c r="Z22" s="7">
        <f t="shared" si="7"/>
        <v>-0.14748224109854322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96.1</v>
      </c>
      <c r="E23" s="2"/>
      <c r="F23" s="7">
        <f t="shared" si="0"/>
        <v>0</v>
      </c>
      <c r="G23" s="2"/>
      <c r="H23" s="6">
        <v>123.1254208</v>
      </c>
      <c r="I23" s="2"/>
      <c r="J23" s="7">
        <f t="shared" si="1"/>
        <v>0</v>
      </c>
      <c r="K23" s="2"/>
      <c r="L23" s="6">
        <f t="shared" si="2"/>
        <v>-27.025420800000006</v>
      </c>
      <c r="M23" s="2"/>
      <c r="N23" s="7">
        <f t="shared" si="3"/>
        <v>-0.21949505329122096</v>
      </c>
      <c r="O23" s="11"/>
      <c r="P23" s="6">
        <v>721.02</v>
      </c>
      <c r="Q23" s="2"/>
      <c r="R23" s="7">
        <f t="shared" si="4"/>
        <v>0</v>
      </c>
      <c r="S23" s="2"/>
      <c r="T23" s="6">
        <v>659.11412689999997</v>
      </c>
      <c r="U23" s="2"/>
      <c r="V23" s="7">
        <f t="shared" si="5"/>
        <v>0</v>
      </c>
      <c r="W23" s="2"/>
      <c r="X23" s="6">
        <f t="shared" si="6"/>
        <v>61.905873100000008</v>
      </c>
      <c r="Y23" s="2"/>
      <c r="Z23" s="7">
        <f t="shared" si="7"/>
        <v>9.3922843667698069E-2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1523.65</v>
      </c>
      <c r="E24" s="2"/>
      <c r="F24" s="7">
        <f t="shared" si="0"/>
        <v>0</v>
      </c>
      <c r="G24" s="2"/>
      <c r="H24" s="6">
        <v>1762.20433461538</v>
      </c>
      <c r="I24" s="2"/>
      <c r="J24" s="7">
        <f t="shared" si="1"/>
        <v>0</v>
      </c>
      <c r="K24" s="2"/>
      <c r="L24" s="6">
        <f t="shared" si="2"/>
        <v>-238.55433461537996</v>
      </c>
      <c r="M24" s="2"/>
      <c r="N24" s="7">
        <f t="shared" si="3"/>
        <v>-0.13537268631645205</v>
      </c>
      <c r="O24" s="11"/>
      <c r="P24" s="6">
        <v>10781.51</v>
      </c>
      <c r="Q24" s="2"/>
      <c r="R24" s="7">
        <f t="shared" si="4"/>
        <v>0</v>
      </c>
      <c r="S24" s="2"/>
      <c r="T24" s="6">
        <v>9692.1238403846</v>
      </c>
      <c r="U24" s="2"/>
      <c r="V24" s="7">
        <f t="shared" si="5"/>
        <v>0</v>
      </c>
      <c r="W24" s="2"/>
      <c r="X24" s="6">
        <f t="shared" si="6"/>
        <v>1089.3861596154002</v>
      </c>
      <c r="Y24" s="2"/>
      <c r="Z24" s="7">
        <f t="shared" si="7"/>
        <v>0.1123991168041216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1450.47</v>
      </c>
      <c r="E26" s="2"/>
      <c r="F26" s="7">
        <f t="shared" si="0"/>
        <v>0</v>
      </c>
      <c r="G26" s="2"/>
      <c r="H26" s="6">
        <v>1238.8804038461501</v>
      </c>
      <c r="I26" s="2"/>
      <c r="J26" s="7">
        <f t="shared" si="1"/>
        <v>0</v>
      </c>
      <c r="K26" s="2"/>
      <c r="L26" s="6">
        <f t="shared" si="2"/>
        <v>211.58959615384993</v>
      </c>
      <c r="M26" s="2"/>
      <c r="N26" s="7">
        <f t="shared" si="3"/>
        <v>0.17079097828730053</v>
      </c>
      <c r="O26" s="11"/>
      <c r="P26" s="6">
        <v>9372.52</v>
      </c>
      <c r="Q26" s="2"/>
      <c r="R26" s="7">
        <f t="shared" si="4"/>
        <v>0</v>
      </c>
      <c r="S26" s="2"/>
      <c r="T26" s="6">
        <v>6813.8422211538309</v>
      </c>
      <c r="U26" s="2"/>
      <c r="V26" s="7">
        <f t="shared" si="5"/>
        <v>0</v>
      </c>
      <c r="W26" s="2"/>
      <c r="X26" s="6">
        <f t="shared" si="6"/>
        <v>2558.6777788461695</v>
      </c>
      <c r="Y26" s="2"/>
      <c r="Z26" s="7">
        <f t="shared" si="7"/>
        <v>0.37551174444613022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828.69</v>
      </c>
      <c r="E27" s="2"/>
      <c r="F27" s="7">
        <f t="shared" si="0"/>
        <v>0</v>
      </c>
      <c r="G27" s="2"/>
      <c r="H27" s="6">
        <v>1107.8721488461501</v>
      </c>
      <c r="I27" s="2"/>
      <c r="J27" s="7">
        <f t="shared" si="1"/>
        <v>0</v>
      </c>
      <c r="K27" s="2"/>
      <c r="L27" s="6">
        <f t="shared" si="2"/>
        <v>-279.18214884615008</v>
      </c>
      <c r="M27" s="2"/>
      <c r="N27" s="7">
        <f t="shared" si="3"/>
        <v>-0.25199852630731673</v>
      </c>
      <c r="O27" s="11"/>
      <c r="P27" s="6">
        <v>5745.44</v>
      </c>
      <c r="Q27" s="2"/>
      <c r="R27" s="7">
        <f t="shared" si="4"/>
        <v>0</v>
      </c>
      <c r="S27" s="2"/>
      <c r="T27" s="6">
        <v>6018.4640061538303</v>
      </c>
      <c r="U27" s="2"/>
      <c r="V27" s="7">
        <f t="shared" si="5"/>
        <v>0</v>
      </c>
      <c r="W27" s="2"/>
      <c r="X27" s="6">
        <f t="shared" si="6"/>
        <v>-273.02400615383067</v>
      </c>
      <c r="Y27" s="2"/>
      <c r="Z27" s="7">
        <f t="shared" si="7"/>
        <v>-4.536439960007501E-2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283.11</v>
      </c>
      <c r="E28" s="2"/>
      <c r="F28" s="7">
        <f t="shared" si="0"/>
        <v>0</v>
      </c>
      <c r="G28" s="2"/>
      <c r="H28" s="6">
        <v>500</v>
      </c>
      <c r="I28" s="2"/>
      <c r="J28" s="7">
        <f t="shared" si="1"/>
        <v>0</v>
      </c>
      <c r="K28" s="2"/>
      <c r="L28" s="6">
        <f t="shared" si="2"/>
        <v>-216.89</v>
      </c>
      <c r="M28" s="2"/>
      <c r="N28" s="7">
        <f t="shared" si="3"/>
        <v>-0.43378</v>
      </c>
      <c r="O28" s="11"/>
      <c r="P28" s="6">
        <v>1801.7</v>
      </c>
      <c r="Q28" s="2"/>
      <c r="R28" s="7">
        <f t="shared" si="4"/>
        <v>0</v>
      </c>
      <c r="S28" s="2"/>
      <c r="T28" s="6">
        <v>2500</v>
      </c>
      <c r="U28" s="2"/>
      <c r="V28" s="7">
        <f t="shared" si="5"/>
        <v>0</v>
      </c>
      <c r="W28" s="2"/>
      <c r="X28" s="6">
        <f t="shared" si="6"/>
        <v>-698.3</v>
      </c>
      <c r="Y28" s="2"/>
      <c r="Z28" s="7">
        <f t="shared" si="7"/>
        <v>-0.27931999999999996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34665.620000000003</v>
      </c>
      <c r="E29" s="1"/>
      <c r="F29" s="5">
        <f t="shared" ref="F29:F39" si="8">IF(D$12=0,0,D29/D$12)</f>
        <v>0</v>
      </c>
      <c r="G29" s="1"/>
      <c r="H29" s="1">
        <f>SUM(OSRRefH22_1x_0)</f>
        <v>45132.70077923077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-10467.080779230768</v>
      </c>
      <c r="M29" s="1"/>
      <c r="N29" s="5">
        <f t="shared" ref="N29:N39" si="11">IF(H29=0,0,L29/H29)</f>
        <v>-0.23191789098620758</v>
      </c>
      <c r="O29" s="13"/>
      <c r="P29" s="1">
        <f>SUM(OSRRefP22_1x_0)</f>
        <v>246983.82</v>
      </c>
      <c r="Q29" s="1"/>
      <c r="R29" s="5">
        <f t="shared" ref="R29:R39" si="12">IF(P$12=0,0,P29/P$12)</f>
        <v>0</v>
      </c>
      <c r="S29" s="1"/>
      <c r="T29" s="1">
        <f>SUM(OSRRefT22_1x_0)</f>
        <v>241309.53241076932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5674.2875892306911</v>
      </c>
      <c r="Y29" s="1"/>
      <c r="Z29" s="5">
        <f t="shared" ref="Z29:Z39" si="15">IF(T29=0,0,X29/T29)</f>
        <v>2.3514560459102093E-2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>
        <v>10717.14</v>
      </c>
      <c r="E30" s="2"/>
      <c r="F30" s="7">
        <f t="shared" si="8"/>
        <v>0</v>
      </c>
      <c r="G30" s="2"/>
      <c r="H30" s="6">
        <v>9645.4350000000013</v>
      </c>
      <c r="I30" s="2"/>
      <c r="J30" s="7">
        <f t="shared" si="9"/>
        <v>0</v>
      </c>
      <c r="K30" s="2"/>
      <c r="L30" s="6">
        <f t="shared" si="10"/>
        <v>1071.7049999999981</v>
      </c>
      <c r="M30" s="2"/>
      <c r="N30" s="7">
        <f t="shared" si="11"/>
        <v>0.11111007435123434</v>
      </c>
      <c r="O30" s="11"/>
      <c r="P30" s="6">
        <v>56800.83</v>
      </c>
      <c r="Q30" s="2"/>
      <c r="R30" s="7">
        <f t="shared" si="12"/>
        <v>0</v>
      </c>
      <c r="S30" s="2"/>
      <c r="T30" s="6">
        <v>53049.892500000002</v>
      </c>
      <c r="U30" s="2"/>
      <c r="V30" s="7">
        <f t="shared" si="13"/>
        <v>0</v>
      </c>
      <c r="W30" s="2"/>
      <c r="X30" s="6">
        <f t="shared" si="14"/>
        <v>3750.9375</v>
      </c>
      <c r="Y30" s="2"/>
      <c r="Z30" s="7">
        <f t="shared" si="15"/>
        <v>7.0705845445398402E-2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>
        <v>6750.86</v>
      </c>
      <c r="E31" s="2"/>
      <c r="F31" s="7">
        <f t="shared" si="8"/>
        <v>0</v>
      </c>
      <c r="G31" s="2"/>
      <c r="H31" s="6">
        <v>8796.2382692307692</v>
      </c>
      <c r="I31" s="2"/>
      <c r="J31" s="7">
        <f t="shared" si="9"/>
        <v>0</v>
      </c>
      <c r="K31" s="2"/>
      <c r="L31" s="6">
        <f t="shared" si="10"/>
        <v>-2045.3782692307695</v>
      </c>
      <c r="M31" s="2"/>
      <c r="N31" s="7">
        <f t="shared" si="11"/>
        <v>-0.2325287477017875</v>
      </c>
      <c r="O31" s="11"/>
      <c r="P31" s="6">
        <v>42998.83</v>
      </c>
      <c r="Q31" s="2"/>
      <c r="R31" s="7">
        <f t="shared" si="12"/>
        <v>0</v>
      </c>
      <c r="S31" s="2"/>
      <c r="T31" s="6">
        <v>48379.310480769309</v>
      </c>
      <c r="U31" s="2"/>
      <c r="V31" s="7">
        <f t="shared" si="13"/>
        <v>0</v>
      </c>
      <c r="W31" s="2"/>
      <c r="X31" s="6">
        <f t="shared" si="14"/>
        <v>-5380.4804807693072</v>
      </c>
      <c r="Y31" s="2"/>
      <c r="Z31" s="7">
        <f t="shared" si="15"/>
        <v>-0.11121449287517313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5631.0275099999999</v>
      </c>
      <c r="I33" s="2"/>
      <c r="J33" s="7">
        <f t="shared" si="9"/>
        <v>0</v>
      </c>
      <c r="K33" s="2"/>
      <c r="L33" s="6">
        <f t="shared" si="10"/>
        <v>-5631.0275099999999</v>
      </c>
      <c r="M33" s="2"/>
      <c r="N33" s="7">
        <f t="shared" si="11"/>
        <v>-1</v>
      </c>
      <c r="O33" s="11"/>
      <c r="P33" s="6">
        <v>-1647.01</v>
      </c>
      <c r="Q33" s="2"/>
      <c r="R33" s="7">
        <f t="shared" si="12"/>
        <v>0</v>
      </c>
      <c r="S33" s="2"/>
      <c r="T33" s="6">
        <v>29940.329430000002</v>
      </c>
      <c r="U33" s="2"/>
      <c r="V33" s="7">
        <f t="shared" si="13"/>
        <v>0</v>
      </c>
      <c r="W33" s="2"/>
      <c r="X33" s="6">
        <f t="shared" si="14"/>
        <v>-31587.33943</v>
      </c>
      <c r="Y33" s="2"/>
      <c r="Z33" s="7">
        <f t="shared" si="15"/>
        <v>-1.0550097487688197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>
        <v>5177.5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5177.5</v>
      </c>
      <c r="M34" s="2"/>
      <c r="N34" s="7">
        <f t="shared" si="11"/>
        <v>0</v>
      </c>
      <c r="O34" s="11"/>
      <c r="P34" s="6">
        <v>37938.060000000005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37938.060000000005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>
        <v>1105.75</v>
      </c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1105.75</v>
      </c>
      <c r="M35" s="2"/>
      <c r="N35" s="7">
        <f t="shared" si="11"/>
        <v>0</v>
      </c>
      <c r="O35" s="11"/>
      <c r="P35" s="6">
        <v>10601.01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10601.01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>
        <v>10914.37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10914.37</v>
      </c>
      <c r="M36" s="2"/>
      <c r="N36" s="7">
        <f t="shared" si="11"/>
        <v>0</v>
      </c>
      <c r="O36" s="11"/>
      <c r="P36" s="6">
        <v>99740.099999999991</v>
      </c>
      <c r="Q36" s="2"/>
      <c r="R36" s="7">
        <f t="shared" si="12"/>
        <v>0</v>
      </c>
      <c r="S36" s="2"/>
      <c r="T36" s="6">
        <v>17460</v>
      </c>
      <c r="U36" s="2"/>
      <c r="V36" s="7">
        <f t="shared" si="13"/>
        <v>0</v>
      </c>
      <c r="W36" s="2"/>
      <c r="X36" s="6">
        <f t="shared" si="14"/>
        <v>82280.099999999991</v>
      </c>
      <c r="Y36" s="2"/>
      <c r="Z36" s="7">
        <f t="shared" si="15"/>
        <v>4.7124914089347074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21060</v>
      </c>
      <c r="I37" s="2"/>
      <c r="J37" s="7">
        <f t="shared" si="9"/>
        <v>0</v>
      </c>
      <c r="K37" s="2"/>
      <c r="L37" s="6">
        <f t="shared" si="10"/>
        <v>-21060</v>
      </c>
      <c r="M37" s="2"/>
      <c r="N37" s="7">
        <f t="shared" si="11"/>
        <v>-1</v>
      </c>
      <c r="O37" s="11"/>
      <c r="P37" s="6">
        <v>552</v>
      </c>
      <c r="Q37" s="2"/>
      <c r="R37" s="7">
        <f t="shared" si="12"/>
        <v>0</v>
      </c>
      <c r="S37" s="2"/>
      <c r="T37" s="6">
        <v>92480</v>
      </c>
      <c r="U37" s="2"/>
      <c r="V37" s="7">
        <f t="shared" si="13"/>
        <v>0</v>
      </c>
      <c r="W37" s="2"/>
      <c r="X37" s="6">
        <f t="shared" si="14"/>
        <v>-91928</v>
      </c>
      <c r="Y37" s="2"/>
      <c r="Z37" s="7">
        <f t="shared" si="15"/>
        <v>-0.99403114186851216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9869.15</v>
      </c>
      <c r="E40" s="1"/>
      <c r="F40" s="5">
        <f t="shared" ref="F40:F44" si="16">IF(D$12=0,0,D40/D$12)</f>
        <v>0</v>
      </c>
      <c r="G40" s="1"/>
      <c r="H40" s="1">
        <f>SUM(OSRRefH22_2x_0)</f>
        <v>10200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-330.85000000000036</v>
      </c>
      <c r="M40" s="1"/>
      <c r="N40" s="5">
        <f t="shared" ref="N40:N44" si="19">IF(H40=0,0,L40/H40)</f>
        <v>-3.2436274509803957E-2</v>
      </c>
      <c r="O40" s="13"/>
      <c r="P40" s="1">
        <f>SUM(OSRRefP22_2x_0)</f>
        <v>17201.7</v>
      </c>
      <c r="Q40" s="1"/>
      <c r="R40" s="5">
        <f t="shared" ref="R40:R44" si="20">IF(P$12=0,0,P40/P$12)</f>
        <v>0</v>
      </c>
      <c r="S40" s="1"/>
      <c r="T40" s="1">
        <f>SUM(OSRRefT22_2x_0)</f>
        <v>24000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-6798.2999999999993</v>
      </c>
      <c r="Y40" s="1"/>
      <c r="Z40" s="5">
        <f t="shared" ref="Z40:Z44" si="23">IF(T40=0,0,X40/T40)</f>
        <v>-0.28326249999999997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6">
        <v>9869.15</v>
      </c>
      <c r="E41" s="2"/>
      <c r="F41" s="7">
        <f t="shared" si="16"/>
        <v>0</v>
      </c>
      <c r="G41" s="2"/>
      <c r="H41" s="6">
        <v>10200</v>
      </c>
      <c r="I41" s="2"/>
      <c r="J41" s="7">
        <f t="shared" si="17"/>
        <v>0</v>
      </c>
      <c r="K41" s="2"/>
      <c r="L41" s="6">
        <f t="shared" si="18"/>
        <v>-330.85000000000036</v>
      </c>
      <c r="M41" s="2"/>
      <c r="N41" s="7">
        <f t="shared" si="19"/>
        <v>-3.2436274509803957E-2</v>
      </c>
      <c r="O41" s="11"/>
      <c r="P41" s="6">
        <v>17201.7</v>
      </c>
      <c r="Q41" s="2"/>
      <c r="R41" s="7">
        <f t="shared" si="20"/>
        <v>0</v>
      </c>
      <c r="S41" s="2"/>
      <c r="T41" s="6">
        <v>24000</v>
      </c>
      <c r="U41" s="2"/>
      <c r="V41" s="7">
        <f t="shared" si="21"/>
        <v>0</v>
      </c>
      <c r="W41" s="2"/>
      <c r="X41" s="6">
        <f t="shared" si="22"/>
        <v>-6798.2999999999993</v>
      </c>
      <c r="Y41" s="2"/>
      <c r="Z41" s="7">
        <f t="shared" si="23"/>
        <v>-0.28326249999999997</v>
      </c>
    </row>
    <row r="42" spans="1:26" s="26" customFormat="1" outlineLevel="1" collapsed="1" x14ac:dyDescent="0.25">
      <c r="A42" s="27"/>
      <c r="B42" s="13" t="str">
        <f>CONCATENATE("     ","Bad Debts/Over/Short                              ")</f>
        <v xml:space="preserve">     Bad Debts/Over/Short                              </v>
      </c>
      <c r="C42" s="13"/>
      <c r="D42" s="1">
        <f>SUM(OSRRefD22_3x_0)</f>
        <v>145.66</v>
      </c>
      <c r="E42" s="1"/>
      <c r="F42" s="5">
        <f t="shared" si="16"/>
        <v>0</v>
      </c>
      <c r="G42" s="1"/>
      <c r="H42" s="1">
        <f>SUM(OSRRefH22_3x_0)</f>
        <v>125</v>
      </c>
      <c r="I42" s="1"/>
      <c r="J42" s="5">
        <f t="shared" si="17"/>
        <v>0</v>
      </c>
      <c r="K42" s="1"/>
      <c r="L42" s="1">
        <f t="shared" si="18"/>
        <v>20.659999999999997</v>
      </c>
      <c r="M42" s="1"/>
      <c r="N42" s="5">
        <f t="shared" si="19"/>
        <v>0.16527999999999998</v>
      </c>
      <c r="O42" s="13"/>
      <c r="P42" s="1">
        <f>SUM(OSRRefP22_3x_0)</f>
        <v>92.539999999999992</v>
      </c>
      <c r="Q42" s="1"/>
      <c r="R42" s="5">
        <f t="shared" si="20"/>
        <v>0</v>
      </c>
      <c r="S42" s="1"/>
      <c r="T42" s="1">
        <f>SUM(OSRRefT22_3x_0)</f>
        <v>625</v>
      </c>
      <c r="U42" s="1"/>
      <c r="V42" s="5">
        <f t="shared" si="21"/>
        <v>0</v>
      </c>
      <c r="W42" s="1"/>
      <c r="X42" s="1">
        <f t="shared" si="22"/>
        <v>-532.46</v>
      </c>
      <c r="Y42" s="1"/>
      <c r="Z42" s="5">
        <f t="shared" si="23"/>
        <v>-0.85193600000000003</v>
      </c>
    </row>
    <row r="43" spans="1:26" s="24" customFormat="1" hidden="1" outlineLevel="2" x14ac:dyDescent="0.25">
      <c r="A43" s="25"/>
      <c r="B43" s="11" t="str">
        <f>CONCATENATE("          ", "6272", " - ", "CASH (OVER/SHORT)")</f>
        <v xml:space="preserve">          6272 - CASH (OVER/SHORT)</v>
      </c>
      <c r="C43" s="11"/>
      <c r="D43" s="6">
        <v>145.66</v>
      </c>
      <c r="E43" s="2"/>
      <c r="F43" s="7">
        <f t="shared" si="16"/>
        <v>0</v>
      </c>
      <c r="G43" s="2"/>
      <c r="H43" s="6">
        <v>125</v>
      </c>
      <c r="I43" s="2"/>
      <c r="J43" s="7">
        <f t="shared" si="17"/>
        <v>0</v>
      </c>
      <c r="K43" s="2"/>
      <c r="L43" s="6">
        <f t="shared" si="18"/>
        <v>20.659999999999997</v>
      </c>
      <c r="M43" s="2"/>
      <c r="N43" s="7">
        <f t="shared" si="19"/>
        <v>0.16527999999999998</v>
      </c>
      <c r="O43" s="11"/>
      <c r="P43" s="6">
        <v>47.74</v>
      </c>
      <c r="Q43" s="2"/>
      <c r="R43" s="7">
        <f t="shared" si="20"/>
        <v>0</v>
      </c>
      <c r="S43" s="2"/>
      <c r="T43" s="6">
        <v>625</v>
      </c>
      <c r="U43" s="2"/>
      <c r="V43" s="7">
        <f t="shared" si="21"/>
        <v>0</v>
      </c>
      <c r="W43" s="2"/>
      <c r="X43" s="6">
        <f t="shared" si="22"/>
        <v>-577.26</v>
      </c>
      <c r="Y43" s="2"/>
      <c r="Z43" s="7">
        <f t="shared" si="23"/>
        <v>-0.92361599999999999</v>
      </c>
    </row>
    <row r="44" spans="1:26" s="24" customFormat="1" hidden="1" outlineLevel="2" x14ac:dyDescent="0.25">
      <c r="A44" s="25"/>
      <c r="B44" s="11" t="str">
        <f>CONCATENATE("          ", "6342", " - ", "BAD DEBT")</f>
        <v xml:space="preserve">          6342 - BAD DEBT</v>
      </c>
      <c r="C44" s="11"/>
      <c r="D44" s="6"/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>
        <v>44.8</v>
      </c>
      <c r="Q44" s="2"/>
      <c r="R44" s="7">
        <f t="shared" si="20"/>
        <v>0</v>
      </c>
      <c r="S44" s="2"/>
      <c r="T44" s="6"/>
      <c r="U44" s="2"/>
      <c r="V44" s="7">
        <f t="shared" si="21"/>
        <v>0</v>
      </c>
      <c r="W44" s="2"/>
      <c r="X44" s="6">
        <f t="shared" si="22"/>
        <v>44.8</v>
      </c>
      <c r="Y44" s="2"/>
      <c r="Z44" s="7">
        <f t="shared" si="23"/>
        <v>0</v>
      </c>
    </row>
    <row r="45" spans="1:26" s="26" customFormat="1" outlineLevel="1" collapsed="1" x14ac:dyDescent="0.25">
      <c r="A45" s="27"/>
      <c r="B45" s="13" t="str">
        <f>CONCATENATE("     ","Bank/card Fees                                    ")</f>
        <v xml:space="preserve">     Bank/card Fees                                    </v>
      </c>
      <c r="C45" s="13"/>
      <c r="D45" s="1">
        <f>SUM(OSRRefD22_4x_0)</f>
        <v>10122.969999999999</v>
      </c>
      <c r="E45" s="1"/>
      <c r="F45" s="5">
        <f t="shared" ref="F45:F51" si="24">IF(D$12=0,0,D45/D$12)</f>
        <v>0</v>
      </c>
      <c r="G45" s="1"/>
      <c r="H45" s="1">
        <f>SUM(OSRRefH22_4x_0)</f>
        <v>8000</v>
      </c>
      <c r="I45" s="1"/>
      <c r="J45" s="5">
        <f t="shared" ref="J45:J51" si="25">IF(H$12=0,0,H45/H$12)</f>
        <v>0</v>
      </c>
      <c r="K45" s="1"/>
      <c r="L45" s="1">
        <f t="shared" ref="L45:L51" si="26">+D45-H45</f>
        <v>2122.9699999999993</v>
      </c>
      <c r="M45" s="1"/>
      <c r="N45" s="5">
        <f t="shared" ref="N45:N51" si="27">IF(H45=0,0,L45/H45)</f>
        <v>0.26537124999999989</v>
      </c>
      <c r="O45" s="13"/>
      <c r="P45" s="1">
        <f>SUM(OSRRefP22_4x_0)</f>
        <v>78882.75</v>
      </c>
      <c r="Q45" s="1"/>
      <c r="R45" s="5">
        <f t="shared" ref="R45:R51" si="28">IF(P$12=0,0,P45/P$12)</f>
        <v>0</v>
      </c>
      <c r="S45" s="1"/>
      <c r="T45" s="1">
        <f>SUM(OSRRefT22_4x_0)</f>
        <v>80400</v>
      </c>
      <c r="U45" s="1"/>
      <c r="V45" s="5">
        <f t="shared" ref="V45:V51" si="29">IF(T$12=0,0,T45/T$12)</f>
        <v>0</v>
      </c>
      <c r="W45" s="1"/>
      <c r="X45" s="1">
        <f t="shared" ref="X45:X51" si="30">+P45-T45</f>
        <v>-1517.25</v>
      </c>
      <c r="Y45" s="1"/>
      <c r="Z45" s="5">
        <f t="shared" ref="Z45:Z51" si="31">IF(T45=0,0,X45/T45)</f>
        <v>-1.8871268656716417E-2</v>
      </c>
    </row>
    <row r="46" spans="1:26" s="24" customFormat="1" hidden="1" outlineLevel="2" x14ac:dyDescent="0.25">
      <c r="A46" s="25"/>
      <c r="B46" s="11" t="str">
        <f>CONCATENATE("          ", "6381", " - ", "BANK/CREDIT CARD FEES")</f>
        <v xml:space="preserve">          6381 - BANK/CREDIT CARD FEES</v>
      </c>
      <c r="C46" s="11"/>
      <c r="D46" s="6">
        <v>10122.969999999999</v>
      </c>
      <c r="E46" s="2"/>
      <c r="F46" s="7">
        <f t="shared" si="24"/>
        <v>0</v>
      </c>
      <c r="G46" s="2"/>
      <c r="H46" s="6">
        <v>8000</v>
      </c>
      <c r="I46" s="2"/>
      <c r="J46" s="7">
        <f t="shared" si="25"/>
        <v>0</v>
      </c>
      <c r="K46" s="2"/>
      <c r="L46" s="6">
        <f t="shared" si="26"/>
        <v>2122.9699999999993</v>
      </c>
      <c r="M46" s="2"/>
      <c r="N46" s="7">
        <f t="shared" si="27"/>
        <v>0.26537124999999989</v>
      </c>
      <c r="O46" s="11"/>
      <c r="P46" s="6">
        <v>78882.75</v>
      </c>
      <c r="Q46" s="2"/>
      <c r="R46" s="7">
        <f t="shared" si="28"/>
        <v>0</v>
      </c>
      <c r="S46" s="2"/>
      <c r="T46" s="6">
        <v>80400</v>
      </c>
      <c r="U46" s="2"/>
      <c r="V46" s="7">
        <f t="shared" si="29"/>
        <v>0</v>
      </c>
      <c r="W46" s="2"/>
      <c r="X46" s="6">
        <f t="shared" si="30"/>
        <v>-1517.25</v>
      </c>
      <c r="Y46" s="2"/>
      <c r="Z46" s="7">
        <f t="shared" si="31"/>
        <v>-1.8871268656716417E-2</v>
      </c>
    </row>
    <row r="47" spans="1:26" s="26" customFormat="1" outlineLevel="1" collapsed="1" x14ac:dyDescent="0.25">
      <c r="A47" s="27"/>
      <c r="B47" s="13" t="str">
        <f>CONCATENATE("     ","Depreciation                                      ")</f>
        <v xml:space="preserve">     Depreciation                                      </v>
      </c>
      <c r="C47" s="13"/>
      <c r="D47" s="1">
        <f>SUM(OSRRefD22_5x_0)</f>
        <v>29607.43</v>
      </c>
      <c r="E47" s="1"/>
      <c r="F47" s="5">
        <f t="shared" si="24"/>
        <v>0</v>
      </c>
      <c r="G47" s="1"/>
      <c r="H47" s="1">
        <f>SUM(OSRRefH22_5x_0)</f>
        <v>30479</v>
      </c>
      <c r="I47" s="1"/>
      <c r="J47" s="5">
        <f t="shared" si="25"/>
        <v>0</v>
      </c>
      <c r="K47" s="1"/>
      <c r="L47" s="1">
        <f t="shared" si="26"/>
        <v>-871.56999999999971</v>
      </c>
      <c r="M47" s="1"/>
      <c r="N47" s="5">
        <f t="shared" si="27"/>
        <v>-2.8595754453886273E-2</v>
      </c>
      <c r="O47" s="13"/>
      <c r="P47" s="1">
        <f>SUM(OSRRefP22_5x_0)</f>
        <v>148037.15</v>
      </c>
      <c r="Q47" s="1"/>
      <c r="R47" s="5">
        <f t="shared" si="28"/>
        <v>0</v>
      </c>
      <c r="S47" s="1"/>
      <c r="T47" s="1">
        <f>SUM(OSRRefT22_5x_0)</f>
        <v>151564</v>
      </c>
      <c r="U47" s="1"/>
      <c r="V47" s="5">
        <f t="shared" si="29"/>
        <v>0</v>
      </c>
      <c r="W47" s="1"/>
      <c r="X47" s="1">
        <f t="shared" si="30"/>
        <v>-3526.8500000000058</v>
      </c>
      <c r="Y47" s="1"/>
      <c r="Z47" s="5">
        <f t="shared" si="31"/>
        <v>-2.3269707846190427E-2</v>
      </c>
    </row>
    <row r="48" spans="1:26" s="24" customFormat="1" hidden="1" outlineLevel="2" x14ac:dyDescent="0.25">
      <c r="A48" s="25"/>
      <c r="B48" s="11" t="str">
        <f>CONCATENATE("          ", "6321", " - ", "BUILDING DEPRECIATION")</f>
        <v xml:space="preserve">          6321 - BUILDING DEPRECIATION</v>
      </c>
      <c r="C48" s="11"/>
      <c r="D48" s="6">
        <v>16396.52</v>
      </c>
      <c r="E48" s="2"/>
      <c r="F48" s="7">
        <f t="shared" si="24"/>
        <v>0</v>
      </c>
      <c r="G48" s="2"/>
      <c r="H48" s="6">
        <v>16397</v>
      </c>
      <c r="I48" s="2"/>
      <c r="J48" s="7">
        <f t="shared" si="25"/>
        <v>0</v>
      </c>
      <c r="K48" s="2"/>
      <c r="L48" s="6">
        <f t="shared" si="26"/>
        <v>-0.47999999999956344</v>
      </c>
      <c r="M48" s="2"/>
      <c r="N48" s="7">
        <f t="shared" si="27"/>
        <v>-2.927364761844017E-5</v>
      </c>
      <c r="O48" s="11"/>
      <c r="P48" s="6">
        <v>81982.599999999991</v>
      </c>
      <c r="Q48" s="2"/>
      <c r="R48" s="7">
        <f t="shared" si="28"/>
        <v>0</v>
      </c>
      <c r="S48" s="2"/>
      <c r="T48" s="6">
        <v>82153</v>
      </c>
      <c r="U48" s="2"/>
      <c r="V48" s="7">
        <f t="shared" si="29"/>
        <v>0</v>
      </c>
      <c r="W48" s="2"/>
      <c r="X48" s="6">
        <f t="shared" si="30"/>
        <v>-170.40000000000873</v>
      </c>
      <c r="Y48" s="2"/>
      <c r="Z48" s="7">
        <f t="shared" si="31"/>
        <v>-2.0741786666343132E-3</v>
      </c>
    </row>
    <row r="49" spans="1:26" s="24" customFormat="1" hidden="1" outlineLevel="2" x14ac:dyDescent="0.25">
      <c r="A49" s="25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13210.91</v>
      </c>
      <c r="E49" s="2"/>
      <c r="F49" s="7">
        <f t="shared" si="24"/>
        <v>0</v>
      </c>
      <c r="G49" s="2"/>
      <c r="H49" s="6">
        <v>13049</v>
      </c>
      <c r="I49" s="2"/>
      <c r="J49" s="7">
        <f t="shared" si="25"/>
        <v>0</v>
      </c>
      <c r="K49" s="2"/>
      <c r="L49" s="6">
        <f t="shared" si="26"/>
        <v>161.90999999999985</v>
      </c>
      <c r="M49" s="2"/>
      <c r="N49" s="7">
        <f t="shared" si="27"/>
        <v>1.2407847344624098E-2</v>
      </c>
      <c r="O49" s="11"/>
      <c r="P49" s="6">
        <v>66054.55</v>
      </c>
      <c r="Q49" s="2"/>
      <c r="R49" s="7">
        <f t="shared" si="28"/>
        <v>0</v>
      </c>
      <c r="S49" s="2"/>
      <c r="T49" s="6">
        <v>65244.999999999993</v>
      </c>
      <c r="U49" s="2"/>
      <c r="V49" s="7">
        <f t="shared" si="29"/>
        <v>0</v>
      </c>
      <c r="W49" s="2"/>
      <c r="X49" s="6">
        <f t="shared" si="30"/>
        <v>809.55000000001019</v>
      </c>
      <c r="Y49" s="2"/>
      <c r="Z49" s="7">
        <f t="shared" si="31"/>
        <v>1.2407847344624266E-2</v>
      </c>
    </row>
    <row r="50" spans="1:26" s="24" customFormat="1" hidden="1" outlineLevel="2" x14ac:dyDescent="0.25">
      <c r="A50" s="25"/>
      <c r="B50" s="11" t="str">
        <f>CONCATENATE("          ", "6324", " - ", "FURNITURE + FIXT DEPRECIATION")</f>
        <v xml:space="preserve">          6324 - FURNITURE + FIXT DEPRECIATION</v>
      </c>
      <c r="C50" s="11"/>
      <c r="D50" s="6"/>
      <c r="E50" s="2"/>
      <c r="F50" s="7">
        <f t="shared" si="24"/>
        <v>0</v>
      </c>
      <c r="G50" s="2"/>
      <c r="H50" s="6">
        <v>700</v>
      </c>
      <c r="I50" s="2"/>
      <c r="J50" s="7">
        <f t="shared" si="25"/>
        <v>0</v>
      </c>
      <c r="K50" s="2"/>
      <c r="L50" s="6">
        <f t="shared" si="26"/>
        <v>-700</v>
      </c>
      <c r="M50" s="2"/>
      <c r="N50" s="7">
        <f t="shared" si="27"/>
        <v>-1</v>
      </c>
      <c r="O50" s="11"/>
      <c r="P50" s="6"/>
      <c r="Q50" s="2"/>
      <c r="R50" s="7">
        <f t="shared" si="28"/>
        <v>0</v>
      </c>
      <c r="S50" s="2"/>
      <c r="T50" s="6">
        <v>3500</v>
      </c>
      <c r="U50" s="2"/>
      <c r="V50" s="7">
        <f t="shared" si="29"/>
        <v>0</v>
      </c>
      <c r="W50" s="2"/>
      <c r="X50" s="6">
        <f t="shared" si="30"/>
        <v>-3500</v>
      </c>
      <c r="Y50" s="2"/>
      <c r="Z50" s="7">
        <f t="shared" si="31"/>
        <v>-1</v>
      </c>
    </row>
    <row r="51" spans="1:26" s="24" customFormat="1" hidden="1" outlineLevel="2" x14ac:dyDescent="0.25">
      <c r="A51" s="25"/>
      <c r="B51" s="11" t="str">
        <f>CONCATENATE("          ", "6326", " - ", "VEHICLES DEPRECIATION EXPENSE")</f>
        <v xml:space="preserve">          6326 - VEHICLES DEPRECIATION EXPENSE</v>
      </c>
      <c r="C51" s="11"/>
      <c r="D51" s="6"/>
      <c r="E51" s="2"/>
      <c r="F51" s="7">
        <f t="shared" si="24"/>
        <v>0</v>
      </c>
      <c r="G51" s="2"/>
      <c r="H51" s="6">
        <v>333</v>
      </c>
      <c r="I51" s="2"/>
      <c r="J51" s="7">
        <f t="shared" si="25"/>
        <v>0</v>
      </c>
      <c r="K51" s="2"/>
      <c r="L51" s="6">
        <f t="shared" si="26"/>
        <v>-333</v>
      </c>
      <c r="M51" s="2"/>
      <c r="N51" s="7">
        <f t="shared" si="27"/>
        <v>-1</v>
      </c>
      <c r="O51" s="11"/>
      <c r="P51" s="6"/>
      <c r="Q51" s="2"/>
      <c r="R51" s="7">
        <f t="shared" si="28"/>
        <v>0</v>
      </c>
      <c r="S51" s="2"/>
      <c r="T51" s="6">
        <v>666</v>
      </c>
      <c r="U51" s="2"/>
      <c r="V51" s="7">
        <f t="shared" si="29"/>
        <v>0</v>
      </c>
      <c r="W51" s="2"/>
      <c r="X51" s="6">
        <f t="shared" si="30"/>
        <v>-666</v>
      </c>
      <c r="Y51" s="2"/>
      <c r="Z51" s="7">
        <f t="shared" si="31"/>
        <v>-1</v>
      </c>
    </row>
    <row r="52" spans="1:26" s="26" customFormat="1" outlineLevel="1" collapsed="1" x14ac:dyDescent="0.25">
      <c r="A52" s="27"/>
      <c r="B52" s="13" t="str">
        <f>CONCATENATE("     ","Discounts and Markdowns                           ")</f>
        <v xml:space="preserve">     Discounts and Markdowns                           </v>
      </c>
      <c r="C52" s="13"/>
      <c r="D52" s="1">
        <f>SUM(OSRRefD22_6x_0)</f>
        <v>-432.07</v>
      </c>
      <c r="E52" s="1"/>
      <c r="F52" s="5">
        <f t="shared" ref="F52:F54" si="32">IF(D$12=0,0,D52/D$12)</f>
        <v>0</v>
      </c>
      <c r="G52" s="1"/>
      <c r="H52" s="1">
        <f>SUM(OSRRefH22_6x_0)</f>
        <v>-400</v>
      </c>
      <c r="I52" s="1"/>
      <c r="J52" s="5">
        <f t="shared" ref="J52:J54" si="33">IF(H$12=0,0,H52/H$12)</f>
        <v>0</v>
      </c>
      <c r="K52" s="1"/>
      <c r="L52" s="1">
        <f t="shared" ref="L52:L54" si="34">+D52-H52</f>
        <v>-32.069999999999993</v>
      </c>
      <c r="M52" s="1"/>
      <c r="N52" s="5">
        <f t="shared" ref="N52:N54" si="35">IF(H52=0,0,L52/H52)</f>
        <v>8.0174999999999982E-2</v>
      </c>
      <c r="O52" s="13"/>
      <c r="P52" s="1">
        <f>SUM(OSRRefP22_6x_0)</f>
        <v>-1589.75</v>
      </c>
      <c r="Q52" s="1"/>
      <c r="R52" s="5">
        <f t="shared" ref="R52:R54" si="36">IF(P$12=0,0,P52/P$12)</f>
        <v>0</v>
      </c>
      <c r="S52" s="1"/>
      <c r="T52" s="1">
        <f>SUM(OSRRefT22_6x_0)</f>
        <v>-2000</v>
      </c>
      <c r="U52" s="1"/>
      <c r="V52" s="5">
        <f t="shared" ref="V52:V54" si="37">IF(T$12=0,0,T52/T$12)</f>
        <v>0</v>
      </c>
      <c r="W52" s="1"/>
      <c r="X52" s="1">
        <f t="shared" ref="X52:X54" si="38">+P52-T52</f>
        <v>410.25</v>
      </c>
      <c r="Y52" s="1"/>
      <c r="Z52" s="5">
        <f t="shared" ref="Z52:Z54" si="39">IF(T52=0,0,X52/T52)</f>
        <v>-0.205125</v>
      </c>
    </row>
    <row r="53" spans="1:26" s="24" customFormat="1" hidden="1" outlineLevel="2" x14ac:dyDescent="0.25">
      <c r="A53" s="25"/>
      <c r="B53" s="11" t="str">
        <f>CONCATENATE("          ", "6382", " - ", "DISCOUNTS/MARK DOWNS")</f>
        <v xml:space="preserve">          6382 - DISCOUNTS/MARK DOWNS</v>
      </c>
      <c r="C53" s="11"/>
      <c r="D53" s="6">
        <v>4</v>
      </c>
      <c r="E53" s="2"/>
      <c r="F53" s="7">
        <f t="shared" si="32"/>
        <v>0</v>
      </c>
      <c r="G53" s="2"/>
      <c r="H53" s="6">
        <v>-400</v>
      </c>
      <c r="I53" s="2"/>
      <c r="J53" s="7">
        <f t="shared" si="33"/>
        <v>0</v>
      </c>
      <c r="K53" s="2"/>
      <c r="L53" s="6">
        <f t="shared" si="34"/>
        <v>404</v>
      </c>
      <c r="M53" s="2"/>
      <c r="N53" s="7">
        <f t="shared" si="35"/>
        <v>-1.01</v>
      </c>
      <c r="O53" s="11"/>
      <c r="P53" s="6">
        <v>334.4</v>
      </c>
      <c r="Q53" s="2"/>
      <c r="R53" s="7">
        <f t="shared" si="36"/>
        <v>0</v>
      </c>
      <c r="S53" s="2"/>
      <c r="T53" s="6">
        <v>-2000</v>
      </c>
      <c r="U53" s="2"/>
      <c r="V53" s="7">
        <f t="shared" si="37"/>
        <v>0</v>
      </c>
      <c r="W53" s="2"/>
      <c r="X53" s="6">
        <f t="shared" si="38"/>
        <v>2334.4</v>
      </c>
      <c r="Y53" s="2"/>
      <c r="Z53" s="7">
        <f t="shared" si="39"/>
        <v>-1.1672</v>
      </c>
    </row>
    <row r="54" spans="1:26" s="24" customFormat="1" hidden="1" outlineLevel="2" x14ac:dyDescent="0.25">
      <c r="A54" s="25"/>
      <c r="B54" s="11" t="str">
        <f>CONCATENATE("          ", "9175", " - ", "EARNED DISCOUNTS")</f>
        <v xml:space="preserve">          9175 - EARNED DISCOUNTS</v>
      </c>
      <c r="C54" s="11"/>
      <c r="D54" s="6">
        <v>-436.07</v>
      </c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-436.07</v>
      </c>
      <c r="M54" s="2"/>
      <c r="N54" s="7">
        <f t="shared" si="35"/>
        <v>0</v>
      </c>
      <c r="O54" s="11"/>
      <c r="P54" s="6">
        <v>-1924.15</v>
      </c>
      <c r="Q54" s="2"/>
      <c r="R54" s="7">
        <f t="shared" si="36"/>
        <v>0</v>
      </c>
      <c r="S54" s="2"/>
      <c r="T54" s="6"/>
      <c r="U54" s="2"/>
      <c r="V54" s="7">
        <f t="shared" si="37"/>
        <v>0</v>
      </c>
      <c r="W54" s="2"/>
      <c r="X54" s="6">
        <f t="shared" si="38"/>
        <v>-1924.15</v>
      </c>
      <c r="Y54" s="2"/>
      <c r="Z54" s="7">
        <f t="shared" si="39"/>
        <v>0</v>
      </c>
    </row>
    <row r="55" spans="1:26" s="26" customFormat="1" outlineLevel="1" collapsed="1" x14ac:dyDescent="0.25">
      <c r="A55" s="27"/>
      <c r="B55" s="13" t="str">
        <f>CONCATENATE("     ","Donations                                         ")</f>
        <v xml:space="preserve">     Donations                                         </v>
      </c>
      <c r="C55" s="13"/>
      <c r="D55" s="1">
        <f>SUM(OSRRefD22_7x_0)</f>
        <v>3415.9</v>
      </c>
      <c r="E55" s="1"/>
      <c r="F55" s="5">
        <f t="shared" ref="F55:F57" si="40">IF(D$12=0,0,D55/D$12)</f>
        <v>0</v>
      </c>
      <c r="G55" s="1"/>
      <c r="H55" s="1">
        <f>SUM(OSRRefH22_7x_0)</f>
        <v>1000</v>
      </c>
      <c r="I55" s="1"/>
      <c r="J55" s="5">
        <f t="shared" ref="J55:J57" si="41">IF(H$12=0,0,H55/H$12)</f>
        <v>0</v>
      </c>
      <c r="K55" s="1"/>
      <c r="L55" s="1">
        <f t="shared" ref="L55:L57" si="42">+D55-H55</f>
        <v>2415.9</v>
      </c>
      <c r="M55" s="1"/>
      <c r="N55" s="5">
        <f t="shared" ref="N55:N57" si="43">IF(H55=0,0,L55/H55)</f>
        <v>2.4159000000000002</v>
      </c>
      <c r="O55" s="13"/>
      <c r="P55" s="1">
        <f>SUM(OSRRefP22_7x_0)</f>
        <v>9647.3799999999992</v>
      </c>
      <c r="Q55" s="1"/>
      <c r="R55" s="5">
        <f t="shared" ref="R55:R57" si="44">IF(P$12=0,0,P55/P$12)</f>
        <v>0</v>
      </c>
      <c r="S55" s="1"/>
      <c r="T55" s="1">
        <f>SUM(OSRRefT22_7x_0)</f>
        <v>5000</v>
      </c>
      <c r="U55" s="1"/>
      <c r="V55" s="5">
        <f t="shared" ref="V55:V57" si="45">IF(T$12=0,0,T55/T$12)</f>
        <v>0</v>
      </c>
      <c r="W55" s="1"/>
      <c r="X55" s="1">
        <f t="shared" ref="X55:X57" si="46">+P55-T55</f>
        <v>4647.3799999999992</v>
      </c>
      <c r="Y55" s="1"/>
      <c r="Z55" s="5">
        <f t="shared" ref="Z55:Z57" si="47">IF(T55=0,0,X55/T55)</f>
        <v>0.92947599999999986</v>
      </c>
    </row>
    <row r="56" spans="1:26" s="24" customFormat="1" hidden="1" outlineLevel="2" x14ac:dyDescent="0.25">
      <c r="A56" s="25"/>
      <c r="B56" s="11" t="str">
        <f>CONCATENATE("          ", "6395", " - ", "DONATION-OFF CAMPUS")</f>
        <v xml:space="preserve">          6395 - DONATION-OFF CAMPUS</v>
      </c>
      <c r="C56" s="11"/>
      <c r="D56" s="6"/>
      <c r="E56" s="2"/>
      <c r="F56" s="7">
        <f t="shared" si="40"/>
        <v>0</v>
      </c>
      <c r="G56" s="2"/>
      <c r="H56" s="6">
        <v>1000</v>
      </c>
      <c r="I56" s="2"/>
      <c r="J56" s="7">
        <f t="shared" si="41"/>
        <v>0</v>
      </c>
      <c r="K56" s="2"/>
      <c r="L56" s="6">
        <f t="shared" si="42"/>
        <v>-1000</v>
      </c>
      <c r="M56" s="2"/>
      <c r="N56" s="7">
        <f t="shared" si="43"/>
        <v>-1</v>
      </c>
      <c r="O56" s="11"/>
      <c r="P56" s="6"/>
      <c r="Q56" s="2"/>
      <c r="R56" s="7">
        <f t="shared" si="44"/>
        <v>0</v>
      </c>
      <c r="S56" s="2"/>
      <c r="T56" s="6">
        <v>5000</v>
      </c>
      <c r="U56" s="2"/>
      <c r="V56" s="7">
        <f t="shared" si="45"/>
        <v>0</v>
      </c>
      <c r="W56" s="2"/>
      <c r="X56" s="6">
        <f t="shared" si="46"/>
        <v>-5000</v>
      </c>
      <c r="Y56" s="2"/>
      <c r="Z56" s="7">
        <f t="shared" si="47"/>
        <v>-1</v>
      </c>
    </row>
    <row r="57" spans="1:26" s="24" customFormat="1" hidden="1" outlineLevel="2" x14ac:dyDescent="0.25">
      <c r="A57" s="25"/>
      <c r="B57" s="11" t="str">
        <f>CONCATENATE("          ", "6399", " - ", "DONATION-ON CAMPUS")</f>
        <v xml:space="preserve">          6399 - DONATION-ON CAMPUS</v>
      </c>
      <c r="C57" s="11"/>
      <c r="D57" s="6">
        <v>3415.9</v>
      </c>
      <c r="E57" s="2"/>
      <c r="F57" s="7">
        <f t="shared" si="40"/>
        <v>0</v>
      </c>
      <c r="G57" s="2"/>
      <c r="H57" s="6"/>
      <c r="I57" s="2"/>
      <c r="J57" s="7">
        <f t="shared" si="41"/>
        <v>0</v>
      </c>
      <c r="K57" s="2"/>
      <c r="L57" s="6">
        <f t="shared" si="42"/>
        <v>3415.9</v>
      </c>
      <c r="M57" s="2"/>
      <c r="N57" s="7">
        <f t="shared" si="43"/>
        <v>0</v>
      </c>
      <c r="O57" s="11"/>
      <c r="P57" s="6">
        <v>9647.3799999999992</v>
      </c>
      <c r="Q57" s="2"/>
      <c r="R57" s="7">
        <f t="shared" si="44"/>
        <v>0</v>
      </c>
      <c r="S57" s="2"/>
      <c r="T57" s="6"/>
      <c r="U57" s="2"/>
      <c r="V57" s="7">
        <f t="shared" si="45"/>
        <v>0</v>
      </c>
      <c r="W57" s="2"/>
      <c r="X57" s="6">
        <f t="shared" si="46"/>
        <v>9647.3799999999992</v>
      </c>
      <c r="Y57" s="2"/>
      <c r="Z57" s="7">
        <f t="shared" si="47"/>
        <v>0</v>
      </c>
    </row>
    <row r="58" spans="1:26" s="26" customFormat="1" outlineLevel="1" collapsed="1" x14ac:dyDescent="0.25">
      <c r="A58" s="27"/>
      <c r="B58" s="13" t="str">
        <f>CONCATENATE("     ","Employees' Appreciation                           ")</f>
        <v xml:space="preserve">     Employees' Appreciation                           </v>
      </c>
      <c r="C58" s="13"/>
      <c r="D58" s="1">
        <f>SUM(OSRRefD22_8x_0)</f>
        <v>222.13</v>
      </c>
      <c r="E58" s="1"/>
      <c r="F58" s="5">
        <f t="shared" ref="F58:F75" si="48">IF(D$12=0,0,D58/D$12)</f>
        <v>0</v>
      </c>
      <c r="G58" s="1"/>
      <c r="H58" s="1">
        <f>SUM(OSRRefH22_8x_0)</f>
        <v>200</v>
      </c>
      <c r="I58" s="1"/>
      <c r="J58" s="5">
        <f t="shared" ref="J58:J75" si="49">IF(H$12=0,0,H58/H$12)</f>
        <v>0</v>
      </c>
      <c r="K58" s="1"/>
      <c r="L58" s="1">
        <f t="shared" ref="L58:L75" si="50">+D58-H58</f>
        <v>22.129999999999995</v>
      </c>
      <c r="M58" s="1"/>
      <c r="N58" s="5">
        <f t="shared" ref="N58:N75" si="51">IF(H58=0,0,L58/H58)</f>
        <v>0.11064999999999997</v>
      </c>
      <c r="O58" s="13"/>
      <c r="P58" s="1">
        <f>SUM(OSRRefP22_8x_0)</f>
        <v>673.35</v>
      </c>
      <c r="Q58" s="1"/>
      <c r="R58" s="5">
        <f t="shared" ref="R58:R75" si="52">IF(P$12=0,0,P58/P$12)</f>
        <v>0</v>
      </c>
      <c r="S58" s="1"/>
      <c r="T58" s="1">
        <f>SUM(OSRRefT22_8x_0)</f>
        <v>1000</v>
      </c>
      <c r="U58" s="1"/>
      <c r="V58" s="5">
        <f t="shared" ref="V58:V75" si="53">IF(T$12=0,0,T58/T$12)</f>
        <v>0</v>
      </c>
      <c r="W58" s="1"/>
      <c r="X58" s="1">
        <f t="shared" ref="X58:X75" si="54">+P58-T58</f>
        <v>-326.64999999999998</v>
      </c>
      <c r="Y58" s="1"/>
      <c r="Z58" s="5">
        <f t="shared" ref="Z58:Z75" si="55">IF(T58=0,0,X58/T58)</f>
        <v>-0.32665</v>
      </c>
    </row>
    <row r="59" spans="1:26" s="24" customFormat="1" hidden="1" outlineLevel="2" x14ac:dyDescent="0.25">
      <c r="A59" s="25"/>
      <c r="B59" s="11" t="str">
        <f>CONCATENATE("          ", "6277", " - ", "EMPLOYEE APPRECIATION")</f>
        <v xml:space="preserve">          6277 - EMPLOYEE APPRECIATION</v>
      </c>
      <c r="C59" s="11"/>
      <c r="D59" s="6">
        <v>222.13</v>
      </c>
      <c r="E59" s="2"/>
      <c r="F59" s="7">
        <f t="shared" si="48"/>
        <v>0</v>
      </c>
      <c r="G59" s="2"/>
      <c r="H59" s="6">
        <v>200</v>
      </c>
      <c r="I59" s="2"/>
      <c r="J59" s="7">
        <f t="shared" si="49"/>
        <v>0</v>
      </c>
      <c r="K59" s="2"/>
      <c r="L59" s="6">
        <f t="shared" si="50"/>
        <v>22.129999999999995</v>
      </c>
      <c r="M59" s="2"/>
      <c r="N59" s="7">
        <f t="shared" si="51"/>
        <v>0.11064999999999997</v>
      </c>
      <c r="O59" s="11"/>
      <c r="P59" s="6">
        <v>673.35</v>
      </c>
      <c r="Q59" s="2"/>
      <c r="R59" s="7">
        <f t="shared" si="52"/>
        <v>0</v>
      </c>
      <c r="S59" s="2"/>
      <c r="T59" s="6">
        <v>1000</v>
      </c>
      <c r="U59" s="2"/>
      <c r="V59" s="7">
        <f t="shared" si="53"/>
        <v>0</v>
      </c>
      <c r="W59" s="2"/>
      <c r="X59" s="6">
        <f t="shared" si="54"/>
        <v>-326.64999999999998</v>
      </c>
      <c r="Y59" s="2"/>
      <c r="Z59" s="7">
        <f t="shared" si="55"/>
        <v>-0.32665</v>
      </c>
    </row>
    <row r="60" spans="1:26" s="26" customFormat="1" outlineLevel="1" collapsed="1" x14ac:dyDescent="0.25">
      <c r="A60" s="27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SUM(OSRRefD22_9x_0)</f>
        <v>0</v>
      </c>
      <c r="E60" s="1"/>
      <c r="F60" s="5">
        <f t="shared" si="48"/>
        <v>0</v>
      </c>
      <c r="G60" s="1"/>
      <c r="H60" s="1">
        <f>SUM(OSRRefH22_9x_0)</f>
        <v>30</v>
      </c>
      <c r="I60" s="1"/>
      <c r="J60" s="5">
        <f t="shared" si="49"/>
        <v>0</v>
      </c>
      <c r="K60" s="1"/>
      <c r="L60" s="1">
        <f t="shared" si="50"/>
        <v>-30</v>
      </c>
      <c r="M60" s="1"/>
      <c r="N60" s="5">
        <f t="shared" si="51"/>
        <v>-1</v>
      </c>
      <c r="O60" s="13"/>
      <c r="P60" s="1">
        <f>SUM(OSRRefP22_9x_0)</f>
        <v>14.39</v>
      </c>
      <c r="Q60" s="1"/>
      <c r="R60" s="5">
        <f t="shared" si="52"/>
        <v>0</v>
      </c>
      <c r="S60" s="1"/>
      <c r="T60" s="1">
        <f>SUM(OSRRefT22_9x_0)</f>
        <v>150</v>
      </c>
      <c r="U60" s="1"/>
      <c r="V60" s="5">
        <f t="shared" si="53"/>
        <v>0</v>
      </c>
      <c r="W60" s="1"/>
      <c r="X60" s="1">
        <f t="shared" si="54"/>
        <v>-135.61000000000001</v>
      </c>
      <c r="Y60" s="1"/>
      <c r="Z60" s="5">
        <f t="shared" si="55"/>
        <v>-0.9040666666666668</v>
      </c>
    </row>
    <row r="61" spans="1:26" s="24" customFormat="1" hidden="1" outlineLevel="2" x14ac:dyDescent="0.25">
      <c r="A61" s="25"/>
      <c r="B61" s="11" t="str">
        <f>CONCATENATE("          ", "6307", " - ", "POSTAGE")</f>
        <v xml:space="preserve">          6307 - POSTAGE</v>
      </c>
      <c r="C61" s="11"/>
      <c r="D61" s="6"/>
      <c r="E61" s="2"/>
      <c r="F61" s="7">
        <f t="shared" si="48"/>
        <v>0</v>
      </c>
      <c r="G61" s="2"/>
      <c r="H61" s="6">
        <v>30</v>
      </c>
      <c r="I61" s="2"/>
      <c r="J61" s="7">
        <f t="shared" si="49"/>
        <v>0</v>
      </c>
      <c r="K61" s="2"/>
      <c r="L61" s="6">
        <f t="shared" si="50"/>
        <v>-30</v>
      </c>
      <c r="M61" s="2"/>
      <c r="N61" s="7">
        <f t="shared" si="51"/>
        <v>-1</v>
      </c>
      <c r="O61" s="11"/>
      <c r="P61" s="6">
        <v>14.39</v>
      </c>
      <c r="Q61" s="2"/>
      <c r="R61" s="7">
        <f t="shared" si="52"/>
        <v>0</v>
      </c>
      <c r="S61" s="2"/>
      <c r="T61" s="6">
        <v>150</v>
      </c>
      <c r="U61" s="2"/>
      <c r="V61" s="7">
        <f t="shared" si="53"/>
        <v>0</v>
      </c>
      <c r="W61" s="2"/>
      <c r="X61" s="6">
        <f t="shared" si="54"/>
        <v>-135.61000000000001</v>
      </c>
      <c r="Y61" s="2"/>
      <c r="Z61" s="7">
        <f t="shared" si="55"/>
        <v>-0.9040666666666668</v>
      </c>
    </row>
    <row r="62" spans="1:26" s="26" customFormat="1" outlineLevel="1" collapsed="1" x14ac:dyDescent="0.25">
      <c r="A62" s="27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SUM(OSRRefD22_10x_0)</f>
        <v>1303.32</v>
      </c>
      <c r="E62" s="1"/>
      <c r="F62" s="5">
        <f t="shared" si="48"/>
        <v>0</v>
      </c>
      <c r="G62" s="1"/>
      <c r="H62" s="1">
        <f>SUM(OSRRefH22_10x_0)</f>
        <v>100</v>
      </c>
      <c r="I62" s="1"/>
      <c r="J62" s="5">
        <f t="shared" si="49"/>
        <v>0</v>
      </c>
      <c r="K62" s="1"/>
      <c r="L62" s="1">
        <f t="shared" si="50"/>
        <v>1203.32</v>
      </c>
      <c r="M62" s="1"/>
      <c r="N62" s="5">
        <f t="shared" si="51"/>
        <v>12.033199999999999</v>
      </c>
      <c r="O62" s="13"/>
      <c r="P62" s="1">
        <f>SUM(OSRRefP22_10x_0)</f>
        <v>-13680.98</v>
      </c>
      <c r="Q62" s="1"/>
      <c r="R62" s="5">
        <f t="shared" si="52"/>
        <v>0</v>
      </c>
      <c r="S62" s="1"/>
      <c r="T62" s="1">
        <f>SUM(OSRRefT22_10x_0)</f>
        <v>500</v>
      </c>
      <c r="U62" s="1"/>
      <c r="V62" s="5">
        <f t="shared" si="53"/>
        <v>0</v>
      </c>
      <c r="W62" s="1"/>
      <c r="X62" s="1">
        <f t="shared" si="54"/>
        <v>-14180.98</v>
      </c>
      <c r="Y62" s="1"/>
      <c r="Z62" s="5">
        <f t="shared" si="55"/>
        <v>-28.36196</v>
      </c>
    </row>
    <row r="63" spans="1:26" s="24" customFormat="1" hidden="1" outlineLevel="2" x14ac:dyDescent="0.25">
      <c r="A63" s="25"/>
      <c r="B63" s="11" t="str">
        <f>CONCATENATE("          ", "6279", " - ", "GENERAL EXPENSE")</f>
        <v xml:space="preserve">          6279 - GENERAL EXPENSE</v>
      </c>
      <c r="C63" s="11"/>
      <c r="D63" s="6">
        <v>1303.32</v>
      </c>
      <c r="E63" s="2"/>
      <c r="F63" s="7">
        <f t="shared" si="48"/>
        <v>0</v>
      </c>
      <c r="G63" s="2"/>
      <c r="H63" s="6">
        <v>100</v>
      </c>
      <c r="I63" s="2"/>
      <c r="J63" s="7">
        <f t="shared" si="49"/>
        <v>0</v>
      </c>
      <c r="K63" s="2"/>
      <c r="L63" s="6">
        <f t="shared" si="50"/>
        <v>1203.32</v>
      </c>
      <c r="M63" s="2"/>
      <c r="N63" s="7">
        <f t="shared" si="51"/>
        <v>12.033199999999999</v>
      </c>
      <c r="O63" s="11"/>
      <c r="P63" s="6">
        <v>-13680.98</v>
      </c>
      <c r="Q63" s="2"/>
      <c r="R63" s="7">
        <f t="shared" si="52"/>
        <v>0</v>
      </c>
      <c r="S63" s="2"/>
      <c r="T63" s="6">
        <v>500</v>
      </c>
      <c r="U63" s="2"/>
      <c r="V63" s="7">
        <f t="shared" si="53"/>
        <v>0</v>
      </c>
      <c r="W63" s="2"/>
      <c r="X63" s="6">
        <f t="shared" si="54"/>
        <v>-14180.98</v>
      </c>
      <c r="Y63" s="2"/>
      <c r="Z63" s="7">
        <f t="shared" si="55"/>
        <v>-28.36196</v>
      </c>
    </row>
    <row r="64" spans="1:26" s="26" customFormat="1" outlineLevel="1" collapsed="1" x14ac:dyDescent="0.25">
      <c r="A64" s="27"/>
      <c r="B64" s="13" t="str">
        <f>CONCATENATE("     ","Insurance                                         ")</f>
        <v xml:space="preserve">     Insurance                                         </v>
      </c>
      <c r="C64" s="13"/>
      <c r="D64" s="1">
        <f>SUM(OSRRefD22_11x_0)</f>
        <v>3883.56</v>
      </c>
      <c r="E64" s="1"/>
      <c r="F64" s="5">
        <f t="shared" si="48"/>
        <v>0</v>
      </c>
      <c r="G64" s="1"/>
      <c r="H64" s="1">
        <f>SUM(OSRRefH22_11x_0)</f>
        <v>3660</v>
      </c>
      <c r="I64" s="1"/>
      <c r="J64" s="5">
        <f t="shared" si="49"/>
        <v>0</v>
      </c>
      <c r="K64" s="1"/>
      <c r="L64" s="1">
        <f t="shared" si="50"/>
        <v>223.55999999999995</v>
      </c>
      <c r="M64" s="1"/>
      <c r="N64" s="5">
        <f t="shared" si="51"/>
        <v>6.1081967213114742E-2</v>
      </c>
      <c r="O64" s="13"/>
      <c r="P64" s="1">
        <f>SUM(OSRRefP22_11x_0)</f>
        <v>19417.8</v>
      </c>
      <c r="Q64" s="1"/>
      <c r="R64" s="5">
        <f t="shared" si="52"/>
        <v>0</v>
      </c>
      <c r="S64" s="1"/>
      <c r="T64" s="1">
        <f>SUM(OSRRefT22_11x_0)</f>
        <v>18300</v>
      </c>
      <c r="U64" s="1"/>
      <c r="V64" s="5">
        <f t="shared" si="53"/>
        <v>0</v>
      </c>
      <c r="W64" s="1"/>
      <c r="X64" s="1">
        <f t="shared" si="54"/>
        <v>1117.7999999999993</v>
      </c>
      <c r="Y64" s="1"/>
      <c r="Z64" s="5">
        <f t="shared" si="55"/>
        <v>6.1081967213114714E-2</v>
      </c>
    </row>
    <row r="65" spans="1:26" s="24" customFormat="1" hidden="1" outlineLevel="2" x14ac:dyDescent="0.25">
      <c r="A65" s="25"/>
      <c r="B65" s="11" t="str">
        <f>CONCATENATE("          ", "6314", " - ", "LIABILITY INSURANCE")</f>
        <v xml:space="preserve">          6314 - LIABILITY INSURANCE</v>
      </c>
      <c r="C65" s="11"/>
      <c r="D65" s="6">
        <v>3883.56</v>
      </c>
      <c r="E65" s="2"/>
      <c r="F65" s="7">
        <f t="shared" si="48"/>
        <v>0</v>
      </c>
      <c r="G65" s="2"/>
      <c r="H65" s="6">
        <v>3660</v>
      </c>
      <c r="I65" s="2"/>
      <c r="J65" s="7">
        <f t="shared" si="49"/>
        <v>0</v>
      </c>
      <c r="K65" s="2"/>
      <c r="L65" s="6">
        <f t="shared" si="50"/>
        <v>223.55999999999995</v>
      </c>
      <c r="M65" s="2"/>
      <c r="N65" s="7">
        <f t="shared" si="51"/>
        <v>6.1081967213114742E-2</v>
      </c>
      <c r="O65" s="11"/>
      <c r="P65" s="6">
        <v>19417.8</v>
      </c>
      <c r="Q65" s="2"/>
      <c r="R65" s="7">
        <f t="shared" si="52"/>
        <v>0</v>
      </c>
      <c r="S65" s="2"/>
      <c r="T65" s="6">
        <v>18300</v>
      </c>
      <c r="U65" s="2"/>
      <c r="V65" s="7">
        <f t="shared" si="53"/>
        <v>0</v>
      </c>
      <c r="W65" s="2"/>
      <c r="X65" s="6">
        <f t="shared" si="54"/>
        <v>1117.7999999999993</v>
      </c>
      <c r="Y65" s="2"/>
      <c r="Z65" s="7">
        <f t="shared" si="55"/>
        <v>6.1081967213114714E-2</v>
      </c>
    </row>
    <row r="66" spans="1:26" s="26" customFormat="1" outlineLevel="1" collapsed="1" x14ac:dyDescent="0.25">
      <c r="A66" s="27"/>
      <c r="B66" s="13" t="str">
        <f>CONCATENATE("     ","Inventory Adjustment                              ")</f>
        <v xml:space="preserve">     Inventory Adjustment                              </v>
      </c>
      <c r="C66" s="13"/>
      <c r="D66" s="1">
        <f>SUM(OSRRefD22_12x_0)</f>
        <v>0</v>
      </c>
      <c r="E66" s="1"/>
      <c r="F66" s="5">
        <f t="shared" si="48"/>
        <v>0</v>
      </c>
      <c r="G66" s="1"/>
      <c r="H66" s="1">
        <f>SUM(OSRRefH22_12x_0)</f>
        <v>0</v>
      </c>
      <c r="I66" s="1"/>
      <c r="J66" s="5">
        <f t="shared" si="49"/>
        <v>0</v>
      </c>
      <c r="K66" s="1"/>
      <c r="L66" s="1">
        <f t="shared" si="50"/>
        <v>0</v>
      </c>
      <c r="M66" s="1"/>
      <c r="N66" s="5">
        <f t="shared" si="51"/>
        <v>0</v>
      </c>
      <c r="O66" s="13"/>
      <c r="P66" s="1">
        <f>SUM(OSRRefP22_12x_0)</f>
        <v>0</v>
      </c>
      <c r="Q66" s="1"/>
      <c r="R66" s="5">
        <f t="shared" si="52"/>
        <v>0</v>
      </c>
      <c r="S66" s="1"/>
      <c r="T66" s="1">
        <f>SUM(OSRRefT22_12x_0)</f>
        <v>0</v>
      </c>
      <c r="U66" s="1"/>
      <c r="V66" s="5">
        <f t="shared" si="53"/>
        <v>0</v>
      </c>
      <c r="W66" s="1"/>
      <c r="X66" s="1">
        <f t="shared" si="54"/>
        <v>0</v>
      </c>
      <c r="Y66" s="1"/>
      <c r="Z66" s="5">
        <f t="shared" si="55"/>
        <v>0</v>
      </c>
    </row>
    <row r="67" spans="1:26" s="24" customFormat="1" hidden="1" outlineLevel="2" x14ac:dyDescent="0.25">
      <c r="A67" s="25"/>
      <c r="B67" s="11" t="str">
        <f>CONCATENATE("          ", "6408", " - ", "INVENTORY ADJUSTMENT")</f>
        <v xml:space="preserve">          6408 - INVENTORY ADJUSTMENT</v>
      </c>
      <c r="C67" s="11"/>
      <c r="D67" s="6"/>
      <c r="E67" s="2"/>
      <c r="F67" s="7">
        <f t="shared" si="48"/>
        <v>0</v>
      </c>
      <c r="G67" s="2"/>
      <c r="H67" s="6">
        <v>0</v>
      </c>
      <c r="I67" s="2"/>
      <c r="J67" s="7">
        <f t="shared" si="49"/>
        <v>0</v>
      </c>
      <c r="K67" s="2"/>
      <c r="L67" s="6">
        <f t="shared" si="50"/>
        <v>0</v>
      </c>
      <c r="M67" s="2"/>
      <c r="N67" s="7">
        <f t="shared" si="51"/>
        <v>0</v>
      </c>
      <c r="O67" s="11"/>
      <c r="P67" s="6"/>
      <c r="Q67" s="2"/>
      <c r="R67" s="7">
        <f t="shared" si="52"/>
        <v>0</v>
      </c>
      <c r="S67" s="2"/>
      <c r="T67" s="6">
        <v>0</v>
      </c>
      <c r="U67" s="2"/>
      <c r="V67" s="7">
        <f t="shared" si="53"/>
        <v>0</v>
      </c>
      <c r="W67" s="2"/>
      <c r="X67" s="6">
        <f t="shared" si="54"/>
        <v>0</v>
      </c>
      <c r="Y67" s="2"/>
      <c r="Z67" s="7">
        <f t="shared" si="55"/>
        <v>0</v>
      </c>
    </row>
    <row r="68" spans="1:26" s="26" customFormat="1" outlineLevel="1" collapsed="1" x14ac:dyDescent="0.25">
      <c r="A68" s="27"/>
      <c r="B68" s="13" t="str">
        <f>CONCATENATE("     ","Professional Services                             ")</f>
        <v xml:space="preserve">     Professional Services                             </v>
      </c>
      <c r="C68" s="13"/>
      <c r="D68" s="1">
        <f>SUM(OSRRefD22_13x_0)</f>
        <v>0</v>
      </c>
      <c r="E68" s="1"/>
      <c r="F68" s="5">
        <f t="shared" si="48"/>
        <v>0</v>
      </c>
      <c r="G68" s="1"/>
      <c r="H68" s="1">
        <f>SUM(OSRRefH22_13x_0)</f>
        <v>900</v>
      </c>
      <c r="I68" s="1"/>
      <c r="J68" s="5">
        <f t="shared" si="49"/>
        <v>0</v>
      </c>
      <c r="K68" s="1"/>
      <c r="L68" s="1">
        <f t="shared" si="50"/>
        <v>-900</v>
      </c>
      <c r="M68" s="1"/>
      <c r="N68" s="5">
        <f t="shared" si="51"/>
        <v>-1</v>
      </c>
      <c r="O68" s="13"/>
      <c r="P68" s="1">
        <f>SUM(OSRRefP22_13x_0)</f>
        <v>4658.41</v>
      </c>
      <c r="Q68" s="1"/>
      <c r="R68" s="5">
        <f t="shared" si="52"/>
        <v>0</v>
      </c>
      <c r="S68" s="1"/>
      <c r="T68" s="1">
        <f>SUM(OSRRefT22_13x_0)</f>
        <v>4500</v>
      </c>
      <c r="U68" s="1"/>
      <c r="V68" s="5">
        <f t="shared" si="53"/>
        <v>0</v>
      </c>
      <c r="W68" s="1"/>
      <c r="X68" s="1">
        <f t="shared" si="54"/>
        <v>158.40999999999985</v>
      </c>
      <c r="Y68" s="1"/>
      <c r="Z68" s="5">
        <f t="shared" si="55"/>
        <v>3.520222222222219E-2</v>
      </c>
    </row>
    <row r="69" spans="1:26" s="24" customFormat="1" hidden="1" outlineLevel="2" x14ac:dyDescent="0.25">
      <c r="A69" s="25"/>
      <c r="B69" s="11" t="str">
        <f>CONCATENATE("          ", "6336", " - ", "PROFESSIONAL SERVICES")</f>
        <v xml:space="preserve">          6336 - PROFESSIONAL SERVICES</v>
      </c>
      <c r="C69" s="11"/>
      <c r="D69" s="6"/>
      <c r="E69" s="2"/>
      <c r="F69" s="7">
        <f t="shared" si="48"/>
        <v>0</v>
      </c>
      <c r="G69" s="2"/>
      <c r="H69" s="6">
        <v>900</v>
      </c>
      <c r="I69" s="2"/>
      <c r="J69" s="7">
        <f t="shared" si="49"/>
        <v>0</v>
      </c>
      <c r="K69" s="2"/>
      <c r="L69" s="6">
        <f t="shared" si="50"/>
        <v>-900</v>
      </c>
      <c r="M69" s="2"/>
      <c r="N69" s="7">
        <f t="shared" si="51"/>
        <v>-1</v>
      </c>
      <c r="O69" s="11"/>
      <c r="P69" s="6">
        <v>4658.41</v>
      </c>
      <c r="Q69" s="2"/>
      <c r="R69" s="7">
        <f t="shared" si="52"/>
        <v>0</v>
      </c>
      <c r="S69" s="2"/>
      <c r="T69" s="6">
        <v>4500</v>
      </c>
      <c r="U69" s="2"/>
      <c r="V69" s="7">
        <f t="shared" si="53"/>
        <v>0</v>
      </c>
      <c r="W69" s="2"/>
      <c r="X69" s="6">
        <f t="shared" si="54"/>
        <v>158.40999999999985</v>
      </c>
      <c r="Y69" s="2"/>
      <c r="Z69" s="7">
        <f t="shared" si="55"/>
        <v>3.520222222222219E-2</v>
      </c>
    </row>
    <row r="70" spans="1:26" s="26" customFormat="1" outlineLevel="1" collapsed="1" x14ac:dyDescent="0.25">
      <c r="A70" s="27"/>
      <c r="B70" s="13" t="str">
        <f>CONCATENATE("     ","Rent                                              ")</f>
        <v xml:space="preserve">     Rent                                              </v>
      </c>
      <c r="C70" s="13"/>
      <c r="D70" s="1">
        <f>SUM(OSRRefD22_14x_0)</f>
        <v>-800</v>
      </c>
      <c r="E70" s="1"/>
      <c r="F70" s="5">
        <f t="shared" si="48"/>
        <v>0</v>
      </c>
      <c r="G70" s="1"/>
      <c r="H70" s="1">
        <f>SUM(OSRRefH22_14x_0)</f>
        <v>-800</v>
      </c>
      <c r="I70" s="1"/>
      <c r="J70" s="5">
        <f t="shared" si="49"/>
        <v>0</v>
      </c>
      <c r="K70" s="1"/>
      <c r="L70" s="1">
        <f t="shared" si="50"/>
        <v>0</v>
      </c>
      <c r="M70" s="1"/>
      <c r="N70" s="5">
        <f t="shared" si="51"/>
        <v>0</v>
      </c>
      <c r="O70" s="13"/>
      <c r="P70" s="1">
        <f>SUM(OSRRefP22_14x_0)</f>
        <v>-4000</v>
      </c>
      <c r="Q70" s="1"/>
      <c r="R70" s="5">
        <f t="shared" si="52"/>
        <v>0</v>
      </c>
      <c r="S70" s="1"/>
      <c r="T70" s="1">
        <f>SUM(OSRRefT22_14x_0)</f>
        <v>-4000</v>
      </c>
      <c r="U70" s="1"/>
      <c r="V70" s="5">
        <f t="shared" si="53"/>
        <v>0</v>
      </c>
      <c r="W70" s="1"/>
      <c r="X70" s="1">
        <f t="shared" si="54"/>
        <v>0</v>
      </c>
      <c r="Y70" s="1"/>
      <c r="Z70" s="5">
        <f t="shared" si="55"/>
        <v>0</v>
      </c>
    </row>
    <row r="71" spans="1:26" s="24" customFormat="1" hidden="1" outlineLevel="2" x14ac:dyDescent="0.25">
      <c r="A71" s="25"/>
      <c r="B71" s="11" t="str">
        <f>CONCATENATE("          ", "6273", " - ", "RENT")</f>
        <v xml:space="preserve">          6273 - RENT</v>
      </c>
      <c r="C71" s="11"/>
      <c r="D71" s="6">
        <v>-800</v>
      </c>
      <c r="E71" s="2"/>
      <c r="F71" s="7">
        <f t="shared" si="48"/>
        <v>0</v>
      </c>
      <c r="G71" s="2"/>
      <c r="H71" s="6">
        <v>-800</v>
      </c>
      <c r="I71" s="2"/>
      <c r="J71" s="7">
        <f t="shared" si="49"/>
        <v>0</v>
      </c>
      <c r="K71" s="2"/>
      <c r="L71" s="6">
        <f t="shared" si="50"/>
        <v>0</v>
      </c>
      <c r="M71" s="2"/>
      <c r="N71" s="7">
        <f t="shared" si="51"/>
        <v>0</v>
      </c>
      <c r="O71" s="11"/>
      <c r="P71" s="6">
        <v>-4000</v>
      </c>
      <c r="Q71" s="2"/>
      <c r="R71" s="7">
        <f t="shared" si="52"/>
        <v>0</v>
      </c>
      <c r="S71" s="2"/>
      <c r="T71" s="6">
        <v>-4000</v>
      </c>
      <c r="U71" s="2"/>
      <c r="V71" s="7">
        <f t="shared" si="53"/>
        <v>0</v>
      </c>
      <c r="W71" s="2"/>
      <c r="X71" s="6">
        <f t="shared" si="54"/>
        <v>0</v>
      </c>
      <c r="Y71" s="2"/>
      <c r="Z71" s="7">
        <f t="shared" si="55"/>
        <v>0</v>
      </c>
    </row>
    <row r="72" spans="1:26" s="26" customFormat="1" outlineLevel="1" collapsed="1" x14ac:dyDescent="0.25">
      <c r="A72" s="27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SUM(OSRRefD22_15x_0)</f>
        <v>3798.71</v>
      </c>
      <c r="E72" s="1"/>
      <c r="F72" s="5">
        <f t="shared" si="48"/>
        <v>0</v>
      </c>
      <c r="G72" s="1"/>
      <c r="H72" s="1">
        <f>SUM(OSRRefH22_15x_0)</f>
        <v>7000</v>
      </c>
      <c r="I72" s="1"/>
      <c r="J72" s="5">
        <f t="shared" si="49"/>
        <v>0</v>
      </c>
      <c r="K72" s="1"/>
      <c r="L72" s="1">
        <f t="shared" si="50"/>
        <v>-3201.29</v>
      </c>
      <c r="M72" s="1"/>
      <c r="N72" s="5">
        <f t="shared" si="51"/>
        <v>-0.45732714285714288</v>
      </c>
      <c r="O72" s="13"/>
      <c r="P72" s="1">
        <f>SUM(OSRRefP22_15x_0)</f>
        <v>40217.11</v>
      </c>
      <c r="Q72" s="1"/>
      <c r="R72" s="5">
        <f t="shared" si="52"/>
        <v>0</v>
      </c>
      <c r="S72" s="1"/>
      <c r="T72" s="1">
        <f>SUM(OSRRefT22_15x_0)</f>
        <v>77285</v>
      </c>
      <c r="U72" s="1"/>
      <c r="V72" s="5">
        <f t="shared" si="53"/>
        <v>0</v>
      </c>
      <c r="W72" s="1"/>
      <c r="X72" s="1">
        <f t="shared" si="54"/>
        <v>-37067.89</v>
      </c>
      <c r="Y72" s="1"/>
      <c r="Z72" s="5">
        <f t="shared" si="55"/>
        <v>-0.47962592999935305</v>
      </c>
    </row>
    <row r="73" spans="1:26" s="24" customFormat="1" hidden="1" outlineLevel="2" x14ac:dyDescent="0.25">
      <c r="A73" s="25"/>
      <c r="B73" s="11" t="str">
        <f>CONCATENATE("          ", "6371", " - ", "COMPUTER SOFTWARE MAINTENANCE")</f>
        <v xml:space="preserve">          6371 - COMPUTER SOFTWARE MAINTENANCE</v>
      </c>
      <c r="C73" s="11"/>
      <c r="D73" s="6">
        <v>601</v>
      </c>
      <c r="E73" s="2"/>
      <c r="F73" s="7">
        <f t="shared" si="48"/>
        <v>0</v>
      </c>
      <c r="G73" s="2"/>
      <c r="H73" s="6"/>
      <c r="I73" s="2"/>
      <c r="J73" s="7">
        <f t="shared" si="49"/>
        <v>0</v>
      </c>
      <c r="K73" s="2"/>
      <c r="L73" s="6">
        <f t="shared" si="50"/>
        <v>601</v>
      </c>
      <c r="M73" s="2"/>
      <c r="N73" s="7">
        <f t="shared" si="51"/>
        <v>0</v>
      </c>
      <c r="O73" s="11"/>
      <c r="P73" s="6">
        <v>13352.4</v>
      </c>
      <c r="Q73" s="2"/>
      <c r="R73" s="7">
        <f t="shared" si="52"/>
        <v>0</v>
      </c>
      <c r="S73" s="2"/>
      <c r="T73" s="6">
        <v>48535</v>
      </c>
      <c r="U73" s="2"/>
      <c r="V73" s="7">
        <f t="shared" si="53"/>
        <v>0</v>
      </c>
      <c r="W73" s="2"/>
      <c r="X73" s="6">
        <f t="shared" si="54"/>
        <v>-35182.6</v>
      </c>
      <c r="Y73" s="2"/>
      <c r="Z73" s="7">
        <f t="shared" si="55"/>
        <v>-0.72489131554548258</v>
      </c>
    </row>
    <row r="74" spans="1:26" s="24" customFormat="1" hidden="1" outlineLevel="2" x14ac:dyDescent="0.25">
      <c r="A74" s="25"/>
      <c r="B74" s="11" t="str">
        <f>CONCATENATE("          ", "6373", " - ", "MAINTENANCE CONTRACTS")</f>
        <v xml:space="preserve">          6373 - MAINTENANCE CONTRACTS</v>
      </c>
      <c r="C74" s="11"/>
      <c r="D74" s="6"/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0</v>
      </c>
      <c r="M74" s="2"/>
      <c r="N74" s="7">
        <f t="shared" si="51"/>
        <v>0</v>
      </c>
      <c r="O74" s="11"/>
      <c r="P74" s="6">
        <v>2114.0500000000002</v>
      </c>
      <c r="Q74" s="2"/>
      <c r="R74" s="7">
        <f t="shared" si="52"/>
        <v>0</v>
      </c>
      <c r="S74" s="2"/>
      <c r="T74" s="6"/>
      <c r="U74" s="2"/>
      <c r="V74" s="7">
        <f t="shared" si="53"/>
        <v>0</v>
      </c>
      <c r="W74" s="2"/>
      <c r="X74" s="6">
        <f t="shared" si="54"/>
        <v>2114.0500000000002</v>
      </c>
      <c r="Y74" s="2"/>
      <c r="Z74" s="7">
        <f t="shared" si="55"/>
        <v>0</v>
      </c>
    </row>
    <row r="75" spans="1:26" s="24" customFormat="1" hidden="1" outlineLevel="2" x14ac:dyDescent="0.25">
      <c r="A75" s="25"/>
      <c r="B75" s="11" t="str">
        <f>CONCATENATE("          ", "6375", " - ", "OUTSIDE REPAIRS &amp; MAINTENANCE")</f>
        <v xml:space="preserve">          6375 - OUTSIDE REPAIRS &amp; MAINTENANCE</v>
      </c>
      <c r="C75" s="11"/>
      <c r="D75" s="6">
        <v>3197.71</v>
      </c>
      <c r="E75" s="2"/>
      <c r="F75" s="7">
        <f t="shared" si="48"/>
        <v>0</v>
      </c>
      <c r="G75" s="2"/>
      <c r="H75" s="6">
        <v>7000</v>
      </c>
      <c r="I75" s="2"/>
      <c r="J75" s="7">
        <f t="shared" si="49"/>
        <v>0</v>
      </c>
      <c r="K75" s="2"/>
      <c r="L75" s="6">
        <f t="shared" si="50"/>
        <v>-3802.29</v>
      </c>
      <c r="M75" s="2"/>
      <c r="N75" s="7">
        <f t="shared" si="51"/>
        <v>-0.54318428571428568</v>
      </c>
      <c r="O75" s="11"/>
      <c r="P75" s="6">
        <v>24750.66</v>
      </c>
      <c r="Q75" s="2"/>
      <c r="R75" s="7">
        <f t="shared" si="52"/>
        <v>0</v>
      </c>
      <c r="S75" s="2"/>
      <c r="T75" s="6">
        <v>28750</v>
      </c>
      <c r="U75" s="2"/>
      <c r="V75" s="7">
        <f t="shared" si="53"/>
        <v>0</v>
      </c>
      <c r="W75" s="2"/>
      <c r="X75" s="6">
        <f t="shared" si="54"/>
        <v>-3999.34</v>
      </c>
      <c r="Y75" s="2"/>
      <c r="Z75" s="7">
        <f t="shared" si="55"/>
        <v>-0.13910747826086958</v>
      </c>
    </row>
    <row r="76" spans="1:26" s="26" customFormat="1" outlineLevel="1" collapsed="1" x14ac:dyDescent="0.25">
      <c r="A76" s="27"/>
      <c r="B76" s="13" t="str">
        <f>CONCATENATE("     ","Services                                          ")</f>
        <v xml:space="preserve">     Services                                          </v>
      </c>
      <c r="C76" s="13"/>
      <c r="D76" s="1">
        <f>SUM(OSRRefD22_16x_0)</f>
        <v>4058.93</v>
      </c>
      <c r="E76" s="1"/>
      <c r="F76" s="5">
        <f t="shared" ref="F76:F79" si="56">IF(D$12=0,0,D76/D$12)</f>
        <v>0</v>
      </c>
      <c r="G76" s="1"/>
      <c r="H76" s="1">
        <f>SUM(OSRRefH22_16x_0)</f>
        <v>4100</v>
      </c>
      <c r="I76" s="1"/>
      <c r="J76" s="5">
        <f t="shared" ref="J76:J79" si="57">IF(H$12=0,0,H76/H$12)</f>
        <v>0</v>
      </c>
      <c r="K76" s="1"/>
      <c r="L76" s="1">
        <f t="shared" ref="L76:L79" si="58">+D76-H76</f>
        <v>-41.070000000000164</v>
      </c>
      <c r="M76" s="1"/>
      <c r="N76" s="5">
        <f t="shared" ref="N76:N79" si="59">IF(H76=0,0,L76/H76)</f>
        <v>-1.0017073170731748E-2</v>
      </c>
      <c r="O76" s="13"/>
      <c r="P76" s="1">
        <f>SUM(OSRRefP22_16x_0)</f>
        <v>19924.980000000003</v>
      </c>
      <c r="Q76" s="1"/>
      <c r="R76" s="5">
        <f t="shared" ref="R76:R79" si="60">IF(P$12=0,0,P76/P$12)</f>
        <v>0</v>
      </c>
      <c r="S76" s="1"/>
      <c r="T76" s="1">
        <f>SUM(OSRRefT22_16x_0)</f>
        <v>20500</v>
      </c>
      <c r="U76" s="1"/>
      <c r="V76" s="5">
        <f t="shared" ref="V76:V79" si="61">IF(T$12=0,0,T76/T$12)</f>
        <v>0</v>
      </c>
      <c r="W76" s="1"/>
      <c r="X76" s="1">
        <f t="shared" ref="X76:X79" si="62">+P76-T76</f>
        <v>-575.0199999999968</v>
      </c>
      <c r="Y76" s="1"/>
      <c r="Z76" s="5">
        <f t="shared" ref="Z76:Z79" si="63">IF(T76=0,0,X76/T76)</f>
        <v>-2.8049756097560819E-2</v>
      </c>
    </row>
    <row r="77" spans="1:26" s="24" customFormat="1" hidden="1" outlineLevel="2" x14ac:dyDescent="0.25">
      <c r="A77" s="25"/>
      <c r="B77" s="11" t="str">
        <f>CONCATENATE("          ", "6282", " - ", "JANITORIAL/EXTERMINATOR EXPENS")</f>
        <v xml:space="preserve">          6282 - JANITORIAL/EXTERMINATOR EXPENS</v>
      </c>
      <c r="C77" s="11"/>
      <c r="D77" s="6">
        <v>222.5</v>
      </c>
      <c r="E77" s="2"/>
      <c r="F77" s="7">
        <f t="shared" si="56"/>
        <v>0</v>
      </c>
      <c r="G77" s="2"/>
      <c r="H77" s="6"/>
      <c r="I77" s="2"/>
      <c r="J77" s="7">
        <f t="shared" si="57"/>
        <v>0</v>
      </c>
      <c r="K77" s="2"/>
      <c r="L77" s="6">
        <f t="shared" si="58"/>
        <v>222.5</v>
      </c>
      <c r="M77" s="2"/>
      <c r="N77" s="7">
        <f t="shared" si="59"/>
        <v>0</v>
      </c>
      <c r="O77" s="11"/>
      <c r="P77" s="6">
        <v>1112.5</v>
      </c>
      <c r="Q77" s="2"/>
      <c r="R77" s="7">
        <f t="shared" si="60"/>
        <v>0</v>
      </c>
      <c r="S77" s="2"/>
      <c r="T77" s="6"/>
      <c r="U77" s="2"/>
      <c r="V77" s="7">
        <f t="shared" si="61"/>
        <v>0</v>
      </c>
      <c r="W77" s="2"/>
      <c r="X77" s="6">
        <f t="shared" si="62"/>
        <v>1112.5</v>
      </c>
      <c r="Y77" s="2"/>
      <c r="Z77" s="7">
        <f t="shared" si="63"/>
        <v>0</v>
      </c>
    </row>
    <row r="78" spans="1:26" s="24" customFormat="1" hidden="1" outlineLevel="2" x14ac:dyDescent="0.25">
      <c r="A78" s="25"/>
      <c r="B78" s="11" t="str">
        <f>CONCATENATE("          ", "6283", " - ", "PLANT SERVICE")</f>
        <v xml:space="preserve">          6283 - PLANT SERVICE</v>
      </c>
      <c r="C78" s="11"/>
      <c r="D78" s="6"/>
      <c r="E78" s="2"/>
      <c r="F78" s="7">
        <f t="shared" si="56"/>
        <v>0</v>
      </c>
      <c r="G78" s="2"/>
      <c r="H78" s="6"/>
      <c r="I78" s="2"/>
      <c r="J78" s="7">
        <f t="shared" si="57"/>
        <v>0</v>
      </c>
      <c r="K78" s="2"/>
      <c r="L78" s="6">
        <f t="shared" si="58"/>
        <v>0</v>
      </c>
      <c r="M78" s="2"/>
      <c r="N78" s="7">
        <f t="shared" si="59"/>
        <v>0</v>
      </c>
      <c r="O78" s="11"/>
      <c r="P78" s="6">
        <v>363.33</v>
      </c>
      <c r="Q78" s="2"/>
      <c r="R78" s="7">
        <f t="shared" si="60"/>
        <v>0</v>
      </c>
      <c r="S78" s="2"/>
      <c r="T78" s="6"/>
      <c r="U78" s="2"/>
      <c r="V78" s="7">
        <f t="shared" si="61"/>
        <v>0</v>
      </c>
      <c r="W78" s="2"/>
      <c r="X78" s="6">
        <f t="shared" si="62"/>
        <v>363.33</v>
      </c>
      <c r="Y78" s="2"/>
      <c r="Z78" s="7">
        <f t="shared" si="63"/>
        <v>0</v>
      </c>
    </row>
    <row r="79" spans="1:26" s="24" customFormat="1" hidden="1" outlineLevel="2" x14ac:dyDescent="0.25">
      <c r="A79" s="25"/>
      <c r="B79" s="11" t="str">
        <f>CONCATENATE("          ", "6285", " - ", "JANITORIAL SERVICES")</f>
        <v xml:space="preserve">          6285 - JANITORIAL SERVICES</v>
      </c>
      <c r="C79" s="11"/>
      <c r="D79" s="6">
        <v>3836.43</v>
      </c>
      <c r="E79" s="2"/>
      <c r="F79" s="7">
        <f t="shared" si="56"/>
        <v>0</v>
      </c>
      <c r="G79" s="2"/>
      <c r="H79" s="6">
        <v>4100</v>
      </c>
      <c r="I79" s="2"/>
      <c r="J79" s="7">
        <f t="shared" si="57"/>
        <v>0</v>
      </c>
      <c r="K79" s="2"/>
      <c r="L79" s="6">
        <f t="shared" si="58"/>
        <v>-263.57000000000016</v>
      </c>
      <c r="M79" s="2"/>
      <c r="N79" s="7">
        <f t="shared" si="59"/>
        <v>-6.4285365853658571E-2</v>
      </c>
      <c r="O79" s="11"/>
      <c r="P79" s="6">
        <v>18449.150000000001</v>
      </c>
      <c r="Q79" s="2"/>
      <c r="R79" s="7">
        <f t="shared" si="60"/>
        <v>0</v>
      </c>
      <c r="S79" s="2"/>
      <c r="T79" s="6">
        <v>20500</v>
      </c>
      <c r="U79" s="2"/>
      <c r="V79" s="7">
        <f t="shared" si="61"/>
        <v>0</v>
      </c>
      <c r="W79" s="2"/>
      <c r="X79" s="6">
        <f t="shared" si="62"/>
        <v>-2050.8499999999985</v>
      </c>
      <c r="Y79" s="2"/>
      <c r="Z79" s="7">
        <f t="shared" si="63"/>
        <v>-0.10004146341463407</v>
      </c>
    </row>
    <row r="80" spans="1:26" s="26" customFormat="1" outlineLevel="1" collapsed="1" x14ac:dyDescent="0.25">
      <c r="A80" s="27"/>
      <c r="B80" s="13" t="str">
        <f>CONCATENATE("     ","Subscriptions &amp; Dues                              ")</f>
        <v xml:space="preserve">     Subscriptions &amp; Dues                              </v>
      </c>
      <c r="C80" s="13"/>
      <c r="D80" s="1">
        <f>SUM(OSRRefD22_17x_0)</f>
        <v>-74.64</v>
      </c>
      <c r="E80" s="1"/>
      <c r="F80" s="5">
        <f t="shared" ref="F80:F82" si="64">IF(D$12=0,0,D80/D$12)</f>
        <v>0</v>
      </c>
      <c r="G80" s="1"/>
      <c r="H80" s="1">
        <f>SUM(OSRRefH22_17x_0)</f>
        <v>200</v>
      </c>
      <c r="I80" s="1"/>
      <c r="J80" s="5">
        <f t="shared" ref="J80:J82" si="65">IF(H$12=0,0,H80/H$12)</f>
        <v>0</v>
      </c>
      <c r="K80" s="1"/>
      <c r="L80" s="1">
        <f t="shared" ref="L80:L82" si="66">+D80-H80</f>
        <v>-274.64</v>
      </c>
      <c r="M80" s="1"/>
      <c r="N80" s="5">
        <f t="shared" ref="N80:N82" si="67">IF(H80=0,0,L80/H80)</f>
        <v>-1.3732</v>
      </c>
      <c r="O80" s="13"/>
      <c r="P80" s="1">
        <f>SUM(OSRRefP22_17x_0)</f>
        <v>405.3</v>
      </c>
      <c r="Q80" s="1"/>
      <c r="R80" s="5">
        <f t="shared" ref="R80:R82" si="68">IF(P$12=0,0,P80/P$12)</f>
        <v>0</v>
      </c>
      <c r="S80" s="1"/>
      <c r="T80" s="1">
        <f>SUM(OSRRefT22_17x_0)</f>
        <v>1800</v>
      </c>
      <c r="U80" s="1"/>
      <c r="V80" s="5">
        <f t="shared" ref="V80:V82" si="69">IF(T$12=0,0,T80/T$12)</f>
        <v>0</v>
      </c>
      <c r="W80" s="1"/>
      <c r="X80" s="1">
        <f t="shared" ref="X80:X82" si="70">+P80-T80</f>
        <v>-1394.7</v>
      </c>
      <c r="Y80" s="1"/>
      <c r="Z80" s="5">
        <f t="shared" ref="Z80:Z82" si="71">IF(T80=0,0,X80/T80)</f>
        <v>-0.77483333333333337</v>
      </c>
    </row>
    <row r="81" spans="1:26" s="24" customFormat="1" hidden="1" outlineLevel="2" x14ac:dyDescent="0.25">
      <c r="A81" s="25"/>
      <c r="B81" s="11" t="str">
        <f>CONCATENATE("          ", "6258", " - ", "MEMBERSHIP DUES")</f>
        <v xml:space="preserve">          6258 - MEMBERSHIP DUES</v>
      </c>
      <c r="C81" s="11"/>
      <c r="D81" s="6"/>
      <c r="E81" s="2"/>
      <c r="F81" s="7">
        <f t="shared" si="64"/>
        <v>0</v>
      </c>
      <c r="G81" s="2"/>
      <c r="H81" s="6">
        <v>200</v>
      </c>
      <c r="I81" s="2"/>
      <c r="J81" s="7">
        <f t="shared" si="65"/>
        <v>0</v>
      </c>
      <c r="K81" s="2"/>
      <c r="L81" s="6">
        <f t="shared" si="66"/>
        <v>-200</v>
      </c>
      <c r="M81" s="2"/>
      <c r="N81" s="7">
        <f t="shared" si="67"/>
        <v>-1</v>
      </c>
      <c r="O81" s="11"/>
      <c r="P81" s="6"/>
      <c r="Q81" s="2"/>
      <c r="R81" s="7">
        <f t="shared" si="68"/>
        <v>0</v>
      </c>
      <c r="S81" s="2"/>
      <c r="T81" s="6">
        <v>1800</v>
      </c>
      <c r="U81" s="2"/>
      <c r="V81" s="7">
        <f t="shared" si="69"/>
        <v>0</v>
      </c>
      <c r="W81" s="2"/>
      <c r="X81" s="6">
        <f t="shared" si="70"/>
        <v>-1800</v>
      </c>
      <c r="Y81" s="2"/>
      <c r="Z81" s="7">
        <f t="shared" si="71"/>
        <v>-1</v>
      </c>
    </row>
    <row r="82" spans="1:26" s="24" customFormat="1" hidden="1" outlineLevel="2" x14ac:dyDescent="0.25">
      <c r="A82" s="25"/>
      <c r="B82" s="11" t="str">
        <f>CONCATENATE("          ", "6275", " - ", "SUBSCRIPTIONS")</f>
        <v xml:space="preserve">          6275 - SUBSCRIPTIONS</v>
      </c>
      <c r="C82" s="11"/>
      <c r="D82" s="6">
        <v>-74.64</v>
      </c>
      <c r="E82" s="2"/>
      <c r="F82" s="7">
        <f t="shared" si="64"/>
        <v>0</v>
      </c>
      <c r="G82" s="2"/>
      <c r="H82" s="6"/>
      <c r="I82" s="2"/>
      <c r="J82" s="7">
        <f t="shared" si="65"/>
        <v>0</v>
      </c>
      <c r="K82" s="2"/>
      <c r="L82" s="6">
        <f t="shared" si="66"/>
        <v>-74.64</v>
      </c>
      <c r="M82" s="2"/>
      <c r="N82" s="7">
        <f t="shared" si="67"/>
        <v>0</v>
      </c>
      <c r="O82" s="11"/>
      <c r="P82" s="6">
        <v>405.3</v>
      </c>
      <c r="Q82" s="2"/>
      <c r="R82" s="7">
        <f t="shared" si="68"/>
        <v>0</v>
      </c>
      <c r="S82" s="2"/>
      <c r="T82" s="6"/>
      <c r="U82" s="2"/>
      <c r="V82" s="7">
        <f t="shared" si="69"/>
        <v>0</v>
      </c>
      <c r="W82" s="2"/>
      <c r="X82" s="6">
        <f t="shared" si="70"/>
        <v>405.3</v>
      </c>
      <c r="Y82" s="2"/>
      <c r="Z82" s="7">
        <f t="shared" si="71"/>
        <v>0</v>
      </c>
    </row>
    <row r="83" spans="1:26" s="26" customFormat="1" outlineLevel="1" collapsed="1" x14ac:dyDescent="0.25">
      <c r="A83" s="27"/>
      <c r="B83" s="13" t="str">
        <f>CONCATENATE("     ","Supplies                                          ")</f>
        <v xml:space="preserve">     Supplies                                          </v>
      </c>
      <c r="C83" s="13"/>
      <c r="D83" s="1">
        <f>SUM(OSRRefD22_18x_0)</f>
        <v>1662.8100000000002</v>
      </c>
      <c r="E83" s="1"/>
      <c r="F83" s="5">
        <f t="shared" ref="F83:F89" si="72">IF(D$12=0,0,D83/D$12)</f>
        <v>0</v>
      </c>
      <c r="G83" s="1"/>
      <c r="H83" s="1">
        <f>SUM(OSRRefH22_18x_0)</f>
        <v>4250</v>
      </c>
      <c r="I83" s="1"/>
      <c r="J83" s="5">
        <f t="shared" ref="J83:J89" si="73">IF(H$12=0,0,H83/H$12)</f>
        <v>0</v>
      </c>
      <c r="K83" s="1"/>
      <c r="L83" s="1">
        <f t="shared" ref="L83:L89" si="74">+D83-H83</f>
        <v>-2587.1899999999996</v>
      </c>
      <c r="M83" s="1"/>
      <c r="N83" s="5">
        <f t="shared" ref="N83:N89" si="75">IF(H83=0,0,L83/H83)</f>
        <v>-0.60875058823529404</v>
      </c>
      <c r="O83" s="13"/>
      <c r="P83" s="1">
        <f>SUM(OSRRefP22_18x_0)</f>
        <v>9463.8899999999976</v>
      </c>
      <c r="Q83" s="1"/>
      <c r="R83" s="5">
        <f t="shared" ref="R83:R89" si="76">IF(P$12=0,0,P83/P$12)</f>
        <v>0</v>
      </c>
      <c r="S83" s="1"/>
      <c r="T83" s="1">
        <f>SUM(OSRRefT22_18x_0)</f>
        <v>21350</v>
      </c>
      <c r="U83" s="1"/>
      <c r="V83" s="5">
        <f t="shared" ref="V83:V89" si="77">IF(T$12=0,0,T83/T$12)</f>
        <v>0</v>
      </c>
      <c r="W83" s="1"/>
      <c r="X83" s="1">
        <f t="shared" ref="X83:X89" si="78">+P83-T83</f>
        <v>-11886.110000000002</v>
      </c>
      <c r="Y83" s="1"/>
      <c r="Z83" s="5">
        <f t="shared" ref="Z83:Z89" si="79">IF(T83=0,0,X83/T83)</f>
        <v>-0.55672646370023426</v>
      </c>
    </row>
    <row r="84" spans="1:26" s="24" customFormat="1" hidden="1" outlineLevel="2" x14ac:dyDescent="0.25">
      <c r="A84" s="25"/>
      <c r="B84" s="11" t="str">
        <f>CONCATENATE("          ", "6234", " - ", "EXPENDABLE SUPPLIES &amp; EQUIPMEN")</f>
        <v xml:space="preserve">          6234 - EXPENDABLE SUPPLIES &amp; EQUIPMEN</v>
      </c>
      <c r="C84" s="11"/>
      <c r="D84" s="6">
        <v>70.34</v>
      </c>
      <c r="E84" s="2"/>
      <c r="F84" s="7">
        <f t="shared" si="72"/>
        <v>0</v>
      </c>
      <c r="G84" s="2"/>
      <c r="H84" s="6"/>
      <c r="I84" s="2"/>
      <c r="J84" s="7">
        <f t="shared" si="73"/>
        <v>0</v>
      </c>
      <c r="K84" s="2"/>
      <c r="L84" s="6">
        <f t="shared" si="74"/>
        <v>70.34</v>
      </c>
      <c r="M84" s="2"/>
      <c r="N84" s="7">
        <f t="shared" si="75"/>
        <v>0</v>
      </c>
      <c r="O84" s="11"/>
      <c r="P84" s="6">
        <v>785.12</v>
      </c>
      <c r="Q84" s="2"/>
      <c r="R84" s="7">
        <f t="shared" si="76"/>
        <v>0</v>
      </c>
      <c r="S84" s="2"/>
      <c r="T84" s="6"/>
      <c r="U84" s="2"/>
      <c r="V84" s="7">
        <f t="shared" si="77"/>
        <v>0</v>
      </c>
      <c r="W84" s="2"/>
      <c r="X84" s="6">
        <f t="shared" si="78"/>
        <v>785.12</v>
      </c>
      <c r="Y84" s="2"/>
      <c r="Z84" s="7">
        <f t="shared" si="79"/>
        <v>0</v>
      </c>
    </row>
    <row r="85" spans="1:26" s="24" customFormat="1" hidden="1" outlineLevel="2" x14ac:dyDescent="0.25">
      <c r="A85" s="25"/>
      <c r="B85" s="11" t="str">
        <f>CONCATENATE("          ", "6237", " - ", "JANITORIAL SUPPLIES")</f>
        <v xml:space="preserve">          6237 - JANITORIAL SUPPLIES</v>
      </c>
      <c r="C85" s="11"/>
      <c r="D85" s="6">
        <v>464.58</v>
      </c>
      <c r="E85" s="2"/>
      <c r="F85" s="7">
        <f t="shared" si="72"/>
        <v>0</v>
      </c>
      <c r="G85" s="2"/>
      <c r="H85" s="6"/>
      <c r="I85" s="2"/>
      <c r="J85" s="7">
        <f t="shared" si="73"/>
        <v>0</v>
      </c>
      <c r="K85" s="2"/>
      <c r="L85" s="6">
        <f t="shared" si="74"/>
        <v>464.58</v>
      </c>
      <c r="M85" s="2"/>
      <c r="N85" s="7">
        <f t="shared" si="75"/>
        <v>0</v>
      </c>
      <c r="O85" s="11"/>
      <c r="P85" s="6">
        <v>2343.08</v>
      </c>
      <c r="Q85" s="2"/>
      <c r="R85" s="7">
        <f t="shared" si="76"/>
        <v>0</v>
      </c>
      <c r="S85" s="2"/>
      <c r="T85" s="6"/>
      <c r="U85" s="2"/>
      <c r="V85" s="7">
        <f t="shared" si="77"/>
        <v>0</v>
      </c>
      <c r="W85" s="2"/>
      <c r="X85" s="6">
        <f t="shared" si="78"/>
        <v>2343.08</v>
      </c>
      <c r="Y85" s="2"/>
      <c r="Z85" s="7">
        <f t="shared" si="79"/>
        <v>0</v>
      </c>
    </row>
    <row r="86" spans="1:26" s="24" customFormat="1" hidden="1" outlineLevel="2" x14ac:dyDescent="0.25">
      <c r="A86" s="25"/>
      <c r="B86" s="11" t="str">
        <f>CONCATENATE("          ", "6241", " - ", "OFFICE EXPENSE")</f>
        <v xml:space="preserve">          6241 - OFFICE EXPENSE</v>
      </c>
      <c r="C86" s="11"/>
      <c r="D86" s="6">
        <v>1341.69</v>
      </c>
      <c r="E86" s="2"/>
      <c r="F86" s="7">
        <f t="shared" si="72"/>
        <v>0</v>
      </c>
      <c r="G86" s="2"/>
      <c r="H86" s="6"/>
      <c r="I86" s="2"/>
      <c r="J86" s="7">
        <f t="shared" si="73"/>
        <v>0</v>
      </c>
      <c r="K86" s="2"/>
      <c r="L86" s="6">
        <f t="shared" si="74"/>
        <v>1341.69</v>
      </c>
      <c r="M86" s="2"/>
      <c r="N86" s="7">
        <f t="shared" si="75"/>
        <v>0</v>
      </c>
      <c r="O86" s="11"/>
      <c r="P86" s="6">
        <v>6433.15</v>
      </c>
      <c r="Q86" s="2"/>
      <c r="R86" s="7">
        <f t="shared" si="76"/>
        <v>0</v>
      </c>
      <c r="S86" s="2"/>
      <c r="T86" s="6"/>
      <c r="U86" s="2"/>
      <c r="V86" s="7">
        <f t="shared" si="77"/>
        <v>0</v>
      </c>
      <c r="W86" s="2"/>
      <c r="X86" s="6">
        <f t="shared" si="78"/>
        <v>6433.15</v>
      </c>
      <c r="Y86" s="2"/>
      <c r="Z86" s="7">
        <f t="shared" si="79"/>
        <v>0</v>
      </c>
    </row>
    <row r="87" spans="1:26" s="24" customFormat="1" hidden="1" outlineLevel="2" x14ac:dyDescent="0.25">
      <c r="A87" s="25"/>
      <c r="B87" s="11" t="str">
        <f>CONCATENATE("          ", "6245", " - ", "PRINTING")</f>
        <v xml:space="preserve">          6245 - PRINTING</v>
      </c>
      <c r="C87" s="11"/>
      <c r="D87" s="6"/>
      <c r="E87" s="2"/>
      <c r="F87" s="7">
        <f t="shared" si="72"/>
        <v>0</v>
      </c>
      <c r="G87" s="2"/>
      <c r="H87" s="6"/>
      <c r="I87" s="2"/>
      <c r="J87" s="7">
        <f t="shared" si="73"/>
        <v>0</v>
      </c>
      <c r="K87" s="2"/>
      <c r="L87" s="6">
        <f t="shared" si="74"/>
        <v>0</v>
      </c>
      <c r="M87" s="2"/>
      <c r="N87" s="7">
        <f t="shared" si="75"/>
        <v>0</v>
      </c>
      <c r="O87" s="11"/>
      <c r="P87" s="6">
        <v>19.73</v>
      </c>
      <c r="Q87" s="2"/>
      <c r="R87" s="7">
        <f t="shared" si="76"/>
        <v>0</v>
      </c>
      <c r="S87" s="2"/>
      <c r="T87" s="6"/>
      <c r="U87" s="2"/>
      <c r="V87" s="7">
        <f t="shared" si="77"/>
        <v>0</v>
      </c>
      <c r="W87" s="2"/>
      <c r="X87" s="6">
        <f t="shared" si="78"/>
        <v>19.73</v>
      </c>
      <c r="Y87" s="2"/>
      <c r="Z87" s="7">
        <f t="shared" si="79"/>
        <v>0</v>
      </c>
    </row>
    <row r="88" spans="1:26" s="24" customFormat="1" hidden="1" outlineLevel="2" x14ac:dyDescent="0.25">
      <c r="A88" s="25"/>
      <c r="B88" s="11" t="str">
        <f>CONCATENATE("          ", "6247", " - ", "STORE SUPPLIES")</f>
        <v xml:space="preserve">          6247 - STORE SUPPLIES</v>
      </c>
      <c r="C88" s="11"/>
      <c r="D88" s="6">
        <v>-213.8</v>
      </c>
      <c r="E88" s="2"/>
      <c r="F88" s="7">
        <f t="shared" si="72"/>
        <v>0</v>
      </c>
      <c r="G88" s="2"/>
      <c r="H88" s="6">
        <v>3250</v>
      </c>
      <c r="I88" s="2"/>
      <c r="J88" s="7">
        <f t="shared" si="73"/>
        <v>0</v>
      </c>
      <c r="K88" s="2"/>
      <c r="L88" s="6">
        <f t="shared" si="74"/>
        <v>-3463.8</v>
      </c>
      <c r="M88" s="2"/>
      <c r="N88" s="7">
        <f t="shared" si="75"/>
        <v>-1.0657846153846153</v>
      </c>
      <c r="O88" s="11"/>
      <c r="P88" s="6">
        <v>-117.19</v>
      </c>
      <c r="Q88" s="2"/>
      <c r="R88" s="7">
        <f t="shared" si="76"/>
        <v>0</v>
      </c>
      <c r="S88" s="2"/>
      <c r="T88" s="6">
        <v>16350</v>
      </c>
      <c r="U88" s="2"/>
      <c r="V88" s="7">
        <f t="shared" si="77"/>
        <v>0</v>
      </c>
      <c r="W88" s="2"/>
      <c r="X88" s="6">
        <f t="shared" si="78"/>
        <v>-16467.189999999999</v>
      </c>
      <c r="Y88" s="2"/>
      <c r="Z88" s="7">
        <f t="shared" si="79"/>
        <v>-1.0071675840978593</v>
      </c>
    </row>
    <row r="89" spans="1:26" s="24" customFormat="1" hidden="1" outlineLevel="2" x14ac:dyDescent="0.25">
      <c r="A89" s="25"/>
      <c r="B89" s="11" t="str">
        <f>CONCATENATE("          ", "6248", " - ", "UNIFORMS")</f>
        <v xml:space="preserve">          6248 - UNIFORMS</v>
      </c>
      <c r="C89" s="11"/>
      <c r="D89" s="6"/>
      <c r="E89" s="2"/>
      <c r="F89" s="7">
        <f t="shared" si="72"/>
        <v>0</v>
      </c>
      <c r="G89" s="2"/>
      <c r="H89" s="6">
        <v>1000</v>
      </c>
      <c r="I89" s="2"/>
      <c r="J89" s="7">
        <f t="shared" si="73"/>
        <v>0</v>
      </c>
      <c r="K89" s="2"/>
      <c r="L89" s="6">
        <f t="shared" si="74"/>
        <v>-1000</v>
      </c>
      <c r="M89" s="2"/>
      <c r="N89" s="7">
        <f t="shared" si="75"/>
        <v>-1</v>
      </c>
      <c r="O89" s="11"/>
      <c r="P89" s="6"/>
      <c r="Q89" s="2"/>
      <c r="R89" s="7">
        <f t="shared" si="76"/>
        <v>0</v>
      </c>
      <c r="S89" s="2"/>
      <c r="T89" s="6">
        <v>5000</v>
      </c>
      <c r="U89" s="2"/>
      <c r="V89" s="7">
        <f t="shared" si="77"/>
        <v>0</v>
      </c>
      <c r="W89" s="2"/>
      <c r="X89" s="6">
        <f t="shared" si="78"/>
        <v>-5000</v>
      </c>
      <c r="Y89" s="2"/>
      <c r="Z89" s="7">
        <f t="shared" si="79"/>
        <v>-1</v>
      </c>
    </row>
    <row r="90" spans="1:26" s="26" customFormat="1" outlineLevel="1" collapsed="1" x14ac:dyDescent="0.25">
      <c r="A90" s="27"/>
      <c r="B90" s="13" t="str">
        <f>CONCATENATE("     ","Telephone/Data Lines                              ")</f>
        <v xml:space="preserve">     Telephone/Data Lines                              </v>
      </c>
      <c r="C90" s="13"/>
      <c r="D90" s="1">
        <f>SUM(OSRRefD22_19x_0)</f>
        <v>502.91</v>
      </c>
      <c r="E90" s="1"/>
      <c r="F90" s="5">
        <f t="shared" ref="F90:F97" si="80">IF(D$12=0,0,D90/D$12)</f>
        <v>0</v>
      </c>
      <c r="G90" s="1"/>
      <c r="H90" s="1">
        <f>SUM(OSRRefH22_19x_0)</f>
        <v>500</v>
      </c>
      <c r="I90" s="1"/>
      <c r="J90" s="5">
        <f t="shared" ref="J90:J97" si="81">IF(H$12=0,0,H90/H$12)</f>
        <v>0</v>
      </c>
      <c r="K90" s="1"/>
      <c r="L90" s="1">
        <f t="shared" ref="L90:L97" si="82">+D90-H90</f>
        <v>2.910000000000025</v>
      </c>
      <c r="M90" s="1"/>
      <c r="N90" s="5">
        <f t="shared" ref="N90:N97" si="83">IF(H90=0,0,L90/H90)</f>
        <v>5.82000000000005E-3</v>
      </c>
      <c r="O90" s="13"/>
      <c r="P90" s="1">
        <f>SUM(OSRRefP22_19x_0)</f>
        <v>2635.7</v>
      </c>
      <c r="Q90" s="1"/>
      <c r="R90" s="5">
        <f t="shared" ref="R90:R97" si="84">IF(P$12=0,0,P90/P$12)</f>
        <v>0</v>
      </c>
      <c r="S90" s="1"/>
      <c r="T90" s="1">
        <f>SUM(OSRRefT22_19x_0)</f>
        <v>2500</v>
      </c>
      <c r="U90" s="1"/>
      <c r="V90" s="5">
        <f t="shared" ref="V90:V97" si="85">IF(T$12=0,0,T90/T$12)</f>
        <v>0</v>
      </c>
      <c r="W90" s="1"/>
      <c r="X90" s="1">
        <f t="shared" ref="X90:X97" si="86">+P90-T90</f>
        <v>135.69999999999982</v>
      </c>
      <c r="Y90" s="1"/>
      <c r="Z90" s="5">
        <f t="shared" ref="Z90:Z97" si="87">IF(T90=0,0,X90/T90)</f>
        <v>5.4279999999999926E-2</v>
      </c>
    </row>
    <row r="91" spans="1:26" s="24" customFormat="1" hidden="1" outlineLevel="2" x14ac:dyDescent="0.25">
      <c r="A91" s="25"/>
      <c r="B91" s="11" t="str">
        <f>CONCATENATE("          ", "6309", " - ", "TELEPHONE")</f>
        <v xml:space="preserve">          6309 - TELEPHONE</v>
      </c>
      <c r="C91" s="11"/>
      <c r="D91" s="6">
        <v>502.91</v>
      </c>
      <c r="E91" s="2"/>
      <c r="F91" s="7">
        <f t="shared" si="80"/>
        <v>0</v>
      </c>
      <c r="G91" s="2"/>
      <c r="H91" s="6">
        <v>500</v>
      </c>
      <c r="I91" s="2"/>
      <c r="J91" s="7">
        <f t="shared" si="81"/>
        <v>0</v>
      </c>
      <c r="K91" s="2"/>
      <c r="L91" s="6">
        <f t="shared" si="82"/>
        <v>2.910000000000025</v>
      </c>
      <c r="M91" s="2"/>
      <c r="N91" s="7">
        <f t="shared" si="83"/>
        <v>5.82000000000005E-3</v>
      </c>
      <c r="O91" s="11"/>
      <c r="P91" s="6">
        <v>2635.7</v>
      </c>
      <c r="Q91" s="2"/>
      <c r="R91" s="7">
        <f t="shared" si="84"/>
        <v>0</v>
      </c>
      <c r="S91" s="2"/>
      <c r="T91" s="6">
        <v>2500</v>
      </c>
      <c r="U91" s="2"/>
      <c r="V91" s="7">
        <f t="shared" si="85"/>
        <v>0</v>
      </c>
      <c r="W91" s="2"/>
      <c r="X91" s="6">
        <f t="shared" si="86"/>
        <v>135.69999999999982</v>
      </c>
      <c r="Y91" s="2"/>
      <c r="Z91" s="7">
        <f t="shared" si="87"/>
        <v>5.4279999999999926E-2</v>
      </c>
    </row>
    <row r="92" spans="1:26" s="26" customFormat="1" outlineLevel="1" collapsed="1" x14ac:dyDescent="0.25">
      <c r="A92" s="27"/>
      <c r="B92" s="13" t="str">
        <f>CONCATENATE("     ","Training                                          ")</f>
        <v xml:space="preserve">     Training                                          </v>
      </c>
      <c r="C92" s="13"/>
      <c r="D92" s="1">
        <f>SUM(OSRRefD22_20x_0)</f>
        <v>1909.92</v>
      </c>
      <c r="E92" s="1"/>
      <c r="F92" s="5">
        <f t="shared" si="80"/>
        <v>0</v>
      </c>
      <c r="G92" s="1"/>
      <c r="H92" s="1">
        <f>SUM(OSRRefH22_20x_0)</f>
        <v>1125</v>
      </c>
      <c r="I92" s="1"/>
      <c r="J92" s="5">
        <f t="shared" si="81"/>
        <v>0</v>
      </c>
      <c r="K92" s="1"/>
      <c r="L92" s="1">
        <f t="shared" si="82"/>
        <v>784.92000000000007</v>
      </c>
      <c r="M92" s="1"/>
      <c r="N92" s="5">
        <f t="shared" si="83"/>
        <v>0.6977066666666667</v>
      </c>
      <c r="O92" s="13"/>
      <c r="P92" s="1">
        <f>SUM(OSRRefP22_20x_0)</f>
        <v>5379.44</v>
      </c>
      <c r="Q92" s="1"/>
      <c r="R92" s="5">
        <f t="shared" si="84"/>
        <v>0</v>
      </c>
      <c r="S92" s="1"/>
      <c r="T92" s="1">
        <f>SUM(OSRRefT22_20x_0)</f>
        <v>5625</v>
      </c>
      <c r="U92" s="1"/>
      <c r="V92" s="5">
        <f t="shared" si="85"/>
        <v>0</v>
      </c>
      <c r="W92" s="1"/>
      <c r="X92" s="1">
        <f t="shared" si="86"/>
        <v>-245.5600000000004</v>
      </c>
      <c r="Y92" s="1"/>
      <c r="Z92" s="5">
        <f t="shared" si="87"/>
        <v>-4.3655111111111179E-2</v>
      </c>
    </row>
    <row r="93" spans="1:26" s="24" customFormat="1" hidden="1" outlineLevel="2" x14ac:dyDescent="0.25">
      <c r="A93" s="25"/>
      <c r="B93" s="11" t="str">
        <f>CONCATENATE("          ", "6376", " - ", "TRAINING")</f>
        <v xml:space="preserve">          6376 - TRAINING</v>
      </c>
      <c r="C93" s="11"/>
      <c r="D93" s="6">
        <v>1909.92</v>
      </c>
      <c r="E93" s="2"/>
      <c r="F93" s="7">
        <f t="shared" si="80"/>
        <v>0</v>
      </c>
      <c r="G93" s="2"/>
      <c r="H93" s="6">
        <v>1125</v>
      </c>
      <c r="I93" s="2"/>
      <c r="J93" s="7">
        <f t="shared" si="81"/>
        <v>0</v>
      </c>
      <c r="K93" s="2"/>
      <c r="L93" s="6">
        <f t="shared" si="82"/>
        <v>784.92000000000007</v>
      </c>
      <c r="M93" s="2"/>
      <c r="N93" s="7">
        <f t="shared" si="83"/>
        <v>0.6977066666666667</v>
      </c>
      <c r="O93" s="11"/>
      <c r="P93" s="6">
        <v>5379.44</v>
      </c>
      <c r="Q93" s="2"/>
      <c r="R93" s="7">
        <f t="shared" si="84"/>
        <v>0</v>
      </c>
      <c r="S93" s="2"/>
      <c r="T93" s="6">
        <v>5625</v>
      </c>
      <c r="U93" s="2"/>
      <c r="V93" s="7">
        <f t="shared" si="85"/>
        <v>0</v>
      </c>
      <c r="W93" s="2"/>
      <c r="X93" s="6">
        <f t="shared" si="86"/>
        <v>-245.5600000000004</v>
      </c>
      <c r="Y93" s="2"/>
      <c r="Z93" s="7">
        <f t="shared" si="87"/>
        <v>-4.3655111111111179E-2</v>
      </c>
    </row>
    <row r="94" spans="1:26" s="26" customFormat="1" outlineLevel="1" collapsed="1" x14ac:dyDescent="0.25">
      <c r="A94" s="27"/>
      <c r="B94" s="13" t="str">
        <f>CONCATENATE("     ","Travel                                            ")</f>
        <v xml:space="preserve">     Travel                                            </v>
      </c>
      <c r="C94" s="13"/>
      <c r="D94" s="1">
        <f>SUM(OSRRefD22_21x_0)</f>
        <v>112.98</v>
      </c>
      <c r="E94" s="1"/>
      <c r="F94" s="5">
        <f t="shared" si="80"/>
        <v>0</v>
      </c>
      <c r="G94" s="1"/>
      <c r="H94" s="1">
        <f>SUM(OSRRefH22_21x_0)</f>
        <v>0</v>
      </c>
      <c r="I94" s="1"/>
      <c r="J94" s="5">
        <f t="shared" si="81"/>
        <v>0</v>
      </c>
      <c r="K94" s="1"/>
      <c r="L94" s="1">
        <f t="shared" si="82"/>
        <v>112.98</v>
      </c>
      <c r="M94" s="1"/>
      <c r="N94" s="5">
        <f t="shared" si="83"/>
        <v>0</v>
      </c>
      <c r="O94" s="13"/>
      <c r="P94" s="1">
        <f>SUM(OSRRefP22_21x_0)</f>
        <v>732.65</v>
      </c>
      <c r="Q94" s="1"/>
      <c r="R94" s="5">
        <f t="shared" si="84"/>
        <v>0</v>
      </c>
      <c r="S94" s="1"/>
      <c r="T94" s="1">
        <f>SUM(OSRRefT22_21x_0)</f>
        <v>0</v>
      </c>
      <c r="U94" s="1"/>
      <c r="V94" s="5">
        <f t="shared" si="85"/>
        <v>0</v>
      </c>
      <c r="W94" s="1"/>
      <c r="X94" s="1">
        <f t="shared" si="86"/>
        <v>732.65</v>
      </c>
      <c r="Y94" s="1"/>
      <c r="Z94" s="5">
        <f t="shared" si="87"/>
        <v>0</v>
      </c>
    </row>
    <row r="95" spans="1:26" s="24" customFormat="1" hidden="1" outlineLevel="2" x14ac:dyDescent="0.25">
      <c r="A95" s="25"/>
      <c r="B95" s="11" t="str">
        <f>CONCATENATE("          ", "6292", " - ", "TRAVEL/CONFERENCE")</f>
        <v xml:space="preserve">          6292 - TRAVEL/CONFERENCE</v>
      </c>
      <c r="C95" s="11"/>
      <c r="D95" s="6">
        <v>47.96</v>
      </c>
      <c r="E95" s="2"/>
      <c r="F95" s="7">
        <f t="shared" si="80"/>
        <v>0</v>
      </c>
      <c r="G95" s="2"/>
      <c r="H95" s="6"/>
      <c r="I95" s="2"/>
      <c r="J95" s="7">
        <f t="shared" si="81"/>
        <v>0</v>
      </c>
      <c r="K95" s="2"/>
      <c r="L95" s="6">
        <f t="shared" si="82"/>
        <v>47.96</v>
      </c>
      <c r="M95" s="2"/>
      <c r="N95" s="7">
        <f t="shared" si="83"/>
        <v>0</v>
      </c>
      <c r="O95" s="11"/>
      <c r="P95" s="6">
        <v>497.64</v>
      </c>
      <c r="Q95" s="2"/>
      <c r="R95" s="7">
        <f t="shared" si="84"/>
        <v>0</v>
      </c>
      <c r="S95" s="2"/>
      <c r="T95" s="6"/>
      <c r="U95" s="2"/>
      <c r="V95" s="7">
        <f t="shared" si="85"/>
        <v>0</v>
      </c>
      <c r="W95" s="2"/>
      <c r="X95" s="6">
        <f t="shared" si="86"/>
        <v>497.64</v>
      </c>
      <c r="Y95" s="2"/>
      <c r="Z95" s="7">
        <f t="shared" si="87"/>
        <v>0</v>
      </c>
    </row>
    <row r="96" spans="1:26" s="24" customFormat="1" hidden="1" outlineLevel="2" x14ac:dyDescent="0.25">
      <c r="A96" s="25"/>
      <c r="B96" s="11" t="str">
        <f>CONCATENATE("          ", "6294", " - ", "TRAVEL OPERATIONAL")</f>
        <v xml:space="preserve">          6294 - TRAVEL OPERATIONAL</v>
      </c>
      <c r="C96" s="11"/>
      <c r="D96" s="6">
        <v>15.67</v>
      </c>
      <c r="E96" s="2"/>
      <c r="F96" s="7">
        <f t="shared" si="80"/>
        <v>0</v>
      </c>
      <c r="G96" s="2"/>
      <c r="H96" s="6"/>
      <c r="I96" s="2"/>
      <c r="J96" s="7">
        <f t="shared" si="81"/>
        <v>0</v>
      </c>
      <c r="K96" s="2"/>
      <c r="L96" s="6">
        <f t="shared" si="82"/>
        <v>15.67</v>
      </c>
      <c r="M96" s="2"/>
      <c r="N96" s="7">
        <f t="shared" si="83"/>
        <v>0</v>
      </c>
      <c r="O96" s="11"/>
      <c r="P96" s="6">
        <v>15.67</v>
      </c>
      <c r="Q96" s="2"/>
      <c r="R96" s="7">
        <f t="shared" si="84"/>
        <v>0</v>
      </c>
      <c r="S96" s="2"/>
      <c r="T96" s="6"/>
      <c r="U96" s="2"/>
      <c r="V96" s="7">
        <f t="shared" si="85"/>
        <v>0</v>
      </c>
      <c r="W96" s="2"/>
      <c r="X96" s="6">
        <f t="shared" si="86"/>
        <v>15.67</v>
      </c>
      <c r="Y96" s="2"/>
      <c r="Z96" s="7">
        <f t="shared" si="87"/>
        <v>0</v>
      </c>
    </row>
    <row r="97" spans="1:26" s="24" customFormat="1" hidden="1" outlineLevel="2" x14ac:dyDescent="0.25">
      <c r="A97" s="25"/>
      <c r="B97" s="11" t="str">
        <f>CONCATENATE("          ", "6298", " - ", "VEHICLE MILEAGE")</f>
        <v xml:space="preserve">          6298 - VEHICLE MILEAGE</v>
      </c>
      <c r="C97" s="11"/>
      <c r="D97" s="6">
        <v>49.35</v>
      </c>
      <c r="E97" s="2"/>
      <c r="F97" s="7">
        <f t="shared" si="80"/>
        <v>0</v>
      </c>
      <c r="G97" s="2"/>
      <c r="H97" s="6"/>
      <c r="I97" s="2"/>
      <c r="J97" s="7">
        <f t="shared" si="81"/>
        <v>0</v>
      </c>
      <c r="K97" s="2"/>
      <c r="L97" s="6">
        <f t="shared" si="82"/>
        <v>49.35</v>
      </c>
      <c r="M97" s="2"/>
      <c r="N97" s="7">
        <f t="shared" si="83"/>
        <v>0</v>
      </c>
      <c r="O97" s="11"/>
      <c r="P97" s="6">
        <v>219.34</v>
      </c>
      <c r="Q97" s="2"/>
      <c r="R97" s="7">
        <f t="shared" si="84"/>
        <v>0</v>
      </c>
      <c r="S97" s="2"/>
      <c r="T97" s="6"/>
      <c r="U97" s="2"/>
      <c r="V97" s="7">
        <f t="shared" si="85"/>
        <v>0</v>
      </c>
      <c r="W97" s="2"/>
      <c r="X97" s="6">
        <f t="shared" si="86"/>
        <v>219.34</v>
      </c>
      <c r="Y97" s="2"/>
      <c r="Z97" s="7">
        <f t="shared" si="87"/>
        <v>0</v>
      </c>
    </row>
    <row r="98" spans="1:26" s="26" customFormat="1" outlineLevel="1" collapsed="1" x14ac:dyDescent="0.25">
      <c r="A98" s="27"/>
      <c r="B98" s="13" t="str">
        <f>CONCATENATE("     ","Utilities                                         ")</f>
        <v xml:space="preserve">     Utilities                                         </v>
      </c>
      <c r="C98" s="13"/>
      <c r="D98" s="1">
        <f>SUM(OSRRefD22_22x_0)</f>
        <v>5593</v>
      </c>
      <c r="E98" s="1"/>
      <c r="F98" s="5">
        <f t="shared" ref="F98:F99" si="88">IF(D$12=0,0,D98/D$12)</f>
        <v>0</v>
      </c>
      <c r="G98" s="1"/>
      <c r="H98" s="1">
        <f>SUM(OSRRefH22_22x_0)</f>
        <v>5000</v>
      </c>
      <c r="I98" s="1"/>
      <c r="J98" s="5">
        <f t="shared" ref="J98:J99" si="89">IF(H$12=0,0,H98/H$12)</f>
        <v>0</v>
      </c>
      <c r="K98" s="1"/>
      <c r="L98" s="1">
        <f t="shared" ref="L98:L99" si="90">+D98-H98</f>
        <v>593</v>
      </c>
      <c r="M98" s="1"/>
      <c r="N98" s="5">
        <f t="shared" ref="N98:N99" si="91">IF(H98=0,0,L98/H98)</f>
        <v>0.1186</v>
      </c>
      <c r="O98" s="13"/>
      <c r="P98" s="1">
        <f>SUM(OSRRefP22_22x_0)</f>
        <v>22372</v>
      </c>
      <c r="Q98" s="1"/>
      <c r="R98" s="5">
        <f t="shared" ref="R98:R99" si="92">IF(P$12=0,0,P98/P$12)</f>
        <v>0</v>
      </c>
      <c r="S98" s="1"/>
      <c r="T98" s="1">
        <f>SUM(OSRRefT22_22x_0)</f>
        <v>25000</v>
      </c>
      <c r="U98" s="1"/>
      <c r="V98" s="5">
        <f t="shared" ref="V98:V99" si="93">IF(T$12=0,0,T98/T$12)</f>
        <v>0</v>
      </c>
      <c r="W98" s="1"/>
      <c r="X98" s="1">
        <f t="shared" ref="X98:X99" si="94">+P98-T98</f>
        <v>-2628</v>
      </c>
      <c r="Y98" s="1"/>
      <c r="Z98" s="5">
        <f t="shared" ref="Z98:Z99" si="95">IF(T98=0,0,X98/T98)</f>
        <v>-0.10512000000000001</v>
      </c>
    </row>
    <row r="99" spans="1:26" s="24" customFormat="1" hidden="1" outlineLevel="2" x14ac:dyDescent="0.25">
      <c r="A99" s="25"/>
      <c r="B99" s="11" t="str">
        <f>CONCATENATE("          ", "6274", " - ", "UTILITIES")</f>
        <v xml:space="preserve">          6274 - UTILITIES</v>
      </c>
      <c r="C99" s="11"/>
      <c r="D99" s="6">
        <v>5593</v>
      </c>
      <c r="E99" s="2"/>
      <c r="F99" s="7">
        <f t="shared" si="88"/>
        <v>0</v>
      </c>
      <c r="G99" s="2"/>
      <c r="H99" s="6">
        <v>5000</v>
      </c>
      <c r="I99" s="2"/>
      <c r="J99" s="7">
        <f t="shared" si="89"/>
        <v>0</v>
      </c>
      <c r="K99" s="2"/>
      <c r="L99" s="6">
        <f t="shared" si="90"/>
        <v>593</v>
      </c>
      <c r="M99" s="2"/>
      <c r="N99" s="7">
        <f t="shared" si="91"/>
        <v>0.1186</v>
      </c>
      <c r="O99" s="11"/>
      <c r="P99" s="6">
        <v>22372</v>
      </c>
      <c r="Q99" s="2"/>
      <c r="R99" s="7">
        <f t="shared" si="92"/>
        <v>0</v>
      </c>
      <c r="S99" s="2"/>
      <c r="T99" s="6">
        <v>25000</v>
      </c>
      <c r="U99" s="2"/>
      <c r="V99" s="7">
        <f t="shared" si="93"/>
        <v>0</v>
      </c>
      <c r="W99" s="2"/>
      <c r="X99" s="6">
        <f t="shared" si="94"/>
        <v>-2628</v>
      </c>
      <c r="Y99" s="2"/>
      <c r="Z99" s="7">
        <f t="shared" si="95"/>
        <v>-0.10512000000000001</v>
      </c>
    </row>
    <row r="100" spans="1:26" s="59" customFormat="1" x14ac:dyDescent="0.25">
      <c r="A100" s="36"/>
      <c r="B100" s="36"/>
      <c r="C100" s="36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6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3" customFormat="1" collapsed="1" x14ac:dyDescent="0.25">
      <c r="A101" s="10"/>
      <c r="B101" s="29" t="s">
        <v>0</v>
      </c>
      <c r="C101" s="10"/>
      <c r="D101" s="4">
        <f>SUM(OSRRefD25x_0)</f>
        <v>6198.91</v>
      </c>
      <c r="E101" s="4"/>
      <c r="F101" s="12">
        <f t="shared" ref="F101:F105" si="96">IF(D$12=0,0,D101/D$12)</f>
        <v>0</v>
      </c>
      <c r="G101" s="4"/>
      <c r="H101" s="4">
        <f>SUM(OSRRefH25x_0)</f>
        <v>24000</v>
      </c>
      <c r="I101" s="4"/>
      <c r="J101" s="12">
        <f t="shared" ref="J101:J105" si="97">IF(H$12=0,0,H101/H$12)</f>
        <v>0</v>
      </c>
      <c r="K101" s="4"/>
      <c r="L101" s="4">
        <f t="shared" ref="L101:L105" si="98">+D101-H101</f>
        <v>-17801.09</v>
      </c>
      <c r="M101" s="4"/>
      <c r="N101" s="12">
        <f t="shared" ref="N101:N105" si="99">IF(H101=0,0,L101/H101)</f>
        <v>-0.74171208333333338</v>
      </c>
      <c r="O101" s="10"/>
      <c r="P101" s="4">
        <f>SUM(OSRRefP25x_0)</f>
        <v>91050.140000000014</v>
      </c>
      <c r="Q101" s="4"/>
      <c r="R101" s="12">
        <f t="shared" ref="R101:R105" si="100">IF(P$12=0,0,P101/P$12)</f>
        <v>0</v>
      </c>
      <c r="S101" s="4"/>
      <c r="T101" s="4">
        <f>SUM(OSRRefT25x_0)</f>
        <v>120000</v>
      </c>
      <c r="U101" s="4"/>
      <c r="V101" s="12">
        <f t="shared" ref="V101:V105" si="101">IF(T$12=0,0,T101/T$12)</f>
        <v>0</v>
      </c>
      <c r="W101" s="4"/>
      <c r="X101" s="4">
        <f t="shared" ref="X101:X105" si="102">+P101-T101</f>
        <v>-28949.859999999986</v>
      </c>
      <c r="Y101" s="4"/>
      <c r="Z101" s="12">
        <f t="shared" ref="Z101:Z105" si="103">IF(T101=0,0,X101/T101)</f>
        <v>-0.24124883333333322</v>
      </c>
    </row>
    <row r="102" spans="1:26" s="24" customFormat="1" hidden="1" outlineLevel="1" x14ac:dyDescent="0.25">
      <c r="A102" s="44"/>
      <c r="B102" s="11" t="str">
        <f>CONCATENATE("          ", "9150", " - ", "MISC. INCOME")</f>
        <v xml:space="preserve">          9150 - MISC. INCOME</v>
      </c>
      <c r="C102" s="11"/>
      <c r="D102" s="2">
        <f>--5748.91</f>
        <v>5748.91</v>
      </c>
      <c r="E102" s="2"/>
      <c r="F102" s="19">
        <f t="shared" si="96"/>
        <v>0</v>
      </c>
      <c r="G102" s="2"/>
      <c r="H102" s="2">
        <v>21500</v>
      </c>
      <c r="I102" s="2"/>
      <c r="J102" s="19">
        <f t="shared" si="97"/>
        <v>0</v>
      </c>
      <c r="K102" s="2"/>
      <c r="L102" s="2">
        <f t="shared" si="98"/>
        <v>-15751.09</v>
      </c>
      <c r="M102" s="2"/>
      <c r="N102" s="19">
        <f t="shared" si="99"/>
        <v>-0.73260883720930237</v>
      </c>
      <c r="O102" s="11"/>
      <c r="P102" s="2">
        <f>--91052.07</f>
        <v>91052.07</v>
      </c>
      <c r="Q102" s="2"/>
      <c r="R102" s="19">
        <f t="shared" si="100"/>
        <v>0</v>
      </c>
      <c r="S102" s="2"/>
      <c r="T102" s="2">
        <v>107500</v>
      </c>
      <c r="U102" s="2"/>
      <c r="V102" s="19">
        <f t="shared" si="101"/>
        <v>0</v>
      </c>
      <c r="W102" s="2"/>
      <c r="X102" s="2">
        <f t="shared" si="102"/>
        <v>-16447.929999999993</v>
      </c>
      <c r="Y102" s="2"/>
      <c r="Z102" s="19">
        <f t="shared" si="103"/>
        <v>-0.15300399999999995</v>
      </c>
    </row>
    <row r="103" spans="1:26" s="24" customFormat="1" hidden="1" outlineLevel="1" x14ac:dyDescent="0.25">
      <c r="A103" s="44"/>
      <c r="B103" s="11" t="str">
        <f>CONCATENATE("          ", "9151", " - ", "MISC. INCOME")</f>
        <v xml:space="preserve">          9151 - MISC. INCOME</v>
      </c>
      <c r="C103" s="11"/>
      <c r="D103" s="2">
        <f>0</f>
        <v>0</v>
      </c>
      <c r="E103" s="2"/>
      <c r="F103" s="19">
        <f t="shared" si="96"/>
        <v>0</v>
      </c>
      <c r="G103" s="2"/>
      <c r="H103" s="2">
        <v>500</v>
      </c>
      <c r="I103" s="2"/>
      <c r="J103" s="19">
        <f t="shared" si="97"/>
        <v>0</v>
      </c>
      <c r="K103" s="2"/>
      <c r="L103" s="2">
        <f t="shared" si="98"/>
        <v>-500</v>
      </c>
      <c r="M103" s="2"/>
      <c r="N103" s="19">
        <f t="shared" si="99"/>
        <v>-1</v>
      </c>
      <c r="O103" s="11"/>
      <c r="P103" s="2">
        <f>-451.93</f>
        <v>-451.93</v>
      </c>
      <c r="Q103" s="2"/>
      <c r="R103" s="19">
        <f t="shared" si="100"/>
        <v>0</v>
      </c>
      <c r="S103" s="2"/>
      <c r="T103" s="2">
        <v>2500</v>
      </c>
      <c r="U103" s="2"/>
      <c r="V103" s="19">
        <f t="shared" si="101"/>
        <v>0</v>
      </c>
      <c r="W103" s="2"/>
      <c r="X103" s="2">
        <f t="shared" si="102"/>
        <v>-2951.93</v>
      </c>
      <c r="Y103" s="2"/>
      <c r="Z103" s="19">
        <f t="shared" si="103"/>
        <v>-1.1807719999999999</v>
      </c>
    </row>
    <row r="104" spans="1:26" s="24" customFormat="1" hidden="1" outlineLevel="1" x14ac:dyDescent="0.25">
      <c r="A104" s="44"/>
      <c r="B104" s="11" t="str">
        <f>CONCATENATE("          ", "9153", " - ", "MISC. INCOME")</f>
        <v xml:space="preserve">          9153 - MISC. INCOME</v>
      </c>
      <c r="C104" s="11"/>
      <c r="D104" s="2">
        <f>--450</f>
        <v>450</v>
      </c>
      <c r="E104" s="2"/>
      <c r="F104" s="19">
        <f t="shared" si="96"/>
        <v>0</v>
      </c>
      <c r="G104" s="2"/>
      <c r="H104" s="2"/>
      <c r="I104" s="2"/>
      <c r="J104" s="19">
        <f t="shared" si="97"/>
        <v>0</v>
      </c>
      <c r="K104" s="2"/>
      <c r="L104" s="2">
        <f t="shared" si="98"/>
        <v>450</v>
      </c>
      <c r="M104" s="2"/>
      <c r="N104" s="19">
        <f t="shared" si="99"/>
        <v>0</v>
      </c>
      <c r="O104" s="11"/>
      <c r="P104" s="2">
        <f>--450</f>
        <v>450</v>
      </c>
      <c r="Q104" s="2"/>
      <c r="R104" s="19">
        <f t="shared" si="100"/>
        <v>0</v>
      </c>
      <c r="S104" s="2"/>
      <c r="T104" s="2"/>
      <c r="U104" s="2"/>
      <c r="V104" s="19">
        <f t="shared" si="101"/>
        <v>0</v>
      </c>
      <c r="W104" s="2"/>
      <c r="X104" s="2">
        <f t="shared" si="102"/>
        <v>450</v>
      </c>
      <c r="Y104" s="2"/>
      <c r="Z104" s="19">
        <f t="shared" si="103"/>
        <v>0</v>
      </c>
    </row>
    <row r="105" spans="1:26" s="24" customFormat="1" hidden="1" outlineLevel="1" x14ac:dyDescent="0.25">
      <c r="A105" s="44"/>
      <c r="B105" s="11" t="str">
        <f>CONCATENATE("          ", "9160", " - ", "MISC. INCOME")</f>
        <v xml:space="preserve">          9160 - MISC. INCOME</v>
      </c>
      <c r="C105" s="11"/>
      <c r="D105" s="2">
        <f>0</f>
        <v>0</v>
      </c>
      <c r="E105" s="2"/>
      <c r="F105" s="19">
        <f t="shared" si="96"/>
        <v>0</v>
      </c>
      <c r="G105" s="2"/>
      <c r="H105" s="2">
        <v>2000</v>
      </c>
      <c r="I105" s="2"/>
      <c r="J105" s="19">
        <f t="shared" si="97"/>
        <v>0</v>
      </c>
      <c r="K105" s="2"/>
      <c r="L105" s="2">
        <f t="shared" si="98"/>
        <v>-2000</v>
      </c>
      <c r="M105" s="2"/>
      <c r="N105" s="19">
        <f t="shared" si="99"/>
        <v>-1</v>
      </c>
      <c r="O105" s="11"/>
      <c r="P105" s="2">
        <f>0</f>
        <v>0</v>
      </c>
      <c r="Q105" s="2"/>
      <c r="R105" s="19">
        <f t="shared" si="100"/>
        <v>0</v>
      </c>
      <c r="S105" s="2"/>
      <c r="T105" s="2">
        <v>10000</v>
      </c>
      <c r="U105" s="2"/>
      <c r="V105" s="19">
        <f t="shared" si="101"/>
        <v>0</v>
      </c>
      <c r="W105" s="2"/>
      <c r="X105" s="2">
        <f t="shared" si="102"/>
        <v>-10000</v>
      </c>
      <c r="Y105" s="2"/>
      <c r="Z105" s="19">
        <f t="shared" si="103"/>
        <v>-1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10"/>
      <c r="B107" s="28" t="s">
        <v>3</v>
      </c>
      <c r="C107" s="28"/>
      <c r="D107" s="20">
        <f>+D16-D18+D101</f>
        <v>-112282.32000000002</v>
      </c>
      <c r="E107" s="14"/>
      <c r="F107" s="22">
        <f>IF(D$12=0,0,D107/D$12)</f>
        <v>0</v>
      </c>
      <c r="G107" s="14"/>
      <c r="H107" s="20">
        <f>+H16-H18+H101</f>
        <v>-110126.22338311691</v>
      </c>
      <c r="I107" s="14"/>
      <c r="J107" s="22">
        <f>IF(H$12=0,0,H107/H$12)</f>
        <v>0</v>
      </c>
      <c r="K107" s="16"/>
      <c r="L107" s="20">
        <f>+D107-H107</f>
        <v>-2156.0966168831073</v>
      </c>
      <c r="M107" s="16"/>
      <c r="N107" s="22">
        <f>IF(H107=0,0,L107/H107)</f>
        <v>1.9578412394859728E-2</v>
      </c>
      <c r="O107" s="29"/>
      <c r="P107" s="20">
        <f>+P16-P18+P101</f>
        <v>-587438.26000000013</v>
      </c>
      <c r="Q107" s="14"/>
      <c r="R107" s="22">
        <f>IF(P$12=0,0,P107/P$12)</f>
        <v>0</v>
      </c>
      <c r="S107" s="14"/>
      <c r="T107" s="20">
        <f>+T16-T18+T101</f>
        <v>-626633.20626026811</v>
      </c>
      <c r="U107" s="14"/>
      <c r="V107" s="22">
        <f>IF(T$12=0,0,T107/T$12)</f>
        <v>0</v>
      </c>
      <c r="W107" s="16"/>
      <c r="X107" s="20">
        <f>+P107-T107</f>
        <v>39194.946260267985</v>
      </c>
      <c r="Y107" s="16"/>
      <c r="Z107" s="22">
        <f>IF(T107=0,0,X107/T107)</f>
        <v>-6.2548466740507541E-2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52"/>
      <c r="B109" s="10" t="s">
        <v>14</v>
      </c>
      <c r="C109" s="10"/>
      <c r="D109" s="4"/>
      <c r="E109" s="4"/>
      <c r="F109" s="12">
        <f>IF(D$12=0,0,D109/D$12)</f>
        <v>0</v>
      </c>
      <c r="G109" s="4"/>
      <c r="H109" s="4"/>
      <c r="I109" s="4"/>
      <c r="J109" s="12">
        <f>IF(H$12=0,0,H109/H$12)</f>
        <v>0</v>
      </c>
      <c r="K109" s="4"/>
      <c r="L109" s="4">
        <f>+D109-H109</f>
        <v>0</v>
      </c>
      <c r="M109" s="4"/>
      <c r="N109" s="12">
        <f>IF(H109=0,0,L109/H109)</f>
        <v>0</v>
      </c>
      <c r="O109" s="10"/>
      <c r="P109" s="4"/>
      <c r="Q109" s="4"/>
      <c r="R109" s="12">
        <f>IF(P$12=0,0,P109/P$12)</f>
        <v>0</v>
      </c>
      <c r="S109" s="4"/>
      <c r="T109" s="4"/>
      <c r="U109" s="4"/>
      <c r="V109" s="12">
        <f>IF(T$12=0,0,T109/T$12)</f>
        <v>0</v>
      </c>
      <c r="W109" s="4"/>
      <c r="X109" s="4">
        <f>+P109-T109</f>
        <v>0</v>
      </c>
      <c r="Y109" s="4"/>
      <c r="Z109" s="12">
        <f>IF(T109=0,0,X109/T109)</f>
        <v>0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8" t="s">
        <v>4</v>
      </c>
      <c r="C111" s="28"/>
      <c r="D111" s="30">
        <f>+D107-D109</f>
        <v>-112282.32000000002</v>
      </c>
      <c r="E111" s="14"/>
      <c r="F111" s="32">
        <f>IF(D$12=0,0,D111/D$12)</f>
        <v>0</v>
      </c>
      <c r="G111" s="14"/>
      <c r="H111" s="30">
        <f>+H107-H109</f>
        <v>-110126.22338311691</v>
      </c>
      <c r="I111" s="14"/>
      <c r="J111" s="32">
        <f>IF(H$12=0,0,H111/H$12)</f>
        <v>0</v>
      </c>
      <c r="K111" s="16"/>
      <c r="L111" s="30">
        <f>D111-H111</f>
        <v>-2156.0966168831073</v>
      </c>
      <c r="M111" s="16"/>
      <c r="N111" s="32">
        <f>IF(H111=0,0,L111/H111)</f>
        <v>1.9578412394859728E-2</v>
      </c>
      <c r="O111" s="29"/>
      <c r="P111" s="30">
        <f>+P107-P109</f>
        <v>-587438.26000000013</v>
      </c>
      <c r="Q111" s="14"/>
      <c r="R111" s="32">
        <f>IF(P$12=0,0,P111/P$12)</f>
        <v>0</v>
      </c>
      <c r="S111" s="14"/>
      <c r="T111" s="30">
        <f>+T107-T109</f>
        <v>-626633.20626026811</v>
      </c>
      <c r="U111" s="14"/>
      <c r="V111" s="32">
        <f>IF(T$12=0,0,T111/T$12)</f>
        <v>0</v>
      </c>
      <c r="W111" s="16"/>
      <c r="X111" s="30">
        <f>P111-T111</f>
        <v>39194.946260267985</v>
      </c>
      <c r="Y111" s="16"/>
      <c r="Z111" s="32">
        <f>IF(T111=0,0,X111/T111)</f>
        <v>-6.2548466740507541E-2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8" t="s">
        <v>5</v>
      </c>
      <c r="C114" s="28"/>
      <c r="D114" s="31">
        <f>SUM(D111:D113)</f>
        <v>-112282.32000000002</v>
      </c>
      <c r="E114" s="14"/>
      <c r="F114" s="35">
        <f>IF(D$12=0,0,D114/D$12)</f>
        <v>0</v>
      </c>
      <c r="G114" s="14"/>
      <c r="H114" s="31">
        <f>SUM(H111:H113)</f>
        <v>-110126.22338311691</v>
      </c>
      <c r="I114" s="14"/>
      <c r="J114" s="35">
        <f>IF(H$12=0,0,H114/H$12)</f>
        <v>0</v>
      </c>
      <c r="K114" s="16"/>
      <c r="L114" s="31">
        <f>+D114-H114</f>
        <v>-2156.0966168831073</v>
      </c>
      <c r="M114" s="16"/>
      <c r="N114" s="35">
        <f>IF(H114=0,0,L114/H114)</f>
        <v>1.9578412394859728E-2</v>
      </c>
      <c r="O114" s="29"/>
      <c r="P114" s="31">
        <f>SUM(P111:P113)</f>
        <v>-587438.26000000013</v>
      </c>
      <c r="Q114" s="14"/>
      <c r="R114" s="35">
        <f>IF(P$12=0,0,P114/P$12)</f>
        <v>0</v>
      </c>
      <c r="S114" s="14"/>
      <c r="T114" s="31">
        <f>SUM(T111:T113)</f>
        <v>-626633.20626026811</v>
      </c>
      <c r="U114" s="14"/>
      <c r="V114" s="35">
        <f>IF(T$12=0,0,T114/T$12)</f>
        <v>0</v>
      </c>
      <c r="W114" s="16"/>
      <c r="X114" s="31">
        <f>+P114-T114</f>
        <v>39194.946260267985</v>
      </c>
      <c r="Y114" s="16"/>
      <c r="Z114" s="35">
        <f>IF(T114=0,0,X114/T114)</f>
        <v>-6.2548466740507541E-2</v>
      </c>
    </row>
    <row r="115" spans="1:26" ht="15.75" thickTop="1" x14ac:dyDescent="0.25">
      <c r="A115" s="9"/>
      <c r="C115" s="9"/>
      <c r="D115" s="17"/>
      <c r="E115" s="17"/>
      <c r="G115" s="17"/>
      <c r="H115" s="17"/>
      <c r="I115" s="17"/>
      <c r="J115" s="43"/>
      <c r="K115" s="17"/>
      <c r="L115" s="17"/>
      <c r="M115" s="17"/>
      <c r="P115" s="17"/>
      <c r="Q115" s="17"/>
      <c r="R115" s="43"/>
      <c r="S115" s="17"/>
      <c r="T115" s="17"/>
      <c r="U115" s="17"/>
      <c r="V115" s="43"/>
      <c r="W115" s="17"/>
      <c r="X115" s="17"/>
    </row>
    <row r="116" spans="1:26" x14ac:dyDescent="0.25">
      <c r="A116" s="9"/>
      <c r="B116" s="56">
        <v>43815.483583993053</v>
      </c>
      <c r="D116" s="17"/>
      <c r="E116" s="17"/>
      <c r="G116" s="17"/>
      <c r="H116" s="17"/>
      <c r="I116" s="17"/>
      <c r="J116" s="43"/>
      <c r="K116" s="17"/>
      <c r="L116" s="17"/>
      <c r="M116" s="17"/>
      <c r="P116" s="17"/>
      <c r="Q116" s="17"/>
      <c r="R116" s="43"/>
      <c r="S116" s="17"/>
      <c r="T116" s="17"/>
      <c r="U116" s="17"/>
      <c r="V116" s="43"/>
      <c r="W116" s="17"/>
      <c r="X116" s="17"/>
    </row>
    <row r="117" spans="1:26" x14ac:dyDescent="0.25">
      <c r="A117" s="9"/>
      <c r="B117" s="62" t="s">
        <v>314</v>
      </c>
      <c r="D117" s="17"/>
      <c r="E117" s="17"/>
      <c r="G117" s="17"/>
      <c r="H117" s="17"/>
      <c r="I117" s="17"/>
      <c r="J117" s="43"/>
      <c r="K117" s="17"/>
      <c r="L117" s="17"/>
      <c r="M117" s="17"/>
      <c r="P117" s="17"/>
      <c r="Q117" s="17"/>
      <c r="R117" s="43"/>
      <c r="S117" s="17"/>
      <c r="T117" s="17"/>
      <c r="U117" s="17"/>
      <c r="V117" s="43"/>
      <c r="W117" s="17"/>
      <c r="X117" s="17"/>
    </row>
    <row r="118" spans="1:26" x14ac:dyDescent="0.25">
      <c r="A118" s="9"/>
      <c r="B118" s="58"/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  <row r="119" spans="1:26" x14ac:dyDescent="0.25"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","306", " - ", "Warehouse")</f>
        <v>Department 306 - Warehouse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26699.5</v>
      </c>
      <c r="E18" s="21"/>
      <c r="F18" s="33">
        <f t="shared" ref="F18:F28" si="0">IF(D$12=0,0,D18/D$12)</f>
        <v>0</v>
      </c>
      <c r="G18" s="21"/>
      <c r="H18" s="21">
        <f>SUM(OSRRefH22x_0)</f>
        <v>25944.554467635997</v>
      </c>
      <c r="I18" s="21"/>
      <c r="J18" s="33">
        <f t="shared" ref="J18:J28" si="1">IF(H$12=0,0,H18/H$12)</f>
        <v>0</v>
      </c>
      <c r="K18" s="4"/>
      <c r="L18" s="21">
        <f t="shared" ref="L18:L28" si="2">+D18-H18</f>
        <v>754.94553236400316</v>
      </c>
      <c r="M18" s="4"/>
      <c r="N18" s="33">
        <f t="shared" ref="N18:N28" si="3">IF(H18=0,0,L18/H18)</f>
        <v>2.9098419604998208E-2</v>
      </c>
      <c r="O18" s="10"/>
      <c r="P18" s="21">
        <f>SUM(OSRRefP22x_0)</f>
        <v>212465.28</v>
      </c>
      <c r="Q18" s="21"/>
      <c r="R18" s="33">
        <f t="shared" ref="R18:R28" si="4">IF(P$12=0,0,P18/P$12)</f>
        <v>0</v>
      </c>
      <c r="S18" s="21"/>
      <c r="T18" s="21">
        <f>SUM(OSRRefT22x_0)</f>
        <v>224283.10937449799</v>
      </c>
      <c r="U18" s="21"/>
      <c r="V18" s="33">
        <f t="shared" ref="V18:V28" si="5">IF(T$12=0,0,T18/T$12)</f>
        <v>0</v>
      </c>
      <c r="W18" s="4"/>
      <c r="X18" s="21">
        <f t="shared" ref="X18:X28" si="6">+P18-T18</f>
        <v>-11817.829374497989</v>
      </c>
      <c r="Y18" s="4"/>
      <c r="Z18" s="33">
        <f t="shared" ref="Z18:Z28" si="7">IF(T18=0,0,X18/T18)</f>
        <v>-5.2691570967856975E-2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4919.03</v>
      </c>
      <c r="E19" s="1"/>
      <c r="F19" s="5">
        <f t="shared" si="0"/>
        <v>0</v>
      </c>
      <c r="G19" s="1"/>
      <c r="H19" s="1">
        <f>SUM(OSRRefH22_0x_0)</f>
        <v>3791.2793596359998</v>
      </c>
      <c r="I19" s="1"/>
      <c r="J19" s="5">
        <f t="shared" si="1"/>
        <v>0</v>
      </c>
      <c r="K19" s="1"/>
      <c r="L19" s="1">
        <f t="shared" si="2"/>
        <v>1127.750640364</v>
      </c>
      <c r="M19" s="1"/>
      <c r="N19" s="5">
        <f t="shared" si="3"/>
        <v>0.29745912484599268</v>
      </c>
      <c r="O19" s="13"/>
      <c r="P19" s="1">
        <f>SUM(OSRRefP22_0x_0)</f>
        <v>32342.26</v>
      </c>
      <c r="Q19" s="1"/>
      <c r="R19" s="5">
        <f t="shared" si="4"/>
        <v>0</v>
      </c>
      <c r="S19" s="1"/>
      <c r="T19" s="1">
        <f>SUM(OSRRefT22_0x_0)</f>
        <v>26535.096280498001</v>
      </c>
      <c r="U19" s="1"/>
      <c r="V19" s="5">
        <f t="shared" si="5"/>
        <v>0</v>
      </c>
      <c r="W19" s="1"/>
      <c r="X19" s="1">
        <f t="shared" si="6"/>
        <v>5807.1637195019975</v>
      </c>
      <c r="Y19" s="1"/>
      <c r="Z19" s="5">
        <f t="shared" si="7"/>
        <v>0.21884841336603625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708.91</v>
      </c>
      <c r="E20" s="2"/>
      <c r="F20" s="7">
        <f t="shared" si="0"/>
        <v>0</v>
      </c>
      <c r="G20" s="2"/>
      <c r="H20" s="6">
        <v>886.113104916</v>
      </c>
      <c r="I20" s="2"/>
      <c r="J20" s="7">
        <f t="shared" si="1"/>
        <v>0</v>
      </c>
      <c r="K20" s="2"/>
      <c r="L20" s="6">
        <f t="shared" si="2"/>
        <v>-177.20310491600003</v>
      </c>
      <c r="M20" s="2"/>
      <c r="N20" s="7">
        <f t="shared" si="3"/>
        <v>-0.1999779756477004</v>
      </c>
      <c r="O20" s="11"/>
      <c r="P20" s="6">
        <v>9244.34</v>
      </c>
      <c r="Q20" s="2"/>
      <c r="R20" s="7">
        <f t="shared" si="4"/>
        <v>0</v>
      </c>
      <c r="S20" s="2"/>
      <c r="T20" s="6">
        <v>8404.6588795380012</v>
      </c>
      <c r="U20" s="2"/>
      <c r="V20" s="7">
        <f t="shared" si="5"/>
        <v>0</v>
      </c>
      <c r="W20" s="2"/>
      <c r="X20" s="6">
        <f t="shared" si="6"/>
        <v>839.68112046199894</v>
      </c>
      <c r="Y20" s="2"/>
      <c r="Z20" s="7">
        <f t="shared" si="7"/>
        <v>9.9906627085875929E-2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417.94</v>
      </c>
      <c r="E21" s="2"/>
      <c r="F21" s="7">
        <f t="shared" si="0"/>
        <v>0</v>
      </c>
      <c r="G21" s="2"/>
      <c r="H21" s="6">
        <v>406.78310679999998</v>
      </c>
      <c r="I21" s="2"/>
      <c r="J21" s="7">
        <f t="shared" si="1"/>
        <v>0</v>
      </c>
      <c r="K21" s="2"/>
      <c r="L21" s="6">
        <f t="shared" si="2"/>
        <v>11.156893200000013</v>
      </c>
      <c r="M21" s="2"/>
      <c r="N21" s="7">
        <f t="shared" si="3"/>
        <v>2.7427130117980637E-2</v>
      </c>
      <c r="O21" s="11"/>
      <c r="P21" s="6">
        <v>2640.9</v>
      </c>
      <c r="Q21" s="2"/>
      <c r="R21" s="7">
        <f t="shared" si="4"/>
        <v>0</v>
      </c>
      <c r="S21" s="2"/>
      <c r="T21" s="6">
        <v>3730.5645874000002</v>
      </c>
      <c r="U21" s="2"/>
      <c r="V21" s="7">
        <f t="shared" si="5"/>
        <v>0</v>
      </c>
      <c r="W21" s="2"/>
      <c r="X21" s="6">
        <f t="shared" si="6"/>
        <v>-1089.6645874000001</v>
      </c>
      <c r="Y21" s="2"/>
      <c r="Z21" s="7">
        <f t="shared" si="7"/>
        <v>-0.29209106607625757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1949.27</v>
      </c>
      <c r="E22" s="2"/>
      <c r="F22" s="7">
        <f t="shared" si="0"/>
        <v>0</v>
      </c>
      <c r="G22" s="2"/>
      <c r="H22" s="6">
        <v>663</v>
      </c>
      <c r="I22" s="2"/>
      <c r="J22" s="7">
        <f t="shared" si="1"/>
        <v>0</v>
      </c>
      <c r="K22" s="2"/>
      <c r="L22" s="6">
        <f t="shared" si="2"/>
        <v>1286.27</v>
      </c>
      <c r="M22" s="2"/>
      <c r="N22" s="7">
        <f t="shared" si="3"/>
        <v>1.9400754147812971</v>
      </c>
      <c r="O22" s="11"/>
      <c r="P22" s="6">
        <v>9746.35</v>
      </c>
      <c r="Q22" s="2"/>
      <c r="R22" s="7">
        <f t="shared" si="4"/>
        <v>0</v>
      </c>
      <c r="S22" s="2"/>
      <c r="T22" s="6">
        <v>3315</v>
      </c>
      <c r="U22" s="2"/>
      <c r="V22" s="7">
        <f t="shared" si="5"/>
        <v>0</v>
      </c>
      <c r="W22" s="2"/>
      <c r="X22" s="6">
        <f t="shared" si="6"/>
        <v>6431.35</v>
      </c>
      <c r="Y22" s="2"/>
      <c r="Z22" s="7">
        <f t="shared" si="7"/>
        <v>1.9400754147812973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57.19</v>
      </c>
      <c r="E23" s="2"/>
      <c r="F23" s="7">
        <f t="shared" si="0"/>
        <v>0</v>
      </c>
      <c r="G23" s="2"/>
      <c r="H23" s="6">
        <v>55.665056720000003</v>
      </c>
      <c r="I23" s="2"/>
      <c r="J23" s="7">
        <f t="shared" si="1"/>
        <v>0</v>
      </c>
      <c r="K23" s="2"/>
      <c r="L23" s="6">
        <f t="shared" si="2"/>
        <v>1.5249432799999951</v>
      </c>
      <c r="M23" s="2"/>
      <c r="N23" s="7">
        <f t="shared" si="3"/>
        <v>2.7394982954397951E-2</v>
      </c>
      <c r="O23" s="11"/>
      <c r="P23" s="6">
        <v>457.25</v>
      </c>
      <c r="Q23" s="2"/>
      <c r="R23" s="7">
        <f t="shared" si="4"/>
        <v>0</v>
      </c>
      <c r="S23" s="2"/>
      <c r="T23" s="6">
        <v>510.49831196000002</v>
      </c>
      <c r="U23" s="2"/>
      <c r="V23" s="7">
        <f t="shared" si="5"/>
        <v>0</v>
      </c>
      <c r="W23" s="2"/>
      <c r="X23" s="6">
        <f t="shared" si="6"/>
        <v>-53.248311960000024</v>
      </c>
      <c r="Y23" s="2"/>
      <c r="Z23" s="7">
        <f t="shared" si="7"/>
        <v>-0.10430653875339804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691.3</v>
      </c>
      <c r="E24" s="2"/>
      <c r="F24" s="7">
        <f t="shared" si="0"/>
        <v>0</v>
      </c>
      <c r="G24" s="2"/>
      <c r="H24" s="6">
        <v>698.13399919999995</v>
      </c>
      <c r="I24" s="2"/>
      <c r="J24" s="7">
        <f t="shared" si="1"/>
        <v>0</v>
      </c>
      <c r="K24" s="2"/>
      <c r="L24" s="6">
        <f t="shared" si="2"/>
        <v>-6.8339991999999938</v>
      </c>
      <c r="M24" s="2"/>
      <c r="N24" s="7">
        <f t="shared" si="3"/>
        <v>-9.7889505565280522E-3</v>
      </c>
      <c r="O24" s="11"/>
      <c r="P24" s="6">
        <v>3737.12</v>
      </c>
      <c r="Q24" s="2"/>
      <c r="R24" s="7">
        <f t="shared" si="4"/>
        <v>0</v>
      </c>
      <c r="S24" s="2"/>
      <c r="T24" s="6">
        <v>3839.7369955999998</v>
      </c>
      <c r="U24" s="2"/>
      <c r="V24" s="7">
        <f t="shared" si="5"/>
        <v>0</v>
      </c>
      <c r="W24" s="2"/>
      <c r="X24" s="6">
        <f t="shared" si="6"/>
        <v>-102.61699559999988</v>
      </c>
      <c r="Y24" s="2"/>
      <c r="Z24" s="7">
        <f t="shared" si="7"/>
        <v>-2.672500635267205E-2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400.01</v>
      </c>
      <c r="E26" s="2"/>
      <c r="F26" s="7">
        <f t="shared" si="0"/>
        <v>0</v>
      </c>
      <c r="G26" s="2"/>
      <c r="H26" s="6">
        <v>606.64860399999998</v>
      </c>
      <c r="I26" s="2"/>
      <c r="J26" s="7">
        <f t="shared" si="1"/>
        <v>0</v>
      </c>
      <c r="K26" s="2"/>
      <c r="L26" s="6">
        <f t="shared" si="2"/>
        <v>-206.63860399999999</v>
      </c>
      <c r="M26" s="2"/>
      <c r="N26" s="7">
        <f t="shared" si="3"/>
        <v>-0.34062322510512194</v>
      </c>
      <c r="O26" s="11"/>
      <c r="P26" s="6">
        <v>2019.99</v>
      </c>
      <c r="Q26" s="2"/>
      <c r="R26" s="7">
        <f t="shared" si="4"/>
        <v>0</v>
      </c>
      <c r="S26" s="2"/>
      <c r="T26" s="6">
        <v>3336.5673219999999</v>
      </c>
      <c r="U26" s="2"/>
      <c r="V26" s="7">
        <f t="shared" si="5"/>
        <v>0</v>
      </c>
      <c r="W26" s="2"/>
      <c r="X26" s="6">
        <f t="shared" si="6"/>
        <v>-1316.5773219999999</v>
      </c>
      <c r="Y26" s="2"/>
      <c r="Z26" s="7">
        <f t="shared" si="7"/>
        <v>-0.39459036636815681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374.44</v>
      </c>
      <c r="E27" s="2"/>
      <c r="F27" s="7">
        <f t="shared" si="0"/>
        <v>0</v>
      </c>
      <c r="G27" s="2"/>
      <c r="H27" s="6">
        <v>474.93548800000002</v>
      </c>
      <c r="I27" s="2"/>
      <c r="J27" s="7">
        <f t="shared" si="1"/>
        <v>0</v>
      </c>
      <c r="K27" s="2"/>
      <c r="L27" s="6">
        <f t="shared" si="2"/>
        <v>-100.49548800000002</v>
      </c>
      <c r="M27" s="2"/>
      <c r="N27" s="7">
        <f t="shared" si="3"/>
        <v>-0.21159818657307836</v>
      </c>
      <c r="O27" s="11"/>
      <c r="P27" s="6">
        <v>2938.05</v>
      </c>
      <c r="Q27" s="2"/>
      <c r="R27" s="7">
        <f t="shared" si="4"/>
        <v>0</v>
      </c>
      <c r="S27" s="2"/>
      <c r="T27" s="6">
        <v>3398.0701840000002</v>
      </c>
      <c r="U27" s="2"/>
      <c r="V27" s="7">
        <f t="shared" si="5"/>
        <v>0</v>
      </c>
      <c r="W27" s="2"/>
      <c r="X27" s="6">
        <f t="shared" si="6"/>
        <v>-460.02018399999997</v>
      </c>
      <c r="Y27" s="2"/>
      <c r="Z27" s="7">
        <f t="shared" si="7"/>
        <v>-0.13537689308656137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319.97000000000003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319.97000000000003</v>
      </c>
      <c r="M28" s="2"/>
      <c r="N28" s="7">
        <f t="shared" si="3"/>
        <v>0</v>
      </c>
      <c r="O28" s="11"/>
      <c r="P28" s="6">
        <v>1558.26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1558.26</v>
      </c>
      <c r="Y28" s="2"/>
      <c r="Z28" s="7">
        <f t="shared" si="7"/>
        <v>0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20438.61</v>
      </c>
      <c r="E29" s="1"/>
      <c r="F29" s="5">
        <f t="shared" ref="F29:F39" si="8">IF(D$12=0,0,D29/D$12)</f>
        <v>0</v>
      </c>
      <c r="G29" s="1"/>
      <c r="H29" s="1">
        <f>SUM(OSRRefH22_1x_0)</f>
        <v>20478.275107999998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-39.665107999997417</v>
      </c>
      <c r="M29" s="1"/>
      <c r="N29" s="5">
        <f t="shared" ref="N29:N39" si="11">IF(H29=0,0,L29/H29)</f>
        <v>-1.9369359865910743E-3</v>
      </c>
      <c r="O29" s="13"/>
      <c r="P29" s="1">
        <f>SUM(OSRRefP22_1x_0)</f>
        <v>176790.59</v>
      </c>
      <c r="Q29" s="1"/>
      <c r="R29" s="5">
        <f t="shared" ref="R29:R39" si="12">IF(P$12=0,0,P29/P$12)</f>
        <v>0</v>
      </c>
      <c r="S29" s="1"/>
      <c r="T29" s="1">
        <f>SUM(OSRRefT22_1x_0)</f>
        <v>191223.01309399999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-14432.423093999998</v>
      </c>
      <c r="Y29" s="1"/>
      <c r="Z29" s="5">
        <f t="shared" ref="Z29:Z39" si="15">IF(T29=0,0,X29/T29)</f>
        <v>-7.5474300192652097E-2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3807.2751079999994</v>
      </c>
      <c r="I30" s="2"/>
      <c r="J30" s="7">
        <f t="shared" si="9"/>
        <v>0</v>
      </c>
      <c r="K30" s="2"/>
      <c r="L30" s="6">
        <f t="shared" si="10"/>
        <v>-3807.2751079999994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20940.013094000002</v>
      </c>
      <c r="U30" s="2"/>
      <c r="V30" s="7">
        <f t="shared" si="13"/>
        <v>0</v>
      </c>
      <c r="W30" s="2"/>
      <c r="X30" s="6">
        <f t="shared" si="14"/>
        <v>-20940.013094000002</v>
      </c>
      <c r="Y30" s="2"/>
      <c r="Z30" s="7">
        <f t="shared" si="15"/>
        <v>-1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>
        <v>7519.95</v>
      </c>
      <c r="E31" s="2"/>
      <c r="F31" s="7">
        <f t="shared" si="8"/>
        <v>0</v>
      </c>
      <c r="G31" s="2"/>
      <c r="H31" s="6">
        <v>3379.2</v>
      </c>
      <c r="I31" s="2"/>
      <c r="J31" s="7">
        <f t="shared" si="9"/>
        <v>0</v>
      </c>
      <c r="K31" s="2"/>
      <c r="L31" s="6">
        <f t="shared" si="10"/>
        <v>4140.75</v>
      </c>
      <c r="M31" s="2"/>
      <c r="N31" s="7">
        <f t="shared" si="11"/>
        <v>1.2253639914772727</v>
      </c>
      <c r="O31" s="11"/>
      <c r="P31" s="6">
        <v>42684.34</v>
      </c>
      <c r="Q31" s="2"/>
      <c r="R31" s="7">
        <f t="shared" si="12"/>
        <v>0</v>
      </c>
      <c r="S31" s="2"/>
      <c r="T31" s="6">
        <v>18585.599999999999</v>
      </c>
      <c r="U31" s="2"/>
      <c r="V31" s="7">
        <f t="shared" si="13"/>
        <v>0</v>
      </c>
      <c r="W31" s="2"/>
      <c r="X31" s="6">
        <f t="shared" si="14"/>
        <v>24098.739999999998</v>
      </c>
      <c r="Y31" s="2"/>
      <c r="Z31" s="7">
        <f t="shared" si="15"/>
        <v>1.2966350292699724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3460.8</v>
      </c>
      <c r="I33" s="2"/>
      <c r="J33" s="7">
        <f t="shared" si="9"/>
        <v>0</v>
      </c>
      <c r="K33" s="2"/>
      <c r="L33" s="6">
        <f t="shared" si="10"/>
        <v>-3460.8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19034.400000000001</v>
      </c>
      <c r="U33" s="2"/>
      <c r="V33" s="7">
        <f t="shared" si="13"/>
        <v>0</v>
      </c>
      <c r="W33" s="2"/>
      <c r="X33" s="6">
        <f t="shared" si="14"/>
        <v>-19034.400000000001</v>
      </c>
      <c r="Y33" s="2"/>
      <c r="Z33" s="7">
        <f t="shared" si="15"/>
        <v>-1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>
        <v>957.13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957.13</v>
      </c>
      <c r="M34" s="2"/>
      <c r="N34" s="7">
        <f t="shared" si="11"/>
        <v>0</v>
      </c>
      <c r="O34" s="11"/>
      <c r="P34" s="6">
        <v>10039.59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10039.59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>
        <v>192</v>
      </c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192</v>
      </c>
      <c r="M35" s="2"/>
      <c r="N35" s="7">
        <f t="shared" si="11"/>
        <v>0</v>
      </c>
      <c r="O35" s="11"/>
      <c r="P35" s="6">
        <v>9085.3700000000008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9085.3700000000008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>
        <v>11217.53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11217.53</v>
      </c>
      <c r="M36" s="2"/>
      <c r="N36" s="7">
        <f t="shared" si="11"/>
        <v>0</v>
      </c>
      <c r="O36" s="11"/>
      <c r="P36" s="6">
        <v>110445.29</v>
      </c>
      <c r="Q36" s="2"/>
      <c r="R36" s="7">
        <f t="shared" si="12"/>
        <v>0</v>
      </c>
      <c r="S36" s="2"/>
      <c r="T36" s="6">
        <v>46139.25</v>
      </c>
      <c r="U36" s="2"/>
      <c r="V36" s="7">
        <f t="shared" si="13"/>
        <v>0</v>
      </c>
      <c r="W36" s="2"/>
      <c r="X36" s="6">
        <f t="shared" si="14"/>
        <v>64306.039999999994</v>
      </c>
      <c r="Y36" s="2"/>
      <c r="Z36" s="7">
        <f t="shared" si="15"/>
        <v>1.3937383030716797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>
        <v>552</v>
      </c>
      <c r="E37" s="2"/>
      <c r="F37" s="7">
        <f t="shared" si="8"/>
        <v>0</v>
      </c>
      <c r="G37" s="2"/>
      <c r="H37" s="6">
        <v>9831</v>
      </c>
      <c r="I37" s="2"/>
      <c r="J37" s="7">
        <f t="shared" si="9"/>
        <v>0</v>
      </c>
      <c r="K37" s="2"/>
      <c r="L37" s="6">
        <f t="shared" si="10"/>
        <v>-9279</v>
      </c>
      <c r="M37" s="2"/>
      <c r="N37" s="7">
        <f t="shared" si="11"/>
        <v>-0.94385108330790357</v>
      </c>
      <c r="O37" s="11"/>
      <c r="P37" s="6">
        <v>4536</v>
      </c>
      <c r="Q37" s="2"/>
      <c r="R37" s="7">
        <f t="shared" si="12"/>
        <v>0</v>
      </c>
      <c r="S37" s="2"/>
      <c r="T37" s="6">
        <v>86523.75</v>
      </c>
      <c r="U37" s="2"/>
      <c r="V37" s="7">
        <f t="shared" si="13"/>
        <v>0</v>
      </c>
      <c r="W37" s="2"/>
      <c r="X37" s="6">
        <f t="shared" si="14"/>
        <v>-81987.75</v>
      </c>
      <c r="Y37" s="2"/>
      <c r="Z37" s="7">
        <f t="shared" si="15"/>
        <v>-0.94757508776492005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2" si="16">IF(D$12=0,0,D40/D$12)</f>
        <v>0</v>
      </c>
      <c r="G40" s="1"/>
      <c r="H40" s="1">
        <f>SUM(OSRRefH22_2x_0)</f>
        <v>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0</v>
      </c>
      <c r="M40" s="1"/>
      <c r="N40" s="5">
        <f t="shared" ref="N40:N52" si="19">IF(H40=0,0,L40/H40)</f>
        <v>0</v>
      </c>
      <c r="O40" s="13"/>
      <c r="P40" s="1">
        <f>SUM(OSRRefP22_2x_0)</f>
        <v>150</v>
      </c>
      <c r="Q40" s="1"/>
      <c r="R40" s="5">
        <f t="shared" ref="R40:R52" si="20">IF(P$12=0,0,P40/P$12)</f>
        <v>0</v>
      </c>
      <c r="S40" s="1"/>
      <c r="T40" s="1">
        <f>SUM(OSRRefT22_2x_0)</f>
        <v>400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-250</v>
      </c>
      <c r="Y40" s="1"/>
      <c r="Z40" s="5">
        <f t="shared" ref="Z40:Z52" si="23">IF(T40=0,0,X40/T40)</f>
        <v>-0.625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150</v>
      </c>
      <c r="Q41" s="2"/>
      <c r="R41" s="7">
        <f t="shared" si="20"/>
        <v>0</v>
      </c>
      <c r="S41" s="2"/>
      <c r="T41" s="6">
        <v>400</v>
      </c>
      <c r="U41" s="2"/>
      <c r="V41" s="7">
        <f t="shared" si="21"/>
        <v>0</v>
      </c>
      <c r="W41" s="2"/>
      <c r="X41" s="6">
        <f t="shared" si="22"/>
        <v>-250</v>
      </c>
      <c r="Y41" s="2"/>
      <c r="Z41" s="7">
        <f t="shared" si="23"/>
        <v>-0.625</v>
      </c>
    </row>
    <row r="42" spans="1:26" s="26" customFormat="1" outlineLevel="1" collapsed="1" x14ac:dyDescent="0.25">
      <c r="A42" s="27"/>
      <c r="B42" s="13" t="str">
        <f>CONCATENATE("     ","Employees' Appreciation                           ")</f>
        <v xml:space="preserve">     Employees' Appreciation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50</v>
      </c>
      <c r="I42" s="1"/>
      <c r="J42" s="5">
        <f t="shared" si="17"/>
        <v>0</v>
      </c>
      <c r="K42" s="1"/>
      <c r="L42" s="1">
        <f t="shared" si="18"/>
        <v>-50</v>
      </c>
      <c r="M42" s="1"/>
      <c r="N42" s="5">
        <f t="shared" si="19"/>
        <v>-1</v>
      </c>
      <c r="O42" s="13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250</v>
      </c>
      <c r="U42" s="1"/>
      <c r="V42" s="5">
        <f t="shared" si="21"/>
        <v>0</v>
      </c>
      <c r="W42" s="1"/>
      <c r="X42" s="1">
        <f t="shared" si="22"/>
        <v>-250</v>
      </c>
      <c r="Y42" s="1"/>
      <c r="Z42" s="5">
        <f t="shared" si="23"/>
        <v>-1</v>
      </c>
    </row>
    <row r="43" spans="1:26" s="24" customFormat="1" hidden="1" outlineLevel="2" x14ac:dyDescent="0.25">
      <c r="A43" s="25"/>
      <c r="B43" s="11" t="str">
        <f>CONCATENATE("          ", "6277", " - ", "EMPLOYEE APPRECIATION")</f>
        <v xml:space="preserve">          6277 - EMPLOYEE APPRECIATION</v>
      </c>
      <c r="C43" s="11"/>
      <c r="D43" s="6"/>
      <c r="E43" s="2"/>
      <c r="F43" s="7">
        <f t="shared" si="16"/>
        <v>0</v>
      </c>
      <c r="G43" s="2"/>
      <c r="H43" s="6">
        <v>50</v>
      </c>
      <c r="I43" s="2"/>
      <c r="J43" s="7">
        <f t="shared" si="17"/>
        <v>0</v>
      </c>
      <c r="K43" s="2"/>
      <c r="L43" s="6">
        <f t="shared" si="18"/>
        <v>-50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250</v>
      </c>
      <c r="U43" s="2"/>
      <c r="V43" s="7">
        <f t="shared" si="21"/>
        <v>0</v>
      </c>
      <c r="W43" s="2"/>
      <c r="X43" s="6">
        <f t="shared" si="22"/>
        <v>-250</v>
      </c>
      <c r="Y43" s="2"/>
      <c r="Z43" s="7">
        <f t="shared" si="23"/>
        <v>-1</v>
      </c>
    </row>
    <row r="44" spans="1:26" s="26" customFormat="1" outlineLevel="1" collapsed="1" x14ac:dyDescent="0.25">
      <c r="A44" s="27"/>
      <c r="B44" s="13" t="str">
        <f>CONCATENATE("     ","Equipment Rental                                  ")</f>
        <v xml:space="preserve">     Equipment Rental                                  </v>
      </c>
      <c r="C44" s="13"/>
      <c r="D44" s="1">
        <f>SUM(OSRRefD22_4x_0)</f>
        <v>427.9</v>
      </c>
      <c r="E44" s="1"/>
      <c r="F44" s="5">
        <f t="shared" si="16"/>
        <v>0</v>
      </c>
      <c r="G44" s="1"/>
      <c r="H44" s="1">
        <f>SUM(OSRRefH22_4x_0)</f>
        <v>125</v>
      </c>
      <c r="I44" s="1"/>
      <c r="J44" s="5">
        <f t="shared" si="17"/>
        <v>0</v>
      </c>
      <c r="K44" s="1"/>
      <c r="L44" s="1">
        <f t="shared" si="18"/>
        <v>302.89999999999998</v>
      </c>
      <c r="M44" s="1"/>
      <c r="N44" s="5">
        <f t="shared" si="19"/>
        <v>2.4232</v>
      </c>
      <c r="O44" s="13"/>
      <c r="P44" s="1">
        <f>SUM(OSRRefP22_4x_0)</f>
        <v>610.41999999999996</v>
      </c>
      <c r="Q44" s="1"/>
      <c r="R44" s="5">
        <f t="shared" si="20"/>
        <v>0</v>
      </c>
      <c r="S44" s="1"/>
      <c r="T44" s="1">
        <f>SUM(OSRRefT22_4x_0)</f>
        <v>625</v>
      </c>
      <c r="U44" s="1"/>
      <c r="V44" s="5">
        <f t="shared" si="21"/>
        <v>0</v>
      </c>
      <c r="W44" s="1"/>
      <c r="X44" s="1">
        <f t="shared" si="22"/>
        <v>-14.580000000000041</v>
      </c>
      <c r="Y44" s="1"/>
      <c r="Z44" s="5">
        <f t="shared" si="23"/>
        <v>-2.3328000000000064E-2</v>
      </c>
    </row>
    <row r="45" spans="1:26" s="24" customFormat="1" hidden="1" outlineLevel="2" x14ac:dyDescent="0.25">
      <c r="A45" s="25"/>
      <c r="B45" s="11" t="str">
        <f>CONCATENATE("          ", "6351", " - ", "EQUIPMENT RENTAL")</f>
        <v xml:space="preserve">          6351 - EQUIPMENT RENTAL</v>
      </c>
      <c r="C45" s="11"/>
      <c r="D45" s="6">
        <v>427.9</v>
      </c>
      <c r="E45" s="2"/>
      <c r="F45" s="7">
        <f t="shared" si="16"/>
        <v>0</v>
      </c>
      <c r="G45" s="2"/>
      <c r="H45" s="6">
        <v>125</v>
      </c>
      <c r="I45" s="2"/>
      <c r="J45" s="7">
        <f t="shared" si="17"/>
        <v>0</v>
      </c>
      <c r="K45" s="2"/>
      <c r="L45" s="6">
        <f t="shared" si="18"/>
        <v>302.89999999999998</v>
      </c>
      <c r="M45" s="2"/>
      <c r="N45" s="7">
        <f t="shared" si="19"/>
        <v>2.4232</v>
      </c>
      <c r="O45" s="11"/>
      <c r="P45" s="6">
        <v>610.41999999999996</v>
      </c>
      <c r="Q45" s="2"/>
      <c r="R45" s="7">
        <f t="shared" si="20"/>
        <v>0</v>
      </c>
      <c r="S45" s="2"/>
      <c r="T45" s="6">
        <v>625</v>
      </c>
      <c r="U45" s="2"/>
      <c r="V45" s="7">
        <f t="shared" si="21"/>
        <v>0</v>
      </c>
      <c r="W45" s="2"/>
      <c r="X45" s="6">
        <f t="shared" si="22"/>
        <v>-14.580000000000041</v>
      </c>
      <c r="Y45" s="2"/>
      <c r="Z45" s="7">
        <f t="shared" si="23"/>
        <v>-2.3328000000000064E-2</v>
      </c>
    </row>
    <row r="46" spans="1:26" s="26" customFormat="1" outlineLevel="1" collapsed="1" x14ac:dyDescent="0.25">
      <c r="A46" s="27"/>
      <c r="B46" s="13" t="str">
        <f>CONCATENATE("     ","Freight out/Postage                               ")</f>
        <v xml:space="preserve">     Freight out/Postage                               </v>
      </c>
      <c r="C46" s="13"/>
      <c r="D46" s="1">
        <f>SUM(OSRRefD22_5x_0)</f>
        <v>400</v>
      </c>
      <c r="E46" s="1"/>
      <c r="F46" s="5">
        <f t="shared" si="16"/>
        <v>0</v>
      </c>
      <c r="G46" s="1"/>
      <c r="H46" s="1">
        <f>SUM(OSRRefH22_5x_0)</f>
        <v>10</v>
      </c>
      <c r="I46" s="1"/>
      <c r="J46" s="5">
        <f t="shared" si="17"/>
        <v>0</v>
      </c>
      <c r="K46" s="1"/>
      <c r="L46" s="1">
        <f t="shared" si="18"/>
        <v>390</v>
      </c>
      <c r="M46" s="1"/>
      <c r="N46" s="5">
        <f t="shared" si="19"/>
        <v>39</v>
      </c>
      <c r="O46" s="13"/>
      <c r="P46" s="1">
        <f>SUM(OSRRefP22_5x_0)</f>
        <v>400</v>
      </c>
      <c r="Q46" s="1"/>
      <c r="R46" s="5">
        <f t="shared" si="20"/>
        <v>0</v>
      </c>
      <c r="S46" s="1"/>
      <c r="T46" s="1">
        <f>SUM(OSRRefT22_5x_0)</f>
        <v>50</v>
      </c>
      <c r="U46" s="1"/>
      <c r="V46" s="5">
        <f t="shared" si="21"/>
        <v>0</v>
      </c>
      <c r="W46" s="1"/>
      <c r="X46" s="1">
        <f t="shared" si="22"/>
        <v>350</v>
      </c>
      <c r="Y46" s="1"/>
      <c r="Z46" s="5">
        <f t="shared" si="23"/>
        <v>7</v>
      </c>
    </row>
    <row r="47" spans="1:26" s="24" customFormat="1" hidden="1" outlineLevel="2" x14ac:dyDescent="0.25">
      <c r="A47" s="25"/>
      <c r="B47" s="11" t="str">
        <f>CONCATENATE("          ", "6307", " - ", "POSTAGE")</f>
        <v xml:space="preserve">          6307 - POSTAGE</v>
      </c>
      <c r="C47" s="11"/>
      <c r="D47" s="6">
        <v>400</v>
      </c>
      <c r="E47" s="2"/>
      <c r="F47" s="7">
        <f t="shared" si="16"/>
        <v>0</v>
      </c>
      <c r="G47" s="2"/>
      <c r="H47" s="6">
        <v>10</v>
      </c>
      <c r="I47" s="2"/>
      <c r="J47" s="7">
        <f t="shared" si="17"/>
        <v>0</v>
      </c>
      <c r="K47" s="2"/>
      <c r="L47" s="6">
        <f t="shared" si="18"/>
        <v>390</v>
      </c>
      <c r="M47" s="2"/>
      <c r="N47" s="7">
        <f t="shared" si="19"/>
        <v>39</v>
      </c>
      <c r="O47" s="11"/>
      <c r="P47" s="6">
        <v>400</v>
      </c>
      <c r="Q47" s="2"/>
      <c r="R47" s="7">
        <f t="shared" si="20"/>
        <v>0</v>
      </c>
      <c r="S47" s="2"/>
      <c r="T47" s="6">
        <v>50</v>
      </c>
      <c r="U47" s="2"/>
      <c r="V47" s="7">
        <f t="shared" si="21"/>
        <v>0</v>
      </c>
      <c r="W47" s="2"/>
      <c r="X47" s="6">
        <f t="shared" si="22"/>
        <v>350</v>
      </c>
      <c r="Y47" s="2"/>
      <c r="Z47" s="7">
        <f t="shared" si="23"/>
        <v>7</v>
      </c>
    </row>
    <row r="48" spans="1:26" s="26" customFormat="1" outlineLevel="1" collapsed="1" x14ac:dyDescent="0.25">
      <c r="A48" s="27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SUM(OSRRefP22_6x_0)</f>
        <v>89.45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89.45</v>
      </c>
      <c r="Y48" s="1"/>
      <c r="Z48" s="5">
        <f t="shared" si="23"/>
        <v>0</v>
      </c>
    </row>
    <row r="49" spans="1:26" s="24" customFormat="1" hidden="1" outlineLevel="2" x14ac:dyDescent="0.25">
      <c r="A49" s="25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>
        <v>89.45</v>
      </c>
      <c r="Q49" s="2"/>
      <c r="R49" s="7">
        <f t="shared" si="20"/>
        <v>0</v>
      </c>
      <c r="S49" s="2"/>
      <c r="T49" s="6"/>
      <c r="U49" s="2"/>
      <c r="V49" s="7">
        <f t="shared" si="21"/>
        <v>0</v>
      </c>
      <c r="W49" s="2"/>
      <c r="X49" s="6">
        <f t="shared" si="22"/>
        <v>89.45</v>
      </c>
      <c r="Y49" s="2"/>
      <c r="Z49" s="7">
        <f t="shared" si="23"/>
        <v>0</v>
      </c>
    </row>
    <row r="50" spans="1:26" s="26" customFormat="1" outlineLevel="1" collapsed="1" x14ac:dyDescent="0.25">
      <c r="A50" s="27"/>
      <c r="B50" s="13" t="str">
        <f>CONCATENATE("     ","Repair and Maintenance                            ")</f>
        <v xml:space="preserve">     Repair and Maintenance                            </v>
      </c>
      <c r="C50" s="13"/>
      <c r="D50" s="1">
        <f>SUM(OSRRefD22_7x_0)</f>
        <v>35.119999999999997</v>
      </c>
      <c r="E50" s="1"/>
      <c r="F50" s="5">
        <f t="shared" si="16"/>
        <v>0</v>
      </c>
      <c r="G50" s="1"/>
      <c r="H50" s="1">
        <f>SUM(OSRRefH22_7x_0)</f>
        <v>125</v>
      </c>
      <c r="I50" s="1"/>
      <c r="J50" s="5">
        <f t="shared" si="17"/>
        <v>0</v>
      </c>
      <c r="K50" s="1"/>
      <c r="L50" s="1">
        <f t="shared" si="18"/>
        <v>-89.88</v>
      </c>
      <c r="M50" s="1"/>
      <c r="N50" s="5">
        <f t="shared" si="19"/>
        <v>-0.71904000000000001</v>
      </c>
      <c r="O50" s="13"/>
      <c r="P50" s="1">
        <f>SUM(OSRRefP22_7x_0)</f>
        <v>242.41000000000003</v>
      </c>
      <c r="Q50" s="1"/>
      <c r="R50" s="5">
        <f t="shared" si="20"/>
        <v>0</v>
      </c>
      <c r="S50" s="1"/>
      <c r="T50" s="1">
        <f>SUM(OSRRefT22_7x_0)</f>
        <v>625</v>
      </c>
      <c r="U50" s="1"/>
      <c r="V50" s="5">
        <f t="shared" si="21"/>
        <v>0</v>
      </c>
      <c r="W50" s="1"/>
      <c r="X50" s="1">
        <f t="shared" si="22"/>
        <v>-382.59</v>
      </c>
      <c r="Y50" s="1"/>
      <c r="Z50" s="5">
        <f t="shared" si="23"/>
        <v>-0.61214399999999991</v>
      </c>
    </row>
    <row r="51" spans="1:26" s="24" customFormat="1" hidden="1" outlineLevel="2" x14ac:dyDescent="0.25">
      <c r="A51" s="25"/>
      <c r="B51" s="11" t="str">
        <f>CONCATENATE("          ", "6373", " - ", "MAINTENANCE CONTRACTS")</f>
        <v xml:space="preserve">          6373 - MAINTENANCE CONTRACTS</v>
      </c>
      <c r="C51" s="11"/>
      <c r="D51" s="6">
        <v>35.119999999999997</v>
      </c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35.119999999999997</v>
      </c>
      <c r="M51" s="2"/>
      <c r="N51" s="7">
        <f t="shared" si="19"/>
        <v>0</v>
      </c>
      <c r="O51" s="11"/>
      <c r="P51" s="6">
        <v>50.08</v>
      </c>
      <c r="Q51" s="2"/>
      <c r="R51" s="7">
        <f t="shared" si="20"/>
        <v>0</v>
      </c>
      <c r="S51" s="2"/>
      <c r="T51" s="6"/>
      <c r="U51" s="2"/>
      <c r="V51" s="7">
        <f t="shared" si="21"/>
        <v>0</v>
      </c>
      <c r="W51" s="2"/>
      <c r="X51" s="6">
        <f t="shared" si="22"/>
        <v>50.08</v>
      </c>
      <c r="Y51" s="2"/>
      <c r="Z51" s="7">
        <f t="shared" si="23"/>
        <v>0</v>
      </c>
    </row>
    <row r="52" spans="1:26" s="24" customFormat="1" hidden="1" outlineLevel="2" x14ac:dyDescent="0.25">
      <c r="A52" s="25"/>
      <c r="B52" s="11" t="str">
        <f>CONCATENATE("          ", "6375", " - ", "OUTSIDE REPAIRS &amp; MAINTENANCE")</f>
        <v xml:space="preserve">          6375 - OUTSIDE REPAIRS &amp; MAINTENANCE</v>
      </c>
      <c r="C52" s="11"/>
      <c r="D52" s="6"/>
      <c r="E52" s="2"/>
      <c r="F52" s="7">
        <f t="shared" si="16"/>
        <v>0</v>
      </c>
      <c r="G52" s="2"/>
      <c r="H52" s="6">
        <v>125</v>
      </c>
      <c r="I52" s="2"/>
      <c r="J52" s="7">
        <f t="shared" si="17"/>
        <v>0</v>
      </c>
      <c r="K52" s="2"/>
      <c r="L52" s="6">
        <f t="shared" si="18"/>
        <v>-125</v>
      </c>
      <c r="M52" s="2"/>
      <c r="N52" s="7">
        <f t="shared" si="19"/>
        <v>-1</v>
      </c>
      <c r="O52" s="11"/>
      <c r="P52" s="6">
        <v>192.33</v>
      </c>
      <c r="Q52" s="2"/>
      <c r="R52" s="7">
        <f t="shared" si="20"/>
        <v>0</v>
      </c>
      <c r="S52" s="2"/>
      <c r="T52" s="6">
        <v>625</v>
      </c>
      <c r="U52" s="2"/>
      <c r="V52" s="7">
        <f t="shared" si="21"/>
        <v>0</v>
      </c>
      <c r="W52" s="2"/>
      <c r="X52" s="6">
        <f t="shared" si="22"/>
        <v>-432.66999999999996</v>
      </c>
      <c r="Y52" s="2"/>
      <c r="Z52" s="7">
        <f t="shared" si="23"/>
        <v>-0.69227199999999989</v>
      </c>
    </row>
    <row r="53" spans="1:26" s="26" customFormat="1" outlineLevel="1" collapsed="1" x14ac:dyDescent="0.25">
      <c r="A53" s="27"/>
      <c r="B53" s="13" t="str">
        <f>CONCATENATE("     ","Supplies                                          ")</f>
        <v xml:space="preserve">     Supplies                                          </v>
      </c>
      <c r="C53" s="13"/>
      <c r="D53" s="1">
        <f>SUM(OSRRefD22_8x_0)</f>
        <v>319.49</v>
      </c>
      <c r="E53" s="1"/>
      <c r="F53" s="5">
        <f t="shared" ref="F53:F57" si="24">IF(D$12=0,0,D53/D$12)</f>
        <v>0</v>
      </c>
      <c r="G53" s="1"/>
      <c r="H53" s="1">
        <f>SUM(OSRRefH22_8x_0)</f>
        <v>450</v>
      </c>
      <c r="I53" s="1"/>
      <c r="J53" s="5">
        <f t="shared" ref="J53:J57" si="25">IF(H$12=0,0,H53/H$12)</f>
        <v>0</v>
      </c>
      <c r="K53" s="1"/>
      <c r="L53" s="1">
        <f t="shared" ref="L53:L57" si="26">+D53-H53</f>
        <v>-130.51</v>
      </c>
      <c r="M53" s="1"/>
      <c r="N53" s="5">
        <f t="shared" ref="N53:N57" si="27">IF(H53=0,0,L53/H53)</f>
        <v>-0.29002222222222218</v>
      </c>
      <c r="O53" s="13"/>
      <c r="P53" s="1">
        <f>SUM(OSRRefP22_8x_0)</f>
        <v>987.94999999999993</v>
      </c>
      <c r="Q53" s="1"/>
      <c r="R53" s="5">
        <f t="shared" ref="R53:R57" si="28">IF(P$12=0,0,P53/P$12)</f>
        <v>0</v>
      </c>
      <c r="S53" s="1"/>
      <c r="T53" s="1">
        <f>SUM(OSRRefT22_8x_0)</f>
        <v>3000</v>
      </c>
      <c r="U53" s="1"/>
      <c r="V53" s="5">
        <f t="shared" ref="V53:V57" si="29">IF(T$12=0,0,T53/T$12)</f>
        <v>0</v>
      </c>
      <c r="W53" s="1"/>
      <c r="X53" s="1">
        <f t="shared" ref="X53:X57" si="30">+P53-T53</f>
        <v>-2012.0500000000002</v>
      </c>
      <c r="Y53" s="1"/>
      <c r="Z53" s="5">
        <f t="shared" ref="Z53:Z57" si="31">IF(T53=0,0,X53/T53)</f>
        <v>-0.67068333333333341</v>
      </c>
    </row>
    <row r="54" spans="1:26" s="24" customFormat="1" hidden="1" outlineLevel="2" x14ac:dyDescent="0.25">
      <c r="A54" s="25"/>
      <c r="B54" s="11" t="str">
        <f>CONCATENATE("          ", "6237", " - ", "JANITORIAL SUPPLIES")</f>
        <v xml:space="preserve">          6237 - JANITORIAL SUPPLIES</v>
      </c>
      <c r="C54" s="11"/>
      <c r="D54" s="6">
        <v>226.95</v>
      </c>
      <c r="E54" s="2"/>
      <c r="F54" s="7">
        <f t="shared" si="24"/>
        <v>0</v>
      </c>
      <c r="G54" s="2"/>
      <c r="H54" s="6"/>
      <c r="I54" s="2"/>
      <c r="J54" s="7">
        <f t="shared" si="25"/>
        <v>0</v>
      </c>
      <c r="K54" s="2"/>
      <c r="L54" s="6">
        <f t="shared" si="26"/>
        <v>226.95</v>
      </c>
      <c r="M54" s="2"/>
      <c r="N54" s="7">
        <f t="shared" si="27"/>
        <v>0</v>
      </c>
      <c r="O54" s="11"/>
      <c r="P54" s="6">
        <v>226.95</v>
      </c>
      <c r="Q54" s="2"/>
      <c r="R54" s="7">
        <f t="shared" si="28"/>
        <v>0</v>
      </c>
      <c r="S54" s="2"/>
      <c r="T54" s="6"/>
      <c r="U54" s="2"/>
      <c r="V54" s="7">
        <f t="shared" si="29"/>
        <v>0</v>
      </c>
      <c r="W54" s="2"/>
      <c r="X54" s="6">
        <f t="shared" si="30"/>
        <v>226.95</v>
      </c>
      <c r="Y54" s="2"/>
      <c r="Z54" s="7">
        <f t="shared" si="31"/>
        <v>0</v>
      </c>
    </row>
    <row r="55" spans="1:26" s="24" customFormat="1" hidden="1" outlineLevel="2" x14ac:dyDescent="0.25">
      <c r="A55" s="25"/>
      <c r="B55" s="11" t="str">
        <f>CONCATENATE("          ", "6241", " - ", "OFFICE EXPENSE")</f>
        <v xml:space="preserve">          6241 - OFFICE EXPENSE</v>
      </c>
      <c r="C55" s="11"/>
      <c r="D55" s="6">
        <v>92.54</v>
      </c>
      <c r="E55" s="2"/>
      <c r="F55" s="7">
        <f t="shared" si="24"/>
        <v>0</v>
      </c>
      <c r="G55" s="2"/>
      <c r="H55" s="6">
        <v>150</v>
      </c>
      <c r="I55" s="2"/>
      <c r="J55" s="7">
        <f t="shared" si="25"/>
        <v>0</v>
      </c>
      <c r="K55" s="2"/>
      <c r="L55" s="6">
        <f t="shared" si="26"/>
        <v>-57.459999999999994</v>
      </c>
      <c r="M55" s="2"/>
      <c r="N55" s="7">
        <f t="shared" si="27"/>
        <v>-0.38306666666666661</v>
      </c>
      <c r="O55" s="11"/>
      <c r="P55" s="6">
        <v>313.87</v>
      </c>
      <c r="Q55" s="2"/>
      <c r="R55" s="7">
        <f t="shared" si="28"/>
        <v>0</v>
      </c>
      <c r="S55" s="2"/>
      <c r="T55" s="6">
        <v>1000</v>
      </c>
      <c r="U55" s="2"/>
      <c r="V55" s="7">
        <f t="shared" si="29"/>
        <v>0</v>
      </c>
      <c r="W55" s="2"/>
      <c r="X55" s="6">
        <f t="shared" si="30"/>
        <v>-686.13</v>
      </c>
      <c r="Y55" s="2"/>
      <c r="Z55" s="7">
        <f t="shared" si="31"/>
        <v>-0.68613000000000002</v>
      </c>
    </row>
    <row r="56" spans="1:26" s="24" customFormat="1" hidden="1" outlineLevel="2" x14ac:dyDescent="0.25">
      <c r="A56" s="25"/>
      <c r="B56" s="11" t="str">
        <f>CONCATENATE("          ", "6243", " - ", "PAPER SUPPLIES")</f>
        <v xml:space="preserve">          6243 - PAPER SUPPLIES</v>
      </c>
      <c r="C56" s="11"/>
      <c r="D56" s="6"/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0</v>
      </c>
      <c r="M56" s="2"/>
      <c r="N56" s="7">
        <f t="shared" si="27"/>
        <v>0</v>
      </c>
      <c r="O56" s="11"/>
      <c r="P56" s="6"/>
      <c r="Q56" s="2"/>
      <c r="R56" s="7">
        <f t="shared" si="28"/>
        <v>0</v>
      </c>
      <c r="S56" s="2"/>
      <c r="T56" s="6">
        <v>500</v>
      </c>
      <c r="U56" s="2"/>
      <c r="V56" s="7">
        <f t="shared" si="29"/>
        <v>0</v>
      </c>
      <c r="W56" s="2"/>
      <c r="X56" s="6">
        <f t="shared" si="30"/>
        <v>-500</v>
      </c>
      <c r="Y56" s="2"/>
      <c r="Z56" s="7">
        <f t="shared" si="31"/>
        <v>-1</v>
      </c>
    </row>
    <row r="57" spans="1:26" s="24" customFormat="1" hidden="1" outlineLevel="2" x14ac:dyDescent="0.25">
      <c r="A57" s="25"/>
      <c r="B57" s="11" t="str">
        <f>CONCATENATE("          ", "6247", " - ", "STORE SUPPLIES")</f>
        <v xml:space="preserve">          6247 - STORE SUPPLIES</v>
      </c>
      <c r="C57" s="11"/>
      <c r="D57" s="6"/>
      <c r="E57" s="2"/>
      <c r="F57" s="7">
        <f t="shared" si="24"/>
        <v>0</v>
      </c>
      <c r="G57" s="2"/>
      <c r="H57" s="6">
        <v>300</v>
      </c>
      <c r="I57" s="2"/>
      <c r="J57" s="7">
        <f t="shared" si="25"/>
        <v>0</v>
      </c>
      <c r="K57" s="2"/>
      <c r="L57" s="6">
        <f t="shared" si="26"/>
        <v>-300</v>
      </c>
      <c r="M57" s="2"/>
      <c r="N57" s="7">
        <f t="shared" si="27"/>
        <v>-1</v>
      </c>
      <c r="O57" s="11"/>
      <c r="P57" s="6">
        <v>447.13</v>
      </c>
      <c r="Q57" s="2"/>
      <c r="R57" s="7">
        <f t="shared" si="28"/>
        <v>0</v>
      </c>
      <c r="S57" s="2"/>
      <c r="T57" s="6">
        <v>1500</v>
      </c>
      <c r="U57" s="2"/>
      <c r="V57" s="7">
        <f t="shared" si="29"/>
        <v>0</v>
      </c>
      <c r="W57" s="2"/>
      <c r="X57" s="6">
        <f t="shared" si="30"/>
        <v>-1052.8699999999999</v>
      </c>
      <c r="Y57" s="2"/>
      <c r="Z57" s="7">
        <f t="shared" si="31"/>
        <v>-0.70191333333333328</v>
      </c>
    </row>
    <row r="58" spans="1:26" s="26" customFormat="1" outlineLevel="1" collapsed="1" x14ac:dyDescent="0.25">
      <c r="A58" s="27"/>
      <c r="B58" s="13" t="str">
        <f>CONCATENATE("     ","Telephone/Data Lines                              ")</f>
        <v xml:space="preserve">     Telephone/Data Lines                              </v>
      </c>
      <c r="C58" s="13"/>
      <c r="D58" s="1">
        <f>SUM(OSRRefD22_9x_0)</f>
        <v>159.35</v>
      </c>
      <c r="E58" s="1"/>
      <c r="F58" s="5">
        <f t="shared" ref="F58:F61" si="32">IF(D$12=0,0,D58/D$12)</f>
        <v>0</v>
      </c>
      <c r="G58" s="1"/>
      <c r="H58" s="1">
        <f>SUM(OSRRefH22_9x_0)</f>
        <v>165</v>
      </c>
      <c r="I58" s="1"/>
      <c r="J58" s="5">
        <f t="shared" ref="J58:J61" si="33">IF(H$12=0,0,H58/H$12)</f>
        <v>0</v>
      </c>
      <c r="K58" s="1"/>
      <c r="L58" s="1">
        <f t="shared" ref="L58:L61" si="34">+D58-H58</f>
        <v>-5.6500000000000057</v>
      </c>
      <c r="M58" s="1"/>
      <c r="N58" s="5">
        <f t="shared" ref="N58:N61" si="35">IF(H58=0,0,L58/H58)</f>
        <v>-3.4242424242424276E-2</v>
      </c>
      <c r="O58" s="13"/>
      <c r="P58" s="1">
        <f>SUM(OSRRefP22_9x_0)</f>
        <v>772.2</v>
      </c>
      <c r="Q58" s="1"/>
      <c r="R58" s="5">
        <f t="shared" ref="R58:R61" si="36">IF(P$12=0,0,P58/P$12)</f>
        <v>0</v>
      </c>
      <c r="S58" s="1"/>
      <c r="T58" s="1">
        <f>SUM(OSRRefT22_9x_0)</f>
        <v>825</v>
      </c>
      <c r="U58" s="1"/>
      <c r="V58" s="5">
        <f t="shared" ref="V58:V61" si="37">IF(T$12=0,0,T58/T$12)</f>
        <v>0</v>
      </c>
      <c r="W58" s="1"/>
      <c r="X58" s="1">
        <f t="shared" ref="X58:X61" si="38">+P58-T58</f>
        <v>-52.799999999999955</v>
      </c>
      <c r="Y58" s="1"/>
      <c r="Z58" s="5">
        <f t="shared" ref="Z58:Z61" si="39">IF(T58=0,0,X58/T58)</f>
        <v>-6.3999999999999946E-2</v>
      </c>
    </row>
    <row r="59" spans="1:26" s="24" customFormat="1" hidden="1" outlineLevel="2" x14ac:dyDescent="0.25">
      <c r="A59" s="25"/>
      <c r="B59" s="11" t="str">
        <f>CONCATENATE("          ", "6309", " - ", "TELEPHONE")</f>
        <v xml:space="preserve">          6309 - TELEPHONE</v>
      </c>
      <c r="C59" s="11"/>
      <c r="D59" s="6">
        <v>159.35</v>
      </c>
      <c r="E59" s="2"/>
      <c r="F59" s="7">
        <f t="shared" si="32"/>
        <v>0</v>
      </c>
      <c r="G59" s="2"/>
      <c r="H59" s="6">
        <v>165</v>
      </c>
      <c r="I59" s="2"/>
      <c r="J59" s="7">
        <f t="shared" si="33"/>
        <v>0</v>
      </c>
      <c r="K59" s="2"/>
      <c r="L59" s="6">
        <f t="shared" si="34"/>
        <v>-5.6500000000000057</v>
      </c>
      <c r="M59" s="2"/>
      <c r="N59" s="7">
        <f t="shared" si="35"/>
        <v>-3.4242424242424276E-2</v>
      </c>
      <c r="O59" s="11"/>
      <c r="P59" s="6">
        <v>772.2</v>
      </c>
      <c r="Q59" s="2"/>
      <c r="R59" s="7">
        <f t="shared" si="36"/>
        <v>0</v>
      </c>
      <c r="S59" s="2"/>
      <c r="T59" s="6">
        <v>825</v>
      </c>
      <c r="U59" s="2"/>
      <c r="V59" s="7">
        <f t="shared" si="37"/>
        <v>0</v>
      </c>
      <c r="W59" s="2"/>
      <c r="X59" s="6">
        <f t="shared" si="38"/>
        <v>-52.799999999999955</v>
      </c>
      <c r="Y59" s="2"/>
      <c r="Z59" s="7">
        <f t="shared" si="39"/>
        <v>-6.3999999999999946E-2</v>
      </c>
    </row>
    <row r="60" spans="1:26" s="26" customFormat="1" outlineLevel="1" collapsed="1" x14ac:dyDescent="0.25">
      <c r="A60" s="27"/>
      <c r="B60" s="13" t="str">
        <f>CONCATENATE("     ","Training                                          ")</f>
        <v xml:space="preserve">     Training                                          </v>
      </c>
      <c r="C60" s="13"/>
      <c r="D60" s="1">
        <f>SUM(OSRRefD22_10x_0)</f>
        <v>0</v>
      </c>
      <c r="E60" s="1"/>
      <c r="F60" s="5">
        <f t="shared" si="32"/>
        <v>0</v>
      </c>
      <c r="G60" s="1"/>
      <c r="H60" s="1">
        <f>SUM(OSRRefH22_10x_0)</f>
        <v>750</v>
      </c>
      <c r="I60" s="1"/>
      <c r="J60" s="5">
        <f t="shared" si="33"/>
        <v>0</v>
      </c>
      <c r="K60" s="1"/>
      <c r="L60" s="1">
        <f t="shared" si="34"/>
        <v>-750</v>
      </c>
      <c r="M60" s="1"/>
      <c r="N60" s="5">
        <f t="shared" si="35"/>
        <v>-1</v>
      </c>
      <c r="O60" s="13"/>
      <c r="P60" s="1">
        <f>SUM(OSRRefP22_10x_0)</f>
        <v>80</v>
      </c>
      <c r="Q60" s="1"/>
      <c r="R60" s="5">
        <f t="shared" si="36"/>
        <v>0</v>
      </c>
      <c r="S60" s="1"/>
      <c r="T60" s="1">
        <f>SUM(OSRRefT22_10x_0)</f>
        <v>750</v>
      </c>
      <c r="U60" s="1"/>
      <c r="V60" s="5">
        <f t="shared" si="37"/>
        <v>0</v>
      </c>
      <c r="W60" s="1"/>
      <c r="X60" s="1">
        <f t="shared" si="38"/>
        <v>-670</v>
      </c>
      <c r="Y60" s="1"/>
      <c r="Z60" s="5">
        <f t="shared" si="39"/>
        <v>-0.89333333333333331</v>
      </c>
    </row>
    <row r="61" spans="1:26" s="24" customFormat="1" hidden="1" outlineLevel="2" x14ac:dyDescent="0.25">
      <c r="A61" s="25"/>
      <c r="B61" s="11" t="str">
        <f>CONCATENATE("          ", "6376", " - ", "TRAINING")</f>
        <v xml:space="preserve">          6376 - TRAINING</v>
      </c>
      <c r="C61" s="11"/>
      <c r="D61" s="6"/>
      <c r="E61" s="2"/>
      <c r="F61" s="7">
        <f t="shared" si="32"/>
        <v>0</v>
      </c>
      <c r="G61" s="2"/>
      <c r="H61" s="6">
        <v>750</v>
      </c>
      <c r="I61" s="2"/>
      <c r="J61" s="7">
        <f t="shared" si="33"/>
        <v>0</v>
      </c>
      <c r="K61" s="2"/>
      <c r="L61" s="6">
        <f t="shared" si="34"/>
        <v>-750</v>
      </c>
      <c r="M61" s="2"/>
      <c r="N61" s="7">
        <f t="shared" si="35"/>
        <v>-1</v>
      </c>
      <c r="O61" s="11"/>
      <c r="P61" s="6">
        <v>80</v>
      </c>
      <c r="Q61" s="2"/>
      <c r="R61" s="7">
        <f t="shared" si="36"/>
        <v>0</v>
      </c>
      <c r="S61" s="2"/>
      <c r="T61" s="6">
        <v>750</v>
      </c>
      <c r="U61" s="2"/>
      <c r="V61" s="7">
        <f t="shared" si="37"/>
        <v>0</v>
      </c>
      <c r="W61" s="2"/>
      <c r="X61" s="6">
        <f t="shared" si="38"/>
        <v>-670</v>
      </c>
      <c r="Y61" s="2"/>
      <c r="Z61" s="7">
        <f t="shared" si="39"/>
        <v>-0.89333333333333331</v>
      </c>
    </row>
    <row r="62" spans="1:26" s="59" customFormat="1" x14ac:dyDescent="0.25">
      <c r="A62" s="36"/>
      <c r="B62" s="36"/>
      <c r="C62" s="36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9" t="s">
        <v>0</v>
      </c>
      <c r="C63" s="10"/>
      <c r="D63" s="4">
        <f>SUM(0)</f>
        <v>0</v>
      </c>
      <c r="E63" s="4"/>
      <c r="F63" s="12">
        <f>IF(D$12=0,0,D63/D$12)</f>
        <v>0</v>
      </c>
      <c r="G63" s="4"/>
      <c r="H63" s="4">
        <f>SUM(0)</f>
        <v>0</v>
      </c>
      <c r="I63" s="4"/>
      <c r="J63" s="12">
        <f>IF(H$12=0,0,H63/H$12)</f>
        <v>0</v>
      </c>
      <c r="K63" s="4"/>
      <c r="L63" s="4">
        <f>+D63-H63</f>
        <v>0</v>
      </c>
      <c r="M63" s="4"/>
      <c r="N63" s="12">
        <f>IF(H63=0,0,L63/H63)</f>
        <v>0</v>
      </c>
      <c r="O63" s="10"/>
      <c r="P63" s="4">
        <f>SUM(0)</f>
        <v>0</v>
      </c>
      <c r="Q63" s="4"/>
      <c r="R63" s="12">
        <f>IF(P$12=0,0,P63/P$12)</f>
        <v>0</v>
      </c>
      <c r="S63" s="4"/>
      <c r="T63" s="4">
        <f>SUM(0)</f>
        <v>0</v>
      </c>
      <c r="U63" s="4"/>
      <c r="V63" s="12">
        <f>IF(T$12=0,0,T63/T$12)</f>
        <v>0</v>
      </c>
      <c r="W63" s="4"/>
      <c r="X63" s="4">
        <f>+P63-T63</f>
        <v>0</v>
      </c>
      <c r="Y63" s="4"/>
      <c r="Z63" s="12">
        <f>IF(T63=0,0,X63/T63)</f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8" t="s">
        <v>3</v>
      </c>
      <c r="C65" s="28"/>
      <c r="D65" s="20">
        <f>+D16-D18+D63</f>
        <v>-26699.5</v>
      </c>
      <c r="E65" s="14"/>
      <c r="F65" s="22">
        <f>IF(D$12=0,0,D65/D$12)</f>
        <v>0</v>
      </c>
      <c r="G65" s="14"/>
      <c r="H65" s="20">
        <f>+H16-H18+H63</f>
        <v>-25944.554467635997</v>
      </c>
      <c r="I65" s="14"/>
      <c r="J65" s="22">
        <f>IF(H$12=0,0,H65/H$12)</f>
        <v>0</v>
      </c>
      <c r="K65" s="16"/>
      <c r="L65" s="20">
        <f>+D65-H65</f>
        <v>-754.94553236400316</v>
      </c>
      <c r="M65" s="16"/>
      <c r="N65" s="22">
        <f>IF(H65=0,0,L65/H65)</f>
        <v>2.9098419604998208E-2</v>
      </c>
      <c r="O65" s="29"/>
      <c r="P65" s="20">
        <f>+P16-P18+P63</f>
        <v>-212465.28</v>
      </c>
      <c r="Q65" s="14"/>
      <c r="R65" s="22">
        <f>IF(P$12=0,0,P65/P$12)</f>
        <v>0</v>
      </c>
      <c r="S65" s="14"/>
      <c r="T65" s="20">
        <f>+T16-T18+T63</f>
        <v>-224283.10937449799</v>
      </c>
      <c r="U65" s="14"/>
      <c r="V65" s="22">
        <f>IF(T$12=0,0,T65/T$12)</f>
        <v>0</v>
      </c>
      <c r="W65" s="16"/>
      <c r="X65" s="20">
        <f>+P65-T65</f>
        <v>11817.829374497989</v>
      </c>
      <c r="Y65" s="16"/>
      <c r="Z65" s="22">
        <f>IF(T65=0,0,X65/T65)</f>
        <v>-5.2691570967856975E-2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2"/>
      <c r="B67" s="10" t="s">
        <v>14</v>
      </c>
      <c r="C67" s="10"/>
      <c r="D67" s="4"/>
      <c r="E67" s="4"/>
      <c r="F67" s="12">
        <f>IF(D$12=0,0,D67/D$12)</f>
        <v>0</v>
      </c>
      <c r="G67" s="4"/>
      <c r="H67" s="4"/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/>
      <c r="Q67" s="4"/>
      <c r="R67" s="12">
        <f>IF(P$12=0,0,P67/P$12)</f>
        <v>0</v>
      </c>
      <c r="S67" s="4"/>
      <c r="T67" s="4"/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8" t="s">
        <v>4</v>
      </c>
      <c r="C69" s="28"/>
      <c r="D69" s="30">
        <f>+D65-D67</f>
        <v>-26699.5</v>
      </c>
      <c r="E69" s="14"/>
      <c r="F69" s="32">
        <f>IF(D$12=0,0,D69/D$12)</f>
        <v>0</v>
      </c>
      <c r="G69" s="14"/>
      <c r="H69" s="30">
        <f>+H65-H67</f>
        <v>-25944.554467635997</v>
      </c>
      <c r="I69" s="14"/>
      <c r="J69" s="32">
        <f>IF(H$12=0,0,H69/H$12)</f>
        <v>0</v>
      </c>
      <c r="K69" s="16"/>
      <c r="L69" s="30">
        <f>D69-H69</f>
        <v>-754.94553236400316</v>
      </c>
      <c r="M69" s="16"/>
      <c r="N69" s="32">
        <f>IF(H69=0,0,L69/H69)</f>
        <v>2.9098419604998208E-2</v>
      </c>
      <c r="O69" s="29"/>
      <c r="P69" s="30">
        <f>+P65-P67</f>
        <v>-212465.28</v>
      </c>
      <c r="Q69" s="14"/>
      <c r="R69" s="32">
        <f>IF(P$12=0,0,P69/P$12)</f>
        <v>0</v>
      </c>
      <c r="S69" s="14"/>
      <c r="T69" s="30">
        <f>+T65-T67</f>
        <v>-224283.10937449799</v>
      </c>
      <c r="U69" s="14"/>
      <c r="V69" s="32">
        <f>IF(T$12=0,0,T69/T$12)</f>
        <v>0</v>
      </c>
      <c r="W69" s="16"/>
      <c r="X69" s="30">
        <f>P69-T69</f>
        <v>11817.829374497989</v>
      </c>
      <c r="Y69" s="16"/>
      <c r="Z69" s="32">
        <f>IF(T69=0,0,X69/T69)</f>
        <v>-5.2691570967856975E-2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8" t="s">
        <v>5</v>
      </c>
      <c r="C72" s="28"/>
      <c r="D72" s="31">
        <f>SUM(D69:D71)</f>
        <v>-26699.5</v>
      </c>
      <c r="E72" s="14"/>
      <c r="F72" s="35">
        <f>IF(D$12=0,0,D72/D$12)</f>
        <v>0</v>
      </c>
      <c r="G72" s="14"/>
      <c r="H72" s="31">
        <f>SUM(H69:H71)</f>
        <v>-25944.554467635997</v>
      </c>
      <c r="I72" s="14"/>
      <c r="J72" s="35">
        <f>IF(H$12=0,0,H72/H$12)</f>
        <v>0</v>
      </c>
      <c r="K72" s="16"/>
      <c r="L72" s="31">
        <f>+D72-H72</f>
        <v>-754.94553236400316</v>
      </c>
      <c r="M72" s="16"/>
      <c r="N72" s="35">
        <f>IF(H72=0,0,L72/H72)</f>
        <v>2.9098419604998208E-2</v>
      </c>
      <c r="O72" s="29"/>
      <c r="P72" s="31">
        <f>SUM(P69:P71)</f>
        <v>-212465.28</v>
      </c>
      <c r="Q72" s="14"/>
      <c r="R72" s="35">
        <f>IF(P$12=0,0,P72/P$12)</f>
        <v>0</v>
      </c>
      <c r="S72" s="14"/>
      <c r="T72" s="31">
        <f>SUM(T69:T71)</f>
        <v>-224283.10937449799</v>
      </c>
      <c r="U72" s="14"/>
      <c r="V72" s="35">
        <f>IF(T$12=0,0,T72/T$12)</f>
        <v>0</v>
      </c>
      <c r="W72" s="16"/>
      <c r="X72" s="31">
        <f>+P72-T72</f>
        <v>11817.829374497989</v>
      </c>
      <c r="Y72" s="16"/>
      <c r="Z72" s="35">
        <f>IF(T72=0,0,X72/T72)</f>
        <v>-5.2691570967856975E-2</v>
      </c>
    </row>
    <row r="73" spans="1:26" ht="15.75" thickTop="1" x14ac:dyDescent="0.25">
      <c r="A73" s="9"/>
      <c r="C73" s="9"/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6">
        <v>43815.483643865744</v>
      </c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A75" s="9"/>
      <c r="B75" s="62" t="s">
        <v>314</v>
      </c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58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306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65247.899999999987</v>
      </c>
      <c r="E12" s="4"/>
      <c r="F12" s="12"/>
      <c r="G12" s="4"/>
      <c r="H12" s="4">
        <f>SUM(OSRRefH13x_0)</f>
        <v>69049</v>
      </c>
      <c r="I12" s="4"/>
      <c r="J12" s="12"/>
      <c r="K12" s="4"/>
      <c r="L12" s="4">
        <f t="shared" ref="L12:L48" si="0">+D12-H12</f>
        <v>-3801.1000000000131</v>
      </c>
      <c r="M12" s="4"/>
      <c r="N12" s="12">
        <f t="shared" ref="N12:N48" si="1">IF(H12=0,0,L12/H12)</f>
        <v>-5.5049312806847502E-2</v>
      </c>
      <c r="O12" s="10"/>
      <c r="P12" s="4">
        <f>SUM(OSRRefP13x_0)</f>
        <v>471780.86000000004</v>
      </c>
      <c r="Q12" s="4"/>
      <c r="R12" s="12"/>
      <c r="S12" s="4"/>
      <c r="T12" s="4">
        <f>SUM(OSRRefT13x_0)</f>
        <v>511857</v>
      </c>
      <c r="U12" s="4"/>
      <c r="V12" s="12"/>
      <c r="W12" s="4"/>
      <c r="X12" s="4">
        <f t="shared" ref="X12:X48" si="2">+P12-T12</f>
        <v>-40076.139999999956</v>
      </c>
      <c r="Y12" s="4"/>
      <c r="Z12" s="12">
        <f t="shared" ref="Z12:Z48" si="3">IF(T12=0,0,X12/T12)</f>
        <v>-7.8295578647942607E-2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53571</v>
      </c>
      <c r="I13" s="2"/>
      <c r="J13" s="19"/>
      <c r="K13" s="2"/>
      <c r="L13" s="2">
        <f t="shared" si="0"/>
        <v>-53571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432661</v>
      </c>
      <c r="U13" s="2"/>
      <c r="V13" s="19"/>
      <c r="W13" s="2"/>
      <c r="X13" s="2">
        <f t="shared" si="2"/>
        <v>-432661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--5.49</f>
        <v>5.49</v>
      </c>
      <c r="E14" s="2"/>
      <c r="F14" s="19"/>
      <c r="G14" s="2"/>
      <c r="H14" s="2"/>
      <c r="I14" s="2"/>
      <c r="J14" s="19"/>
      <c r="K14" s="2"/>
      <c r="L14" s="2">
        <f t="shared" si="0"/>
        <v>5.49</v>
      </c>
      <c r="M14" s="2"/>
      <c r="N14" s="19">
        <f t="shared" si="1"/>
        <v>0</v>
      </c>
      <c r="O14" s="11"/>
      <c r="P14" s="2">
        <f>--231.16</f>
        <v>231.16</v>
      </c>
      <c r="Q14" s="2"/>
      <c r="R14" s="19"/>
      <c r="S14" s="2"/>
      <c r="T14" s="2"/>
      <c r="U14" s="2"/>
      <c r="V14" s="19"/>
      <c r="W14" s="2"/>
      <c r="X14" s="2">
        <f t="shared" si="2"/>
        <v>231.16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>--3.98</f>
        <v>3.98</v>
      </c>
      <c r="E15" s="2"/>
      <c r="F15" s="19"/>
      <c r="G15" s="2"/>
      <c r="H15" s="2"/>
      <c r="I15" s="2"/>
      <c r="J15" s="19"/>
      <c r="K15" s="2"/>
      <c r="L15" s="2">
        <f t="shared" si="0"/>
        <v>3.98</v>
      </c>
      <c r="M15" s="2"/>
      <c r="N15" s="19">
        <f t="shared" si="1"/>
        <v>0</v>
      </c>
      <c r="O15" s="11"/>
      <c r="P15" s="2">
        <f>--33.88</f>
        <v>33.880000000000003</v>
      </c>
      <c r="Q15" s="2"/>
      <c r="R15" s="19"/>
      <c r="S15" s="2"/>
      <c r="T15" s="2"/>
      <c r="U15" s="2"/>
      <c r="V15" s="19"/>
      <c r="W15" s="2"/>
      <c r="X15" s="2">
        <f t="shared" si="2"/>
        <v>33.880000000000003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--3212.68</f>
        <v>3212.68</v>
      </c>
      <c r="E16" s="2"/>
      <c r="F16" s="19"/>
      <c r="G16" s="2"/>
      <c r="H16" s="2"/>
      <c r="I16" s="2"/>
      <c r="J16" s="19"/>
      <c r="K16" s="2"/>
      <c r="L16" s="2">
        <f t="shared" si="0"/>
        <v>3212.68</v>
      </c>
      <c r="M16" s="2"/>
      <c r="N16" s="19">
        <f t="shared" si="1"/>
        <v>0</v>
      </c>
      <c r="O16" s="11"/>
      <c r="P16" s="2">
        <f>--29544.72</f>
        <v>29544.720000000001</v>
      </c>
      <c r="Q16" s="2"/>
      <c r="R16" s="19"/>
      <c r="S16" s="2"/>
      <c r="T16" s="2"/>
      <c r="U16" s="2"/>
      <c r="V16" s="19"/>
      <c r="W16" s="2"/>
      <c r="X16" s="2">
        <f t="shared" si="2"/>
        <v>29544.720000000001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--6586.5</f>
        <v>6586.5</v>
      </c>
      <c r="E17" s="2"/>
      <c r="F17" s="19"/>
      <c r="G17" s="2"/>
      <c r="H17" s="2"/>
      <c r="I17" s="2"/>
      <c r="J17" s="19"/>
      <c r="K17" s="2"/>
      <c r="L17" s="2">
        <f t="shared" si="0"/>
        <v>6586.5</v>
      </c>
      <c r="M17" s="2"/>
      <c r="N17" s="19">
        <f t="shared" si="1"/>
        <v>0</v>
      </c>
      <c r="O17" s="11"/>
      <c r="P17" s="2">
        <f>--43550.76</f>
        <v>43550.76</v>
      </c>
      <c r="Q17" s="2"/>
      <c r="R17" s="19"/>
      <c r="S17" s="2"/>
      <c r="T17" s="2"/>
      <c r="U17" s="2"/>
      <c r="V17" s="19"/>
      <c r="W17" s="2"/>
      <c r="X17" s="2">
        <f t="shared" si="2"/>
        <v>43550.76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--10515.54</f>
        <v>10515.54</v>
      </c>
      <c r="E18" s="2"/>
      <c r="F18" s="19"/>
      <c r="G18" s="2"/>
      <c r="H18" s="2"/>
      <c r="I18" s="2"/>
      <c r="J18" s="19"/>
      <c r="K18" s="2"/>
      <c r="L18" s="2">
        <f t="shared" si="0"/>
        <v>10515.54</v>
      </c>
      <c r="M18" s="2"/>
      <c r="N18" s="19">
        <f t="shared" si="1"/>
        <v>0</v>
      </c>
      <c r="O18" s="11"/>
      <c r="P18" s="2">
        <f>--154741.17</f>
        <v>154741.17000000001</v>
      </c>
      <c r="Q18" s="2"/>
      <c r="R18" s="19"/>
      <c r="S18" s="2"/>
      <c r="T18" s="2"/>
      <c r="U18" s="2"/>
      <c r="V18" s="19"/>
      <c r="W18" s="2"/>
      <c r="X18" s="2">
        <f t="shared" si="2"/>
        <v>154741.17000000001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--29388.04</f>
        <v>29388.04</v>
      </c>
      <c r="E19" s="2"/>
      <c r="F19" s="19"/>
      <c r="G19" s="2"/>
      <c r="H19" s="2"/>
      <c r="I19" s="2"/>
      <c r="J19" s="19"/>
      <c r="K19" s="2"/>
      <c r="L19" s="2">
        <f t="shared" si="0"/>
        <v>29388.04</v>
      </c>
      <c r="M19" s="2"/>
      <c r="N19" s="19">
        <f t="shared" si="1"/>
        <v>0</v>
      </c>
      <c r="O19" s="11"/>
      <c r="P19" s="2">
        <f>--175952.71</f>
        <v>175952.71</v>
      </c>
      <c r="Q19" s="2"/>
      <c r="R19" s="19"/>
      <c r="S19" s="2"/>
      <c r="T19" s="2"/>
      <c r="U19" s="2"/>
      <c r="V19" s="19"/>
      <c r="W19" s="2"/>
      <c r="X19" s="2">
        <f t="shared" si="2"/>
        <v>175952.71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>--58.77</f>
        <v>58.77</v>
      </c>
      <c r="E20" s="2"/>
      <c r="F20" s="19"/>
      <c r="G20" s="2"/>
      <c r="H20" s="2"/>
      <c r="I20" s="2"/>
      <c r="J20" s="19"/>
      <c r="K20" s="2"/>
      <c r="L20" s="2">
        <f t="shared" si="0"/>
        <v>58.77</v>
      </c>
      <c r="M20" s="2"/>
      <c r="N20" s="19">
        <f t="shared" si="1"/>
        <v>0</v>
      </c>
      <c r="O20" s="11"/>
      <c r="P20" s="2">
        <f>--280.05</f>
        <v>280.05</v>
      </c>
      <c r="Q20" s="2"/>
      <c r="R20" s="19"/>
      <c r="S20" s="2"/>
      <c r="T20" s="2"/>
      <c r="U20" s="2"/>
      <c r="V20" s="19"/>
      <c r="W20" s="2"/>
      <c r="X20" s="2">
        <f t="shared" si="2"/>
        <v>280.05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>--609.66</f>
        <v>609.66</v>
      </c>
      <c r="E21" s="2"/>
      <c r="F21" s="19"/>
      <c r="G21" s="2"/>
      <c r="H21" s="2"/>
      <c r="I21" s="2"/>
      <c r="J21" s="19"/>
      <c r="K21" s="2"/>
      <c r="L21" s="2">
        <f t="shared" si="0"/>
        <v>609.66</v>
      </c>
      <c r="M21" s="2"/>
      <c r="N21" s="19">
        <f t="shared" si="1"/>
        <v>0</v>
      </c>
      <c r="O21" s="11"/>
      <c r="P21" s="2">
        <f>--663.08</f>
        <v>663.08</v>
      </c>
      <c r="Q21" s="2"/>
      <c r="R21" s="19"/>
      <c r="S21" s="2"/>
      <c r="T21" s="2"/>
      <c r="U21" s="2"/>
      <c r="V21" s="19"/>
      <c r="W21" s="2"/>
      <c r="X21" s="2">
        <f t="shared" si="2"/>
        <v>663.08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>--23.21</f>
        <v>23.21</v>
      </c>
      <c r="E22" s="2"/>
      <c r="F22" s="19"/>
      <c r="G22" s="2"/>
      <c r="H22" s="2"/>
      <c r="I22" s="2"/>
      <c r="J22" s="19"/>
      <c r="K22" s="2"/>
      <c r="L22" s="2">
        <f t="shared" si="0"/>
        <v>23.21</v>
      </c>
      <c r="M22" s="2"/>
      <c r="N22" s="19">
        <f t="shared" si="1"/>
        <v>0</v>
      </c>
      <c r="O22" s="11"/>
      <c r="P22" s="2">
        <f>--108.61</f>
        <v>108.61</v>
      </c>
      <c r="Q22" s="2"/>
      <c r="R22" s="19"/>
      <c r="S22" s="2"/>
      <c r="T22" s="2"/>
      <c r="U22" s="2"/>
      <c r="V22" s="19"/>
      <c r="W22" s="2"/>
      <c r="X22" s="2">
        <f t="shared" si="2"/>
        <v>108.61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>--1010.01</f>
        <v>1010.01</v>
      </c>
      <c r="E23" s="2"/>
      <c r="F23" s="19"/>
      <c r="G23" s="2"/>
      <c r="H23" s="2"/>
      <c r="I23" s="2"/>
      <c r="J23" s="19"/>
      <c r="K23" s="2"/>
      <c r="L23" s="2">
        <f t="shared" si="0"/>
        <v>1010.01</v>
      </c>
      <c r="M23" s="2"/>
      <c r="N23" s="19">
        <f t="shared" si="1"/>
        <v>0</v>
      </c>
      <c r="O23" s="11"/>
      <c r="P23" s="2">
        <f>--4724.25</f>
        <v>4724.25</v>
      </c>
      <c r="Q23" s="2"/>
      <c r="R23" s="19"/>
      <c r="S23" s="2"/>
      <c r="T23" s="2"/>
      <c r="U23" s="2"/>
      <c r="V23" s="19"/>
      <c r="W23" s="2"/>
      <c r="X23" s="2">
        <f t="shared" si="2"/>
        <v>4724.25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>--269.24</f>
        <v>269.24</v>
      </c>
      <c r="E24" s="2"/>
      <c r="F24" s="19"/>
      <c r="G24" s="2"/>
      <c r="H24" s="2"/>
      <c r="I24" s="2"/>
      <c r="J24" s="19"/>
      <c r="K24" s="2"/>
      <c r="L24" s="2">
        <f t="shared" si="0"/>
        <v>269.24</v>
      </c>
      <c r="M24" s="2"/>
      <c r="N24" s="19">
        <f t="shared" si="1"/>
        <v>0</v>
      </c>
      <c r="O24" s="11"/>
      <c r="P24" s="2">
        <f>--1133.6</f>
        <v>1133.5999999999999</v>
      </c>
      <c r="Q24" s="2"/>
      <c r="R24" s="19"/>
      <c r="S24" s="2"/>
      <c r="T24" s="2"/>
      <c r="U24" s="2"/>
      <c r="V24" s="19"/>
      <c r="W24" s="2"/>
      <c r="X24" s="2">
        <f t="shared" si="2"/>
        <v>1133.5999999999999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>--74.6</f>
        <v>74.599999999999994</v>
      </c>
      <c r="E25" s="2"/>
      <c r="F25" s="19"/>
      <c r="G25" s="2"/>
      <c r="H25" s="2"/>
      <c r="I25" s="2"/>
      <c r="J25" s="19"/>
      <c r="K25" s="2"/>
      <c r="L25" s="2">
        <f t="shared" si="0"/>
        <v>74.599999999999994</v>
      </c>
      <c r="M25" s="2"/>
      <c r="N25" s="19">
        <f t="shared" si="1"/>
        <v>0</v>
      </c>
      <c r="O25" s="11"/>
      <c r="P25" s="2">
        <f>--377.17</f>
        <v>377.17</v>
      </c>
      <c r="Q25" s="2"/>
      <c r="R25" s="19"/>
      <c r="S25" s="2"/>
      <c r="T25" s="2"/>
      <c r="U25" s="2"/>
      <c r="V25" s="19"/>
      <c r="W25" s="2"/>
      <c r="X25" s="2">
        <f t="shared" si="2"/>
        <v>377.17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"4081", " - ", "TAXABLE SALES-ELECTRONICS")</f>
        <v xml:space="preserve">          4081 - TAXABLE SALES-ELECTRONICS</v>
      </c>
      <c r="C26" s="11"/>
      <c r="D26" s="2">
        <f>--430.76</f>
        <v>430.76</v>
      </c>
      <c r="E26" s="2"/>
      <c r="F26" s="19"/>
      <c r="G26" s="2"/>
      <c r="H26" s="2"/>
      <c r="I26" s="2"/>
      <c r="J26" s="19"/>
      <c r="K26" s="2"/>
      <c r="L26" s="2">
        <f t="shared" si="0"/>
        <v>430.76</v>
      </c>
      <c r="M26" s="2"/>
      <c r="N26" s="19">
        <f t="shared" si="1"/>
        <v>0</v>
      </c>
      <c r="O26" s="11"/>
      <c r="P26" s="2">
        <f>--2223.67</f>
        <v>2223.67</v>
      </c>
      <c r="Q26" s="2"/>
      <c r="R26" s="19"/>
      <c r="S26" s="2"/>
      <c r="T26" s="2"/>
      <c r="U26" s="2"/>
      <c r="V26" s="19"/>
      <c r="W26" s="2"/>
      <c r="X26" s="2">
        <f t="shared" si="2"/>
        <v>2223.67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"4082", " - ", "TAXABLE SALES-COMPUTER HARDWAR")</f>
        <v xml:space="preserve">          4082 - TAXABLE SALES-COMPUTER HARDWAR</v>
      </c>
      <c r="C27" s="11"/>
      <c r="D27" s="2">
        <f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--162</f>
        <v>162</v>
      </c>
      <c r="Q27" s="2"/>
      <c r="R27" s="19"/>
      <c r="S27" s="2"/>
      <c r="T27" s="2"/>
      <c r="U27" s="2"/>
      <c r="V27" s="19"/>
      <c r="W27" s="2"/>
      <c r="X27" s="2">
        <f t="shared" si="2"/>
        <v>162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"4083", " - ", "TAXABLE SALES-COMPUTER EQUIPME")</f>
        <v xml:space="preserve">          4083 - TAXABLE SALES-COMPUTER EQUIPME</v>
      </c>
      <c r="C28" s="11"/>
      <c r="D28" s="2">
        <f>--139.91</f>
        <v>139.91</v>
      </c>
      <c r="E28" s="2"/>
      <c r="F28" s="19"/>
      <c r="G28" s="2"/>
      <c r="H28" s="2"/>
      <c r="I28" s="2"/>
      <c r="J28" s="19"/>
      <c r="K28" s="2"/>
      <c r="L28" s="2">
        <f t="shared" si="0"/>
        <v>139.91</v>
      </c>
      <c r="M28" s="2"/>
      <c r="N28" s="19">
        <f t="shared" si="1"/>
        <v>0</v>
      </c>
      <c r="O28" s="11"/>
      <c r="P28" s="2">
        <f>--569.6</f>
        <v>569.6</v>
      </c>
      <c r="Q28" s="2"/>
      <c r="R28" s="19"/>
      <c r="S28" s="2"/>
      <c r="T28" s="2"/>
      <c r="U28" s="2"/>
      <c r="V28" s="19"/>
      <c r="W28" s="2"/>
      <c r="X28" s="2">
        <f t="shared" si="2"/>
        <v>569.6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"4086", " - ", "TAXABLE SALES-COMPUTER SUPPLIE")</f>
        <v xml:space="preserve">          4086 - TAXABLE SALES-COMPUTER SUPPLIE</v>
      </c>
      <c r="C29" s="11"/>
      <c r="D29" s="2">
        <f>--105</f>
        <v>105</v>
      </c>
      <c r="E29" s="2"/>
      <c r="F29" s="19"/>
      <c r="G29" s="2"/>
      <c r="H29" s="2"/>
      <c r="I29" s="2"/>
      <c r="J29" s="19"/>
      <c r="K29" s="2"/>
      <c r="L29" s="2">
        <f t="shared" si="0"/>
        <v>105</v>
      </c>
      <c r="M29" s="2"/>
      <c r="N29" s="19">
        <f t="shared" si="1"/>
        <v>0</v>
      </c>
      <c r="O29" s="11"/>
      <c r="P29" s="2">
        <f>--639.79</f>
        <v>639.79</v>
      </c>
      <c r="Q29" s="2"/>
      <c r="R29" s="19"/>
      <c r="S29" s="2"/>
      <c r="T29" s="2"/>
      <c r="U29" s="2"/>
      <c r="V29" s="19"/>
      <c r="W29" s="2"/>
      <c r="X29" s="2">
        <f t="shared" si="2"/>
        <v>639.79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"4100", " - ", "NON-TAXABLE SALES")</f>
        <v xml:space="preserve">          4100 - NON-TAXABLE SALES</v>
      </c>
      <c r="C30" s="11"/>
      <c r="D30" s="2">
        <f t="shared" ref="D30:D31" si="4">0</f>
        <v>0</v>
      </c>
      <c r="E30" s="2"/>
      <c r="F30" s="19"/>
      <c r="G30" s="2"/>
      <c r="H30" s="2">
        <v>15478</v>
      </c>
      <c r="I30" s="2"/>
      <c r="J30" s="19"/>
      <c r="K30" s="2"/>
      <c r="L30" s="2">
        <f t="shared" si="0"/>
        <v>-15478</v>
      </c>
      <c r="M30" s="2"/>
      <c r="N30" s="19">
        <f t="shared" si="1"/>
        <v>-1</v>
      </c>
      <c r="O30" s="11"/>
      <c r="P30" s="2">
        <f>0</f>
        <v>0</v>
      </c>
      <c r="Q30" s="2"/>
      <c r="R30" s="19"/>
      <c r="S30" s="2"/>
      <c r="T30" s="2">
        <v>79196</v>
      </c>
      <c r="U30" s="2"/>
      <c r="V30" s="19"/>
      <c r="W30" s="2"/>
      <c r="X30" s="2">
        <f t="shared" si="2"/>
        <v>-79196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"4125", " - ", "NON-TAXABLE SALES-TEST FORMS")</f>
        <v xml:space="preserve">          4125 - NON-TAXABLE SALES-TEST FORMS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--124.18</f>
        <v>124.18</v>
      </c>
      <c r="Q31" s="2"/>
      <c r="R31" s="19"/>
      <c r="S31" s="2"/>
      <c r="T31" s="2"/>
      <c r="U31" s="2"/>
      <c r="V31" s="19"/>
      <c r="W31" s="2"/>
      <c r="X31" s="2">
        <f t="shared" si="2"/>
        <v>124.18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"4126", " - ", "NON-TAXABLE SALES-WRITING INST")</f>
        <v xml:space="preserve">          4126 - NON-TAXABLE SALES-WRITING INST</v>
      </c>
      <c r="C32" s="11"/>
      <c r="D32" s="2">
        <f>--11.85</f>
        <v>11.85</v>
      </c>
      <c r="E32" s="2"/>
      <c r="F32" s="19"/>
      <c r="G32" s="2"/>
      <c r="H32" s="2"/>
      <c r="I32" s="2"/>
      <c r="J32" s="19"/>
      <c r="K32" s="2"/>
      <c r="L32" s="2">
        <f t="shared" si="0"/>
        <v>11.85</v>
      </c>
      <c r="M32" s="2"/>
      <c r="N32" s="19">
        <f t="shared" si="1"/>
        <v>0</v>
      </c>
      <c r="O32" s="11"/>
      <c r="P32" s="2">
        <f>--1470.38</f>
        <v>1470.38</v>
      </c>
      <c r="Q32" s="2"/>
      <c r="R32" s="19"/>
      <c r="S32" s="2"/>
      <c r="T32" s="2"/>
      <c r="U32" s="2"/>
      <c r="V32" s="19"/>
      <c r="W32" s="2"/>
      <c r="X32" s="2">
        <f t="shared" si="2"/>
        <v>1470.38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"4127", " - ", "NON-TAXABLE SALES-SCHOOL SUPPL")</f>
        <v xml:space="preserve">          4127 - NON-TAXABLE SALES-SCHOOL SUPPL</v>
      </c>
      <c r="C33" s="11"/>
      <c r="D33" s="2">
        <f>--6.28</f>
        <v>6.28</v>
      </c>
      <c r="E33" s="2"/>
      <c r="F33" s="19"/>
      <c r="G33" s="2"/>
      <c r="H33" s="2"/>
      <c r="I33" s="2"/>
      <c r="J33" s="19"/>
      <c r="K33" s="2"/>
      <c r="L33" s="2">
        <f t="shared" si="0"/>
        <v>6.28</v>
      </c>
      <c r="M33" s="2"/>
      <c r="N33" s="19">
        <f t="shared" si="1"/>
        <v>0</v>
      </c>
      <c r="O33" s="11"/>
      <c r="P33" s="2">
        <f>--2603.4</f>
        <v>2603.4</v>
      </c>
      <c r="Q33" s="2"/>
      <c r="R33" s="19"/>
      <c r="S33" s="2"/>
      <c r="T33" s="2"/>
      <c r="U33" s="2"/>
      <c r="V33" s="19"/>
      <c r="W33" s="2"/>
      <c r="X33" s="2">
        <f t="shared" si="2"/>
        <v>2603.4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"4128", " - ", "NON-TAXABLE SALES-ART/TECH")</f>
        <v xml:space="preserve">          4128 - NON-TAXABLE SALES-ART/TECH</v>
      </c>
      <c r="C34" s="11"/>
      <c r="D34" s="2">
        <f>0</f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--348.72</f>
        <v>348.72</v>
      </c>
      <c r="Q34" s="2"/>
      <c r="R34" s="19"/>
      <c r="S34" s="2"/>
      <c r="T34" s="2"/>
      <c r="U34" s="2"/>
      <c r="V34" s="19"/>
      <c r="W34" s="2"/>
      <c r="X34" s="2">
        <f t="shared" si="2"/>
        <v>348.72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"4131", " - ", "NON-TAXABLE SALES-FOOD")</f>
        <v xml:space="preserve">          4131 - NON-TAXABLE SALES-FOOD</v>
      </c>
      <c r="C35" s="11"/>
      <c r="D35" s="2">
        <f>--8305.09</f>
        <v>8305.09</v>
      </c>
      <c r="E35" s="2"/>
      <c r="F35" s="19"/>
      <c r="G35" s="2"/>
      <c r="H35" s="2"/>
      <c r="I35" s="2"/>
      <c r="J35" s="19"/>
      <c r="K35" s="2"/>
      <c r="L35" s="2">
        <f t="shared" si="0"/>
        <v>8305.09</v>
      </c>
      <c r="M35" s="2"/>
      <c r="N35" s="19">
        <f t="shared" si="1"/>
        <v>0</v>
      </c>
      <c r="O35" s="11"/>
      <c r="P35" s="2">
        <f>--35027.51</f>
        <v>35027.51</v>
      </c>
      <c r="Q35" s="2"/>
      <c r="R35" s="19"/>
      <c r="S35" s="2"/>
      <c r="T35" s="2"/>
      <c r="U35" s="2"/>
      <c r="V35" s="19"/>
      <c r="W35" s="2"/>
      <c r="X35" s="2">
        <f t="shared" si="2"/>
        <v>35027.51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"4132", " - ", "NON-TAXABLE SALES-JUICE")</f>
        <v xml:space="preserve">          4132 - NON-TAXABLE SALES-JUICE</v>
      </c>
      <c r="C36" s="11"/>
      <c r="D36" s="2">
        <f>--2505.59</f>
        <v>2505.59</v>
      </c>
      <c r="E36" s="2"/>
      <c r="F36" s="19"/>
      <c r="G36" s="2"/>
      <c r="H36" s="2"/>
      <c r="I36" s="2"/>
      <c r="J36" s="19"/>
      <c r="K36" s="2"/>
      <c r="L36" s="2">
        <f t="shared" si="0"/>
        <v>2505.59</v>
      </c>
      <c r="M36" s="2"/>
      <c r="N36" s="19">
        <f t="shared" si="1"/>
        <v>0</v>
      </c>
      <c r="O36" s="11"/>
      <c r="P36" s="2">
        <f>--10274.39</f>
        <v>10274.39</v>
      </c>
      <c r="Q36" s="2"/>
      <c r="R36" s="19"/>
      <c r="S36" s="2"/>
      <c r="T36" s="2"/>
      <c r="U36" s="2"/>
      <c r="V36" s="19"/>
      <c r="W36" s="2"/>
      <c r="X36" s="2">
        <f t="shared" si="2"/>
        <v>10274.39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"4133", " - ", "NON-TAXABLE SALES-CANDY")</f>
        <v xml:space="preserve">          4133 - NON-TAXABLE SALES-CANDY</v>
      </c>
      <c r="C37" s="11"/>
      <c r="D37" s="2">
        <f>--2349.7</f>
        <v>2349.6999999999998</v>
      </c>
      <c r="E37" s="2"/>
      <c r="F37" s="19"/>
      <c r="G37" s="2"/>
      <c r="H37" s="2"/>
      <c r="I37" s="2"/>
      <c r="J37" s="19"/>
      <c r="K37" s="2"/>
      <c r="L37" s="2">
        <f t="shared" si="0"/>
        <v>2349.6999999999998</v>
      </c>
      <c r="M37" s="2"/>
      <c r="N37" s="19">
        <f t="shared" si="1"/>
        <v>0</v>
      </c>
      <c r="O37" s="11"/>
      <c r="P37" s="2">
        <f>--10816.56</f>
        <v>10816.56</v>
      </c>
      <c r="Q37" s="2"/>
      <c r="R37" s="19"/>
      <c r="S37" s="2"/>
      <c r="T37" s="2"/>
      <c r="U37" s="2"/>
      <c r="V37" s="19"/>
      <c r="W37" s="2"/>
      <c r="X37" s="2">
        <f t="shared" si="2"/>
        <v>10816.56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"4135", " - ", "NON-TAXABLE SALES")</f>
        <v xml:space="preserve">          4135 - NON-TAXABLE SALES</v>
      </c>
      <c r="C38" s="11"/>
      <c r="D38" s="2">
        <f>--10.77</f>
        <v>10.77</v>
      </c>
      <c r="E38" s="2"/>
      <c r="F38" s="19"/>
      <c r="G38" s="2"/>
      <c r="H38" s="2"/>
      <c r="I38" s="2"/>
      <c r="J38" s="19"/>
      <c r="K38" s="2"/>
      <c r="L38" s="2">
        <f t="shared" si="0"/>
        <v>10.77</v>
      </c>
      <c r="M38" s="2"/>
      <c r="N38" s="19">
        <f t="shared" si="1"/>
        <v>0</v>
      </c>
      <c r="O38" s="11"/>
      <c r="P38" s="2">
        <f>--114.73</f>
        <v>114.73</v>
      </c>
      <c r="Q38" s="2"/>
      <c r="R38" s="19"/>
      <c r="S38" s="2"/>
      <c r="T38" s="2"/>
      <c r="U38" s="2"/>
      <c r="V38" s="19"/>
      <c r="W38" s="2"/>
      <c r="X38" s="2">
        <f t="shared" si="2"/>
        <v>114.73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"4137", " - ", "NON-TAXABLE SALES-WATER")</f>
        <v xml:space="preserve">          4137 - NON-TAXABLE SALES-WATER</v>
      </c>
      <c r="C39" s="11"/>
      <c r="D39" s="2">
        <f>--1022.54</f>
        <v>1022.54</v>
      </c>
      <c r="E39" s="2"/>
      <c r="F39" s="19"/>
      <c r="G39" s="2"/>
      <c r="H39" s="2"/>
      <c r="I39" s="2"/>
      <c r="J39" s="19"/>
      <c r="K39" s="2"/>
      <c r="L39" s="2">
        <f t="shared" si="0"/>
        <v>1022.54</v>
      </c>
      <c r="M39" s="2"/>
      <c r="N39" s="19">
        <f t="shared" si="1"/>
        <v>0</v>
      </c>
      <c r="O39" s="11"/>
      <c r="P39" s="2">
        <f>--5202.34</f>
        <v>5202.34</v>
      </c>
      <c r="Q39" s="2"/>
      <c r="R39" s="19"/>
      <c r="S39" s="2"/>
      <c r="T39" s="2"/>
      <c r="U39" s="2"/>
      <c r="V39" s="19"/>
      <c r="W39" s="2"/>
      <c r="X39" s="2">
        <f t="shared" si="2"/>
        <v>5202.34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"4186", " - ", "NON-TAXABLE SALES-COMPUTER SUP")</f>
        <v xml:space="preserve">          4186 - NON-TAXABLE SALES-COMPUTER SUP</v>
      </c>
      <c r="C40" s="11"/>
      <c r="D40" s="2">
        <f t="shared" ref="D40:D41" si="5">0</f>
        <v>0</v>
      </c>
      <c r="E40" s="2"/>
      <c r="F40" s="19"/>
      <c r="G40" s="2"/>
      <c r="H40" s="2"/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-30.97</f>
        <v>-30.97</v>
      </c>
      <c r="Q40" s="2"/>
      <c r="R40" s="19"/>
      <c r="S40" s="2"/>
      <c r="T40" s="2"/>
      <c r="U40" s="2"/>
      <c r="V40" s="19"/>
      <c r="W40" s="2"/>
      <c r="X40" s="2">
        <f t="shared" si="2"/>
        <v>-30.97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"4217", " - ", "NON-TAXABLE SALES-DORM/HOUSEWA")</f>
        <v xml:space="preserve">          4217 - NON-TAXABLE SALES-DORM/HOUSEWA</v>
      </c>
      <c r="C41" s="11"/>
      <c r="D41" s="2">
        <f t="shared" si="5"/>
        <v>0</v>
      </c>
      <c r="E41" s="2"/>
      <c r="F41" s="19"/>
      <c r="G41" s="2"/>
      <c r="H41" s="2"/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>-2.98</f>
        <v>-2.98</v>
      </c>
      <c r="Q41" s="2"/>
      <c r="R41" s="19"/>
      <c r="S41" s="2"/>
      <c r="T41" s="2"/>
      <c r="U41" s="2"/>
      <c r="V41" s="19"/>
      <c r="W41" s="2"/>
      <c r="X41" s="2">
        <f t="shared" si="2"/>
        <v>-2.98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"4225", " - ", "SALES RETURN TAXABLE-TEST FORM")</f>
        <v xml:space="preserve">          4225 - SALES RETURN TAXABLE-TEST FORM</v>
      </c>
      <c r="C42" s="11"/>
      <c r="D42" s="2">
        <f>-23.91</f>
        <v>-23.91</v>
      </c>
      <c r="E42" s="2"/>
      <c r="F42" s="19"/>
      <c r="G42" s="2"/>
      <c r="H42" s="2"/>
      <c r="I42" s="2"/>
      <c r="J42" s="19"/>
      <c r="K42" s="2"/>
      <c r="L42" s="2">
        <f t="shared" si="0"/>
        <v>-23.91</v>
      </c>
      <c r="M42" s="2"/>
      <c r="N42" s="19">
        <f t="shared" si="1"/>
        <v>0</v>
      </c>
      <c r="O42" s="11"/>
      <c r="P42" s="2">
        <f>-65.46</f>
        <v>-65.459999999999994</v>
      </c>
      <c r="Q42" s="2"/>
      <c r="R42" s="19"/>
      <c r="S42" s="2"/>
      <c r="T42" s="2"/>
      <c r="U42" s="2"/>
      <c r="V42" s="19"/>
      <c r="W42" s="2"/>
      <c r="X42" s="2">
        <f t="shared" si="2"/>
        <v>-65.459999999999994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"4226", " - ", "SALES RETURN TAXABLE-WRITING I")</f>
        <v xml:space="preserve">          4226 - SALES RETURN TAXABLE-WRITING I</v>
      </c>
      <c r="C43" s="11"/>
      <c r="D43" s="2">
        <f>-13.74</f>
        <v>-13.74</v>
      </c>
      <c r="E43" s="2"/>
      <c r="F43" s="19"/>
      <c r="G43" s="2"/>
      <c r="H43" s="2"/>
      <c r="I43" s="2"/>
      <c r="J43" s="19"/>
      <c r="K43" s="2"/>
      <c r="L43" s="2">
        <f t="shared" si="0"/>
        <v>-13.74</v>
      </c>
      <c r="M43" s="2"/>
      <c r="N43" s="19">
        <f t="shared" si="1"/>
        <v>0</v>
      </c>
      <c r="O43" s="11"/>
      <c r="P43" s="2">
        <f>-354.91</f>
        <v>-354.91</v>
      </c>
      <c r="Q43" s="2"/>
      <c r="R43" s="19"/>
      <c r="S43" s="2"/>
      <c r="T43" s="2"/>
      <c r="U43" s="2"/>
      <c r="V43" s="19"/>
      <c r="W43" s="2"/>
      <c r="X43" s="2">
        <f t="shared" si="2"/>
        <v>-354.91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"4227", " - ", "SALES RETURN TAXABLE-SCHOOL SU")</f>
        <v xml:space="preserve">          4227 - SALES RETURN TAXABLE-SCHOOL SU</v>
      </c>
      <c r="C44" s="11"/>
      <c r="D44" s="2">
        <f>-917.34</f>
        <v>-917.34</v>
      </c>
      <c r="E44" s="2"/>
      <c r="F44" s="19"/>
      <c r="G44" s="2"/>
      <c r="H44" s="2"/>
      <c r="I44" s="2"/>
      <c r="J44" s="19"/>
      <c r="K44" s="2"/>
      <c r="L44" s="2">
        <f t="shared" si="0"/>
        <v>-917.34</v>
      </c>
      <c r="M44" s="2"/>
      <c r="N44" s="19">
        <f t="shared" si="1"/>
        <v>0</v>
      </c>
      <c r="O44" s="11"/>
      <c r="P44" s="2">
        <f>-5743.82</f>
        <v>-5743.82</v>
      </c>
      <c r="Q44" s="2"/>
      <c r="R44" s="19"/>
      <c r="S44" s="2"/>
      <c r="T44" s="2"/>
      <c r="U44" s="2"/>
      <c r="V44" s="19"/>
      <c r="W44" s="2"/>
      <c r="X44" s="2">
        <f t="shared" si="2"/>
        <v>-5743.82</v>
      </c>
      <c r="Y44" s="2"/>
      <c r="Z44" s="19">
        <f t="shared" si="3"/>
        <v>0</v>
      </c>
    </row>
    <row r="45" spans="1:26" s="24" customFormat="1" hidden="1" outlineLevel="1" x14ac:dyDescent="0.25">
      <c r="A45" s="44"/>
      <c r="B45" s="11" t="str">
        <f>CONCATENATE("          ", "4228", " - ", "SALES RETURN TAXABLE-ART/TECH")</f>
        <v xml:space="preserve">          4228 - SALES RETURN TAXABLE-ART/TECH</v>
      </c>
      <c r="C45" s="11"/>
      <c r="D45" s="2">
        <f>-441.03</f>
        <v>-441.03</v>
      </c>
      <c r="E45" s="2"/>
      <c r="F45" s="19"/>
      <c r="G45" s="2"/>
      <c r="H45" s="2"/>
      <c r="I45" s="2"/>
      <c r="J45" s="19"/>
      <c r="K45" s="2"/>
      <c r="L45" s="2">
        <f t="shared" si="0"/>
        <v>-441.03</v>
      </c>
      <c r="M45" s="2"/>
      <c r="N45" s="19">
        <f t="shared" si="1"/>
        <v>0</v>
      </c>
      <c r="O45" s="11"/>
      <c r="P45" s="2">
        <f>-2871.29</f>
        <v>-2871.29</v>
      </c>
      <c r="Q45" s="2"/>
      <c r="R45" s="19"/>
      <c r="S45" s="2"/>
      <c r="T45" s="2"/>
      <c r="U45" s="2"/>
      <c r="V45" s="19"/>
      <c r="W45" s="2"/>
      <c r="X45" s="2">
        <f t="shared" si="2"/>
        <v>-2871.29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"4233", " - ", "SALES RETURN TAXABLE-CANDY")</f>
        <v xml:space="preserve">          4233 - SALES RETURN TAXABLE-CANDY</v>
      </c>
      <c r="C46" s="11"/>
      <c r="D46" s="2">
        <f>-1.29</f>
        <v>-1.29</v>
      </c>
      <c r="E46" s="2"/>
      <c r="F46" s="19"/>
      <c r="G46" s="2"/>
      <c r="H46" s="2"/>
      <c r="I46" s="2"/>
      <c r="J46" s="19"/>
      <c r="K46" s="2"/>
      <c r="L46" s="2">
        <f t="shared" si="0"/>
        <v>-1.29</v>
      </c>
      <c r="M46" s="2"/>
      <c r="N46" s="19">
        <f t="shared" si="1"/>
        <v>0</v>
      </c>
      <c r="O46" s="11"/>
      <c r="P46" s="2">
        <f>-1.29</f>
        <v>-1.29</v>
      </c>
      <c r="Q46" s="2"/>
      <c r="R46" s="19"/>
      <c r="S46" s="2"/>
      <c r="T46" s="2"/>
      <c r="U46" s="2"/>
      <c r="V46" s="19"/>
      <c r="W46" s="2"/>
      <c r="X46" s="2">
        <f t="shared" si="2"/>
        <v>-1.29</v>
      </c>
      <c r="Y46" s="2"/>
      <c r="Z46" s="19">
        <f t="shared" si="3"/>
        <v>0</v>
      </c>
    </row>
    <row r="47" spans="1:26" s="24" customFormat="1" hidden="1" outlineLevel="1" x14ac:dyDescent="0.25">
      <c r="A47" s="44"/>
      <c r="B47" s="11" t="str">
        <f>CONCATENATE("          ", "4281", " - ", "SALES RETURN TAXABLE-ELECTRONI")</f>
        <v xml:space="preserve">          4281 - SALES RETURN TAXABLE-ELECTRONI</v>
      </c>
      <c r="C47" s="11"/>
      <c r="D47" s="2">
        <f t="shared" ref="D47:D48" si="6">0</f>
        <v>0</v>
      </c>
      <c r="E47" s="2"/>
      <c r="F47" s="19"/>
      <c r="G47" s="2"/>
      <c r="H47" s="2"/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>-44.98</f>
        <v>-44.98</v>
      </c>
      <c r="Q47" s="2"/>
      <c r="R47" s="19"/>
      <c r="S47" s="2"/>
      <c r="T47" s="2"/>
      <c r="U47" s="2"/>
      <c r="V47" s="19"/>
      <c r="W47" s="2"/>
      <c r="X47" s="2">
        <f t="shared" si="2"/>
        <v>-44.98</v>
      </c>
      <c r="Y47" s="2"/>
      <c r="Z47" s="19">
        <f t="shared" si="3"/>
        <v>0</v>
      </c>
    </row>
    <row r="48" spans="1:26" s="24" customFormat="1" hidden="1" outlineLevel="1" x14ac:dyDescent="0.25">
      <c r="A48" s="44"/>
      <c r="B48" s="11" t="str">
        <f>CONCATENATE("          ", "4327", " - ", "SALES RETURN NON TAXABLE-SCHOO")</f>
        <v xml:space="preserve">          4327 - SALES RETURN NON TAXABLE-SCHOO</v>
      </c>
      <c r="C48" s="11"/>
      <c r="D48" s="2">
        <f t="shared" si="6"/>
        <v>0</v>
      </c>
      <c r="E48" s="2"/>
      <c r="F48" s="19"/>
      <c r="G48" s="2"/>
      <c r="H48" s="2"/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-21.87</f>
        <v>-21.87</v>
      </c>
      <c r="Q48" s="2"/>
      <c r="R48" s="19"/>
      <c r="S48" s="2"/>
      <c r="T48" s="2"/>
      <c r="U48" s="2"/>
      <c r="V48" s="19"/>
      <c r="W48" s="2"/>
      <c r="X48" s="2">
        <f t="shared" si="2"/>
        <v>-21.87</v>
      </c>
      <c r="Y48" s="2"/>
      <c r="Z48" s="19">
        <f t="shared" si="3"/>
        <v>0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collapsed="1" x14ac:dyDescent="0.25">
      <c r="A50" s="10"/>
      <c r="B50" s="29" t="s">
        <v>8</v>
      </c>
      <c r="C50" s="10"/>
      <c r="D50" s="4">
        <f>SUM(OSRRefD16x_0)</f>
        <v>33976.109999999979</v>
      </c>
      <c r="E50" s="4"/>
      <c r="F50" s="12">
        <f t="shared" ref="F50:F74" si="7">IF(D$12=0,0,D50/D$12)</f>
        <v>0.52072342558151274</v>
      </c>
      <c r="G50" s="4"/>
      <c r="H50" s="4">
        <f>SUM(OSRRefH16x_0)</f>
        <v>32228</v>
      </c>
      <c r="I50" s="4"/>
      <c r="J50" s="12">
        <f t="shared" ref="J50:J74" si="8">IF(H$12=0,0,H50/H$12)</f>
        <v>0.46674101000738605</v>
      </c>
      <c r="K50" s="4"/>
      <c r="L50" s="4">
        <f t="shared" ref="L50:L74" si="9">+D50-H50</f>
        <v>1748.1099999999788</v>
      </c>
      <c r="M50" s="4"/>
      <c r="N50" s="12">
        <f t="shared" ref="N50:N74" si="10">IF(H50=0,0,L50/H50)</f>
        <v>5.4241963509990651E-2</v>
      </c>
      <c r="O50" s="10"/>
      <c r="P50" s="4">
        <f>SUM(OSRRefP16x_0)</f>
        <v>234329.82999999996</v>
      </c>
      <c r="Q50" s="4"/>
      <c r="R50" s="12">
        <f t="shared" ref="R50:R74" si="11">IF(P$12=0,0,P50/P$12)</f>
        <v>0.49669210828095045</v>
      </c>
      <c r="S50" s="4"/>
      <c r="T50" s="4">
        <f>SUM(OSRRefT16x_0)</f>
        <v>242099.99999999997</v>
      </c>
      <c r="U50" s="4"/>
      <c r="V50" s="12">
        <f t="shared" ref="V50:V74" si="12">IF(T$12=0,0,T50/T$12)</f>
        <v>0.47298366535966097</v>
      </c>
      <c r="W50" s="4"/>
      <c r="X50" s="4">
        <f t="shared" ref="X50:X74" si="13">+P50-T50</f>
        <v>-7770.1700000000128</v>
      </c>
      <c r="Y50" s="4"/>
      <c r="Z50" s="12">
        <f t="shared" ref="Z50:Z74" si="14">IF(T50=0,0,X50/T50)</f>
        <v>-3.2094878149525045E-2</v>
      </c>
    </row>
    <row r="51" spans="1:26" s="24" customFormat="1" hidden="1" outlineLevel="1" x14ac:dyDescent="0.25">
      <c r="A51" s="44"/>
      <c r="B51" s="11" t="str">
        <f>CONCATENATE("          ", "5000", " - ", "PURCHASES @ COST")</f>
        <v xml:space="preserve">          5000 - PURCHASES @ COST</v>
      </c>
      <c r="C51" s="11"/>
      <c r="D51" s="2"/>
      <c r="E51" s="2"/>
      <c r="F51" s="19">
        <f t="shared" si="7"/>
        <v>0</v>
      </c>
      <c r="G51" s="2"/>
      <c r="H51" s="2">
        <v>32228</v>
      </c>
      <c r="I51" s="2"/>
      <c r="J51" s="19">
        <f t="shared" si="8"/>
        <v>0.46674101000738605</v>
      </c>
      <c r="K51" s="2"/>
      <c r="L51" s="2">
        <f t="shared" si="9"/>
        <v>-32228</v>
      </c>
      <c r="M51" s="2"/>
      <c r="N51" s="19">
        <f t="shared" si="10"/>
        <v>-1</v>
      </c>
      <c r="O51" s="11"/>
      <c r="P51" s="2"/>
      <c r="Q51" s="2"/>
      <c r="R51" s="19">
        <f t="shared" si="11"/>
        <v>0</v>
      </c>
      <c r="S51" s="2"/>
      <c r="T51" s="2">
        <v>242099.99999999997</v>
      </c>
      <c r="U51" s="2"/>
      <c r="V51" s="19">
        <f t="shared" si="12"/>
        <v>0.47298366535966097</v>
      </c>
      <c r="W51" s="2"/>
      <c r="X51" s="2">
        <f t="shared" si="13"/>
        <v>-242099.99999999997</v>
      </c>
      <c r="Y51" s="2"/>
      <c r="Z51" s="19">
        <f t="shared" si="14"/>
        <v>-1</v>
      </c>
    </row>
    <row r="52" spans="1:26" s="24" customFormat="1" hidden="1" outlineLevel="1" x14ac:dyDescent="0.25">
      <c r="A52" s="44"/>
      <c r="B52" s="11" t="str">
        <f>CONCATENATE("          ", "5014", " - ", "PURCHASES @ COST-REMAINDERS")</f>
        <v xml:space="preserve">          5014 - PURCHASES @ COST-REMAINDERS</v>
      </c>
      <c r="C52" s="11"/>
      <c r="D52" s="2"/>
      <c r="E52" s="2"/>
      <c r="F52" s="19">
        <f t="shared" si="7"/>
        <v>0</v>
      </c>
      <c r="G52" s="2"/>
      <c r="H52" s="2"/>
      <c r="I52" s="2"/>
      <c r="J52" s="19">
        <f t="shared" si="8"/>
        <v>0</v>
      </c>
      <c r="K52" s="2"/>
      <c r="L52" s="2">
        <f t="shared" si="9"/>
        <v>0</v>
      </c>
      <c r="M52" s="2"/>
      <c r="N52" s="19">
        <f t="shared" si="10"/>
        <v>0</v>
      </c>
      <c r="O52" s="11"/>
      <c r="P52" s="2">
        <v>14.46</v>
      </c>
      <c r="Q52" s="2"/>
      <c r="R52" s="19">
        <f t="shared" si="11"/>
        <v>3.0649823309915541E-5</v>
      </c>
      <c r="S52" s="2"/>
      <c r="T52" s="2"/>
      <c r="U52" s="2"/>
      <c r="V52" s="19">
        <f t="shared" si="12"/>
        <v>0</v>
      </c>
      <c r="W52" s="2"/>
      <c r="X52" s="2">
        <f t="shared" si="13"/>
        <v>14.46</v>
      </c>
      <c r="Y52" s="2"/>
      <c r="Z52" s="19">
        <f t="shared" si="14"/>
        <v>0</v>
      </c>
    </row>
    <row r="53" spans="1:26" s="24" customFormat="1" hidden="1" outlineLevel="1" x14ac:dyDescent="0.25">
      <c r="A53" s="44"/>
      <c r="B53" s="11" t="str">
        <f>CONCATENATE("          ", "5017", " - ", "PURCHASES @ COST-DORM/HOUSEWAR")</f>
        <v xml:space="preserve">          5017 - PURCHASES @ COST-DORM/HOUSEWAR</v>
      </c>
      <c r="C53" s="11"/>
      <c r="D53" s="2"/>
      <c r="E53" s="2"/>
      <c r="F53" s="19">
        <f t="shared" si="7"/>
        <v>0</v>
      </c>
      <c r="G53" s="2"/>
      <c r="H53" s="2"/>
      <c r="I53" s="2"/>
      <c r="J53" s="19">
        <f t="shared" si="8"/>
        <v>0</v>
      </c>
      <c r="K53" s="2"/>
      <c r="L53" s="2">
        <f t="shared" si="9"/>
        <v>0</v>
      </c>
      <c r="M53" s="2"/>
      <c r="N53" s="19">
        <f t="shared" si="10"/>
        <v>0</v>
      </c>
      <c r="O53" s="11"/>
      <c r="P53" s="2">
        <v>0</v>
      </c>
      <c r="Q53" s="2"/>
      <c r="R53" s="19">
        <f t="shared" si="11"/>
        <v>0</v>
      </c>
      <c r="S53" s="2"/>
      <c r="T53" s="2"/>
      <c r="U53" s="2"/>
      <c r="V53" s="19">
        <f t="shared" si="12"/>
        <v>0</v>
      </c>
      <c r="W53" s="2"/>
      <c r="X53" s="2">
        <f t="shared" si="13"/>
        <v>0</v>
      </c>
      <c r="Y53" s="2"/>
      <c r="Z53" s="19">
        <f t="shared" si="14"/>
        <v>0</v>
      </c>
    </row>
    <row r="54" spans="1:26" s="24" customFormat="1" hidden="1" outlineLevel="1" x14ac:dyDescent="0.25">
      <c r="A54" s="44"/>
      <c r="B54" s="11" t="str">
        <f>CONCATENATE("          ", "5025", " - ", "PURCHASES @ COST-TEST FORMS")</f>
        <v xml:space="preserve">          5025 - PURCHASES @ COST-TEST FORMS</v>
      </c>
      <c r="C54" s="11"/>
      <c r="D54" s="2">
        <v>18846</v>
      </c>
      <c r="E54" s="2"/>
      <c r="F54" s="19">
        <f t="shared" si="7"/>
        <v>0.28883688210655062</v>
      </c>
      <c r="G54" s="2"/>
      <c r="H54" s="2"/>
      <c r="I54" s="2"/>
      <c r="J54" s="19">
        <f t="shared" si="8"/>
        <v>0</v>
      </c>
      <c r="K54" s="2"/>
      <c r="L54" s="2">
        <f t="shared" si="9"/>
        <v>18846</v>
      </c>
      <c r="M54" s="2"/>
      <c r="N54" s="19">
        <f t="shared" si="10"/>
        <v>0</v>
      </c>
      <c r="O54" s="11"/>
      <c r="P54" s="2">
        <v>22098.390000000003</v>
      </c>
      <c r="Q54" s="2"/>
      <c r="R54" s="19">
        <f t="shared" si="11"/>
        <v>4.6840369912420785E-2</v>
      </c>
      <c r="S54" s="2"/>
      <c r="T54" s="2"/>
      <c r="U54" s="2"/>
      <c r="V54" s="19">
        <f t="shared" si="12"/>
        <v>0</v>
      </c>
      <c r="W54" s="2"/>
      <c r="X54" s="2">
        <f t="shared" si="13"/>
        <v>22098.390000000003</v>
      </c>
      <c r="Y54" s="2"/>
      <c r="Z54" s="19">
        <f t="shared" si="14"/>
        <v>0</v>
      </c>
    </row>
    <row r="55" spans="1:26" s="24" customFormat="1" hidden="1" outlineLevel="1" x14ac:dyDescent="0.25">
      <c r="A55" s="44"/>
      <c r="B55" s="11" t="str">
        <f>CONCATENATE("          ", "5026", " - ", "PURCHASES @ COST-WRITING INSTR")</f>
        <v xml:space="preserve">          5026 - PURCHASES @ COST-WRITING INSTR</v>
      </c>
      <c r="C55" s="11"/>
      <c r="D55" s="2">
        <v>4633.8999999999996</v>
      </c>
      <c r="E55" s="2"/>
      <c r="F55" s="19">
        <f t="shared" si="7"/>
        <v>7.1019910219332738E-2</v>
      </c>
      <c r="G55" s="2"/>
      <c r="H55" s="2"/>
      <c r="I55" s="2"/>
      <c r="J55" s="19">
        <f t="shared" si="8"/>
        <v>0</v>
      </c>
      <c r="K55" s="2"/>
      <c r="L55" s="2">
        <f t="shared" si="9"/>
        <v>4633.8999999999996</v>
      </c>
      <c r="M55" s="2"/>
      <c r="N55" s="19">
        <f t="shared" si="10"/>
        <v>0</v>
      </c>
      <c r="O55" s="11"/>
      <c r="P55" s="2">
        <v>29987.84</v>
      </c>
      <c r="Q55" s="2"/>
      <c r="R55" s="19">
        <f t="shared" si="11"/>
        <v>6.3563070362795127E-2</v>
      </c>
      <c r="S55" s="2"/>
      <c r="T55" s="2"/>
      <c r="U55" s="2"/>
      <c r="V55" s="19">
        <f t="shared" si="12"/>
        <v>0</v>
      </c>
      <c r="W55" s="2"/>
      <c r="X55" s="2">
        <f t="shared" si="13"/>
        <v>29987.84</v>
      </c>
      <c r="Y55" s="2"/>
      <c r="Z55" s="19">
        <f t="shared" si="14"/>
        <v>0</v>
      </c>
    </row>
    <row r="56" spans="1:26" s="24" customFormat="1" hidden="1" outlineLevel="1" x14ac:dyDescent="0.25">
      <c r="A56" s="44"/>
      <c r="B56" s="11" t="str">
        <f>CONCATENATE("          ", "5027", " - ", "PURCHASES @ COST-SCHOOL SUPPLI")</f>
        <v xml:space="preserve">          5027 - PURCHASES @ COST-SCHOOL SUPPLI</v>
      </c>
      <c r="C56" s="11"/>
      <c r="D56" s="2">
        <v>3479.69</v>
      </c>
      <c r="E56" s="2"/>
      <c r="F56" s="19">
        <f t="shared" si="7"/>
        <v>5.3330298752910066E-2</v>
      </c>
      <c r="G56" s="2"/>
      <c r="H56" s="2"/>
      <c r="I56" s="2"/>
      <c r="J56" s="19">
        <f t="shared" si="8"/>
        <v>0</v>
      </c>
      <c r="K56" s="2"/>
      <c r="L56" s="2">
        <f t="shared" si="9"/>
        <v>3479.69</v>
      </c>
      <c r="M56" s="2"/>
      <c r="N56" s="19">
        <f t="shared" si="10"/>
        <v>0</v>
      </c>
      <c r="O56" s="11"/>
      <c r="P56" s="2">
        <v>75455.069999999992</v>
      </c>
      <c r="Q56" s="2"/>
      <c r="R56" s="19">
        <f t="shared" si="11"/>
        <v>0.1599366917937281</v>
      </c>
      <c r="S56" s="2"/>
      <c r="T56" s="2"/>
      <c r="U56" s="2"/>
      <c r="V56" s="19">
        <f t="shared" si="12"/>
        <v>0</v>
      </c>
      <c r="W56" s="2"/>
      <c r="X56" s="2">
        <f t="shared" si="13"/>
        <v>75455.069999999992</v>
      </c>
      <c r="Y56" s="2"/>
      <c r="Z56" s="19">
        <f t="shared" si="14"/>
        <v>0</v>
      </c>
    </row>
    <row r="57" spans="1:26" s="24" customFormat="1" hidden="1" outlineLevel="1" x14ac:dyDescent="0.25">
      <c r="A57" s="44"/>
      <c r="B57" s="11" t="str">
        <f>CONCATENATE("          ", "5028", " - ", "PURCHASES @ COST-ART/TECH")</f>
        <v xml:space="preserve">          5028 - PURCHASES @ COST-ART/TECH</v>
      </c>
      <c r="C57" s="11"/>
      <c r="D57" s="2">
        <v>4931.4399999999996</v>
      </c>
      <c r="E57" s="2"/>
      <c r="F57" s="19">
        <f t="shared" si="7"/>
        <v>7.5580056982676849E-2</v>
      </c>
      <c r="G57" s="2"/>
      <c r="H57" s="2"/>
      <c r="I57" s="2"/>
      <c r="J57" s="19">
        <f t="shared" si="8"/>
        <v>0</v>
      </c>
      <c r="K57" s="2"/>
      <c r="L57" s="2">
        <f t="shared" si="9"/>
        <v>4931.4399999999996</v>
      </c>
      <c r="M57" s="2"/>
      <c r="N57" s="19">
        <f t="shared" si="10"/>
        <v>0</v>
      </c>
      <c r="O57" s="11"/>
      <c r="P57" s="2">
        <v>95270.51</v>
      </c>
      <c r="Q57" s="2"/>
      <c r="R57" s="19">
        <f t="shared" si="11"/>
        <v>0.20193805657991293</v>
      </c>
      <c r="S57" s="2"/>
      <c r="T57" s="2"/>
      <c r="U57" s="2"/>
      <c r="V57" s="19">
        <f t="shared" si="12"/>
        <v>0</v>
      </c>
      <c r="W57" s="2"/>
      <c r="X57" s="2">
        <f t="shared" si="13"/>
        <v>95270.51</v>
      </c>
      <c r="Y57" s="2"/>
      <c r="Z57" s="19">
        <f t="shared" si="14"/>
        <v>0</v>
      </c>
    </row>
    <row r="58" spans="1:26" s="24" customFormat="1" hidden="1" outlineLevel="1" x14ac:dyDescent="0.25">
      <c r="A58" s="44"/>
      <c r="B58" s="11" t="str">
        <f>CONCATENATE("          ", "5031", " - ", "PURCHASES @ COST-FOOD")</f>
        <v xml:space="preserve">          5031 - PURCHASES @ COST-FOOD</v>
      </c>
      <c r="C58" s="11"/>
      <c r="D58" s="2">
        <v>4825.3999999999996</v>
      </c>
      <c r="E58" s="2"/>
      <c r="F58" s="19">
        <f t="shared" si="7"/>
        <v>7.3954870578210194E-2</v>
      </c>
      <c r="G58" s="2"/>
      <c r="H58" s="2"/>
      <c r="I58" s="2"/>
      <c r="J58" s="19">
        <f t="shared" si="8"/>
        <v>0</v>
      </c>
      <c r="K58" s="2"/>
      <c r="L58" s="2">
        <f t="shared" si="9"/>
        <v>4825.3999999999996</v>
      </c>
      <c r="M58" s="2"/>
      <c r="N58" s="19">
        <f t="shared" si="10"/>
        <v>0</v>
      </c>
      <c r="O58" s="11"/>
      <c r="P58" s="2">
        <v>20814.489999999998</v>
      </c>
      <c r="Q58" s="2"/>
      <c r="R58" s="19">
        <f t="shared" si="11"/>
        <v>4.4118979307469143E-2</v>
      </c>
      <c r="S58" s="2"/>
      <c r="T58" s="2"/>
      <c r="U58" s="2"/>
      <c r="V58" s="19">
        <f t="shared" si="12"/>
        <v>0</v>
      </c>
      <c r="W58" s="2"/>
      <c r="X58" s="2">
        <f t="shared" si="13"/>
        <v>20814.489999999998</v>
      </c>
      <c r="Y58" s="2"/>
      <c r="Z58" s="19">
        <f t="shared" si="14"/>
        <v>0</v>
      </c>
    </row>
    <row r="59" spans="1:26" s="24" customFormat="1" hidden="1" outlineLevel="1" x14ac:dyDescent="0.25">
      <c r="A59" s="44"/>
      <c r="B59" s="11" t="str">
        <f>CONCATENATE("          ", "5032", " - ", "PURCHASES @ COST-JUICE")</f>
        <v xml:space="preserve">          5032 - PURCHASES @ COST-JUICE</v>
      </c>
      <c r="C59" s="11"/>
      <c r="D59" s="2">
        <v>1278.21</v>
      </c>
      <c r="E59" s="2"/>
      <c r="F59" s="19">
        <f t="shared" si="7"/>
        <v>1.9590055771909906E-2</v>
      </c>
      <c r="G59" s="2"/>
      <c r="H59" s="2"/>
      <c r="I59" s="2"/>
      <c r="J59" s="19">
        <f t="shared" si="8"/>
        <v>0</v>
      </c>
      <c r="K59" s="2"/>
      <c r="L59" s="2">
        <f t="shared" si="9"/>
        <v>1278.21</v>
      </c>
      <c r="M59" s="2"/>
      <c r="N59" s="19">
        <f t="shared" si="10"/>
        <v>0</v>
      </c>
      <c r="O59" s="11"/>
      <c r="P59" s="2">
        <v>4662.49</v>
      </c>
      <c r="Q59" s="2"/>
      <c r="R59" s="19">
        <f t="shared" si="11"/>
        <v>9.8827451372232433E-3</v>
      </c>
      <c r="S59" s="2"/>
      <c r="T59" s="2"/>
      <c r="U59" s="2"/>
      <c r="V59" s="19">
        <f t="shared" si="12"/>
        <v>0</v>
      </c>
      <c r="W59" s="2"/>
      <c r="X59" s="2">
        <f t="shared" si="13"/>
        <v>4662.49</v>
      </c>
      <c r="Y59" s="2"/>
      <c r="Z59" s="19">
        <f t="shared" si="14"/>
        <v>0</v>
      </c>
    </row>
    <row r="60" spans="1:26" s="24" customFormat="1" hidden="1" outlineLevel="1" x14ac:dyDescent="0.25">
      <c r="A60" s="44"/>
      <c r="B60" s="11" t="str">
        <f>CONCATENATE("          ", "5033", " - ", "PURCHASES @ COST-CANDY")</f>
        <v xml:space="preserve">          5033 - PURCHASES @ COST-CANDY</v>
      </c>
      <c r="C60" s="11"/>
      <c r="D60" s="2">
        <v>1482.54</v>
      </c>
      <c r="E60" s="2"/>
      <c r="F60" s="19">
        <f t="shared" si="7"/>
        <v>2.2721650811750267E-2</v>
      </c>
      <c r="G60" s="2"/>
      <c r="H60" s="2"/>
      <c r="I60" s="2"/>
      <c r="J60" s="19">
        <f t="shared" si="8"/>
        <v>0</v>
      </c>
      <c r="K60" s="2"/>
      <c r="L60" s="2">
        <f t="shared" si="9"/>
        <v>1482.54</v>
      </c>
      <c r="M60" s="2"/>
      <c r="N60" s="19">
        <f t="shared" si="10"/>
        <v>0</v>
      </c>
      <c r="O60" s="11"/>
      <c r="P60" s="2">
        <v>5937.74</v>
      </c>
      <c r="Q60" s="2"/>
      <c r="R60" s="19">
        <f t="shared" si="11"/>
        <v>1.2585800958521291E-2</v>
      </c>
      <c r="S60" s="2"/>
      <c r="T60" s="2"/>
      <c r="U60" s="2"/>
      <c r="V60" s="19">
        <f t="shared" si="12"/>
        <v>0</v>
      </c>
      <c r="W60" s="2"/>
      <c r="X60" s="2">
        <f t="shared" si="13"/>
        <v>5937.74</v>
      </c>
      <c r="Y60" s="2"/>
      <c r="Z60" s="19">
        <f t="shared" si="14"/>
        <v>0</v>
      </c>
    </row>
    <row r="61" spans="1:26" s="24" customFormat="1" hidden="1" outlineLevel="1" x14ac:dyDescent="0.25">
      <c r="A61" s="44"/>
      <c r="B61" s="11" t="str">
        <f>CONCATENATE("          ", "5034", " - ", "PURCHASES @ COST-SODA")</f>
        <v xml:space="preserve">          5034 - PURCHASES @ COST-SODA</v>
      </c>
      <c r="C61" s="11"/>
      <c r="D61" s="2">
        <v>587.38</v>
      </c>
      <c r="E61" s="2"/>
      <c r="F61" s="19">
        <f t="shared" si="7"/>
        <v>9.002282065782961E-3</v>
      </c>
      <c r="G61" s="2"/>
      <c r="H61" s="2"/>
      <c r="I61" s="2"/>
      <c r="J61" s="19">
        <f t="shared" si="8"/>
        <v>0</v>
      </c>
      <c r="K61" s="2"/>
      <c r="L61" s="2">
        <f t="shared" si="9"/>
        <v>587.38</v>
      </c>
      <c r="M61" s="2"/>
      <c r="N61" s="19">
        <f t="shared" si="10"/>
        <v>0</v>
      </c>
      <c r="O61" s="11"/>
      <c r="P61" s="2">
        <v>2081.92</v>
      </c>
      <c r="Q61" s="2"/>
      <c r="R61" s="19">
        <f t="shared" si="11"/>
        <v>4.4128962756140632E-3</v>
      </c>
      <c r="S61" s="2"/>
      <c r="T61" s="2"/>
      <c r="U61" s="2"/>
      <c r="V61" s="19">
        <f t="shared" si="12"/>
        <v>0</v>
      </c>
      <c r="W61" s="2"/>
      <c r="X61" s="2">
        <f t="shared" si="13"/>
        <v>2081.92</v>
      </c>
      <c r="Y61" s="2"/>
      <c r="Z61" s="19">
        <f t="shared" si="14"/>
        <v>0</v>
      </c>
    </row>
    <row r="62" spans="1:26" s="24" customFormat="1" hidden="1" outlineLevel="1" x14ac:dyDescent="0.25">
      <c r="A62" s="44"/>
      <c r="B62" s="11" t="str">
        <f>CONCATENATE("          ", "5035", " - ", "PURCHASES @ COST-HEALTH &amp; BEAU")</f>
        <v xml:space="preserve">          5035 - PURCHASES @ COST-HEALTH &amp; BEAU</v>
      </c>
      <c r="C62" s="11"/>
      <c r="D62" s="2">
        <v>222.52</v>
      </c>
      <c r="E62" s="2"/>
      <c r="F62" s="19">
        <f t="shared" si="7"/>
        <v>3.4103779585243363E-3</v>
      </c>
      <c r="G62" s="2"/>
      <c r="H62" s="2"/>
      <c r="I62" s="2"/>
      <c r="J62" s="19">
        <f t="shared" si="8"/>
        <v>0</v>
      </c>
      <c r="K62" s="2"/>
      <c r="L62" s="2">
        <f t="shared" si="9"/>
        <v>222.52</v>
      </c>
      <c r="M62" s="2"/>
      <c r="N62" s="19">
        <f t="shared" si="10"/>
        <v>0</v>
      </c>
      <c r="O62" s="11"/>
      <c r="P62" s="2">
        <v>801.21</v>
      </c>
      <c r="Q62" s="2"/>
      <c r="R62" s="19">
        <f t="shared" si="11"/>
        <v>1.6982672845184943E-3</v>
      </c>
      <c r="S62" s="2"/>
      <c r="T62" s="2"/>
      <c r="U62" s="2"/>
      <c r="V62" s="19">
        <f t="shared" si="12"/>
        <v>0</v>
      </c>
      <c r="W62" s="2"/>
      <c r="X62" s="2">
        <f t="shared" si="13"/>
        <v>801.21</v>
      </c>
      <c r="Y62" s="2"/>
      <c r="Z62" s="19">
        <f t="shared" si="14"/>
        <v>0</v>
      </c>
    </row>
    <row r="63" spans="1:26" s="24" customFormat="1" hidden="1" outlineLevel="1" x14ac:dyDescent="0.25">
      <c r="A63" s="44"/>
      <c r="B63" s="11" t="str">
        <f>CONCATENATE("          ", "5037", " - ", "PURCHASES @ COST-WATER")</f>
        <v xml:space="preserve">          5037 - PURCHASES @ COST-WATER</v>
      </c>
      <c r="C63" s="11"/>
      <c r="D63" s="2">
        <v>667.52</v>
      </c>
      <c r="E63" s="2"/>
      <c r="F63" s="19">
        <f t="shared" si="7"/>
        <v>1.0230520829022852E-2</v>
      </c>
      <c r="G63" s="2"/>
      <c r="H63" s="2"/>
      <c r="I63" s="2"/>
      <c r="J63" s="19">
        <f t="shared" si="8"/>
        <v>0</v>
      </c>
      <c r="K63" s="2"/>
      <c r="L63" s="2">
        <f t="shared" si="9"/>
        <v>667.52</v>
      </c>
      <c r="M63" s="2"/>
      <c r="N63" s="19">
        <f t="shared" si="10"/>
        <v>0</v>
      </c>
      <c r="O63" s="11"/>
      <c r="P63" s="2">
        <v>3493.61</v>
      </c>
      <c r="Q63" s="2"/>
      <c r="R63" s="19">
        <f t="shared" si="11"/>
        <v>7.405154164160029E-3</v>
      </c>
      <c r="S63" s="2"/>
      <c r="T63" s="2"/>
      <c r="U63" s="2"/>
      <c r="V63" s="19">
        <f t="shared" si="12"/>
        <v>0</v>
      </c>
      <c r="W63" s="2"/>
      <c r="X63" s="2">
        <f t="shared" si="13"/>
        <v>3493.61</v>
      </c>
      <c r="Y63" s="2"/>
      <c r="Z63" s="19">
        <f t="shared" si="14"/>
        <v>0</v>
      </c>
    </row>
    <row r="64" spans="1:26" s="24" customFormat="1" hidden="1" outlineLevel="1" x14ac:dyDescent="0.25">
      <c r="A64" s="44"/>
      <c r="B64" s="11" t="str">
        <f>CONCATENATE("          ", "5081", " - ", "PURCHASES @ COST-ELECTRONICS")</f>
        <v xml:space="preserve">          5081 - PURCHASES @ COST-ELECTRONICS</v>
      </c>
      <c r="C64" s="11"/>
      <c r="D64" s="2">
        <v>281.74</v>
      </c>
      <c r="E64" s="2"/>
      <c r="F64" s="19">
        <f t="shared" si="7"/>
        <v>4.3179933760320267E-3</v>
      </c>
      <c r="G64" s="2"/>
      <c r="H64" s="2"/>
      <c r="I64" s="2"/>
      <c r="J64" s="19">
        <f t="shared" si="8"/>
        <v>0</v>
      </c>
      <c r="K64" s="2"/>
      <c r="L64" s="2">
        <f t="shared" si="9"/>
        <v>281.74</v>
      </c>
      <c r="M64" s="2"/>
      <c r="N64" s="19">
        <f t="shared" si="10"/>
        <v>0</v>
      </c>
      <c r="O64" s="11"/>
      <c r="P64" s="2">
        <v>1244.81</v>
      </c>
      <c r="Q64" s="2"/>
      <c r="R64" s="19">
        <f t="shared" si="11"/>
        <v>2.6385343398627912E-3</v>
      </c>
      <c r="S64" s="2"/>
      <c r="T64" s="2"/>
      <c r="U64" s="2"/>
      <c r="V64" s="19">
        <f t="shared" si="12"/>
        <v>0</v>
      </c>
      <c r="W64" s="2"/>
      <c r="X64" s="2">
        <f t="shared" si="13"/>
        <v>1244.81</v>
      </c>
      <c r="Y64" s="2"/>
      <c r="Z64" s="19">
        <f t="shared" si="14"/>
        <v>0</v>
      </c>
    </row>
    <row r="65" spans="1:26" s="24" customFormat="1" hidden="1" outlineLevel="1" x14ac:dyDescent="0.25">
      <c r="A65" s="44"/>
      <c r="B65" s="11" t="str">
        <f>CONCATENATE("          ", "5082", " - ", "PURCHASES @ COST-COMPUTER HARD")</f>
        <v xml:space="preserve">          5082 - PURCHASES @ COST-COMPUTER HARD</v>
      </c>
      <c r="C65" s="11"/>
      <c r="D65" s="2">
        <v>95</v>
      </c>
      <c r="E65" s="2"/>
      <c r="F65" s="19">
        <f t="shared" si="7"/>
        <v>1.4559855566232786E-3</v>
      </c>
      <c r="G65" s="2"/>
      <c r="H65" s="2"/>
      <c r="I65" s="2"/>
      <c r="J65" s="19">
        <f t="shared" si="8"/>
        <v>0</v>
      </c>
      <c r="K65" s="2"/>
      <c r="L65" s="2">
        <f t="shared" si="9"/>
        <v>95</v>
      </c>
      <c r="M65" s="2"/>
      <c r="N65" s="19">
        <f t="shared" si="10"/>
        <v>0</v>
      </c>
      <c r="O65" s="11"/>
      <c r="P65" s="2">
        <v>244.6</v>
      </c>
      <c r="Q65" s="2"/>
      <c r="R65" s="19">
        <f t="shared" si="11"/>
        <v>5.1846104990355048E-4</v>
      </c>
      <c r="S65" s="2"/>
      <c r="T65" s="2"/>
      <c r="U65" s="2"/>
      <c r="V65" s="19">
        <f t="shared" si="12"/>
        <v>0</v>
      </c>
      <c r="W65" s="2"/>
      <c r="X65" s="2">
        <f t="shared" si="13"/>
        <v>244.6</v>
      </c>
      <c r="Y65" s="2"/>
      <c r="Z65" s="19">
        <f t="shared" si="14"/>
        <v>0</v>
      </c>
    </row>
    <row r="66" spans="1:26" s="24" customFormat="1" hidden="1" outlineLevel="1" x14ac:dyDescent="0.25">
      <c r="A66" s="44"/>
      <c r="B66" s="11" t="str">
        <f>CONCATENATE("          ", "5083", " - ", "PURCHASES @ COST-COMPUTER EQUI")</f>
        <v xml:space="preserve">          5083 - PURCHASES @ COST-COMPUTER EQUI</v>
      </c>
      <c r="C66" s="11"/>
      <c r="D66" s="2"/>
      <c r="E66" s="2"/>
      <c r="F66" s="19">
        <f t="shared" si="7"/>
        <v>0</v>
      </c>
      <c r="G66" s="2"/>
      <c r="H66" s="2"/>
      <c r="I66" s="2"/>
      <c r="J66" s="19">
        <f t="shared" si="8"/>
        <v>0</v>
      </c>
      <c r="K66" s="2"/>
      <c r="L66" s="2">
        <f t="shared" si="9"/>
        <v>0</v>
      </c>
      <c r="M66" s="2"/>
      <c r="N66" s="19">
        <f t="shared" si="10"/>
        <v>0</v>
      </c>
      <c r="O66" s="11"/>
      <c r="P66" s="2">
        <v>192.2</v>
      </c>
      <c r="Q66" s="2"/>
      <c r="R66" s="19">
        <f t="shared" si="11"/>
        <v>4.0739253389804743E-4</v>
      </c>
      <c r="S66" s="2"/>
      <c r="T66" s="2"/>
      <c r="U66" s="2"/>
      <c r="V66" s="19">
        <f t="shared" si="12"/>
        <v>0</v>
      </c>
      <c r="W66" s="2"/>
      <c r="X66" s="2">
        <f t="shared" si="13"/>
        <v>192.2</v>
      </c>
      <c r="Y66" s="2"/>
      <c r="Z66" s="19">
        <f t="shared" si="14"/>
        <v>0</v>
      </c>
    </row>
    <row r="67" spans="1:26" s="24" customFormat="1" hidden="1" outlineLevel="1" x14ac:dyDescent="0.25">
      <c r="A67" s="44"/>
      <c r="B67" s="11" t="str">
        <f>CONCATENATE("          ", "5086", " - ", "PURCHASES @ COST-COMPUTER SUPP")</f>
        <v xml:space="preserve">          5086 - PURCHASES @ COST-COMPUTER SUPP</v>
      </c>
      <c r="C67" s="11"/>
      <c r="D67" s="2">
        <v>87</v>
      </c>
      <c r="E67" s="2"/>
      <c r="F67" s="19">
        <f t="shared" si="7"/>
        <v>1.3333762465918446E-3</v>
      </c>
      <c r="G67" s="2"/>
      <c r="H67" s="2"/>
      <c r="I67" s="2"/>
      <c r="J67" s="19">
        <f t="shared" si="8"/>
        <v>0</v>
      </c>
      <c r="K67" s="2"/>
      <c r="L67" s="2">
        <f t="shared" si="9"/>
        <v>87</v>
      </c>
      <c r="M67" s="2"/>
      <c r="N67" s="19">
        <f t="shared" si="10"/>
        <v>0</v>
      </c>
      <c r="O67" s="11"/>
      <c r="P67" s="2">
        <v>228</v>
      </c>
      <c r="Q67" s="2"/>
      <c r="R67" s="19">
        <f t="shared" si="11"/>
        <v>4.8327522231402089E-4</v>
      </c>
      <c r="S67" s="2"/>
      <c r="T67" s="2"/>
      <c r="U67" s="2"/>
      <c r="V67" s="19">
        <f t="shared" si="12"/>
        <v>0</v>
      </c>
      <c r="W67" s="2"/>
      <c r="X67" s="2">
        <f t="shared" si="13"/>
        <v>228</v>
      </c>
      <c r="Y67" s="2"/>
      <c r="Z67" s="19">
        <f t="shared" si="14"/>
        <v>0</v>
      </c>
    </row>
    <row r="68" spans="1:26" s="24" customFormat="1" hidden="1" outlineLevel="1" x14ac:dyDescent="0.25">
      <c r="A68" s="44"/>
      <c r="B68" s="11" t="str">
        <f>CONCATENATE("          ", "5200", " - ", "PURCHASES OFFSET")</f>
        <v xml:space="preserve">          5200 - PURCHASES OFFSET</v>
      </c>
      <c r="C68" s="11"/>
      <c r="D68" s="2">
        <v>-42157</v>
      </c>
      <c r="E68" s="2"/>
      <c r="F68" s="19">
        <f t="shared" si="7"/>
        <v>-0.64610508537439537</v>
      </c>
      <c r="G68" s="2"/>
      <c r="H68" s="2"/>
      <c r="I68" s="2"/>
      <c r="J68" s="19">
        <f t="shared" si="8"/>
        <v>0</v>
      </c>
      <c r="K68" s="2"/>
      <c r="L68" s="2">
        <f t="shared" si="9"/>
        <v>-42157</v>
      </c>
      <c r="M68" s="2"/>
      <c r="N68" s="19">
        <f t="shared" si="10"/>
        <v>0</v>
      </c>
      <c r="O68" s="11"/>
      <c r="P68" s="2">
        <v>-264920</v>
      </c>
      <c r="Q68" s="2"/>
      <c r="R68" s="19">
        <f t="shared" si="11"/>
        <v>-0.5615318942782036</v>
      </c>
      <c r="S68" s="2"/>
      <c r="T68" s="2"/>
      <c r="U68" s="2"/>
      <c r="V68" s="19">
        <f t="shared" si="12"/>
        <v>0</v>
      </c>
      <c r="W68" s="2"/>
      <c r="X68" s="2">
        <f t="shared" si="13"/>
        <v>-264920</v>
      </c>
      <c r="Y68" s="2"/>
      <c r="Z68" s="19">
        <f t="shared" si="14"/>
        <v>0</v>
      </c>
    </row>
    <row r="69" spans="1:26" s="24" customFormat="1" hidden="1" outlineLevel="1" x14ac:dyDescent="0.25">
      <c r="A69" s="44"/>
      <c r="B69" s="11" t="str">
        <f>CONCATENATE("          ", "5300", " - ", "COG$ OFFSET")</f>
        <v xml:space="preserve">          5300 - COG$ OFFSET</v>
      </c>
      <c r="C69" s="11"/>
      <c r="D69" s="2">
        <v>33979</v>
      </c>
      <c r="E69" s="2"/>
      <c r="F69" s="19">
        <f t="shared" si="7"/>
        <v>0.52076771819476197</v>
      </c>
      <c r="G69" s="2"/>
      <c r="H69" s="2"/>
      <c r="I69" s="2"/>
      <c r="J69" s="19">
        <f t="shared" si="8"/>
        <v>0</v>
      </c>
      <c r="K69" s="2"/>
      <c r="L69" s="2">
        <f t="shared" si="9"/>
        <v>33979</v>
      </c>
      <c r="M69" s="2"/>
      <c r="N69" s="19">
        <f t="shared" si="10"/>
        <v>0</v>
      </c>
      <c r="O69" s="11"/>
      <c r="P69" s="2">
        <v>234328</v>
      </c>
      <c r="Q69" s="2"/>
      <c r="R69" s="19">
        <f t="shared" si="11"/>
        <v>0.49668822936140306</v>
      </c>
      <c r="S69" s="2"/>
      <c r="T69" s="2"/>
      <c r="U69" s="2"/>
      <c r="V69" s="19">
        <f t="shared" si="12"/>
        <v>0</v>
      </c>
      <c r="W69" s="2"/>
      <c r="X69" s="2">
        <f t="shared" si="13"/>
        <v>234328</v>
      </c>
      <c r="Y69" s="2"/>
      <c r="Z69" s="19">
        <f t="shared" si="14"/>
        <v>0</v>
      </c>
    </row>
    <row r="70" spans="1:26" s="24" customFormat="1" hidden="1" outlineLevel="1" x14ac:dyDescent="0.25">
      <c r="A70" s="44"/>
      <c r="B70" s="11" t="str">
        <f>CONCATENATE("          ", "5500", " - ", "FREIGHT-IN")</f>
        <v xml:space="preserve">          5500 - FREIGHT-IN</v>
      </c>
      <c r="C70" s="11"/>
      <c r="D70" s="2"/>
      <c r="E70" s="2"/>
      <c r="F70" s="19">
        <f t="shared" si="7"/>
        <v>0</v>
      </c>
      <c r="G70" s="2"/>
      <c r="H70" s="2"/>
      <c r="I70" s="2"/>
      <c r="J70" s="19">
        <f t="shared" si="8"/>
        <v>0</v>
      </c>
      <c r="K70" s="2"/>
      <c r="L70" s="2">
        <f t="shared" si="9"/>
        <v>0</v>
      </c>
      <c r="M70" s="2"/>
      <c r="N70" s="19">
        <f t="shared" si="10"/>
        <v>0</v>
      </c>
      <c r="O70" s="11"/>
      <c r="P70" s="2">
        <v>6</v>
      </c>
      <c r="Q70" s="2"/>
      <c r="R70" s="19">
        <f t="shared" si="11"/>
        <v>1.2717769008263708E-5</v>
      </c>
      <c r="S70" s="2"/>
      <c r="T70" s="2"/>
      <c r="U70" s="2"/>
      <c r="V70" s="19">
        <f t="shared" si="12"/>
        <v>0</v>
      </c>
      <c r="W70" s="2"/>
      <c r="X70" s="2">
        <f t="shared" si="13"/>
        <v>6</v>
      </c>
      <c r="Y70" s="2"/>
      <c r="Z70" s="19">
        <f t="shared" si="14"/>
        <v>0</v>
      </c>
    </row>
    <row r="71" spans="1:26" s="24" customFormat="1" hidden="1" outlineLevel="1" x14ac:dyDescent="0.25">
      <c r="A71" s="44"/>
      <c r="B71" s="11" t="str">
        <f>CONCATENATE("          ", "5525", " - ", "FREIGHT-IN-TEST FORMS")</f>
        <v xml:space="preserve">          5525 - FREIGHT-IN-TEST FORMS</v>
      </c>
      <c r="C71" s="11"/>
      <c r="D71" s="2">
        <v>335.7</v>
      </c>
      <c r="E71" s="2"/>
      <c r="F71" s="19">
        <f t="shared" si="7"/>
        <v>5.1449931721940486E-3</v>
      </c>
      <c r="G71" s="2"/>
      <c r="H71" s="2"/>
      <c r="I71" s="2"/>
      <c r="J71" s="19">
        <f t="shared" si="8"/>
        <v>0</v>
      </c>
      <c r="K71" s="2"/>
      <c r="L71" s="2">
        <f t="shared" si="9"/>
        <v>335.7</v>
      </c>
      <c r="M71" s="2"/>
      <c r="N71" s="19">
        <f t="shared" si="10"/>
        <v>0</v>
      </c>
      <c r="O71" s="11"/>
      <c r="P71" s="2">
        <v>374.92</v>
      </c>
      <c r="Q71" s="2"/>
      <c r="R71" s="19">
        <f t="shared" si="11"/>
        <v>7.9469099276303825E-4</v>
      </c>
      <c r="S71" s="2"/>
      <c r="T71" s="2"/>
      <c r="U71" s="2"/>
      <c r="V71" s="19">
        <f t="shared" si="12"/>
        <v>0</v>
      </c>
      <c r="W71" s="2"/>
      <c r="X71" s="2">
        <f t="shared" si="13"/>
        <v>374.92</v>
      </c>
      <c r="Y71" s="2"/>
      <c r="Z71" s="19">
        <f t="shared" si="14"/>
        <v>0</v>
      </c>
    </row>
    <row r="72" spans="1:26" s="24" customFormat="1" hidden="1" outlineLevel="1" x14ac:dyDescent="0.25">
      <c r="A72" s="44"/>
      <c r="B72" s="11" t="str">
        <f>CONCATENATE("          ", "5526", " - ", "FREIGHT-IN-WRITING INSTRUMENTS")</f>
        <v xml:space="preserve">          5526 - FREIGHT-IN-WRITING INSTRUMENTS</v>
      </c>
      <c r="C72" s="11"/>
      <c r="D72" s="2">
        <v>160.91999999999999</v>
      </c>
      <c r="E72" s="2"/>
      <c r="F72" s="19">
        <f t="shared" si="7"/>
        <v>2.4662862712822946E-3</v>
      </c>
      <c r="G72" s="2"/>
      <c r="H72" s="2"/>
      <c r="I72" s="2"/>
      <c r="J72" s="19">
        <f t="shared" si="8"/>
        <v>0</v>
      </c>
      <c r="K72" s="2"/>
      <c r="L72" s="2">
        <f t="shared" si="9"/>
        <v>160.91999999999999</v>
      </c>
      <c r="M72" s="2"/>
      <c r="N72" s="19">
        <f t="shared" si="10"/>
        <v>0</v>
      </c>
      <c r="O72" s="11"/>
      <c r="P72" s="2">
        <v>217.49</v>
      </c>
      <c r="Q72" s="2"/>
      <c r="R72" s="19">
        <f t="shared" si="11"/>
        <v>4.60997930267879E-4</v>
      </c>
      <c r="S72" s="2"/>
      <c r="T72" s="2"/>
      <c r="U72" s="2"/>
      <c r="V72" s="19">
        <f t="shared" si="12"/>
        <v>0</v>
      </c>
      <c r="W72" s="2"/>
      <c r="X72" s="2">
        <f t="shared" si="13"/>
        <v>217.49</v>
      </c>
      <c r="Y72" s="2"/>
      <c r="Z72" s="19">
        <f t="shared" si="14"/>
        <v>0</v>
      </c>
    </row>
    <row r="73" spans="1:26" s="24" customFormat="1" hidden="1" outlineLevel="1" x14ac:dyDescent="0.25">
      <c r="A73" s="44"/>
      <c r="B73" s="11" t="str">
        <f>CONCATENATE("          ", "5527", " - ", "FREIGHT-IN-SCHOOL SUPPLIES")</f>
        <v xml:space="preserve">          5527 - FREIGHT-IN-SCHOOL SUPPLIES</v>
      </c>
      <c r="C73" s="11"/>
      <c r="D73" s="2">
        <v>134.09</v>
      </c>
      <c r="E73" s="2"/>
      <c r="F73" s="19">
        <f t="shared" si="7"/>
        <v>2.055085297764373E-3</v>
      </c>
      <c r="G73" s="2"/>
      <c r="H73" s="2"/>
      <c r="I73" s="2"/>
      <c r="J73" s="19">
        <f t="shared" si="8"/>
        <v>0</v>
      </c>
      <c r="K73" s="2"/>
      <c r="L73" s="2">
        <f t="shared" si="9"/>
        <v>134.09</v>
      </c>
      <c r="M73" s="2"/>
      <c r="N73" s="19">
        <f t="shared" si="10"/>
        <v>0</v>
      </c>
      <c r="O73" s="11"/>
      <c r="P73" s="2">
        <v>872.58</v>
      </c>
      <c r="Q73" s="2"/>
      <c r="R73" s="19">
        <f t="shared" si="11"/>
        <v>1.8495451468717912E-3</v>
      </c>
      <c r="S73" s="2"/>
      <c r="T73" s="2"/>
      <c r="U73" s="2"/>
      <c r="V73" s="19">
        <f t="shared" si="12"/>
        <v>0</v>
      </c>
      <c r="W73" s="2"/>
      <c r="X73" s="2">
        <f t="shared" si="13"/>
        <v>872.58</v>
      </c>
      <c r="Y73" s="2"/>
      <c r="Z73" s="19">
        <f t="shared" si="14"/>
        <v>0</v>
      </c>
    </row>
    <row r="74" spans="1:26" s="24" customFormat="1" hidden="1" outlineLevel="1" x14ac:dyDescent="0.25">
      <c r="A74" s="44"/>
      <c r="B74" s="11" t="str">
        <f>CONCATENATE("          ", "5528", " - ", "FREIGHT-IN-ART/TECH")</f>
        <v xml:space="preserve">          5528 - FREIGHT-IN-ART/TECH</v>
      </c>
      <c r="C74" s="11"/>
      <c r="D74" s="2">
        <v>105.06</v>
      </c>
      <c r="E74" s="2"/>
      <c r="F74" s="19">
        <f t="shared" si="7"/>
        <v>1.6101667639878069E-3</v>
      </c>
      <c r="G74" s="2"/>
      <c r="H74" s="2"/>
      <c r="I74" s="2"/>
      <c r="J74" s="19">
        <f t="shared" si="8"/>
        <v>0</v>
      </c>
      <c r="K74" s="2"/>
      <c r="L74" s="2">
        <f t="shared" si="9"/>
        <v>105.06</v>
      </c>
      <c r="M74" s="2"/>
      <c r="N74" s="19">
        <f t="shared" si="10"/>
        <v>0</v>
      </c>
      <c r="O74" s="11"/>
      <c r="P74" s="2">
        <v>923.5</v>
      </c>
      <c r="Q74" s="2"/>
      <c r="R74" s="19">
        <f t="shared" si="11"/>
        <v>1.957476613188589E-3</v>
      </c>
      <c r="S74" s="2"/>
      <c r="T74" s="2"/>
      <c r="U74" s="2"/>
      <c r="V74" s="19">
        <f t="shared" si="12"/>
        <v>0</v>
      </c>
      <c r="W74" s="2"/>
      <c r="X74" s="2">
        <f t="shared" si="13"/>
        <v>923.5</v>
      </c>
      <c r="Y74" s="2"/>
      <c r="Z74" s="19">
        <f t="shared" si="14"/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8" t="s">
        <v>6</v>
      </c>
      <c r="C76" s="28"/>
      <c r="D76" s="20">
        <f>D12-D50</f>
        <v>31271.790000000008</v>
      </c>
      <c r="E76" s="14"/>
      <c r="F76" s="22">
        <f>IF(D$12=0,0,D76/D$12)</f>
        <v>0.47927657441848726</v>
      </c>
      <c r="G76" s="14"/>
      <c r="H76" s="20">
        <f>H12-H50</f>
        <v>36821</v>
      </c>
      <c r="I76" s="14"/>
      <c r="J76" s="22">
        <f>IF(H$12=0,0,H76/H$12)</f>
        <v>0.5332589899926139</v>
      </c>
      <c r="K76" s="16"/>
      <c r="L76" s="20">
        <f>+D76-H76</f>
        <v>-5549.2099999999919</v>
      </c>
      <c r="M76" s="16"/>
      <c r="N76" s="22">
        <f>IF(H76=0,0,L76/H76)</f>
        <v>-0.15070774829580924</v>
      </c>
      <c r="O76" s="29"/>
      <c r="P76" s="20">
        <f>P12-P50</f>
        <v>237451.03000000009</v>
      </c>
      <c r="Q76" s="14"/>
      <c r="R76" s="22">
        <f>IF(P$12=0,0,P76/P$12)</f>
        <v>0.50330789171904955</v>
      </c>
      <c r="S76" s="14"/>
      <c r="T76" s="20">
        <f>T12-T50</f>
        <v>269757</v>
      </c>
      <c r="U76" s="14"/>
      <c r="V76" s="22">
        <f>IF(T$12=0,0,T76/T$12)</f>
        <v>0.52701633464033903</v>
      </c>
      <c r="W76" s="16"/>
      <c r="X76" s="20">
        <f>+P76-T76</f>
        <v>-32305.969999999914</v>
      </c>
      <c r="Y76" s="16"/>
      <c r="Z76" s="22">
        <f>IF(T76=0,0,X76/T76)</f>
        <v>-0.11975952431262178</v>
      </c>
    </row>
    <row r="77" spans="1:26" x14ac:dyDescent="0.25">
      <c r="A77" s="9"/>
      <c r="B77" s="10"/>
      <c r="C77" s="9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9" t="s">
        <v>9</v>
      </c>
      <c r="C78" s="10"/>
      <c r="D78" s="21">
        <f>SUM(OSRRefD22x_0)</f>
        <v>23516.780000000002</v>
      </c>
      <c r="E78" s="21"/>
      <c r="F78" s="33">
        <f t="shared" ref="F78:F88" si="15">IF(D$12=0,0,D78/D$12)</f>
        <v>0.36042202124512829</v>
      </c>
      <c r="G78" s="21"/>
      <c r="H78" s="21">
        <f>SUM(OSRRefH22x_0)</f>
        <v>20420.982352544612</v>
      </c>
      <c r="I78" s="21"/>
      <c r="J78" s="33">
        <f t="shared" ref="J78:J88" si="16">IF(H$12=0,0,H78/H$12)</f>
        <v>0.29574624328440108</v>
      </c>
      <c r="K78" s="4"/>
      <c r="L78" s="21">
        <f t="shared" ref="L78:L88" si="17">+D78-H78</f>
        <v>3095.7976474553907</v>
      </c>
      <c r="M78" s="4"/>
      <c r="N78" s="33">
        <f t="shared" ref="N78:N88" si="18">IF(H78=0,0,L78/H78)</f>
        <v>0.151598860133662</v>
      </c>
      <c r="O78" s="10"/>
      <c r="P78" s="21">
        <f>SUM(OSRRefP22x_0)</f>
        <v>111464.37999999998</v>
      </c>
      <c r="Q78" s="21"/>
      <c r="R78" s="33">
        <f t="shared" ref="R78:R88" si="19">IF(P$12=0,0,P78/P$12)</f>
        <v>0.23626303958155481</v>
      </c>
      <c r="S78" s="21"/>
      <c r="T78" s="21">
        <f>SUM(OSRRefT22x_0)</f>
        <v>110540.12351149536</v>
      </c>
      <c r="U78" s="21"/>
      <c r="V78" s="33">
        <f t="shared" ref="V78:V88" si="20">IF(T$12=0,0,T78/T$12)</f>
        <v>0.21595899540593438</v>
      </c>
      <c r="W78" s="4"/>
      <c r="X78" s="21">
        <f t="shared" ref="X78:X88" si="21">+P78-T78</f>
        <v>924.25648850461585</v>
      </c>
      <c r="Y78" s="4"/>
      <c r="Z78" s="33">
        <f t="shared" ref="Z78:Z88" si="22">IF(T78=0,0,X78/T78)</f>
        <v>8.3612760610720684E-3</v>
      </c>
    </row>
    <row r="79" spans="1:26" s="26" customFormat="1" outlineLevel="1" collapsed="1" x14ac:dyDescent="0.25">
      <c r="A79" s="27"/>
      <c r="B79" s="13" t="str">
        <f>CONCATENATE("     ","*Benefits                                         ")</f>
        <v xml:space="preserve">     *Benefits                                         </v>
      </c>
      <c r="C79" s="13"/>
      <c r="D79" s="1">
        <f>SUM(OSRRefD22_0x_0)</f>
        <v>5059.2400000000007</v>
      </c>
      <c r="E79" s="1"/>
      <c r="F79" s="5">
        <f t="shared" si="15"/>
        <v>7.7538740710429016E-2</v>
      </c>
      <c r="G79" s="1"/>
      <c r="H79" s="1">
        <f>SUM(OSRRefH22_0x_0)</f>
        <v>3319.7897586984609</v>
      </c>
      <c r="I79" s="1"/>
      <c r="J79" s="5">
        <f t="shared" si="16"/>
        <v>4.8078752171623933E-2</v>
      </c>
      <c r="K79" s="1"/>
      <c r="L79" s="1">
        <f t="shared" si="17"/>
        <v>1739.4502413015398</v>
      </c>
      <c r="M79" s="1"/>
      <c r="N79" s="5">
        <f t="shared" si="18"/>
        <v>0.5239639759547603</v>
      </c>
      <c r="O79" s="13"/>
      <c r="P79" s="1">
        <f>SUM(OSRRefP22_0x_0)</f>
        <v>18098.61</v>
      </c>
      <c r="Q79" s="1"/>
      <c r="R79" s="5">
        <f t="shared" si="19"/>
        <v>3.8362323558441942E-2</v>
      </c>
      <c r="S79" s="1"/>
      <c r="T79" s="1">
        <f>SUM(OSRRefT22_0x_0)</f>
        <v>17955.976745341541</v>
      </c>
      <c r="U79" s="1"/>
      <c r="V79" s="5">
        <f t="shared" si="20"/>
        <v>3.5080064833227911E-2</v>
      </c>
      <c r="W79" s="1"/>
      <c r="X79" s="1">
        <f t="shared" si="21"/>
        <v>142.63325465845992</v>
      </c>
      <c r="Y79" s="1"/>
      <c r="Z79" s="5">
        <f t="shared" si="22"/>
        <v>7.9434974037524506E-3</v>
      </c>
    </row>
    <row r="80" spans="1:26" s="24" customFormat="1" hidden="1" outlineLevel="2" x14ac:dyDescent="0.25">
      <c r="A80" s="25"/>
      <c r="B80" s="11" t="str">
        <f>CONCATENATE("          ", "6111", " - ", "F.I.C.A.")</f>
        <v xml:space="preserve">          6111 - F.I.C.A.</v>
      </c>
      <c r="C80" s="11"/>
      <c r="D80" s="6">
        <v>501.2</v>
      </c>
      <c r="E80" s="2"/>
      <c r="F80" s="7">
        <f t="shared" si="15"/>
        <v>7.6814732734693395E-3</v>
      </c>
      <c r="G80" s="2"/>
      <c r="H80" s="6">
        <v>768.44900934461498</v>
      </c>
      <c r="I80" s="2"/>
      <c r="J80" s="7">
        <f t="shared" si="16"/>
        <v>1.112903893386747E-2</v>
      </c>
      <c r="K80" s="2"/>
      <c r="L80" s="6">
        <f t="shared" si="17"/>
        <v>-267.24900934461499</v>
      </c>
      <c r="M80" s="2"/>
      <c r="N80" s="7">
        <f t="shared" si="18"/>
        <v>-0.34777715384465513</v>
      </c>
      <c r="O80" s="11"/>
      <c r="P80" s="6">
        <v>2937.82</v>
      </c>
      <c r="Q80" s="2"/>
      <c r="R80" s="7">
        <f t="shared" si="19"/>
        <v>6.2270860246428812E-3</v>
      </c>
      <c r="S80" s="2"/>
      <c r="T80" s="6">
        <v>4618.5518738953833</v>
      </c>
      <c r="U80" s="2"/>
      <c r="V80" s="7">
        <f t="shared" si="20"/>
        <v>9.0231292605071015E-3</v>
      </c>
      <c r="W80" s="2"/>
      <c r="X80" s="6">
        <f t="shared" si="21"/>
        <v>-1680.7318738953832</v>
      </c>
      <c r="Y80" s="2"/>
      <c r="Z80" s="7">
        <f t="shared" si="22"/>
        <v>-0.36390884411087465</v>
      </c>
    </row>
    <row r="81" spans="1:26" s="24" customFormat="1" hidden="1" outlineLevel="2" x14ac:dyDescent="0.25">
      <c r="A81" s="25"/>
      <c r="B81" s="11" t="str">
        <f>CONCATENATE("          ", "6112", " - ", "COMPENSATION INSURANCE")</f>
        <v xml:space="preserve">          6112 - COMPENSATION INSURANCE</v>
      </c>
      <c r="C81" s="11"/>
      <c r="D81" s="6">
        <v>328.21</v>
      </c>
      <c r="E81" s="2"/>
      <c r="F81" s="7">
        <f t="shared" si="15"/>
        <v>5.030200205677118E-3</v>
      </c>
      <c r="G81" s="2"/>
      <c r="H81" s="6">
        <v>263.38555030769197</v>
      </c>
      <c r="I81" s="2"/>
      <c r="J81" s="7">
        <f t="shared" si="16"/>
        <v>3.8144730598226183E-3</v>
      </c>
      <c r="K81" s="2"/>
      <c r="L81" s="6">
        <f t="shared" si="17"/>
        <v>64.824449692308008</v>
      </c>
      <c r="M81" s="2"/>
      <c r="N81" s="7">
        <f t="shared" si="18"/>
        <v>0.24611999259860254</v>
      </c>
      <c r="O81" s="11"/>
      <c r="P81" s="6">
        <v>1111.1199999999999</v>
      </c>
      <c r="Q81" s="2"/>
      <c r="R81" s="7">
        <f t="shared" si="19"/>
        <v>2.3551612500769948E-3</v>
      </c>
      <c r="S81" s="2"/>
      <c r="T81" s="6">
        <v>1452.859901692306</v>
      </c>
      <c r="U81" s="2"/>
      <c r="V81" s="7">
        <f t="shared" si="20"/>
        <v>2.8384097544671776E-3</v>
      </c>
      <c r="W81" s="2"/>
      <c r="X81" s="6">
        <f t="shared" si="21"/>
        <v>-341.73990169230615</v>
      </c>
      <c r="Y81" s="2"/>
      <c r="Z81" s="7">
        <f t="shared" si="22"/>
        <v>-0.23521875804696932</v>
      </c>
    </row>
    <row r="82" spans="1:26" s="24" customFormat="1" hidden="1" outlineLevel="2" x14ac:dyDescent="0.25">
      <c r="A82" s="25"/>
      <c r="B82" s="11" t="str">
        <f>CONCATENATE("          ", "6113", " - ", "GROUP INSURANCE")</f>
        <v xml:space="preserve">          6113 - GROUP INSURANCE</v>
      </c>
      <c r="C82" s="11"/>
      <c r="D82" s="6">
        <v>3100.31</v>
      </c>
      <c r="E82" s="2"/>
      <c r="F82" s="7">
        <f t="shared" si="15"/>
        <v>4.7515858747944388E-2</v>
      </c>
      <c r="G82" s="2"/>
      <c r="H82" s="6">
        <v>1288.05</v>
      </c>
      <c r="I82" s="2"/>
      <c r="J82" s="7">
        <f t="shared" si="16"/>
        <v>1.8654144158496141E-2</v>
      </c>
      <c r="K82" s="2"/>
      <c r="L82" s="6">
        <f t="shared" si="17"/>
        <v>1812.26</v>
      </c>
      <c r="M82" s="2"/>
      <c r="N82" s="7">
        <f t="shared" si="18"/>
        <v>1.406979542719615</v>
      </c>
      <c r="O82" s="11"/>
      <c r="P82" s="6">
        <v>7975.51</v>
      </c>
      <c r="Q82" s="2"/>
      <c r="R82" s="7">
        <f t="shared" si="19"/>
        <v>1.6905115650516216E-2</v>
      </c>
      <c r="S82" s="2"/>
      <c r="T82" s="6">
        <v>6440.25</v>
      </c>
      <c r="U82" s="2"/>
      <c r="V82" s="7">
        <f t="shared" si="20"/>
        <v>1.2582127430122084E-2</v>
      </c>
      <c r="W82" s="2"/>
      <c r="X82" s="6">
        <f t="shared" si="21"/>
        <v>1535.2600000000002</v>
      </c>
      <c r="Y82" s="2"/>
      <c r="Z82" s="7">
        <f t="shared" si="22"/>
        <v>0.23838515585575099</v>
      </c>
    </row>
    <row r="83" spans="1:26" s="24" customFormat="1" hidden="1" outlineLevel="2" x14ac:dyDescent="0.25">
      <c r="A83" s="25"/>
      <c r="B83" s="11" t="str">
        <f>CONCATENATE("          ", "6114", " - ", "STATE UNEMPLOYMENT INSURANCE")</f>
        <v xml:space="preserve">          6114 - STATE UNEMPLOYMENT INSURANCE</v>
      </c>
      <c r="C83" s="11"/>
      <c r="D83" s="6">
        <v>45.94</v>
      </c>
      <c r="E83" s="2"/>
      <c r="F83" s="7">
        <f t="shared" si="15"/>
        <v>7.0408396285550961E-4</v>
      </c>
      <c r="G83" s="2"/>
      <c r="H83" s="6">
        <v>36.042233199999998</v>
      </c>
      <c r="I83" s="2"/>
      <c r="J83" s="7">
        <f t="shared" si="16"/>
        <v>5.219805239757274E-4</v>
      </c>
      <c r="K83" s="2"/>
      <c r="L83" s="6">
        <f t="shared" si="17"/>
        <v>9.8977667999999994</v>
      </c>
      <c r="M83" s="2"/>
      <c r="N83" s="7">
        <f t="shared" si="18"/>
        <v>0.2746158026634154</v>
      </c>
      <c r="O83" s="11"/>
      <c r="P83" s="6">
        <v>194.02</v>
      </c>
      <c r="Q83" s="2"/>
      <c r="R83" s="7">
        <f t="shared" si="19"/>
        <v>4.1125025716388746E-4</v>
      </c>
      <c r="S83" s="2"/>
      <c r="T83" s="6">
        <v>198.8124076</v>
      </c>
      <c r="U83" s="2"/>
      <c r="V83" s="7">
        <f t="shared" si="20"/>
        <v>3.8841396640077207E-4</v>
      </c>
      <c r="W83" s="2"/>
      <c r="X83" s="6">
        <f t="shared" si="21"/>
        <v>-4.79240759999999</v>
      </c>
      <c r="Y83" s="2"/>
      <c r="Z83" s="7">
        <f t="shared" si="22"/>
        <v>-2.4105173604869065E-2</v>
      </c>
    </row>
    <row r="84" spans="1:26" s="24" customFormat="1" hidden="1" outlineLevel="2" x14ac:dyDescent="0.25">
      <c r="A84" s="25"/>
      <c r="B84" s="11" t="str">
        <f>CONCATENATE("          ", "6115", " - ", "P.E.R.S.")</f>
        <v xml:space="preserve">          6115 - P.E.R.S.</v>
      </c>
      <c r="C84" s="11"/>
      <c r="D84" s="6">
        <v>531.63</v>
      </c>
      <c r="E84" s="2"/>
      <c r="F84" s="7">
        <f t="shared" si="15"/>
        <v>8.1478484365014054E-3</v>
      </c>
      <c r="G84" s="2"/>
      <c r="H84" s="6">
        <v>451.12567507692296</v>
      </c>
      <c r="I84" s="2"/>
      <c r="J84" s="7">
        <f t="shared" si="16"/>
        <v>6.5334135914629169E-3</v>
      </c>
      <c r="K84" s="2"/>
      <c r="L84" s="6">
        <f t="shared" si="17"/>
        <v>80.504324923077036</v>
      </c>
      <c r="M84" s="2"/>
      <c r="N84" s="7">
        <f t="shared" si="18"/>
        <v>0.17845210186573834</v>
      </c>
      <c r="O84" s="11"/>
      <c r="P84" s="6">
        <v>1832.29</v>
      </c>
      <c r="Q84" s="2"/>
      <c r="R84" s="7">
        <f t="shared" si="19"/>
        <v>3.8837734960252518E-3</v>
      </c>
      <c r="S84" s="2"/>
      <c r="T84" s="6">
        <v>2481.1912129230768</v>
      </c>
      <c r="U84" s="2"/>
      <c r="V84" s="7">
        <f t="shared" si="20"/>
        <v>4.8474304599196195E-3</v>
      </c>
      <c r="W84" s="2"/>
      <c r="X84" s="6">
        <f t="shared" si="21"/>
        <v>-648.90121292307686</v>
      </c>
      <c r="Y84" s="2"/>
      <c r="Z84" s="7">
        <f t="shared" si="22"/>
        <v>-0.26152809567570978</v>
      </c>
    </row>
    <row r="85" spans="1:26" s="24" customFormat="1" hidden="1" outlineLevel="2" x14ac:dyDescent="0.25">
      <c r="A85" s="25"/>
      <c r="B85" s="11" t="str">
        <f>CONCATENATE("          ", "6116", " - ", "EDUCATIONAL BENEFITS")</f>
        <v xml:space="preserve">          6116 - EDUCATIONAL BENEFITS</v>
      </c>
      <c r="C85" s="11"/>
      <c r="D85" s="6"/>
      <c r="E85" s="2"/>
      <c r="F85" s="7">
        <f t="shared" si="15"/>
        <v>0</v>
      </c>
      <c r="G85" s="2"/>
      <c r="H85" s="6">
        <v>0</v>
      </c>
      <c r="I85" s="2"/>
      <c r="J85" s="7">
        <f t="shared" si="16"/>
        <v>0</v>
      </c>
      <c r="K85" s="2"/>
      <c r="L85" s="6">
        <f t="shared" si="17"/>
        <v>0</v>
      </c>
      <c r="M85" s="2"/>
      <c r="N85" s="7">
        <f t="shared" si="18"/>
        <v>0</v>
      </c>
      <c r="O85" s="11"/>
      <c r="P85" s="6"/>
      <c r="Q85" s="2"/>
      <c r="R85" s="7">
        <f t="shared" si="19"/>
        <v>0</v>
      </c>
      <c r="S85" s="2"/>
      <c r="T85" s="6">
        <v>0</v>
      </c>
      <c r="U85" s="2"/>
      <c r="V85" s="7">
        <f t="shared" si="20"/>
        <v>0</v>
      </c>
      <c r="W85" s="2"/>
      <c r="X85" s="6">
        <f t="shared" si="21"/>
        <v>0</v>
      </c>
      <c r="Y85" s="2"/>
      <c r="Z85" s="7">
        <f t="shared" si="22"/>
        <v>0</v>
      </c>
    </row>
    <row r="86" spans="1:26" s="24" customFormat="1" hidden="1" outlineLevel="2" x14ac:dyDescent="0.25">
      <c r="A86" s="25"/>
      <c r="B86" s="11" t="str">
        <f>CONCATENATE("          ", "6118", " - ", "VACATION")</f>
        <v xml:space="preserve">          6118 - VACATION</v>
      </c>
      <c r="C86" s="11"/>
      <c r="D86" s="6">
        <v>597.84</v>
      </c>
      <c r="E86" s="2"/>
      <c r="F86" s="7">
        <f t="shared" si="15"/>
        <v>9.1625937386490622E-3</v>
      </c>
      <c r="G86" s="2"/>
      <c r="H86" s="6">
        <v>202.954369230769</v>
      </c>
      <c r="I86" s="2"/>
      <c r="J86" s="7">
        <f t="shared" si="16"/>
        <v>2.9392803549764517E-3</v>
      </c>
      <c r="K86" s="2"/>
      <c r="L86" s="6">
        <f t="shared" si="17"/>
        <v>394.88563076923106</v>
      </c>
      <c r="M86" s="2"/>
      <c r="N86" s="7">
        <f t="shared" si="18"/>
        <v>1.9456867682421108</v>
      </c>
      <c r="O86" s="11"/>
      <c r="P86" s="6">
        <v>2038.58</v>
      </c>
      <c r="Q86" s="2"/>
      <c r="R86" s="7">
        <f t="shared" si="19"/>
        <v>4.3210315908110385E-3</v>
      </c>
      <c r="S86" s="2"/>
      <c r="T86" s="6">
        <v>1116.249030769231</v>
      </c>
      <c r="U86" s="2"/>
      <c r="V86" s="7">
        <f t="shared" si="20"/>
        <v>2.1807829740908709E-3</v>
      </c>
      <c r="W86" s="2"/>
      <c r="X86" s="6">
        <f t="shared" si="21"/>
        <v>922.33096923076891</v>
      </c>
      <c r="Y86" s="2"/>
      <c r="Z86" s="7">
        <f t="shared" si="22"/>
        <v>0.82627706166532655</v>
      </c>
    </row>
    <row r="87" spans="1:26" s="24" customFormat="1" hidden="1" outlineLevel="2" x14ac:dyDescent="0.25">
      <c r="A87" s="25"/>
      <c r="B87" s="11" t="str">
        <f>CONCATENATE("          ", "6119", " - ", "SICK LEAVE")</f>
        <v xml:space="preserve">          6119 - SICK LEAVE</v>
      </c>
      <c r="C87" s="11"/>
      <c r="D87" s="6">
        <v>-182.24</v>
      </c>
      <c r="E87" s="2"/>
      <c r="F87" s="7">
        <f t="shared" si="15"/>
        <v>-2.7930400825160661E-3</v>
      </c>
      <c r="G87" s="2"/>
      <c r="H87" s="6">
        <v>309.78292153846201</v>
      </c>
      <c r="I87" s="2"/>
      <c r="J87" s="7">
        <f t="shared" si="16"/>
        <v>4.4864215490226069E-3</v>
      </c>
      <c r="K87" s="2"/>
      <c r="L87" s="6">
        <f t="shared" si="17"/>
        <v>-492.02292153846201</v>
      </c>
      <c r="M87" s="2"/>
      <c r="N87" s="7">
        <f t="shared" si="18"/>
        <v>-1.5882829146776365</v>
      </c>
      <c r="O87" s="11"/>
      <c r="P87" s="6">
        <v>1225.27</v>
      </c>
      <c r="Q87" s="2"/>
      <c r="R87" s="7">
        <f t="shared" si="19"/>
        <v>2.5971168054592124E-3</v>
      </c>
      <c r="S87" s="2"/>
      <c r="T87" s="6">
        <v>1648.0623184615399</v>
      </c>
      <c r="U87" s="2"/>
      <c r="V87" s="7">
        <f t="shared" si="20"/>
        <v>3.2197709877202813E-3</v>
      </c>
      <c r="W87" s="2"/>
      <c r="X87" s="6">
        <f t="shared" si="21"/>
        <v>-422.79231846153994</v>
      </c>
      <c r="Y87" s="2"/>
      <c r="Z87" s="7">
        <f t="shared" si="22"/>
        <v>-0.25653903600939981</v>
      </c>
    </row>
    <row r="88" spans="1:26" s="24" customFormat="1" hidden="1" outlineLevel="2" x14ac:dyDescent="0.25">
      <c r="A88" s="25"/>
      <c r="B88" s="11" t="str">
        <f>CONCATENATE("          ", "6156", " - ", "EMPLOYEE MEALS")</f>
        <v xml:space="preserve">          6156 - EMPLOYEE MEALS</v>
      </c>
      <c r="C88" s="11"/>
      <c r="D88" s="6">
        <v>136.35</v>
      </c>
      <c r="E88" s="2"/>
      <c r="F88" s="7">
        <f t="shared" si="15"/>
        <v>2.0897224278482529E-3</v>
      </c>
      <c r="G88" s="2"/>
      <c r="H88" s="6"/>
      <c r="I88" s="2"/>
      <c r="J88" s="7">
        <f t="shared" si="16"/>
        <v>0</v>
      </c>
      <c r="K88" s="2"/>
      <c r="L88" s="6">
        <f t="shared" si="17"/>
        <v>136.35</v>
      </c>
      <c r="M88" s="2"/>
      <c r="N88" s="7">
        <f t="shared" si="18"/>
        <v>0</v>
      </c>
      <c r="O88" s="11"/>
      <c r="P88" s="6">
        <v>784</v>
      </c>
      <c r="Q88" s="2"/>
      <c r="R88" s="7">
        <f t="shared" si="19"/>
        <v>1.6617884837464578E-3</v>
      </c>
      <c r="S88" s="2"/>
      <c r="T88" s="6"/>
      <c r="U88" s="2"/>
      <c r="V88" s="7">
        <f t="shared" si="20"/>
        <v>0</v>
      </c>
      <c r="W88" s="2"/>
      <c r="X88" s="6">
        <f t="shared" si="21"/>
        <v>784</v>
      </c>
      <c r="Y88" s="2"/>
      <c r="Z88" s="7">
        <f t="shared" si="22"/>
        <v>0</v>
      </c>
    </row>
    <row r="89" spans="1:26" s="26" customFormat="1" outlineLevel="1" collapsed="1" x14ac:dyDescent="0.25">
      <c r="A89" s="27"/>
      <c r="B89" s="13" t="str">
        <f>CONCATENATE("     ","*Payroll                                          ")</f>
        <v xml:space="preserve">     *Payroll                                          </v>
      </c>
      <c r="C89" s="13"/>
      <c r="D89" s="1">
        <f>SUM(OSRRefD22_1x_0)</f>
        <v>15333.169999999998</v>
      </c>
      <c r="E89" s="1"/>
      <c r="F89" s="5">
        <f t="shared" ref="F89:F99" si="23">IF(D$12=0,0,D89/D$12)</f>
        <v>0.2349986742868353</v>
      </c>
      <c r="G89" s="1"/>
      <c r="H89" s="1">
        <f>SUM(OSRRefH22_1x_0)</f>
        <v>13536.19259384615</v>
      </c>
      <c r="I89" s="1"/>
      <c r="J89" s="5">
        <f t="shared" ref="J89:J99" si="24">IF(H$12=0,0,H89/H$12)</f>
        <v>0.19603748923005618</v>
      </c>
      <c r="K89" s="1"/>
      <c r="L89" s="1">
        <f t="shared" ref="L89:L99" si="25">+D89-H89</f>
        <v>1796.9774061538483</v>
      </c>
      <c r="M89" s="1"/>
      <c r="N89" s="5">
        <f t="shared" ref="N89:N99" si="26">IF(H89=0,0,L89/H89)</f>
        <v>0.1327535341784952</v>
      </c>
      <c r="O89" s="13"/>
      <c r="P89" s="1">
        <f>SUM(OSRRefP22_1x_0)</f>
        <v>76684.26999999999</v>
      </c>
      <c r="Q89" s="1"/>
      <c r="R89" s="5">
        <f t="shared" ref="R89:R99" si="27">IF(P$12=0,0,P89/P$12)</f>
        <v>0.16254213873788773</v>
      </c>
      <c r="S89" s="1"/>
      <c r="T89" s="1">
        <f>SUM(OSRRefT22_1x_0)</f>
        <v>74759.146766153834</v>
      </c>
      <c r="U89" s="1"/>
      <c r="V89" s="5">
        <f t="shared" ref="V89:V99" si="28">IF(T$12=0,0,T89/T$12)</f>
        <v>0.146054751163223</v>
      </c>
      <c r="W89" s="1"/>
      <c r="X89" s="1">
        <f t="shared" ref="X89:X99" si="29">+P89-T89</f>
        <v>1925.1232338461559</v>
      </c>
      <c r="Y89" s="1"/>
      <c r="Z89" s="5">
        <f t="shared" ref="Z89:Z99" si="30">IF(T89=0,0,X89/T89)</f>
        <v>2.5751005958748165E-2</v>
      </c>
    </row>
    <row r="90" spans="1:26" s="24" customFormat="1" hidden="1" outlineLevel="2" x14ac:dyDescent="0.25">
      <c r="A90" s="25"/>
      <c r="B90" s="11" t="str">
        <f>CONCATENATE("          ", "6001", " - ", "ADMINISTRATIVE SALARIES")</f>
        <v xml:space="preserve">          6001 - ADMINISTRATIVE SALARIES</v>
      </c>
      <c r="C90" s="11"/>
      <c r="D90" s="6"/>
      <c r="E90" s="2"/>
      <c r="F90" s="7">
        <f t="shared" si="23"/>
        <v>0</v>
      </c>
      <c r="G90" s="2"/>
      <c r="H90" s="6">
        <v>5063.3075938461498</v>
      </c>
      <c r="I90" s="2"/>
      <c r="J90" s="7">
        <f t="shared" si="24"/>
        <v>7.3329195120076324E-2</v>
      </c>
      <c r="K90" s="2"/>
      <c r="L90" s="6">
        <f t="shared" si="25"/>
        <v>-5063.3075938461498</v>
      </c>
      <c r="M90" s="2"/>
      <c r="N90" s="7">
        <f t="shared" si="26"/>
        <v>-1</v>
      </c>
      <c r="O90" s="11"/>
      <c r="P90" s="6"/>
      <c r="Q90" s="2"/>
      <c r="R90" s="7">
        <f t="shared" si="27"/>
        <v>0</v>
      </c>
      <c r="S90" s="2"/>
      <c r="T90" s="6">
        <v>27848.191766153828</v>
      </c>
      <c r="U90" s="2"/>
      <c r="V90" s="7">
        <f t="shared" si="28"/>
        <v>5.4406195023519906E-2</v>
      </c>
      <c r="W90" s="2"/>
      <c r="X90" s="6">
        <f t="shared" si="29"/>
        <v>-27848.191766153828</v>
      </c>
      <c r="Y90" s="2"/>
      <c r="Z90" s="7">
        <f t="shared" si="30"/>
        <v>-1</v>
      </c>
    </row>
    <row r="91" spans="1:26" s="24" customFormat="1" hidden="1" outlineLevel="2" x14ac:dyDescent="0.25">
      <c r="A91" s="25"/>
      <c r="B91" s="11" t="str">
        <f>CONCATENATE("          ", "6002", " - ", "STAFF SALARIES")</f>
        <v xml:space="preserve">          6002 - STAFF SALARIES</v>
      </c>
      <c r="C91" s="11"/>
      <c r="D91" s="6">
        <v>4928.6499999999996</v>
      </c>
      <c r="E91" s="2"/>
      <c r="F91" s="7">
        <f t="shared" si="23"/>
        <v>7.5537296985803387E-2</v>
      </c>
      <c r="G91" s="2"/>
      <c r="H91" s="6">
        <v>0</v>
      </c>
      <c r="I91" s="2"/>
      <c r="J91" s="7">
        <f t="shared" si="24"/>
        <v>0</v>
      </c>
      <c r="K91" s="2"/>
      <c r="L91" s="6">
        <f t="shared" si="25"/>
        <v>4928.6499999999996</v>
      </c>
      <c r="M91" s="2"/>
      <c r="N91" s="7">
        <f t="shared" si="26"/>
        <v>0</v>
      </c>
      <c r="O91" s="11"/>
      <c r="P91" s="6">
        <v>24936.76</v>
      </c>
      <c r="Q91" s="2"/>
      <c r="R91" s="7">
        <f t="shared" si="27"/>
        <v>5.2856658915751684E-2</v>
      </c>
      <c r="S91" s="2"/>
      <c r="T91" s="6">
        <v>0</v>
      </c>
      <c r="U91" s="2"/>
      <c r="V91" s="7">
        <f t="shared" si="28"/>
        <v>0</v>
      </c>
      <c r="W91" s="2"/>
      <c r="X91" s="6">
        <f t="shared" si="29"/>
        <v>24936.76</v>
      </c>
      <c r="Y91" s="2"/>
      <c r="Z91" s="7">
        <f t="shared" si="30"/>
        <v>0</v>
      </c>
    </row>
    <row r="92" spans="1:26" s="24" customFormat="1" hidden="1" outlineLevel="2" x14ac:dyDescent="0.25">
      <c r="A92" s="25"/>
      <c r="B92" s="11" t="str">
        <f>CONCATENATE("          ", "6003", " - ", "STAFF HOURLY-9 MONTH")</f>
        <v xml:space="preserve">          6003 - STAFF HOURLY-9 MONTH</v>
      </c>
      <c r="C92" s="11"/>
      <c r="D92" s="6"/>
      <c r="E92" s="2"/>
      <c r="F92" s="7">
        <f t="shared" si="23"/>
        <v>0</v>
      </c>
      <c r="G92" s="2"/>
      <c r="H92" s="6">
        <v>0</v>
      </c>
      <c r="I92" s="2"/>
      <c r="J92" s="7">
        <f t="shared" si="24"/>
        <v>0</v>
      </c>
      <c r="K92" s="2"/>
      <c r="L92" s="6">
        <f t="shared" si="25"/>
        <v>0</v>
      </c>
      <c r="M92" s="2"/>
      <c r="N92" s="7">
        <f t="shared" si="26"/>
        <v>0</v>
      </c>
      <c r="O92" s="11"/>
      <c r="P92" s="6"/>
      <c r="Q92" s="2"/>
      <c r="R92" s="7">
        <f t="shared" si="27"/>
        <v>0</v>
      </c>
      <c r="S92" s="2"/>
      <c r="T92" s="6">
        <v>0</v>
      </c>
      <c r="U92" s="2"/>
      <c r="V92" s="7">
        <f t="shared" si="28"/>
        <v>0</v>
      </c>
      <c r="W92" s="2"/>
      <c r="X92" s="6">
        <f t="shared" si="29"/>
        <v>0</v>
      </c>
      <c r="Y92" s="2"/>
      <c r="Z92" s="7">
        <f t="shared" si="30"/>
        <v>0</v>
      </c>
    </row>
    <row r="93" spans="1:26" s="24" customFormat="1" hidden="1" outlineLevel="2" x14ac:dyDescent="0.25">
      <c r="A93" s="25"/>
      <c r="B93" s="11" t="str">
        <f>CONCATENATE("          ", "6004", " - ", "STAFF HOURLY")</f>
        <v xml:space="preserve">          6004 - STAFF HOURLY</v>
      </c>
      <c r="C93" s="11"/>
      <c r="D93" s="6">
        <v>-48</v>
      </c>
      <c r="E93" s="2"/>
      <c r="F93" s="7">
        <f t="shared" si="23"/>
        <v>-7.3565586018860393E-4</v>
      </c>
      <c r="G93" s="2"/>
      <c r="H93" s="6">
        <v>0</v>
      </c>
      <c r="I93" s="2"/>
      <c r="J93" s="7">
        <f t="shared" si="24"/>
        <v>0</v>
      </c>
      <c r="K93" s="2"/>
      <c r="L93" s="6">
        <f t="shared" si="25"/>
        <v>-48</v>
      </c>
      <c r="M93" s="2"/>
      <c r="N93" s="7">
        <f t="shared" si="26"/>
        <v>0</v>
      </c>
      <c r="O93" s="11"/>
      <c r="P93" s="6">
        <v>-48</v>
      </c>
      <c r="Q93" s="2"/>
      <c r="R93" s="7">
        <f t="shared" si="27"/>
        <v>-1.0174215206610967E-4</v>
      </c>
      <c r="S93" s="2"/>
      <c r="T93" s="6">
        <v>0</v>
      </c>
      <c r="U93" s="2"/>
      <c r="V93" s="7">
        <f t="shared" si="28"/>
        <v>0</v>
      </c>
      <c r="W93" s="2"/>
      <c r="X93" s="6">
        <f t="shared" si="29"/>
        <v>-48</v>
      </c>
      <c r="Y93" s="2"/>
      <c r="Z93" s="7">
        <f t="shared" si="30"/>
        <v>0</v>
      </c>
    </row>
    <row r="94" spans="1:26" s="24" customFormat="1" hidden="1" outlineLevel="2" x14ac:dyDescent="0.25">
      <c r="A94" s="25"/>
      <c r="B94" s="11" t="str">
        <f>CONCATENATE("          ", "6005", " - ", "TEMPORARY WAGES-HOURLY")</f>
        <v xml:space="preserve">          6005 - TEMPORARY WAGES-HOURLY</v>
      </c>
      <c r="C94" s="11"/>
      <c r="D94" s="6">
        <v>1265.1300000000001</v>
      </c>
      <c r="E94" s="2"/>
      <c r="F94" s="7">
        <f t="shared" si="23"/>
        <v>1.9389589550008513E-2</v>
      </c>
      <c r="G94" s="2"/>
      <c r="H94" s="6">
        <v>0</v>
      </c>
      <c r="I94" s="2"/>
      <c r="J94" s="7">
        <f t="shared" si="24"/>
        <v>0</v>
      </c>
      <c r="K94" s="2"/>
      <c r="L94" s="6">
        <f t="shared" si="25"/>
        <v>1265.1300000000001</v>
      </c>
      <c r="M94" s="2"/>
      <c r="N94" s="7">
        <f t="shared" si="26"/>
        <v>0</v>
      </c>
      <c r="O94" s="11"/>
      <c r="P94" s="6">
        <v>1682.01</v>
      </c>
      <c r="Q94" s="2"/>
      <c r="R94" s="7">
        <f t="shared" si="27"/>
        <v>3.5652357749316067E-3</v>
      </c>
      <c r="S94" s="2"/>
      <c r="T94" s="6">
        <v>0</v>
      </c>
      <c r="U94" s="2"/>
      <c r="V94" s="7">
        <f t="shared" si="28"/>
        <v>0</v>
      </c>
      <c r="W94" s="2"/>
      <c r="X94" s="6">
        <f t="shared" si="29"/>
        <v>1682.01</v>
      </c>
      <c r="Y94" s="2"/>
      <c r="Z94" s="7">
        <f t="shared" si="30"/>
        <v>0</v>
      </c>
    </row>
    <row r="95" spans="1:26" s="24" customFormat="1" hidden="1" outlineLevel="2" x14ac:dyDescent="0.25">
      <c r="A95" s="25"/>
      <c r="B95" s="11" t="str">
        <f>CONCATENATE("          ", "6006", " - ", "TEMPORARY PART TIME")</f>
        <v xml:space="preserve">          6006 - TEMPORARY PART TIME</v>
      </c>
      <c r="C95" s="11"/>
      <c r="D95" s="6"/>
      <c r="E95" s="2"/>
      <c r="F95" s="7">
        <f t="shared" si="23"/>
        <v>0</v>
      </c>
      <c r="G95" s="2"/>
      <c r="H95" s="6">
        <v>0</v>
      </c>
      <c r="I95" s="2"/>
      <c r="J95" s="7">
        <f t="shared" si="24"/>
        <v>0</v>
      </c>
      <c r="K95" s="2"/>
      <c r="L95" s="6">
        <f t="shared" si="25"/>
        <v>0</v>
      </c>
      <c r="M95" s="2"/>
      <c r="N95" s="7">
        <f t="shared" si="26"/>
        <v>0</v>
      </c>
      <c r="O95" s="11"/>
      <c r="P95" s="6">
        <v>25.5</v>
      </c>
      <c r="Q95" s="2"/>
      <c r="R95" s="7">
        <f t="shared" si="27"/>
        <v>5.4050518285120759E-5</v>
      </c>
      <c r="S95" s="2"/>
      <c r="T95" s="6">
        <v>0</v>
      </c>
      <c r="U95" s="2"/>
      <c r="V95" s="7">
        <f t="shared" si="28"/>
        <v>0</v>
      </c>
      <c r="W95" s="2"/>
      <c r="X95" s="6">
        <f t="shared" si="29"/>
        <v>25.5</v>
      </c>
      <c r="Y95" s="2"/>
      <c r="Z95" s="7">
        <f t="shared" si="30"/>
        <v>0</v>
      </c>
    </row>
    <row r="96" spans="1:26" s="24" customFormat="1" hidden="1" outlineLevel="2" x14ac:dyDescent="0.25">
      <c r="A96" s="25"/>
      <c r="B96" s="11" t="str">
        <f>CONCATENATE("          ", "6007", " - ", "STUDENT HOURLY")</f>
        <v xml:space="preserve">          6007 - STUDENT HOURLY</v>
      </c>
      <c r="C96" s="11"/>
      <c r="D96" s="6">
        <v>9187.39</v>
      </c>
      <c r="E96" s="2"/>
      <c r="F96" s="7">
        <f t="shared" si="23"/>
        <v>0.14080744361121203</v>
      </c>
      <c r="G96" s="2"/>
      <c r="H96" s="6">
        <v>4651.6350000000002</v>
      </c>
      <c r="I96" s="2"/>
      <c r="J96" s="7">
        <f t="shared" si="24"/>
        <v>6.7367159553360659E-2</v>
      </c>
      <c r="K96" s="2"/>
      <c r="L96" s="6">
        <f t="shared" si="25"/>
        <v>4535.7549999999992</v>
      </c>
      <c r="M96" s="2"/>
      <c r="N96" s="7">
        <f t="shared" si="26"/>
        <v>0.97508832915738208</v>
      </c>
      <c r="O96" s="11"/>
      <c r="P96" s="6">
        <v>50088</v>
      </c>
      <c r="Q96" s="2"/>
      <c r="R96" s="7">
        <f t="shared" si="27"/>
        <v>0.10616793568098544</v>
      </c>
      <c r="S96" s="2"/>
      <c r="T96" s="6">
        <v>30845.37</v>
      </c>
      <c r="U96" s="2"/>
      <c r="V96" s="7">
        <f t="shared" si="28"/>
        <v>6.026169418411783E-2</v>
      </c>
      <c r="W96" s="2"/>
      <c r="X96" s="6">
        <f t="shared" si="29"/>
        <v>19242.63</v>
      </c>
      <c r="Y96" s="2"/>
      <c r="Z96" s="7">
        <f t="shared" si="30"/>
        <v>0.62384176296150773</v>
      </c>
    </row>
    <row r="97" spans="1:26" s="24" customFormat="1" hidden="1" outlineLevel="2" x14ac:dyDescent="0.25">
      <c r="A97" s="25"/>
      <c r="B97" s="11" t="str">
        <f>CONCATENATE("          ", "6008", " - ", "STUDENT HOURLY-FICA EXEMPT")</f>
        <v xml:space="preserve">          6008 - STUDENT HOURLY-FICA EXEMPT</v>
      </c>
      <c r="C97" s="11"/>
      <c r="D97" s="6"/>
      <c r="E97" s="2"/>
      <c r="F97" s="7">
        <f t="shared" si="23"/>
        <v>0</v>
      </c>
      <c r="G97" s="2"/>
      <c r="H97" s="6">
        <v>3821.25</v>
      </c>
      <c r="I97" s="2"/>
      <c r="J97" s="7">
        <f t="shared" si="24"/>
        <v>5.5341134556619209E-2</v>
      </c>
      <c r="K97" s="2"/>
      <c r="L97" s="6">
        <f t="shared" si="25"/>
        <v>-3821.25</v>
      </c>
      <c r="M97" s="2"/>
      <c r="N97" s="7">
        <f t="shared" si="26"/>
        <v>-1</v>
      </c>
      <c r="O97" s="11"/>
      <c r="P97" s="6"/>
      <c r="Q97" s="2"/>
      <c r="R97" s="7">
        <f t="shared" si="27"/>
        <v>0</v>
      </c>
      <c r="S97" s="2"/>
      <c r="T97" s="6">
        <v>16065.584999999999</v>
      </c>
      <c r="U97" s="2"/>
      <c r="V97" s="7">
        <f t="shared" si="28"/>
        <v>3.1386861955585252E-2</v>
      </c>
      <c r="W97" s="2"/>
      <c r="X97" s="6">
        <f t="shared" si="29"/>
        <v>-16065.584999999999</v>
      </c>
      <c r="Y97" s="2"/>
      <c r="Z97" s="7">
        <f t="shared" si="30"/>
        <v>-1</v>
      </c>
    </row>
    <row r="98" spans="1:26" s="24" customFormat="1" hidden="1" outlineLevel="2" x14ac:dyDescent="0.25">
      <c r="A98" s="25"/>
      <c r="B98" s="11" t="str">
        <f>CONCATENATE("          ", "6009", " - ", "TEMPORARY-SEASONAL")</f>
        <v xml:space="preserve">          6009 - TEMPORARY-SEASONAL</v>
      </c>
      <c r="C98" s="11"/>
      <c r="D98" s="6"/>
      <c r="E98" s="2"/>
      <c r="F98" s="7">
        <f t="shared" si="23"/>
        <v>0</v>
      </c>
      <c r="G98" s="2"/>
      <c r="H98" s="6">
        <v>0</v>
      </c>
      <c r="I98" s="2"/>
      <c r="J98" s="7">
        <f t="shared" si="24"/>
        <v>0</v>
      </c>
      <c r="K98" s="2"/>
      <c r="L98" s="6">
        <f t="shared" si="25"/>
        <v>0</v>
      </c>
      <c r="M98" s="2"/>
      <c r="N98" s="7">
        <f t="shared" si="26"/>
        <v>0</v>
      </c>
      <c r="O98" s="11"/>
      <c r="P98" s="6"/>
      <c r="Q98" s="2"/>
      <c r="R98" s="7">
        <f t="shared" si="27"/>
        <v>0</v>
      </c>
      <c r="S98" s="2"/>
      <c r="T98" s="6">
        <v>0</v>
      </c>
      <c r="U98" s="2"/>
      <c r="V98" s="7">
        <f t="shared" si="28"/>
        <v>0</v>
      </c>
      <c r="W98" s="2"/>
      <c r="X98" s="6">
        <f t="shared" si="29"/>
        <v>0</v>
      </c>
      <c r="Y98" s="2"/>
      <c r="Z98" s="7">
        <f t="shared" si="30"/>
        <v>0</v>
      </c>
    </row>
    <row r="99" spans="1:26" s="24" customFormat="1" hidden="1" outlineLevel="2" x14ac:dyDescent="0.25">
      <c r="A99" s="25"/>
      <c r="B99" s="11" t="str">
        <f>CONCATENATE("          ", "6010", " - ", "GRATUITY")</f>
        <v xml:space="preserve">          6010 - GRATUITY</v>
      </c>
      <c r="C99" s="11"/>
      <c r="D99" s="6"/>
      <c r="E99" s="2"/>
      <c r="F99" s="7">
        <f t="shared" si="23"/>
        <v>0</v>
      </c>
      <c r="G99" s="2"/>
      <c r="H99" s="6">
        <v>0</v>
      </c>
      <c r="I99" s="2"/>
      <c r="J99" s="7">
        <f t="shared" si="24"/>
        <v>0</v>
      </c>
      <c r="K99" s="2"/>
      <c r="L99" s="6">
        <f t="shared" si="25"/>
        <v>0</v>
      </c>
      <c r="M99" s="2"/>
      <c r="N99" s="7">
        <f t="shared" si="26"/>
        <v>0</v>
      </c>
      <c r="O99" s="11"/>
      <c r="P99" s="6"/>
      <c r="Q99" s="2"/>
      <c r="R99" s="7">
        <f t="shared" si="27"/>
        <v>0</v>
      </c>
      <c r="S99" s="2"/>
      <c r="T99" s="6">
        <v>0</v>
      </c>
      <c r="U99" s="2"/>
      <c r="V99" s="7">
        <f t="shared" si="28"/>
        <v>0</v>
      </c>
      <c r="W99" s="2"/>
      <c r="X99" s="6">
        <f t="shared" si="29"/>
        <v>0</v>
      </c>
      <c r="Y99" s="2"/>
      <c r="Z99" s="7">
        <f t="shared" si="30"/>
        <v>0</v>
      </c>
    </row>
    <row r="100" spans="1:26" s="26" customFormat="1" outlineLevel="1" collapsed="1" x14ac:dyDescent="0.25">
      <c r="A100" s="27"/>
      <c r="B100" s="13" t="str">
        <f>CONCATENATE("     ","Advertising/Promo                                 ")</f>
        <v xml:space="preserve">     Advertising/Promo                                 </v>
      </c>
      <c r="C100" s="13"/>
      <c r="D100" s="1">
        <f>SUM(OSRRefD22_2x_0)</f>
        <v>660</v>
      </c>
      <c r="E100" s="1"/>
      <c r="F100" s="5">
        <f t="shared" ref="F100:F106" si="31">IF(D$12=0,0,D100/D$12)</f>
        <v>1.0115268077593303E-2</v>
      </c>
      <c r="G100" s="1"/>
      <c r="H100" s="1">
        <f>SUM(OSRRefH22_2x_0)</f>
        <v>120</v>
      </c>
      <c r="I100" s="1"/>
      <c r="J100" s="5">
        <f t="shared" ref="J100:J106" si="32">IF(H$12=0,0,H100/H$12)</f>
        <v>1.7378962765572275E-3</v>
      </c>
      <c r="K100" s="1"/>
      <c r="L100" s="1">
        <f t="shared" ref="L100:L106" si="33">+D100-H100</f>
        <v>540</v>
      </c>
      <c r="M100" s="1"/>
      <c r="N100" s="5">
        <f t="shared" ref="N100:N106" si="34">IF(H100=0,0,L100/H100)</f>
        <v>4.5</v>
      </c>
      <c r="O100" s="13"/>
      <c r="P100" s="1">
        <f>SUM(OSRRefP22_2x_0)</f>
        <v>1845.48</v>
      </c>
      <c r="Q100" s="1"/>
      <c r="R100" s="5">
        <f t="shared" ref="R100:R106" si="35">IF(P$12=0,0,P100/P$12)</f>
        <v>3.9117313915617517E-3</v>
      </c>
      <c r="S100" s="1"/>
      <c r="T100" s="1">
        <f>SUM(OSRRefT22_2x_0)</f>
        <v>600</v>
      </c>
      <c r="U100" s="1"/>
      <c r="V100" s="5">
        <f t="shared" ref="V100:V106" si="36">IF(T$12=0,0,T100/T$12)</f>
        <v>1.172202392465083E-3</v>
      </c>
      <c r="W100" s="1"/>
      <c r="X100" s="1">
        <f t="shared" ref="X100:X106" si="37">+P100-T100</f>
        <v>1245.48</v>
      </c>
      <c r="Y100" s="1"/>
      <c r="Z100" s="5">
        <f t="shared" ref="Z100:Z106" si="38">IF(T100=0,0,X100/T100)</f>
        <v>2.0758000000000001</v>
      </c>
    </row>
    <row r="101" spans="1:26" s="24" customFormat="1" hidden="1" outlineLevel="2" x14ac:dyDescent="0.25">
      <c r="A101" s="25"/>
      <c r="B101" s="11" t="str">
        <f>CONCATENATE("          ", "6362", " - ", "ADVERTISING EXPENSE")</f>
        <v xml:space="preserve">          6362 - ADVERTISING EXPENSE</v>
      </c>
      <c r="C101" s="11"/>
      <c r="D101" s="6">
        <v>660</v>
      </c>
      <c r="E101" s="2"/>
      <c r="F101" s="7">
        <f t="shared" si="31"/>
        <v>1.0115268077593303E-2</v>
      </c>
      <c r="G101" s="2"/>
      <c r="H101" s="6">
        <v>120</v>
      </c>
      <c r="I101" s="2"/>
      <c r="J101" s="7">
        <f t="shared" si="32"/>
        <v>1.7378962765572275E-3</v>
      </c>
      <c r="K101" s="2"/>
      <c r="L101" s="6">
        <f t="shared" si="33"/>
        <v>540</v>
      </c>
      <c r="M101" s="2"/>
      <c r="N101" s="7">
        <f t="shared" si="34"/>
        <v>4.5</v>
      </c>
      <c r="O101" s="11"/>
      <c r="P101" s="6">
        <v>1845.48</v>
      </c>
      <c r="Q101" s="2"/>
      <c r="R101" s="7">
        <f t="shared" si="35"/>
        <v>3.9117313915617517E-3</v>
      </c>
      <c r="S101" s="2"/>
      <c r="T101" s="6">
        <v>600</v>
      </c>
      <c r="U101" s="2"/>
      <c r="V101" s="7">
        <f t="shared" si="36"/>
        <v>1.172202392465083E-3</v>
      </c>
      <c r="W101" s="2"/>
      <c r="X101" s="6">
        <f t="shared" si="37"/>
        <v>1245.48</v>
      </c>
      <c r="Y101" s="2"/>
      <c r="Z101" s="7">
        <f t="shared" si="38"/>
        <v>2.0758000000000001</v>
      </c>
    </row>
    <row r="102" spans="1:26" s="26" customFormat="1" outlineLevel="1" collapsed="1" x14ac:dyDescent="0.25">
      <c r="A102" s="27"/>
      <c r="B102" s="13" t="str">
        <f>CONCATENATE("     ","Bad Debts/Over/Short                              ")</f>
        <v xml:space="preserve">     Bad Debts/Over/Short                              </v>
      </c>
      <c r="C102" s="13"/>
      <c r="D102" s="1">
        <f>SUM(OSRRefD22_3x_0)</f>
        <v>0.35</v>
      </c>
      <c r="E102" s="1"/>
      <c r="F102" s="5">
        <f t="shared" si="31"/>
        <v>5.3641573138752365E-6</v>
      </c>
      <c r="G102" s="1"/>
      <c r="H102" s="1">
        <f>SUM(OSRRefH22_3x_0)</f>
        <v>0</v>
      </c>
      <c r="I102" s="1"/>
      <c r="J102" s="5">
        <f t="shared" si="32"/>
        <v>0</v>
      </c>
      <c r="K102" s="1"/>
      <c r="L102" s="1">
        <f t="shared" si="33"/>
        <v>0.35</v>
      </c>
      <c r="M102" s="1"/>
      <c r="N102" s="5">
        <f t="shared" si="34"/>
        <v>0</v>
      </c>
      <c r="O102" s="13"/>
      <c r="P102" s="1">
        <f>SUM(OSRRefP22_3x_0)</f>
        <v>-47.21</v>
      </c>
      <c r="Q102" s="1"/>
      <c r="R102" s="5">
        <f t="shared" si="35"/>
        <v>-1.0006764581335494E-4</v>
      </c>
      <c r="S102" s="1"/>
      <c r="T102" s="1">
        <f>SUM(OSRRefT22_3x_0)</f>
        <v>0</v>
      </c>
      <c r="U102" s="1"/>
      <c r="V102" s="5">
        <f t="shared" si="36"/>
        <v>0</v>
      </c>
      <c r="W102" s="1"/>
      <c r="X102" s="1">
        <f t="shared" si="37"/>
        <v>-47.21</v>
      </c>
      <c r="Y102" s="1"/>
      <c r="Z102" s="5">
        <f t="shared" si="38"/>
        <v>0</v>
      </c>
    </row>
    <row r="103" spans="1:26" s="24" customFormat="1" hidden="1" outlineLevel="2" x14ac:dyDescent="0.25">
      <c r="A103" s="25"/>
      <c r="B103" s="11" t="str">
        <f>CONCATENATE("          ", "6272", " - ", "CASH (OVER/SHORT)")</f>
        <v xml:space="preserve">          6272 - CASH (OVER/SHORT)</v>
      </c>
      <c r="C103" s="11"/>
      <c r="D103" s="6">
        <v>0.35</v>
      </c>
      <c r="E103" s="2"/>
      <c r="F103" s="7">
        <f t="shared" si="31"/>
        <v>5.3641573138752365E-6</v>
      </c>
      <c r="G103" s="2"/>
      <c r="H103" s="6"/>
      <c r="I103" s="2"/>
      <c r="J103" s="7">
        <f t="shared" si="32"/>
        <v>0</v>
      </c>
      <c r="K103" s="2"/>
      <c r="L103" s="6">
        <f t="shared" si="33"/>
        <v>0.35</v>
      </c>
      <c r="M103" s="2"/>
      <c r="N103" s="7">
        <f t="shared" si="34"/>
        <v>0</v>
      </c>
      <c r="O103" s="11"/>
      <c r="P103" s="6">
        <v>-47.21</v>
      </c>
      <c r="Q103" s="2"/>
      <c r="R103" s="7">
        <f t="shared" si="35"/>
        <v>-1.0006764581335494E-4</v>
      </c>
      <c r="S103" s="2"/>
      <c r="T103" s="6"/>
      <c r="U103" s="2"/>
      <c r="V103" s="7">
        <f t="shared" si="36"/>
        <v>0</v>
      </c>
      <c r="W103" s="2"/>
      <c r="X103" s="6">
        <f t="shared" si="37"/>
        <v>-47.21</v>
      </c>
      <c r="Y103" s="2"/>
      <c r="Z103" s="7">
        <f t="shared" si="38"/>
        <v>0</v>
      </c>
    </row>
    <row r="104" spans="1:26" s="26" customFormat="1" outlineLevel="1" collapsed="1" x14ac:dyDescent="0.25">
      <c r="A104" s="27"/>
      <c r="B104" s="13" t="str">
        <f>CONCATENATE("     ","Discounts and Markdowns                           ")</f>
        <v xml:space="preserve">     Discounts and Markdowns                           </v>
      </c>
      <c r="C104" s="13"/>
      <c r="D104" s="1">
        <f>SUM(OSRRefD22_4x_0)</f>
        <v>1768.05</v>
      </c>
      <c r="E104" s="1"/>
      <c r="F104" s="5">
        <f t="shared" si="31"/>
        <v>2.7097423825134605E-2</v>
      </c>
      <c r="G104" s="1"/>
      <c r="H104" s="1">
        <f>SUM(OSRRefH22_4x_0)</f>
        <v>2500</v>
      </c>
      <c r="I104" s="1"/>
      <c r="J104" s="5">
        <f t="shared" si="32"/>
        <v>3.620617242827557E-2</v>
      </c>
      <c r="K104" s="1"/>
      <c r="L104" s="1">
        <f t="shared" si="33"/>
        <v>-731.95</v>
      </c>
      <c r="M104" s="1"/>
      <c r="N104" s="5">
        <f t="shared" si="34"/>
        <v>-0.29278000000000004</v>
      </c>
      <c r="O104" s="13"/>
      <c r="P104" s="1">
        <f>SUM(OSRRefP22_4x_0)</f>
        <v>10225.18</v>
      </c>
      <c r="Q104" s="1"/>
      <c r="R104" s="5">
        <f t="shared" si="35"/>
        <v>2.1673579551319651E-2</v>
      </c>
      <c r="S104" s="1"/>
      <c r="T104" s="1">
        <f>SUM(OSRRefT22_4x_0)</f>
        <v>12500</v>
      </c>
      <c r="U104" s="1"/>
      <c r="V104" s="5">
        <f t="shared" si="36"/>
        <v>2.4420883176355896E-2</v>
      </c>
      <c r="W104" s="1"/>
      <c r="X104" s="1">
        <f t="shared" si="37"/>
        <v>-2274.8199999999997</v>
      </c>
      <c r="Y104" s="1"/>
      <c r="Z104" s="5">
        <f t="shared" si="38"/>
        <v>-0.18198559999999997</v>
      </c>
    </row>
    <row r="105" spans="1:26" s="24" customFormat="1" hidden="1" outlineLevel="2" x14ac:dyDescent="0.25">
      <c r="A105" s="25"/>
      <c r="B105" s="11" t="str">
        <f>CONCATENATE("          ", "6382", " - ", "DISCOUNTS/MARK DOWNS")</f>
        <v xml:space="preserve">          6382 - DISCOUNTS/MARK DOWNS</v>
      </c>
      <c r="C105" s="11"/>
      <c r="D105" s="6">
        <v>1579.48</v>
      </c>
      <c r="E105" s="2"/>
      <c r="F105" s="7">
        <f t="shared" si="31"/>
        <v>2.4207369126056168E-2</v>
      </c>
      <c r="G105" s="2"/>
      <c r="H105" s="6">
        <v>2500</v>
      </c>
      <c r="I105" s="2"/>
      <c r="J105" s="7">
        <f t="shared" si="32"/>
        <v>3.620617242827557E-2</v>
      </c>
      <c r="K105" s="2"/>
      <c r="L105" s="6">
        <f t="shared" si="33"/>
        <v>-920.52</v>
      </c>
      <c r="M105" s="2"/>
      <c r="N105" s="7">
        <f t="shared" si="34"/>
        <v>-0.36820799999999998</v>
      </c>
      <c r="O105" s="11"/>
      <c r="P105" s="6">
        <v>10225.18</v>
      </c>
      <c r="Q105" s="2"/>
      <c r="R105" s="7">
        <f t="shared" si="35"/>
        <v>2.1673579551319651E-2</v>
      </c>
      <c r="S105" s="2"/>
      <c r="T105" s="6">
        <v>12500</v>
      </c>
      <c r="U105" s="2"/>
      <c r="V105" s="7">
        <f t="shared" si="36"/>
        <v>2.4420883176355896E-2</v>
      </c>
      <c r="W105" s="2"/>
      <c r="X105" s="6">
        <f t="shared" si="37"/>
        <v>-2274.8199999999997</v>
      </c>
      <c r="Y105" s="2"/>
      <c r="Z105" s="7">
        <f t="shared" si="38"/>
        <v>-0.18198559999999997</v>
      </c>
    </row>
    <row r="106" spans="1:26" s="24" customFormat="1" hidden="1" outlineLevel="2" x14ac:dyDescent="0.25">
      <c r="A106" s="25"/>
      <c r="B106" s="11" t="str">
        <f>CONCATENATE("          ", "9175", " - ", "EARNED DISCOUNTS")</f>
        <v xml:space="preserve">          9175 - EARNED DISCOUNTS</v>
      </c>
      <c r="C106" s="11"/>
      <c r="D106" s="6">
        <v>188.57</v>
      </c>
      <c r="E106" s="2"/>
      <c r="F106" s="7">
        <f t="shared" si="31"/>
        <v>2.8900546990784383E-3</v>
      </c>
      <c r="G106" s="2"/>
      <c r="H106" s="6"/>
      <c r="I106" s="2"/>
      <c r="J106" s="7">
        <f t="shared" si="32"/>
        <v>0</v>
      </c>
      <c r="K106" s="2"/>
      <c r="L106" s="6">
        <f t="shared" si="33"/>
        <v>188.57</v>
      </c>
      <c r="M106" s="2"/>
      <c r="N106" s="7">
        <f t="shared" si="34"/>
        <v>0</v>
      </c>
      <c r="O106" s="11"/>
      <c r="P106" s="6">
        <v>0</v>
      </c>
      <c r="Q106" s="2"/>
      <c r="R106" s="7">
        <f t="shared" si="35"/>
        <v>0</v>
      </c>
      <c r="S106" s="2"/>
      <c r="T106" s="6"/>
      <c r="U106" s="2"/>
      <c r="V106" s="7">
        <f t="shared" si="36"/>
        <v>0</v>
      </c>
      <c r="W106" s="2"/>
      <c r="X106" s="6">
        <f t="shared" si="37"/>
        <v>0</v>
      </c>
      <c r="Y106" s="2"/>
      <c r="Z106" s="7">
        <f t="shared" si="38"/>
        <v>0</v>
      </c>
    </row>
    <row r="107" spans="1:26" s="26" customFormat="1" outlineLevel="1" collapsed="1" x14ac:dyDescent="0.25">
      <c r="A107" s="27"/>
      <c r="B107" s="13" t="str">
        <f>CONCATENATE("     ","Employees' Appreciation                           ")</f>
        <v xml:space="preserve">     Employees' Appreciation                           </v>
      </c>
      <c r="C107" s="13"/>
      <c r="D107" s="1">
        <f>SUM(OSRRefD22_5x_0)</f>
        <v>0</v>
      </c>
      <c r="E107" s="1"/>
      <c r="F107" s="5">
        <f t="shared" ref="F107:F117" si="39">IF(D$12=0,0,D107/D$12)</f>
        <v>0</v>
      </c>
      <c r="G107" s="1"/>
      <c r="H107" s="1">
        <f>SUM(OSRRefH22_5x_0)</f>
        <v>50</v>
      </c>
      <c r="I107" s="1"/>
      <c r="J107" s="5">
        <f t="shared" ref="J107:J117" si="40">IF(H$12=0,0,H107/H$12)</f>
        <v>7.2412344856551147E-4</v>
      </c>
      <c r="K107" s="1"/>
      <c r="L107" s="1">
        <f t="shared" ref="L107:L117" si="41">+D107-H107</f>
        <v>-50</v>
      </c>
      <c r="M107" s="1"/>
      <c r="N107" s="5">
        <f t="shared" ref="N107:N117" si="42">IF(H107=0,0,L107/H107)</f>
        <v>-1</v>
      </c>
      <c r="O107" s="13"/>
      <c r="P107" s="1">
        <f>SUM(OSRRefP22_5x_0)</f>
        <v>0</v>
      </c>
      <c r="Q107" s="1"/>
      <c r="R107" s="5">
        <f t="shared" ref="R107:R117" si="43">IF(P$12=0,0,P107/P$12)</f>
        <v>0</v>
      </c>
      <c r="S107" s="1"/>
      <c r="T107" s="1">
        <f>SUM(OSRRefT22_5x_0)</f>
        <v>250</v>
      </c>
      <c r="U107" s="1"/>
      <c r="V107" s="5">
        <f t="shared" ref="V107:V117" si="44">IF(T$12=0,0,T107/T$12)</f>
        <v>4.884176635271179E-4</v>
      </c>
      <c r="W107" s="1"/>
      <c r="X107" s="1">
        <f t="shared" ref="X107:X117" si="45">+P107-T107</f>
        <v>-250</v>
      </c>
      <c r="Y107" s="1"/>
      <c r="Z107" s="5">
        <f t="shared" ref="Z107:Z117" si="46">IF(T107=0,0,X107/T107)</f>
        <v>-1</v>
      </c>
    </row>
    <row r="108" spans="1:26" s="24" customFormat="1" hidden="1" outlineLevel="2" x14ac:dyDescent="0.25">
      <c r="A108" s="25"/>
      <c r="B108" s="11" t="str">
        <f>CONCATENATE("          ", "6277", " - ", "EMPLOYEE APPRECIATION")</f>
        <v xml:space="preserve">          6277 - EMPLOYEE APPRECIATION</v>
      </c>
      <c r="C108" s="11"/>
      <c r="D108" s="6"/>
      <c r="E108" s="2"/>
      <c r="F108" s="7">
        <f t="shared" si="39"/>
        <v>0</v>
      </c>
      <c r="G108" s="2"/>
      <c r="H108" s="6">
        <v>50</v>
      </c>
      <c r="I108" s="2"/>
      <c r="J108" s="7">
        <f t="shared" si="40"/>
        <v>7.2412344856551147E-4</v>
      </c>
      <c r="K108" s="2"/>
      <c r="L108" s="6">
        <f t="shared" si="41"/>
        <v>-50</v>
      </c>
      <c r="M108" s="2"/>
      <c r="N108" s="7">
        <f t="shared" si="42"/>
        <v>-1</v>
      </c>
      <c r="O108" s="11"/>
      <c r="P108" s="6"/>
      <c r="Q108" s="2"/>
      <c r="R108" s="7">
        <f t="shared" si="43"/>
        <v>0</v>
      </c>
      <c r="S108" s="2"/>
      <c r="T108" s="6">
        <v>250</v>
      </c>
      <c r="U108" s="2"/>
      <c r="V108" s="7">
        <f t="shared" si="44"/>
        <v>4.884176635271179E-4</v>
      </c>
      <c r="W108" s="2"/>
      <c r="X108" s="6">
        <f t="shared" si="45"/>
        <v>-250</v>
      </c>
      <c r="Y108" s="2"/>
      <c r="Z108" s="7">
        <f t="shared" si="46"/>
        <v>-1</v>
      </c>
    </row>
    <row r="109" spans="1:26" s="26" customFormat="1" outlineLevel="1" collapsed="1" x14ac:dyDescent="0.25">
      <c r="A109" s="27"/>
      <c r="B109" s="13" t="str">
        <f>CONCATENATE("     ","Freight out/Postage                               ")</f>
        <v xml:space="preserve">     Freight out/Postage                               </v>
      </c>
      <c r="C109" s="13"/>
      <c r="D109" s="1">
        <f>SUM(OSRRefD22_6x_0)</f>
        <v>15.81</v>
      </c>
      <c r="E109" s="1"/>
      <c r="F109" s="5">
        <f t="shared" si="39"/>
        <v>2.4230664894962141E-4</v>
      </c>
      <c r="G109" s="1"/>
      <c r="H109" s="1">
        <f>SUM(OSRRefH22_6x_0)</f>
        <v>0</v>
      </c>
      <c r="I109" s="1"/>
      <c r="J109" s="5">
        <f t="shared" si="40"/>
        <v>0</v>
      </c>
      <c r="K109" s="1"/>
      <c r="L109" s="1">
        <f t="shared" si="41"/>
        <v>15.81</v>
      </c>
      <c r="M109" s="1"/>
      <c r="N109" s="5">
        <f t="shared" si="42"/>
        <v>0</v>
      </c>
      <c r="O109" s="13"/>
      <c r="P109" s="1">
        <f>SUM(OSRRefP22_6x_0)</f>
        <v>15.81</v>
      </c>
      <c r="Q109" s="1"/>
      <c r="R109" s="5">
        <f t="shared" si="43"/>
        <v>3.3511321336774875E-5</v>
      </c>
      <c r="S109" s="1"/>
      <c r="T109" s="1">
        <f>SUM(OSRRefT22_6x_0)</f>
        <v>0</v>
      </c>
      <c r="U109" s="1"/>
      <c r="V109" s="5">
        <f t="shared" si="44"/>
        <v>0</v>
      </c>
      <c r="W109" s="1"/>
      <c r="X109" s="1">
        <f t="shared" si="45"/>
        <v>15.81</v>
      </c>
      <c r="Y109" s="1"/>
      <c r="Z109" s="5">
        <f t="shared" si="46"/>
        <v>0</v>
      </c>
    </row>
    <row r="110" spans="1:26" s="24" customFormat="1" hidden="1" outlineLevel="2" x14ac:dyDescent="0.25">
      <c r="A110" s="25"/>
      <c r="B110" s="11" t="str">
        <f>CONCATENATE("          ", "6305", " - ", "FREIGHT OUT")</f>
        <v xml:space="preserve">          6305 - FREIGHT OUT</v>
      </c>
      <c r="C110" s="11"/>
      <c r="D110" s="6">
        <v>15.81</v>
      </c>
      <c r="E110" s="2"/>
      <c r="F110" s="7">
        <f t="shared" si="39"/>
        <v>2.4230664894962141E-4</v>
      </c>
      <c r="G110" s="2"/>
      <c r="H110" s="6"/>
      <c r="I110" s="2"/>
      <c r="J110" s="7">
        <f t="shared" si="40"/>
        <v>0</v>
      </c>
      <c r="K110" s="2"/>
      <c r="L110" s="6">
        <f t="shared" si="41"/>
        <v>15.81</v>
      </c>
      <c r="M110" s="2"/>
      <c r="N110" s="7">
        <f t="shared" si="42"/>
        <v>0</v>
      </c>
      <c r="O110" s="11"/>
      <c r="P110" s="6">
        <v>15.81</v>
      </c>
      <c r="Q110" s="2"/>
      <c r="R110" s="7">
        <f t="shared" si="43"/>
        <v>3.3511321336774875E-5</v>
      </c>
      <c r="S110" s="2"/>
      <c r="T110" s="6"/>
      <c r="U110" s="2"/>
      <c r="V110" s="7">
        <f t="shared" si="44"/>
        <v>0</v>
      </c>
      <c r="W110" s="2"/>
      <c r="X110" s="6">
        <f t="shared" si="45"/>
        <v>15.81</v>
      </c>
      <c r="Y110" s="2"/>
      <c r="Z110" s="7">
        <f t="shared" si="46"/>
        <v>0</v>
      </c>
    </row>
    <row r="111" spans="1:26" s="26" customFormat="1" outlineLevel="1" collapsed="1" x14ac:dyDescent="0.25">
      <c r="A111" s="27"/>
      <c r="B111" s="13" t="str">
        <f>CONCATENATE("     ","General                                           ")</f>
        <v xml:space="preserve">     General                                           </v>
      </c>
      <c r="C111" s="13"/>
      <c r="D111" s="1">
        <f>SUM(OSRRefD22_7x_0)</f>
        <v>0</v>
      </c>
      <c r="E111" s="1"/>
      <c r="F111" s="5">
        <f t="shared" si="39"/>
        <v>0</v>
      </c>
      <c r="G111" s="1"/>
      <c r="H111" s="1">
        <f>SUM(OSRRefH22_7x_0)</f>
        <v>80</v>
      </c>
      <c r="I111" s="1"/>
      <c r="J111" s="5">
        <f t="shared" si="40"/>
        <v>1.1585975177048184E-3</v>
      </c>
      <c r="K111" s="1"/>
      <c r="L111" s="1">
        <f t="shared" si="41"/>
        <v>-80</v>
      </c>
      <c r="M111" s="1"/>
      <c r="N111" s="5">
        <f t="shared" si="42"/>
        <v>-1</v>
      </c>
      <c r="O111" s="13"/>
      <c r="P111" s="1">
        <f>SUM(OSRRefP22_7x_0)</f>
        <v>794.05</v>
      </c>
      <c r="Q111" s="1"/>
      <c r="R111" s="5">
        <f t="shared" si="43"/>
        <v>1.6830907468352995E-3</v>
      </c>
      <c r="S111" s="1"/>
      <c r="T111" s="1">
        <f>SUM(OSRRefT22_7x_0)</f>
        <v>400</v>
      </c>
      <c r="U111" s="1"/>
      <c r="V111" s="5">
        <f t="shared" si="44"/>
        <v>7.8146826164338871E-4</v>
      </c>
      <c r="W111" s="1"/>
      <c r="X111" s="1">
        <f t="shared" si="45"/>
        <v>394.04999999999995</v>
      </c>
      <c r="Y111" s="1"/>
      <c r="Z111" s="5">
        <f t="shared" si="46"/>
        <v>0.98512499999999992</v>
      </c>
    </row>
    <row r="112" spans="1:26" s="24" customFormat="1" hidden="1" outlineLevel="2" x14ac:dyDescent="0.25">
      <c r="A112" s="25"/>
      <c r="B112" s="11" t="str">
        <f>CONCATENATE("          ", "6279", " - ", "GENERAL EXPENSE")</f>
        <v xml:space="preserve">          6279 - GENERAL EXPENSE</v>
      </c>
      <c r="C112" s="11"/>
      <c r="D112" s="6"/>
      <c r="E112" s="2"/>
      <c r="F112" s="7">
        <f t="shared" si="39"/>
        <v>0</v>
      </c>
      <c r="G112" s="2"/>
      <c r="H112" s="6">
        <v>80</v>
      </c>
      <c r="I112" s="2"/>
      <c r="J112" s="7">
        <f t="shared" si="40"/>
        <v>1.1585975177048184E-3</v>
      </c>
      <c r="K112" s="2"/>
      <c r="L112" s="6">
        <f t="shared" si="41"/>
        <v>-80</v>
      </c>
      <c r="M112" s="2"/>
      <c r="N112" s="7">
        <f t="shared" si="42"/>
        <v>-1</v>
      </c>
      <c r="O112" s="11"/>
      <c r="P112" s="6">
        <v>794.05</v>
      </c>
      <c r="Q112" s="2"/>
      <c r="R112" s="7">
        <f t="shared" si="43"/>
        <v>1.6830907468352995E-3</v>
      </c>
      <c r="S112" s="2"/>
      <c r="T112" s="6">
        <v>400</v>
      </c>
      <c r="U112" s="2"/>
      <c r="V112" s="7">
        <f t="shared" si="44"/>
        <v>7.8146826164338871E-4</v>
      </c>
      <c r="W112" s="2"/>
      <c r="X112" s="6">
        <f t="shared" si="45"/>
        <v>394.04999999999995</v>
      </c>
      <c r="Y112" s="2"/>
      <c r="Z112" s="7">
        <f t="shared" si="46"/>
        <v>0.98512499999999992</v>
      </c>
    </row>
    <row r="113" spans="1:26" s="26" customFormat="1" outlineLevel="1" collapsed="1" x14ac:dyDescent="0.25">
      <c r="A113" s="27"/>
      <c r="B113" s="13" t="str">
        <f>CONCATENATE("     ","Professional Services                             ")</f>
        <v xml:space="preserve">     Professional Services                             </v>
      </c>
      <c r="C113" s="13"/>
      <c r="D113" s="1">
        <f>SUM(OSRRefD22_8x_0)</f>
        <v>0</v>
      </c>
      <c r="E113" s="1"/>
      <c r="F113" s="5">
        <f t="shared" si="39"/>
        <v>0</v>
      </c>
      <c r="G113" s="1"/>
      <c r="H113" s="1">
        <f>SUM(OSRRefH22_8x_0)</f>
        <v>115</v>
      </c>
      <c r="I113" s="1"/>
      <c r="J113" s="5">
        <f t="shared" si="40"/>
        <v>1.6654839317006764E-3</v>
      </c>
      <c r="K113" s="1"/>
      <c r="L113" s="1">
        <f t="shared" si="41"/>
        <v>-115</v>
      </c>
      <c r="M113" s="1"/>
      <c r="N113" s="5">
        <f t="shared" si="42"/>
        <v>-1</v>
      </c>
      <c r="O113" s="13"/>
      <c r="P113" s="1">
        <f>SUM(OSRRefP22_8x_0)</f>
        <v>750</v>
      </c>
      <c r="Q113" s="1"/>
      <c r="R113" s="5">
        <f t="shared" si="43"/>
        <v>1.5897211260329635E-3</v>
      </c>
      <c r="S113" s="1"/>
      <c r="T113" s="1">
        <f>SUM(OSRRefT22_8x_0)</f>
        <v>575</v>
      </c>
      <c r="U113" s="1"/>
      <c r="V113" s="5">
        <f t="shared" si="44"/>
        <v>1.1233606261123713E-3</v>
      </c>
      <c r="W113" s="1"/>
      <c r="X113" s="1">
        <f t="shared" si="45"/>
        <v>175</v>
      </c>
      <c r="Y113" s="1"/>
      <c r="Z113" s="5">
        <f t="shared" si="46"/>
        <v>0.30434782608695654</v>
      </c>
    </row>
    <row r="114" spans="1:26" s="24" customFormat="1" hidden="1" outlineLevel="2" x14ac:dyDescent="0.25">
      <c r="A114" s="25"/>
      <c r="B114" s="11" t="str">
        <f>CONCATENATE("          ", "6336", " - ", "PROFESSIONAL SERVICES")</f>
        <v xml:space="preserve">          6336 - PROFESSIONAL SERVICES</v>
      </c>
      <c r="C114" s="11"/>
      <c r="D114" s="6"/>
      <c r="E114" s="2"/>
      <c r="F114" s="7">
        <f t="shared" si="39"/>
        <v>0</v>
      </c>
      <c r="G114" s="2"/>
      <c r="H114" s="6">
        <v>115</v>
      </c>
      <c r="I114" s="2"/>
      <c r="J114" s="7">
        <f t="shared" si="40"/>
        <v>1.6654839317006764E-3</v>
      </c>
      <c r="K114" s="2"/>
      <c r="L114" s="6">
        <f t="shared" si="41"/>
        <v>-115</v>
      </c>
      <c r="M114" s="2"/>
      <c r="N114" s="7">
        <f t="shared" si="42"/>
        <v>-1</v>
      </c>
      <c r="O114" s="11"/>
      <c r="P114" s="6">
        <v>750</v>
      </c>
      <c r="Q114" s="2"/>
      <c r="R114" s="7">
        <f t="shared" si="43"/>
        <v>1.5897211260329635E-3</v>
      </c>
      <c r="S114" s="2"/>
      <c r="T114" s="6">
        <v>575</v>
      </c>
      <c r="U114" s="2"/>
      <c r="V114" s="7">
        <f t="shared" si="44"/>
        <v>1.1233606261123713E-3</v>
      </c>
      <c r="W114" s="2"/>
      <c r="X114" s="6">
        <f t="shared" si="45"/>
        <v>175</v>
      </c>
      <c r="Y114" s="2"/>
      <c r="Z114" s="7">
        <f t="shared" si="46"/>
        <v>0.30434782608695654</v>
      </c>
    </row>
    <row r="115" spans="1:26" s="26" customFormat="1" outlineLevel="1" collapsed="1" x14ac:dyDescent="0.25">
      <c r="A115" s="27"/>
      <c r="B115" s="13" t="str">
        <f>CONCATENATE("     ","Repair and Maintenance                            ")</f>
        <v xml:space="preserve">     Repair and Maintenance                            </v>
      </c>
      <c r="C115" s="13"/>
      <c r="D115" s="1">
        <f>SUM(OSRRefD22_9x_0)</f>
        <v>0</v>
      </c>
      <c r="E115" s="1"/>
      <c r="F115" s="5">
        <f t="shared" si="39"/>
        <v>0</v>
      </c>
      <c r="G115" s="1"/>
      <c r="H115" s="1">
        <f>SUM(OSRRefH22_9x_0)</f>
        <v>125</v>
      </c>
      <c r="I115" s="1"/>
      <c r="J115" s="5">
        <f t="shared" si="40"/>
        <v>1.8103086214137786E-3</v>
      </c>
      <c r="K115" s="1"/>
      <c r="L115" s="1">
        <f t="shared" si="41"/>
        <v>-125</v>
      </c>
      <c r="M115" s="1"/>
      <c r="N115" s="5">
        <f t="shared" si="42"/>
        <v>-1</v>
      </c>
      <c r="O115" s="13"/>
      <c r="P115" s="1">
        <f>SUM(OSRRefP22_9x_0)</f>
        <v>68.42</v>
      </c>
      <c r="Q115" s="1"/>
      <c r="R115" s="5">
        <f t="shared" si="43"/>
        <v>1.4502495925756715E-4</v>
      </c>
      <c r="S115" s="1"/>
      <c r="T115" s="1">
        <f>SUM(OSRRefT22_9x_0)</f>
        <v>625</v>
      </c>
      <c r="U115" s="1"/>
      <c r="V115" s="5">
        <f t="shared" si="44"/>
        <v>1.2210441588177948E-3</v>
      </c>
      <c r="W115" s="1"/>
      <c r="X115" s="1">
        <f t="shared" si="45"/>
        <v>-556.58000000000004</v>
      </c>
      <c r="Y115" s="1"/>
      <c r="Z115" s="5">
        <f t="shared" si="46"/>
        <v>-0.8905280000000001</v>
      </c>
    </row>
    <row r="116" spans="1:26" s="24" customFormat="1" hidden="1" outlineLevel="2" x14ac:dyDescent="0.25">
      <c r="A116" s="25"/>
      <c r="B116" s="11" t="str">
        <f>CONCATENATE("          ", "6373", " - ", "MAINTENANCE CONTRACTS")</f>
        <v xml:space="preserve">          6373 - MAINTENANCE CONTRACTS</v>
      </c>
      <c r="C116" s="11"/>
      <c r="D116" s="6"/>
      <c r="E116" s="2"/>
      <c r="F116" s="7">
        <f t="shared" si="39"/>
        <v>0</v>
      </c>
      <c r="G116" s="2"/>
      <c r="H116" s="6"/>
      <c r="I116" s="2"/>
      <c r="J116" s="7">
        <f t="shared" si="40"/>
        <v>0</v>
      </c>
      <c r="K116" s="2"/>
      <c r="L116" s="6">
        <f t="shared" si="41"/>
        <v>0</v>
      </c>
      <c r="M116" s="2"/>
      <c r="N116" s="7">
        <f t="shared" si="42"/>
        <v>0</v>
      </c>
      <c r="O116" s="11"/>
      <c r="P116" s="6">
        <v>58.62</v>
      </c>
      <c r="Q116" s="2"/>
      <c r="R116" s="7">
        <f t="shared" si="43"/>
        <v>1.2425260321073642E-4</v>
      </c>
      <c r="S116" s="2"/>
      <c r="T116" s="6"/>
      <c r="U116" s="2"/>
      <c r="V116" s="7">
        <f t="shared" si="44"/>
        <v>0</v>
      </c>
      <c r="W116" s="2"/>
      <c r="X116" s="6">
        <f t="shared" si="45"/>
        <v>58.62</v>
      </c>
      <c r="Y116" s="2"/>
      <c r="Z116" s="7">
        <f t="shared" si="46"/>
        <v>0</v>
      </c>
    </row>
    <row r="117" spans="1:26" s="24" customFormat="1" hidden="1" outlineLevel="2" x14ac:dyDescent="0.25">
      <c r="A117" s="25"/>
      <c r="B117" s="11" t="str">
        <f>CONCATENATE("          ", "6375", " - ", "OUTSIDE REPAIRS &amp; MAINTENANCE")</f>
        <v xml:space="preserve">          6375 - OUTSIDE REPAIRS &amp; MAINTENANCE</v>
      </c>
      <c r="C117" s="11"/>
      <c r="D117" s="6"/>
      <c r="E117" s="2"/>
      <c r="F117" s="7">
        <f t="shared" si="39"/>
        <v>0</v>
      </c>
      <c r="G117" s="2"/>
      <c r="H117" s="6">
        <v>125</v>
      </c>
      <c r="I117" s="2"/>
      <c r="J117" s="7">
        <f t="shared" si="40"/>
        <v>1.8103086214137786E-3</v>
      </c>
      <c r="K117" s="2"/>
      <c r="L117" s="6">
        <f t="shared" si="41"/>
        <v>-125</v>
      </c>
      <c r="M117" s="2"/>
      <c r="N117" s="7">
        <f t="shared" si="42"/>
        <v>-1</v>
      </c>
      <c r="O117" s="11"/>
      <c r="P117" s="6">
        <v>9.8000000000000007</v>
      </c>
      <c r="Q117" s="2"/>
      <c r="R117" s="7">
        <f t="shared" si="43"/>
        <v>2.0772356046830725E-5</v>
      </c>
      <c r="S117" s="2"/>
      <c r="T117" s="6">
        <v>625</v>
      </c>
      <c r="U117" s="2"/>
      <c r="V117" s="7">
        <f t="shared" si="44"/>
        <v>1.2210441588177948E-3</v>
      </c>
      <c r="W117" s="2"/>
      <c r="X117" s="6">
        <f t="shared" si="45"/>
        <v>-615.20000000000005</v>
      </c>
      <c r="Y117" s="2"/>
      <c r="Z117" s="7">
        <f t="shared" si="46"/>
        <v>-0.98432000000000008</v>
      </c>
    </row>
    <row r="118" spans="1:26" s="26" customFormat="1" outlineLevel="1" collapsed="1" x14ac:dyDescent="0.25">
      <c r="A118" s="27"/>
      <c r="B118" s="13" t="str">
        <f>CONCATENATE("     ","Services                                          ")</f>
        <v xml:space="preserve">     Services                                          </v>
      </c>
      <c r="C118" s="13"/>
      <c r="D118" s="1">
        <f>SUM(OSRRefD22_10x_0)</f>
        <v>150.81</v>
      </c>
      <c r="E118" s="1"/>
      <c r="F118" s="5">
        <f t="shared" ref="F118:F120" si="47">IF(D$12=0,0,D118/D$12)</f>
        <v>2.3113387557300701E-3</v>
      </c>
      <c r="G118" s="1"/>
      <c r="H118" s="1">
        <f>SUM(OSRRefH22_10x_0)</f>
        <v>100</v>
      </c>
      <c r="I118" s="1"/>
      <c r="J118" s="5">
        <f t="shared" ref="J118:J120" si="48">IF(H$12=0,0,H118/H$12)</f>
        <v>1.4482468971310229E-3</v>
      </c>
      <c r="K118" s="1"/>
      <c r="L118" s="1">
        <f t="shared" ref="L118:L120" si="49">+D118-H118</f>
        <v>50.81</v>
      </c>
      <c r="M118" s="1"/>
      <c r="N118" s="5">
        <f t="shared" ref="N118:N120" si="50">IF(H118=0,0,L118/H118)</f>
        <v>0.5081</v>
      </c>
      <c r="O118" s="13"/>
      <c r="P118" s="1">
        <f>SUM(OSRRefP22_10x_0)</f>
        <v>1121.03</v>
      </c>
      <c r="Q118" s="1"/>
      <c r="R118" s="5">
        <f t="shared" ref="R118:R120" si="51">IF(P$12=0,0,P118/P$12)</f>
        <v>2.3761667652223107E-3</v>
      </c>
      <c r="S118" s="1"/>
      <c r="T118" s="1">
        <f>SUM(OSRRefT22_10x_0)</f>
        <v>500</v>
      </c>
      <c r="U118" s="1"/>
      <c r="V118" s="5">
        <f t="shared" ref="V118:V120" si="52">IF(T$12=0,0,T118/T$12)</f>
        <v>9.7683532705423581E-4</v>
      </c>
      <c r="W118" s="1"/>
      <c r="X118" s="1">
        <f t="shared" ref="X118:X120" si="53">+P118-T118</f>
        <v>621.03</v>
      </c>
      <c r="Y118" s="1"/>
      <c r="Z118" s="5">
        <f t="shared" ref="Z118:Z120" si="54">IF(T118=0,0,X118/T118)</f>
        <v>1.2420599999999999</v>
      </c>
    </row>
    <row r="119" spans="1:26" s="24" customFormat="1" hidden="1" outlineLevel="2" x14ac:dyDescent="0.25">
      <c r="A119" s="25"/>
      <c r="B119" s="11" t="str">
        <f>CONCATENATE("          ", "6282", " - ", "JANITORIAL/EXTERMINATOR EXPENS")</f>
        <v xml:space="preserve">          6282 - JANITORIAL/EXTERMINATOR EXPENS</v>
      </c>
      <c r="C119" s="11"/>
      <c r="D119" s="6">
        <v>44</v>
      </c>
      <c r="E119" s="2"/>
      <c r="F119" s="7">
        <f t="shared" si="47"/>
        <v>6.7435120517288694E-4</v>
      </c>
      <c r="G119" s="2"/>
      <c r="H119" s="6">
        <v>50</v>
      </c>
      <c r="I119" s="2"/>
      <c r="J119" s="7">
        <f t="shared" si="48"/>
        <v>7.2412344856551147E-4</v>
      </c>
      <c r="K119" s="2"/>
      <c r="L119" s="6">
        <f t="shared" si="49"/>
        <v>-6</v>
      </c>
      <c r="M119" s="2"/>
      <c r="N119" s="7">
        <f t="shared" si="50"/>
        <v>-0.12</v>
      </c>
      <c r="O119" s="11"/>
      <c r="P119" s="6">
        <v>220</v>
      </c>
      <c r="Q119" s="2"/>
      <c r="R119" s="7">
        <f t="shared" si="51"/>
        <v>4.6631819696966932E-4</v>
      </c>
      <c r="S119" s="2"/>
      <c r="T119" s="6">
        <v>250</v>
      </c>
      <c r="U119" s="2"/>
      <c r="V119" s="7">
        <f t="shared" si="52"/>
        <v>4.884176635271179E-4</v>
      </c>
      <c r="W119" s="2"/>
      <c r="X119" s="6">
        <f t="shared" si="53"/>
        <v>-30</v>
      </c>
      <c r="Y119" s="2"/>
      <c r="Z119" s="7">
        <f t="shared" si="54"/>
        <v>-0.12</v>
      </c>
    </row>
    <row r="120" spans="1:26" s="24" customFormat="1" hidden="1" outlineLevel="2" x14ac:dyDescent="0.25">
      <c r="A120" s="25"/>
      <c r="B120" s="11" t="str">
        <f>CONCATENATE("          ", "6285", " - ", "JANITORIAL SERVICES")</f>
        <v xml:space="preserve">          6285 - JANITORIAL SERVICES</v>
      </c>
      <c r="C120" s="11"/>
      <c r="D120" s="6">
        <v>106.81</v>
      </c>
      <c r="E120" s="2"/>
      <c r="F120" s="7">
        <f t="shared" si="47"/>
        <v>1.6369875505571831E-3</v>
      </c>
      <c r="G120" s="2"/>
      <c r="H120" s="6">
        <v>50</v>
      </c>
      <c r="I120" s="2"/>
      <c r="J120" s="7">
        <f t="shared" si="48"/>
        <v>7.2412344856551147E-4</v>
      </c>
      <c r="K120" s="2"/>
      <c r="L120" s="6">
        <f t="shared" si="49"/>
        <v>56.81</v>
      </c>
      <c r="M120" s="2"/>
      <c r="N120" s="7">
        <f t="shared" si="50"/>
        <v>1.1362000000000001</v>
      </c>
      <c r="O120" s="11"/>
      <c r="P120" s="6">
        <v>901.03</v>
      </c>
      <c r="Q120" s="2"/>
      <c r="R120" s="7">
        <f t="shared" si="51"/>
        <v>1.9098485682526416E-3</v>
      </c>
      <c r="S120" s="2"/>
      <c r="T120" s="6">
        <v>250</v>
      </c>
      <c r="U120" s="2"/>
      <c r="V120" s="7">
        <f t="shared" si="52"/>
        <v>4.884176635271179E-4</v>
      </c>
      <c r="W120" s="2"/>
      <c r="X120" s="6">
        <f t="shared" si="53"/>
        <v>651.03</v>
      </c>
      <c r="Y120" s="2"/>
      <c r="Z120" s="7">
        <f t="shared" si="54"/>
        <v>2.60412</v>
      </c>
    </row>
    <row r="121" spans="1:26" s="26" customFormat="1" outlineLevel="1" collapsed="1" x14ac:dyDescent="0.25">
      <c r="A121" s="27"/>
      <c r="B121" s="13" t="str">
        <f>CONCATENATE("     ","Subscriptions &amp; Dues                              ")</f>
        <v xml:space="preserve">     Subscriptions &amp; Dues                              </v>
      </c>
      <c r="C121" s="13"/>
      <c r="D121" s="1">
        <f>SUM(OSRRefD22_11x_0)</f>
        <v>0</v>
      </c>
      <c r="E121" s="1"/>
      <c r="F121" s="5">
        <f t="shared" ref="F121:F125" si="55">IF(D$12=0,0,D121/D$12)</f>
        <v>0</v>
      </c>
      <c r="G121" s="1"/>
      <c r="H121" s="1">
        <f>SUM(OSRRefH22_11x_0)</f>
        <v>0</v>
      </c>
      <c r="I121" s="1"/>
      <c r="J121" s="5">
        <f t="shared" ref="J121:J125" si="56">IF(H$12=0,0,H121/H$12)</f>
        <v>0</v>
      </c>
      <c r="K121" s="1"/>
      <c r="L121" s="1">
        <f t="shared" ref="L121:L125" si="57">+D121-H121</f>
        <v>0</v>
      </c>
      <c r="M121" s="1"/>
      <c r="N121" s="5">
        <f t="shared" ref="N121:N125" si="58">IF(H121=0,0,L121/H121)</f>
        <v>0</v>
      </c>
      <c r="O121" s="13"/>
      <c r="P121" s="1">
        <f>SUM(OSRRefP22_11x_0)</f>
        <v>120</v>
      </c>
      <c r="Q121" s="1"/>
      <c r="R121" s="5">
        <f t="shared" ref="R121:R125" si="59">IF(P$12=0,0,P121/P$12)</f>
        <v>2.5435538016527415E-4</v>
      </c>
      <c r="S121" s="1"/>
      <c r="T121" s="1">
        <f>SUM(OSRRefT22_11x_0)</f>
        <v>0</v>
      </c>
      <c r="U121" s="1"/>
      <c r="V121" s="5">
        <f t="shared" ref="V121:V125" si="60">IF(T$12=0,0,T121/T$12)</f>
        <v>0</v>
      </c>
      <c r="W121" s="1"/>
      <c r="X121" s="1">
        <f t="shared" ref="X121:X125" si="61">+P121-T121</f>
        <v>120</v>
      </c>
      <c r="Y121" s="1"/>
      <c r="Z121" s="5">
        <f t="shared" ref="Z121:Z125" si="62">IF(T121=0,0,X121/T121)</f>
        <v>0</v>
      </c>
    </row>
    <row r="122" spans="1:26" s="24" customFormat="1" hidden="1" outlineLevel="2" x14ac:dyDescent="0.25">
      <c r="A122" s="25"/>
      <c r="B122" s="11" t="str">
        <f>CONCATENATE("          ", "6258", " - ", "MEMBERSHIP DUES")</f>
        <v xml:space="preserve">          6258 - MEMBERSHIP DUES</v>
      </c>
      <c r="C122" s="11"/>
      <c r="D122" s="6"/>
      <c r="E122" s="2"/>
      <c r="F122" s="7">
        <f t="shared" si="55"/>
        <v>0</v>
      </c>
      <c r="G122" s="2"/>
      <c r="H122" s="6"/>
      <c r="I122" s="2"/>
      <c r="J122" s="7">
        <f t="shared" si="56"/>
        <v>0</v>
      </c>
      <c r="K122" s="2"/>
      <c r="L122" s="6">
        <f t="shared" si="57"/>
        <v>0</v>
      </c>
      <c r="M122" s="2"/>
      <c r="N122" s="7">
        <f t="shared" si="58"/>
        <v>0</v>
      </c>
      <c r="O122" s="11"/>
      <c r="P122" s="6">
        <v>120</v>
      </c>
      <c r="Q122" s="2"/>
      <c r="R122" s="7">
        <f t="shared" si="59"/>
        <v>2.5435538016527415E-4</v>
      </c>
      <c r="S122" s="2"/>
      <c r="T122" s="6"/>
      <c r="U122" s="2"/>
      <c r="V122" s="7">
        <f t="shared" si="60"/>
        <v>0</v>
      </c>
      <c r="W122" s="2"/>
      <c r="X122" s="6">
        <f t="shared" si="61"/>
        <v>120</v>
      </c>
      <c r="Y122" s="2"/>
      <c r="Z122" s="7">
        <f t="shared" si="62"/>
        <v>0</v>
      </c>
    </row>
    <row r="123" spans="1:26" s="26" customFormat="1" outlineLevel="1" collapsed="1" x14ac:dyDescent="0.25">
      <c r="A123" s="27"/>
      <c r="B123" s="13" t="str">
        <f>CONCATENATE("     ","Supplies                                          ")</f>
        <v xml:space="preserve">     Supplies                                          </v>
      </c>
      <c r="C123" s="13"/>
      <c r="D123" s="1">
        <f>SUM(OSRRefD22_12x_0)</f>
        <v>430.61</v>
      </c>
      <c r="E123" s="1"/>
      <c r="F123" s="5">
        <f t="shared" si="55"/>
        <v>6.5995993740794734E-3</v>
      </c>
      <c r="G123" s="1"/>
      <c r="H123" s="1">
        <f>SUM(OSRRefH22_12x_0)</f>
        <v>225</v>
      </c>
      <c r="I123" s="1"/>
      <c r="J123" s="5">
        <f t="shared" si="56"/>
        <v>3.2585555185448015E-3</v>
      </c>
      <c r="K123" s="1"/>
      <c r="L123" s="1">
        <f t="shared" si="57"/>
        <v>205.61</v>
      </c>
      <c r="M123" s="1"/>
      <c r="N123" s="5">
        <f t="shared" si="58"/>
        <v>0.91382222222222231</v>
      </c>
      <c r="O123" s="13"/>
      <c r="P123" s="1">
        <f>SUM(OSRRefP22_12x_0)</f>
        <v>1220.01</v>
      </c>
      <c r="Q123" s="1"/>
      <c r="R123" s="5">
        <f t="shared" si="59"/>
        <v>2.5859675612953013E-3</v>
      </c>
      <c r="S123" s="1"/>
      <c r="T123" s="1">
        <f>SUM(OSRRefT22_12x_0)</f>
        <v>1125</v>
      </c>
      <c r="U123" s="1"/>
      <c r="V123" s="5">
        <f t="shared" si="60"/>
        <v>2.1978794858720308E-3</v>
      </c>
      <c r="W123" s="1"/>
      <c r="X123" s="1">
        <f t="shared" si="61"/>
        <v>95.009999999999991</v>
      </c>
      <c r="Y123" s="1"/>
      <c r="Z123" s="5">
        <f t="shared" si="62"/>
        <v>8.4453333333333325E-2</v>
      </c>
    </row>
    <row r="124" spans="1:26" s="24" customFormat="1" hidden="1" outlineLevel="2" x14ac:dyDescent="0.25">
      <c r="A124" s="25"/>
      <c r="B124" s="11" t="str">
        <f>CONCATENATE("          ", "6241", " - ", "OFFICE EXPENSE")</f>
        <v xml:space="preserve">          6241 - OFFICE EXPENSE</v>
      </c>
      <c r="C124" s="11"/>
      <c r="D124" s="6">
        <v>430.61</v>
      </c>
      <c r="E124" s="2"/>
      <c r="F124" s="7">
        <f t="shared" si="55"/>
        <v>6.5995993740794734E-3</v>
      </c>
      <c r="G124" s="2"/>
      <c r="H124" s="6">
        <v>225</v>
      </c>
      <c r="I124" s="2"/>
      <c r="J124" s="7">
        <f t="shared" si="56"/>
        <v>3.2585555185448015E-3</v>
      </c>
      <c r="K124" s="2"/>
      <c r="L124" s="6">
        <f t="shared" si="57"/>
        <v>205.61</v>
      </c>
      <c r="M124" s="2"/>
      <c r="N124" s="7">
        <f t="shared" si="58"/>
        <v>0.91382222222222231</v>
      </c>
      <c r="O124" s="11"/>
      <c r="P124" s="6">
        <v>1220.1099999999999</v>
      </c>
      <c r="Q124" s="2"/>
      <c r="R124" s="7">
        <f t="shared" si="59"/>
        <v>2.5861795241121054E-3</v>
      </c>
      <c r="S124" s="2"/>
      <c r="T124" s="6">
        <v>1125</v>
      </c>
      <c r="U124" s="2"/>
      <c r="V124" s="7">
        <f t="shared" si="60"/>
        <v>2.1978794858720308E-3</v>
      </c>
      <c r="W124" s="2"/>
      <c r="X124" s="6">
        <f t="shared" si="61"/>
        <v>95.1099999999999</v>
      </c>
      <c r="Y124" s="2"/>
      <c r="Z124" s="7">
        <f t="shared" si="62"/>
        <v>8.454222222222213E-2</v>
      </c>
    </row>
    <row r="125" spans="1:26" s="24" customFormat="1" hidden="1" outlineLevel="2" x14ac:dyDescent="0.25">
      <c r="A125" s="25"/>
      <c r="B125" s="11" t="str">
        <f>CONCATENATE("          ", "6247", " - ", "STORE SUPPLIES")</f>
        <v xml:space="preserve">          6247 - STORE SUPPLIES</v>
      </c>
      <c r="C125" s="11"/>
      <c r="D125" s="6"/>
      <c r="E125" s="2"/>
      <c r="F125" s="7">
        <f t="shared" si="55"/>
        <v>0</v>
      </c>
      <c r="G125" s="2"/>
      <c r="H125" s="6"/>
      <c r="I125" s="2"/>
      <c r="J125" s="7">
        <f t="shared" si="56"/>
        <v>0</v>
      </c>
      <c r="K125" s="2"/>
      <c r="L125" s="6">
        <f t="shared" si="57"/>
        <v>0</v>
      </c>
      <c r="M125" s="2"/>
      <c r="N125" s="7">
        <f t="shared" si="58"/>
        <v>0</v>
      </c>
      <c r="O125" s="11"/>
      <c r="P125" s="6">
        <v>-0.1</v>
      </c>
      <c r="Q125" s="2"/>
      <c r="R125" s="7">
        <f t="shared" si="59"/>
        <v>-2.1196281680439516E-7</v>
      </c>
      <c r="S125" s="2"/>
      <c r="T125" s="6"/>
      <c r="U125" s="2"/>
      <c r="V125" s="7">
        <f t="shared" si="60"/>
        <v>0</v>
      </c>
      <c r="W125" s="2"/>
      <c r="X125" s="6">
        <f t="shared" si="61"/>
        <v>-0.1</v>
      </c>
      <c r="Y125" s="2"/>
      <c r="Z125" s="7">
        <f t="shared" si="62"/>
        <v>0</v>
      </c>
    </row>
    <row r="126" spans="1:26" s="26" customFormat="1" outlineLevel="1" collapsed="1" x14ac:dyDescent="0.25">
      <c r="A126" s="27"/>
      <c r="B126" s="13" t="str">
        <f>CONCATENATE("     ","Telephone/Data Lines                              ")</f>
        <v xml:space="preserve">     Telephone/Data Lines                              </v>
      </c>
      <c r="C126" s="13"/>
      <c r="D126" s="1">
        <f>SUM(OSRRefD22_13x_0)</f>
        <v>98.74</v>
      </c>
      <c r="E126" s="1"/>
      <c r="F126" s="5">
        <f t="shared" ref="F126:F129" si="63">IF(D$12=0,0,D126/D$12)</f>
        <v>1.513305409062974E-3</v>
      </c>
      <c r="G126" s="1"/>
      <c r="H126" s="1">
        <f>SUM(OSRRefH22_13x_0)</f>
        <v>75</v>
      </c>
      <c r="I126" s="1"/>
      <c r="J126" s="5">
        <f t="shared" ref="J126:J129" si="64">IF(H$12=0,0,H126/H$12)</f>
        <v>1.0861851728482671E-3</v>
      </c>
      <c r="K126" s="1"/>
      <c r="L126" s="1">
        <f t="shared" ref="L126:L129" si="65">+D126-H126</f>
        <v>23.739999999999995</v>
      </c>
      <c r="M126" s="1"/>
      <c r="N126" s="5">
        <f t="shared" ref="N126:N129" si="66">IF(H126=0,0,L126/H126)</f>
        <v>0.31653333333333328</v>
      </c>
      <c r="O126" s="13"/>
      <c r="P126" s="1">
        <f>SUM(OSRRefP22_13x_0)</f>
        <v>488.73</v>
      </c>
      <c r="Q126" s="1"/>
      <c r="R126" s="5">
        <f t="shared" ref="R126:R129" si="67">IF(P$12=0,0,P126/P$12)</f>
        <v>1.0359258745681204E-3</v>
      </c>
      <c r="S126" s="1"/>
      <c r="T126" s="1">
        <f>SUM(OSRRefT22_13x_0)</f>
        <v>375</v>
      </c>
      <c r="U126" s="1"/>
      <c r="V126" s="5">
        <f t="shared" ref="V126:V129" si="68">IF(T$12=0,0,T126/T$12)</f>
        <v>7.3262649529067685E-4</v>
      </c>
      <c r="W126" s="1"/>
      <c r="X126" s="1">
        <f t="shared" ref="X126:X129" si="69">+P126-T126</f>
        <v>113.73000000000002</v>
      </c>
      <c r="Y126" s="1"/>
      <c r="Z126" s="5">
        <f t="shared" ref="Z126:Z129" si="70">IF(T126=0,0,X126/T126)</f>
        <v>0.30328000000000005</v>
      </c>
    </row>
    <row r="127" spans="1:26" s="24" customFormat="1" hidden="1" outlineLevel="2" x14ac:dyDescent="0.25">
      <c r="A127" s="25"/>
      <c r="B127" s="11" t="str">
        <f>CONCATENATE("          ", "6309", " - ", "TELEPHONE")</f>
        <v xml:space="preserve">          6309 - TELEPHONE</v>
      </c>
      <c r="C127" s="11"/>
      <c r="D127" s="6">
        <v>98.74</v>
      </c>
      <c r="E127" s="2"/>
      <c r="F127" s="7">
        <f t="shared" si="63"/>
        <v>1.513305409062974E-3</v>
      </c>
      <c r="G127" s="2"/>
      <c r="H127" s="6">
        <v>75</v>
      </c>
      <c r="I127" s="2"/>
      <c r="J127" s="7">
        <f t="shared" si="64"/>
        <v>1.0861851728482671E-3</v>
      </c>
      <c r="K127" s="2"/>
      <c r="L127" s="6">
        <f t="shared" si="65"/>
        <v>23.739999999999995</v>
      </c>
      <c r="M127" s="2"/>
      <c r="N127" s="7">
        <f t="shared" si="66"/>
        <v>0.31653333333333328</v>
      </c>
      <c r="O127" s="11"/>
      <c r="P127" s="6">
        <v>488.73</v>
      </c>
      <c r="Q127" s="2"/>
      <c r="R127" s="7">
        <f t="shared" si="67"/>
        <v>1.0359258745681204E-3</v>
      </c>
      <c r="S127" s="2"/>
      <c r="T127" s="6">
        <v>375</v>
      </c>
      <c r="U127" s="2"/>
      <c r="V127" s="7">
        <f t="shared" si="68"/>
        <v>7.3262649529067685E-4</v>
      </c>
      <c r="W127" s="2"/>
      <c r="X127" s="6">
        <f t="shared" si="69"/>
        <v>113.73000000000002</v>
      </c>
      <c r="Y127" s="2"/>
      <c r="Z127" s="7">
        <f t="shared" si="70"/>
        <v>0.30328000000000005</v>
      </c>
    </row>
    <row r="128" spans="1:26" s="26" customFormat="1" outlineLevel="1" collapsed="1" x14ac:dyDescent="0.25">
      <c r="A128" s="27"/>
      <c r="B128" s="13" t="str">
        <f>CONCATENATE("     ","Training                                          ")</f>
        <v xml:space="preserve">     Training                                          </v>
      </c>
      <c r="C128" s="13"/>
      <c r="D128" s="1">
        <f>SUM(OSRRefD22_14x_0)</f>
        <v>0</v>
      </c>
      <c r="E128" s="1"/>
      <c r="F128" s="5">
        <f t="shared" si="63"/>
        <v>0</v>
      </c>
      <c r="G128" s="1"/>
      <c r="H128" s="1">
        <f>SUM(OSRRefH22_14x_0)</f>
        <v>175</v>
      </c>
      <c r="I128" s="1"/>
      <c r="J128" s="5">
        <f t="shared" si="64"/>
        <v>2.5344320699792902E-3</v>
      </c>
      <c r="K128" s="1"/>
      <c r="L128" s="1">
        <f t="shared" si="65"/>
        <v>-175</v>
      </c>
      <c r="M128" s="1"/>
      <c r="N128" s="5">
        <f t="shared" si="66"/>
        <v>-1</v>
      </c>
      <c r="O128" s="13"/>
      <c r="P128" s="1">
        <f>SUM(OSRRefP22_14x_0)</f>
        <v>80</v>
      </c>
      <c r="Q128" s="1"/>
      <c r="R128" s="5">
        <f t="shared" si="67"/>
        <v>1.6957025344351611E-4</v>
      </c>
      <c r="S128" s="1"/>
      <c r="T128" s="1">
        <f>SUM(OSRRefT22_14x_0)</f>
        <v>875</v>
      </c>
      <c r="U128" s="1"/>
      <c r="V128" s="5">
        <f t="shared" si="68"/>
        <v>1.7094618223449127E-3</v>
      </c>
      <c r="W128" s="1"/>
      <c r="X128" s="1">
        <f t="shared" si="69"/>
        <v>-795</v>
      </c>
      <c r="Y128" s="1"/>
      <c r="Z128" s="5">
        <f t="shared" si="70"/>
        <v>-0.90857142857142859</v>
      </c>
    </row>
    <row r="129" spans="1:26" s="24" customFormat="1" hidden="1" outlineLevel="2" x14ac:dyDescent="0.25">
      <c r="A129" s="25"/>
      <c r="B129" s="11" t="str">
        <f>CONCATENATE("          ", "6376", " - ", "TRAINING")</f>
        <v xml:space="preserve">          6376 - TRAINING</v>
      </c>
      <c r="C129" s="11"/>
      <c r="D129" s="6"/>
      <c r="E129" s="2"/>
      <c r="F129" s="7">
        <f t="shared" si="63"/>
        <v>0</v>
      </c>
      <c r="G129" s="2"/>
      <c r="H129" s="6">
        <v>175</v>
      </c>
      <c r="I129" s="2"/>
      <c r="J129" s="7">
        <f t="shared" si="64"/>
        <v>2.5344320699792902E-3</v>
      </c>
      <c r="K129" s="2"/>
      <c r="L129" s="6">
        <f t="shared" si="65"/>
        <v>-175</v>
      </c>
      <c r="M129" s="2"/>
      <c r="N129" s="7">
        <f t="shared" si="66"/>
        <v>-1</v>
      </c>
      <c r="O129" s="11"/>
      <c r="P129" s="6">
        <v>80</v>
      </c>
      <c r="Q129" s="2"/>
      <c r="R129" s="7">
        <f t="shared" si="67"/>
        <v>1.6957025344351611E-4</v>
      </c>
      <c r="S129" s="2"/>
      <c r="T129" s="6">
        <v>875</v>
      </c>
      <c r="U129" s="2"/>
      <c r="V129" s="7">
        <f t="shared" si="68"/>
        <v>1.7094618223449127E-3</v>
      </c>
      <c r="W129" s="2"/>
      <c r="X129" s="6">
        <f t="shared" si="69"/>
        <v>-795</v>
      </c>
      <c r="Y129" s="2"/>
      <c r="Z129" s="7">
        <f t="shared" si="70"/>
        <v>-0.90857142857142859</v>
      </c>
    </row>
    <row r="130" spans="1:26" s="59" customFormat="1" x14ac:dyDescent="0.25">
      <c r="A130" s="36"/>
      <c r="B130" s="36"/>
      <c r="C130" s="36"/>
      <c r="D130" s="1"/>
      <c r="E130" s="1"/>
      <c r="F130" s="5"/>
      <c r="G130" s="1"/>
      <c r="H130" s="1"/>
      <c r="I130" s="1"/>
      <c r="J130" s="5"/>
      <c r="K130" s="1"/>
      <c r="L130" s="1"/>
      <c r="M130" s="1"/>
      <c r="N130" s="5"/>
      <c r="O130" s="36"/>
      <c r="P130" s="1"/>
      <c r="Q130" s="1"/>
      <c r="R130" s="5"/>
      <c r="S130" s="1"/>
      <c r="T130" s="1"/>
      <c r="U130" s="1"/>
      <c r="V130" s="5"/>
      <c r="W130" s="1"/>
      <c r="X130" s="1"/>
      <c r="Y130" s="1"/>
      <c r="Z130" s="5"/>
    </row>
    <row r="131" spans="1:26" s="23" customFormat="1" x14ac:dyDescent="0.25">
      <c r="A131" s="10"/>
      <c r="B131" s="29" t="s">
        <v>0</v>
      </c>
      <c r="C131" s="10"/>
      <c r="D131" s="4">
        <f>SUM(0)</f>
        <v>0</v>
      </c>
      <c r="E131" s="4"/>
      <c r="F131" s="12">
        <f>IF(D$12=0,0,D131/D$12)</f>
        <v>0</v>
      </c>
      <c r="G131" s="4"/>
      <c r="H131" s="4">
        <f>SUM(0)</f>
        <v>0</v>
      </c>
      <c r="I131" s="4"/>
      <c r="J131" s="12">
        <f>IF(H$12=0,0,H131/H$12)</f>
        <v>0</v>
      </c>
      <c r="K131" s="4"/>
      <c r="L131" s="4">
        <f>+D131-H131</f>
        <v>0</v>
      </c>
      <c r="M131" s="4"/>
      <c r="N131" s="12">
        <f>IF(H131=0,0,L131/H131)</f>
        <v>0</v>
      </c>
      <c r="O131" s="10"/>
      <c r="P131" s="4">
        <f>SUM(0)</f>
        <v>0</v>
      </c>
      <c r="Q131" s="4"/>
      <c r="R131" s="12">
        <f>IF(P$12=0,0,P131/P$12)</f>
        <v>0</v>
      </c>
      <c r="S131" s="4"/>
      <c r="T131" s="4">
        <f>SUM(0)</f>
        <v>0</v>
      </c>
      <c r="U131" s="4"/>
      <c r="V131" s="12">
        <f>IF(T$12=0,0,T131/T$12)</f>
        <v>0</v>
      </c>
      <c r="W131" s="4"/>
      <c r="X131" s="4">
        <f>+P131-T131</f>
        <v>0</v>
      </c>
      <c r="Y131" s="4"/>
      <c r="Z131" s="12">
        <f>IF(T131=0,0,X131/T131)</f>
        <v>0</v>
      </c>
    </row>
    <row r="132" spans="1:26" x14ac:dyDescent="0.25">
      <c r="A132" s="9"/>
      <c r="B132" s="10"/>
      <c r="C132" s="10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O132" s="10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x14ac:dyDescent="0.25">
      <c r="A133" s="10"/>
      <c r="B133" s="28" t="s">
        <v>3</v>
      </c>
      <c r="C133" s="28"/>
      <c r="D133" s="20">
        <f>+D76-D78+D131</f>
        <v>7755.0100000000057</v>
      </c>
      <c r="E133" s="14"/>
      <c r="F133" s="22">
        <f>IF(D$12=0,0,D133/D$12)</f>
        <v>0.11885455317335894</v>
      </c>
      <c r="G133" s="14"/>
      <c r="H133" s="20">
        <f>+H76-H78+H131</f>
        <v>16400.017647455388</v>
      </c>
      <c r="I133" s="14"/>
      <c r="J133" s="22">
        <f>IF(H$12=0,0,H133/H$12)</f>
        <v>0.23751274670821285</v>
      </c>
      <c r="K133" s="16"/>
      <c r="L133" s="20">
        <f>+D133-H133</f>
        <v>-8645.0076474553825</v>
      </c>
      <c r="M133" s="16"/>
      <c r="N133" s="22">
        <f>IF(H133=0,0,L133/H133)</f>
        <v>-0.52713404541956299</v>
      </c>
      <c r="O133" s="29"/>
      <c r="P133" s="20">
        <f>+P76-P78+P131</f>
        <v>125986.65000000011</v>
      </c>
      <c r="Q133" s="14"/>
      <c r="R133" s="22">
        <f>IF(P$12=0,0,P133/P$12)</f>
        <v>0.26704485213749474</v>
      </c>
      <c r="S133" s="14"/>
      <c r="T133" s="20">
        <f>+T76-T78+T131</f>
        <v>159216.87648850464</v>
      </c>
      <c r="U133" s="14"/>
      <c r="V133" s="22">
        <f>IF(T$12=0,0,T133/T$12)</f>
        <v>0.3110573392344046</v>
      </c>
      <c r="W133" s="16"/>
      <c r="X133" s="20">
        <f>+P133-T133</f>
        <v>-33230.22648850453</v>
      </c>
      <c r="Y133" s="16"/>
      <c r="Z133" s="22">
        <f>IF(T133=0,0,X133/T133)</f>
        <v>-0.20871045344809117</v>
      </c>
    </row>
    <row r="134" spans="1:26" x14ac:dyDescent="0.25">
      <c r="A134" s="9"/>
      <c r="B134" s="10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3" customFormat="1" x14ac:dyDescent="0.25">
      <c r="A135" s="52"/>
      <c r="B135" s="10" t="s">
        <v>14</v>
      </c>
      <c r="C135" s="10"/>
      <c r="D135" s="4">
        <v>9035.75</v>
      </c>
      <c r="E135" s="4"/>
      <c r="F135" s="12">
        <f>IF(D$12=0,0,D135/D$12)</f>
        <v>0.13848338413956621</v>
      </c>
      <c r="G135" s="4"/>
      <c r="H135" s="4">
        <v>11544</v>
      </c>
      <c r="I135" s="4"/>
      <c r="J135" s="12">
        <f>IF(H$12=0,0,H135/H$12)</f>
        <v>0.16718562180480528</v>
      </c>
      <c r="K135" s="4"/>
      <c r="L135" s="4">
        <f>+D135-H135</f>
        <v>-2508.25</v>
      </c>
      <c r="M135" s="4"/>
      <c r="N135" s="12">
        <f>IF(H135=0,0,L135/H135)</f>
        <v>-0.21727737352737353</v>
      </c>
      <c r="O135" s="10"/>
      <c r="P135" s="4">
        <v>49958.400000000001</v>
      </c>
      <c r="Q135" s="4"/>
      <c r="R135" s="12">
        <f>IF(P$12=0,0,P135/P$12)</f>
        <v>0.10589323187040695</v>
      </c>
      <c r="S135" s="4"/>
      <c r="T135" s="4">
        <v>64867.000000000007</v>
      </c>
      <c r="U135" s="4"/>
      <c r="V135" s="12">
        <f>IF(T$12=0,0,T135/T$12)</f>
        <v>0.12672875432005426</v>
      </c>
      <c r="W135" s="4"/>
      <c r="X135" s="4">
        <f>+P135-T135</f>
        <v>-14908.600000000006</v>
      </c>
      <c r="Y135" s="4"/>
      <c r="Z135" s="12">
        <f>IF(T135=0,0,X135/T135)</f>
        <v>-0.22983335131885249</v>
      </c>
    </row>
    <row r="136" spans="1:26" x14ac:dyDescent="0.25">
      <c r="A136" s="9"/>
      <c r="B136" s="10"/>
      <c r="C136" s="10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O136" s="10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ht="15.75" thickBot="1" x14ac:dyDescent="0.3">
      <c r="A137" s="10"/>
      <c r="B137" s="28" t="s">
        <v>4</v>
      </c>
      <c r="C137" s="28"/>
      <c r="D137" s="30">
        <f>+D133-D135</f>
        <v>-1280.7399999999943</v>
      </c>
      <c r="E137" s="14"/>
      <c r="F137" s="32">
        <f>IF(D$12=0,0,D137/D$12)</f>
        <v>-1.962883096620726E-2</v>
      </c>
      <c r="G137" s="14"/>
      <c r="H137" s="30">
        <f>+H133-H135</f>
        <v>4856.0176474553882</v>
      </c>
      <c r="I137" s="14"/>
      <c r="J137" s="32">
        <f>IF(H$12=0,0,H137/H$12)</f>
        <v>7.0327124903407548E-2</v>
      </c>
      <c r="K137" s="16"/>
      <c r="L137" s="30">
        <f>D137-H137</f>
        <v>-6136.7576474553825</v>
      </c>
      <c r="M137" s="16"/>
      <c r="N137" s="32">
        <f>IF(H137=0,0,L137/H137)</f>
        <v>-1.2637428635934052</v>
      </c>
      <c r="O137" s="29"/>
      <c r="P137" s="30">
        <f>+P133-P135</f>
        <v>76028.250000000116</v>
      </c>
      <c r="Q137" s="14"/>
      <c r="R137" s="32">
        <f>IF(P$12=0,0,P137/P$12)</f>
        <v>0.16115162026708779</v>
      </c>
      <c r="S137" s="14"/>
      <c r="T137" s="30">
        <f>+T133-T135</f>
        <v>94349.87648850464</v>
      </c>
      <c r="U137" s="14"/>
      <c r="V137" s="32">
        <f>IF(T$12=0,0,T137/T$12)</f>
        <v>0.18432858491435036</v>
      </c>
      <c r="W137" s="16"/>
      <c r="X137" s="30">
        <f>P137-T137</f>
        <v>-18321.626488504524</v>
      </c>
      <c r="Y137" s="16"/>
      <c r="Z137" s="32">
        <f>IF(T137=0,0,X137/T137)</f>
        <v>-0.19418813431872151</v>
      </c>
    </row>
    <row r="138" spans="1:26" ht="15.75" thickTop="1" x14ac:dyDescent="0.25">
      <c r="A138" s="9"/>
      <c r="B138" s="9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x14ac:dyDescent="0.25">
      <c r="A139" s="9"/>
      <c r="B139" s="9"/>
      <c r="C139" s="9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3" customFormat="1" ht="15.75" thickBot="1" x14ac:dyDescent="0.3">
      <c r="A140" s="10"/>
      <c r="B140" s="28" t="s">
        <v>5</v>
      </c>
      <c r="C140" s="28"/>
      <c r="D140" s="31">
        <f>SUM(D137:D139)</f>
        <v>-1280.7399999999943</v>
      </c>
      <c r="E140" s="14"/>
      <c r="F140" s="35">
        <f>IF(D$12=0,0,D140/D$12)</f>
        <v>-1.962883096620726E-2</v>
      </c>
      <c r="G140" s="14"/>
      <c r="H140" s="31">
        <f>SUM(H137:H139)</f>
        <v>4856.0176474553882</v>
      </c>
      <c r="I140" s="14"/>
      <c r="J140" s="35">
        <f>IF(H$12=0,0,H140/H$12)</f>
        <v>7.0327124903407548E-2</v>
      </c>
      <c r="K140" s="16"/>
      <c r="L140" s="31">
        <f>+D140-H140</f>
        <v>-6136.7576474553825</v>
      </c>
      <c r="M140" s="16"/>
      <c r="N140" s="35">
        <f>IF(H140=0,0,L140/H140)</f>
        <v>-1.2637428635934052</v>
      </c>
      <c r="O140" s="29"/>
      <c r="P140" s="31">
        <f>SUM(P137:P139)</f>
        <v>76028.250000000116</v>
      </c>
      <c r="Q140" s="14"/>
      <c r="R140" s="35">
        <f>IF(P$12=0,0,P140/P$12)</f>
        <v>0.16115162026708779</v>
      </c>
      <c r="S140" s="14"/>
      <c r="T140" s="31">
        <f>SUM(T137:T139)</f>
        <v>94349.87648850464</v>
      </c>
      <c r="U140" s="14"/>
      <c r="V140" s="35">
        <f>IF(T$12=0,0,T140/T$12)</f>
        <v>0.18432858491435036</v>
      </c>
      <c r="W140" s="16"/>
      <c r="X140" s="31">
        <f>+P140-T140</f>
        <v>-18321.626488504524</v>
      </c>
      <c r="Y140" s="16"/>
      <c r="Z140" s="35">
        <f>IF(T140=0,0,X140/T140)</f>
        <v>-0.19418813431872151</v>
      </c>
    </row>
    <row r="141" spans="1:26" ht="15.75" thickTop="1" x14ac:dyDescent="0.25">
      <c r="A141" s="9"/>
      <c r="C141" s="9"/>
      <c r="D141" s="17"/>
      <c r="E141" s="17"/>
      <c r="G141" s="17"/>
      <c r="H141" s="17"/>
      <c r="I141" s="17"/>
      <c r="J141" s="43"/>
      <c r="K141" s="17"/>
      <c r="L141" s="17"/>
      <c r="M141" s="17"/>
      <c r="P141" s="17"/>
      <c r="Q141" s="17"/>
      <c r="R141" s="43"/>
      <c r="S141" s="17"/>
      <c r="T141" s="17"/>
      <c r="U141" s="17"/>
      <c r="V141" s="43"/>
      <c r="W141" s="17"/>
      <c r="X141" s="17"/>
    </row>
    <row r="142" spans="1:26" x14ac:dyDescent="0.25">
      <c r="A142" s="9"/>
      <c r="B142" s="56">
        <v>43815.483233715277</v>
      </c>
      <c r="D142" s="17"/>
      <c r="E142" s="17"/>
      <c r="G142" s="17"/>
      <c r="H142" s="17"/>
      <c r="I142" s="17"/>
      <c r="J142" s="43"/>
      <c r="K142" s="17"/>
      <c r="L142" s="17"/>
      <c r="M142" s="17"/>
      <c r="P142" s="17"/>
      <c r="Q142" s="17"/>
      <c r="R142" s="43"/>
      <c r="S142" s="17"/>
      <c r="T142" s="17"/>
      <c r="U142" s="17"/>
      <c r="V142" s="43"/>
      <c r="W142" s="17"/>
      <c r="X142" s="17"/>
    </row>
    <row r="143" spans="1:26" x14ac:dyDescent="0.25">
      <c r="A143" s="9"/>
      <c r="B143" s="62" t="s">
        <v>314</v>
      </c>
      <c r="D143" s="17"/>
      <c r="E143" s="17"/>
      <c r="G143" s="17"/>
      <c r="H143" s="17"/>
      <c r="I143" s="17"/>
      <c r="J143" s="43"/>
      <c r="K143" s="17"/>
      <c r="L143" s="17"/>
      <c r="M143" s="17"/>
      <c r="P143" s="17"/>
      <c r="Q143" s="17"/>
      <c r="R143" s="43"/>
      <c r="S143" s="17"/>
      <c r="T143" s="17"/>
      <c r="U143" s="17"/>
      <c r="V143" s="43"/>
      <c r="W143" s="17"/>
      <c r="X143" s="17"/>
    </row>
    <row r="144" spans="1:26" x14ac:dyDescent="0.25">
      <c r="A144" s="9"/>
      <c r="B144" s="58"/>
      <c r="D144" s="17"/>
      <c r="E144" s="17"/>
      <c r="G144" s="17"/>
      <c r="H144" s="17"/>
      <c r="I144" s="17"/>
      <c r="J144" s="43"/>
      <c r="K144" s="17"/>
      <c r="L144" s="17"/>
      <c r="M144" s="17"/>
      <c r="P144" s="17"/>
      <c r="Q144" s="17"/>
      <c r="R144" s="43"/>
      <c r="S144" s="17"/>
      <c r="T144" s="17"/>
      <c r="U144" s="17"/>
      <c r="V144" s="43"/>
      <c r="W144" s="17"/>
      <c r="X144" s="17"/>
    </row>
    <row r="145" spans="4:24" x14ac:dyDescent="0.25">
      <c r="D145" s="17"/>
      <c r="E145" s="17"/>
      <c r="G145" s="17"/>
      <c r="H145" s="17"/>
      <c r="I145" s="17"/>
      <c r="J145" s="43"/>
      <c r="K145" s="17"/>
      <c r="L145" s="17"/>
      <c r="M145" s="17"/>
      <c r="P145" s="17"/>
      <c r="Q145" s="17"/>
      <c r="R145" s="43"/>
      <c r="S145" s="17"/>
      <c r="T145" s="17"/>
      <c r="U145" s="17"/>
      <c r="V145" s="43"/>
      <c r="W145" s="17"/>
      <c r="X145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","307", " - ", "Art Store")</f>
        <v>Department 307 - Art Store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46007.89</v>
      </c>
      <c r="E12" s="4"/>
      <c r="F12" s="12"/>
      <c r="G12" s="4"/>
      <c r="H12" s="4">
        <f>SUM(OSRRefH13x_0)</f>
        <v>44494</v>
      </c>
      <c r="I12" s="4"/>
      <c r="J12" s="12"/>
      <c r="K12" s="4"/>
      <c r="L12" s="4">
        <f t="shared" ref="L12:L43" si="0">+D12-H12</f>
        <v>1513.8899999999994</v>
      </c>
      <c r="M12" s="4"/>
      <c r="N12" s="12">
        <f t="shared" ref="N12:N43" si="1">IF(H12=0,0,L12/H12)</f>
        <v>3.4024587584842884E-2</v>
      </c>
      <c r="O12" s="10"/>
      <c r="P12" s="4">
        <f>SUM(OSRRefP13x_0)</f>
        <v>247120.5</v>
      </c>
      <c r="Q12" s="4"/>
      <c r="R12" s="12"/>
      <c r="S12" s="4"/>
      <c r="T12" s="4">
        <f>SUM(OSRRefT13x_0)</f>
        <v>257704</v>
      </c>
      <c r="U12" s="4"/>
      <c r="V12" s="12"/>
      <c r="W12" s="4"/>
      <c r="X12" s="4">
        <f t="shared" ref="X12:X43" si="2">+P12-T12</f>
        <v>-10583.5</v>
      </c>
      <c r="Y12" s="4"/>
      <c r="Z12" s="12">
        <f t="shared" ref="Z12:Z43" si="3">IF(T12=0,0,X12/T12)</f>
        <v>-4.1068435103840062E-2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30981</v>
      </c>
      <c r="I13" s="2"/>
      <c r="J13" s="19"/>
      <c r="K13" s="2"/>
      <c r="L13" s="2">
        <f t="shared" si="0"/>
        <v>-30981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198840</v>
      </c>
      <c r="U13" s="2"/>
      <c r="V13" s="19"/>
      <c r="W13" s="2"/>
      <c r="X13" s="2">
        <f t="shared" si="2"/>
        <v>-198840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--5.49</f>
        <v>5.49</v>
      </c>
      <c r="E14" s="2"/>
      <c r="F14" s="19"/>
      <c r="G14" s="2"/>
      <c r="H14" s="2"/>
      <c r="I14" s="2"/>
      <c r="J14" s="19"/>
      <c r="K14" s="2"/>
      <c r="L14" s="2">
        <f t="shared" si="0"/>
        <v>5.49</v>
      </c>
      <c r="M14" s="2"/>
      <c r="N14" s="19">
        <f t="shared" si="1"/>
        <v>0</v>
      </c>
      <c r="O14" s="11"/>
      <c r="P14" s="2">
        <f>--21.96</f>
        <v>21.96</v>
      </c>
      <c r="Q14" s="2"/>
      <c r="R14" s="19"/>
      <c r="S14" s="2"/>
      <c r="T14" s="2"/>
      <c r="U14" s="2"/>
      <c r="V14" s="19"/>
      <c r="W14" s="2"/>
      <c r="X14" s="2">
        <f t="shared" si="2"/>
        <v>21.96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>--189.01</f>
        <v>189.01</v>
      </c>
      <c r="E15" s="2"/>
      <c r="F15" s="19"/>
      <c r="G15" s="2"/>
      <c r="H15" s="2"/>
      <c r="I15" s="2"/>
      <c r="J15" s="19"/>
      <c r="K15" s="2"/>
      <c r="L15" s="2">
        <f t="shared" si="0"/>
        <v>189.01</v>
      </c>
      <c r="M15" s="2"/>
      <c r="N15" s="19">
        <f t="shared" si="1"/>
        <v>0</v>
      </c>
      <c r="O15" s="11"/>
      <c r="P15" s="2">
        <f>--1309.17</f>
        <v>1309.17</v>
      </c>
      <c r="Q15" s="2"/>
      <c r="R15" s="19"/>
      <c r="S15" s="2"/>
      <c r="T15" s="2"/>
      <c r="U15" s="2"/>
      <c r="V15" s="19"/>
      <c r="W15" s="2"/>
      <c r="X15" s="2">
        <f t="shared" si="2"/>
        <v>1309.17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--757.56</f>
        <v>757.56</v>
      </c>
      <c r="E16" s="2"/>
      <c r="F16" s="19"/>
      <c r="G16" s="2"/>
      <c r="H16" s="2"/>
      <c r="I16" s="2"/>
      <c r="J16" s="19"/>
      <c r="K16" s="2"/>
      <c r="L16" s="2">
        <f t="shared" si="0"/>
        <v>757.56</v>
      </c>
      <c r="M16" s="2"/>
      <c r="N16" s="19">
        <f t="shared" si="1"/>
        <v>0</v>
      </c>
      <c r="O16" s="11"/>
      <c r="P16" s="2">
        <f>--3476.03</f>
        <v>3476.03</v>
      </c>
      <c r="Q16" s="2"/>
      <c r="R16" s="19"/>
      <c r="S16" s="2"/>
      <c r="T16" s="2"/>
      <c r="U16" s="2"/>
      <c r="V16" s="19"/>
      <c r="W16" s="2"/>
      <c r="X16" s="2">
        <f t="shared" si="2"/>
        <v>3476.03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--322.06</f>
        <v>322.06</v>
      </c>
      <c r="E17" s="2"/>
      <c r="F17" s="19"/>
      <c r="G17" s="2"/>
      <c r="H17" s="2"/>
      <c r="I17" s="2"/>
      <c r="J17" s="19"/>
      <c r="K17" s="2"/>
      <c r="L17" s="2">
        <f t="shared" si="0"/>
        <v>322.06</v>
      </c>
      <c r="M17" s="2"/>
      <c r="N17" s="19">
        <f t="shared" si="1"/>
        <v>0</v>
      </c>
      <c r="O17" s="11"/>
      <c r="P17" s="2">
        <f>--5564.54</f>
        <v>5564.54</v>
      </c>
      <c r="Q17" s="2"/>
      <c r="R17" s="19"/>
      <c r="S17" s="2"/>
      <c r="T17" s="2"/>
      <c r="U17" s="2"/>
      <c r="V17" s="19"/>
      <c r="W17" s="2"/>
      <c r="X17" s="2">
        <f t="shared" si="2"/>
        <v>5564.54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>--28542.6</f>
        <v>28542.6</v>
      </c>
      <c r="E18" s="2"/>
      <c r="F18" s="19"/>
      <c r="G18" s="2"/>
      <c r="H18" s="2"/>
      <c r="I18" s="2"/>
      <c r="J18" s="19"/>
      <c r="K18" s="2"/>
      <c r="L18" s="2">
        <f t="shared" si="0"/>
        <v>28542.6</v>
      </c>
      <c r="M18" s="2"/>
      <c r="N18" s="19">
        <f t="shared" si="1"/>
        <v>0</v>
      </c>
      <c r="O18" s="11"/>
      <c r="P18" s="2">
        <f>--169267.93</f>
        <v>169267.93</v>
      </c>
      <c r="Q18" s="2"/>
      <c r="R18" s="19"/>
      <c r="S18" s="2"/>
      <c r="T18" s="2"/>
      <c r="U18" s="2"/>
      <c r="V18" s="19"/>
      <c r="W18" s="2"/>
      <c r="X18" s="2">
        <f t="shared" si="2"/>
        <v>169267.93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"4031", " - ", "TAXABLE SALES-FOOD")</f>
        <v xml:space="preserve">          4031 - TAXABLE SALES-FOOD</v>
      </c>
      <c r="C19" s="11"/>
      <c r="D19" s="2">
        <f>--58.77</f>
        <v>58.77</v>
      </c>
      <c r="E19" s="2"/>
      <c r="F19" s="19"/>
      <c r="G19" s="2"/>
      <c r="H19" s="2"/>
      <c r="I19" s="2"/>
      <c r="J19" s="19"/>
      <c r="K19" s="2"/>
      <c r="L19" s="2">
        <f t="shared" si="0"/>
        <v>58.77</v>
      </c>
      <c r="M19" s="2"/>
      <c r="N19" s="19">
        <f t="shared" si="1"/>
        <v>0</v>
      </c>
      <c r="O19" s="11"/>
      <c r="P19" s="2">
        <f>--280.05</f>
        <v>280.05</v>
      </c>
      <c r="Q19" s="2"/>
      <c r="R19" s="19"/>
      <c r="S19" s="2"/>
      <c r="T19" s="2"/>
      <c r="U19" s="2"/>
      <c r="V19" s="19"/>
      <c r="W19" s="2"/>
      <c r="X19" s="2">
        <f t="shared" si="2"/>
        <v>280.05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"4032", " - ", "TAXABLE SALES-JUICE")</f>
        <v xml:space="preserve">          4032 - TAXABLE SALES-JUICE</v>
      </c>
      <c r="C20" s="11"/>
      <c r="D20" s="2">
        <f>--609.66</f>
        <v>609.66</v>
      </c>
      <c r="E20" s="2"/>
      <c r="F20" s="19"/>
      <c r="G20" s="2"/>
      <c r="H20" s="2"/>
      <c r="I20" s="2"/>
      <c r="J20" s="19"/>
      <c r="K20" s="2"/>
      <c r="L20" s="2">
        <f t="shared" si="0"/>
        <v>609.66</v>
      </c>
      <c r="M20" s="2"/>
      <c r="N20" s="19">
        <f t="shared" si="1"/>
        <v>0</v>
      </c>
      <c r="O20" s="11"/>
      <c r="P20" s="2">
        <f>--663.08</f>
        <v>663.08</v>
      </c>
      <c r="Q20" s="2"/>
      <c r="R20" s="19"/>
      <c r="S20" s="2"/>
      <c r="T20" s="2"/>
      <c r="U20" s="2"/>
      <c r="V20" s="19"/>
      <c r="W20" s="2"/>
      <c r="X20" s="2">
        <f t="shared" si="2"/>
        <v>663.08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"4033", " - ", "TAXABLE SALES-CANDY")</f>
        <v xml:space="preserve">          4033 - TAXABLE SALES-CANDY</v>
      </c>
      <c r="C21" s="11"/>
      <c r="D21" s="2">
        <f>--23.21</f>
        <v>23.21</v>
      </c>
      <c r="E21" s="2"/>
      <c r="F21" s="19"/>
      <c r="G21" s="2"/>
      <c r="H21" s="2"/>
      <c r="I21" s="2"/>
      <c r="J21" s="19"/>
      <c r="K21" s="2"/>
      <c r="L21" s="2">
        <f t="shared" si="0"/>
        <v>23.21</v>
      </c>
      <c r="M21" s="2"/>
      <c r="N21" s="19">
        <f t="shared" si="1"/>
        <v>0</v>
      </c>
      <c r="O21" s="11"/>
      <c r="P21" s="2">
        <f>--108.61</f>
        <v>108.61</v>
      </c>
      <c r="Q21" s="2"/>
      <c r="R21" s="19"/>
      <c r="S21" s="2"/>
      <c r="T21" s="2"/>
      <c r="U21" s="2"/>
      <c r="V21" s="19"/>
      <c r="W21" s="2"/>
      <c r="X21" s="2">
        <f t="shared" si="2"/>
        <v>108.61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"4034", " - ", "TAXABLE SALES-SODA")</f>
        <v xml:space="preserve">          4034 - TAXABLE SALES-SODA</v>
      </c>
      <c r="C22" s="11"/>
      <c r="D22" s="2">
        <f>--1010.01</f>
        <v>1010.01</v>
      </c>
      <c r="E22" s="2"/>
      <c r="F22" s="19"/>
      <c r="G22" s="2"/>
      <c r="H22" s="2"/>
      <c r="I22" s="2"/>
      <c r="J22" s="19"/>
      <c r="K22" s="2"/>
      <c r="L22" s="2">
        <f t="shared" si="0"/>
        <v>1010.01</v>
      </c>
      <c r="M22" s="2"/>
      <c r="N22" s="19">
        <f t="shared" si="1"/>
        <v>0</v>
      </c>
      <c r="O22" s="11"/>
      <c r="P22" s="2">
        <f>--4724.25</f>
        <v>4724.25</v>
      </c>
      <c r="Q22" s="2"/>
      <c r="R22" s="19"/>
      <c r="S22" s="2"/>
      <c r="T22" s="2"/>
      <c r="U22" s="2"/>
      <c r="V22" s="19"/>
      <c r="W22" s="2"/>
      <c r="X22" s="2">
        <f t="shared" si="2"/>
        <v>4724.25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>--269.24</f>
        <v>269.24</v>
      </c>
      <c r="E23" s="2"/>
      <c r="F23" s="19"/>
      <c r="G23" s="2"/>
      <c r="H23" s="2"/>
      <c r="I23" s="2"/>
      <c r="J23" s="19"/>
      <c r="K23" s="2"/>
      <c r="L23" s="2">
        <f t="shared" si="0"/>
        <v>269.24</v>
      </c>
      <c r="M23" s="2"/>
      <c r="N23" s="19">
        <f t="shared" si="1"/>
        <v>0</v>
      </c>
      <c r="O23" s="11"/>
      <c r="P23" s="2">
        <f>--1117.4</f>
        <v>1117.4000000000001</v>
      </c>
      <c r="Q23" s="2"/>
      <c r="R23" s="19"/>
      <c r="S23" s="2"/>
      <c r="T23" s="2"/>
      <c r="U23" s="2"/>
      <c r="V23" s="19"/>
      <c r="W23" s="2"/>
      <c r="X23" s="2">
        <f t="shared" si="2"/>
        <v>1117.4000000000001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"4037", " - ", "TAXABLE SALES-WATER")</f>
        <v xml:space="preserve">          4037 - TAXABLE SALES-WATER</v>
      </c>
      <c r="C24" s="11"/>
      <c r="D24" s="2">
        <f>--74.6</f>
        <v>74.599999999999994</v>
      </c>
      <c r="E24" s="2"/>
      <c r="F24" s="19"/>
      <c r="G24" s="2"/>
      <c r="H24" s="2"/>
      <c r="I24" s="2"/>
      <c r="J24" s="19"/>
      <c r="K24" s="2"/>
      <c r="L24" s="2">
        <f t="shared" si="0"/>
        <v>74.599999999999994</v>
      </c>
      <c r="M24" s="2"/>
      <c r="N24" s="19">
        <f t="shared" si="1"/>
        <v>0</v>
      </c>
      <c r="O24" s="11"/>
      <c r="P24" s="2">
        <f>--377.17</f>
        <v>377.17</v>
      </c>
      <c r="Q24" s="2"/>
      <c r="R24" s="19"/>
      <c r="S24" s="2"/>
      <c r="T24" s="2"/>
      <c r="U24" s="2"/>
      <c r="V24" s="19"/>
      <c r="W24" s="2"/>
      <c r="X24" s="2">
        <f t="shared" si="2"/>
        <v>377.17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"4081", " - ", "TAXABLE SALES-ELECTRONICS")</f>
        <v xml:space="preserve">          4081 - TAXABLE SALES-ELECTRONICS</v>
      </c>
      <c r="C25" s="11"/>
      <c r="D25" s="2">
        <f>--430.76</f>
        <v>430.76</v>
      </c>
      <c r="E25" s="2"/>
      <c r="F25" s="19"/>
      <c r="G25" s="2"/>
      <c r="H25" s="2"/>
      <c r="I25" s="2"/>
      <c r="J25" s="19"/>
      <c r="K25" s="2"/>
      <c r="L25" s="2">
        <f t="shared" si="0"/>
        <v>430.76</v>
      </c>
      <c r="M25" s="2"/>
      <c r="N25" s="19">
        <f t="shared" si="1"/>
        <v>0</v>
      </c>
      <c r="O25" s="11"/>
      <c r="P25" s="2">
        <f>--2223.67</f>
        <v>2223.67</v>
      </c>
      <c r="Q25" s="2"/>
      <c r="R25" s="19"/>
      <c r="S25" s="2"/>
      <c r="T25" s="2"/>
      <c r="U25" s="2"/>
      <c r="V25" s="19"/>
      <c r="W25" s="2"/>
      <c r="X25" s="2">
        <f t="shared" si="2"/>
        <v>2223.67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"4082", " - ", "TAXABLE SALES-COMPUTER HARDWAR")</f>
        <v xml:space="preserve">          4082 - TAXABLE SALES-COMPUTER HARDWAR</v>
      </c>
      <c r="C26" s="11"/>
      <c r="D26" s="2">
        <f>0</f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--162</f>
        <v>162</v>
      </c>
      <c r="Q26" s="2"/>
      <c r="R26" s="19"/>
      <c r="S26" s="2"/>
      <c r="T26" s="2"/>
      <c r="U26" s="2"/>
      <c r="V26" s="19"/>
      <c r="W26" s="2"/>
      <c r="X26" s="2">
        <f t="shared" si="2"/>
        <v>162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"4083", " - ", "TAXABLE SALES-COMPUTER EQUIPME")</f>
        <v xml:space="preserve">          4083 - TAXABLE SALES-COMPUTER EQUIPME</v>
      </c>
      <c r="C27" s="11"/>
      <c r="D27" s="2">
        <f>--139.91</f>
        <v>139.91</v>
      </c>
      <c r="E27" s="2"/>
      <c r="F27" s="19"/>
      <c r="G27" s="2"/>
      <c r="H27" s="2"/>
      <c r="I27" s="2"/>
      <c r="J27" s="19"/>
      <c r="K27" s="2"/>
      <c r="L27" s="2">
        <f t="shared" si="0"/>
        <v>139.91</v>
      </c>
      <c r="M27" s="2"/>
      <c r="N27" s="19">
        <f t="shared" si="1"/>
        <v>0</v>
      </c>
      <c r="O27" s="11"/>
      <c r="P27" s="2">
        <f>--569.6</f>
        <v>569.6</v>
      </c>
      <c r="Q27" s="2"/>
      <c r="R27" s="19"/>
      <c r="S27" s="2"/>
      <c r="T27" s="2"/>
      <c r="U27" s="2"/>
      <c r="V27" s="19"/>
      <c r="W27" s="2"/>
      <c r="X27" s="2">
        <f t="shared" si="2"/>
        <v>569.6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"4086", " - ", "TAXABLE SALES-COMPUTER SUPPLIE")</f>
        <v xml:space="preserve">          4086 - TAXABLE SALES-COMPUTER SUPPLIE</v>
      </c>
      <c r="C28" s="11"/>
      <c r="D28" s="2">
        <f>--105</f>
        <v>105</v>
      </c>
      <c r="E28" s="2"/>
      <c r="F28" s="19"/>
      <c r="G28" s="2"/>
      <c r="H28" s="2"/>
      <c r="I28" s="2"/>
      <c r="J28" s="19"/>
      <c r="K28" s="2"/>
      <c r="L28" s="2">
        <f t="shared" si="0"/>
        <v>105</v>
      </c>
      <c r="M28" s="2"/>
      <c r="N28" s="19">
        <f t="shared" si="1"/>
        <v>0</v>
      </c>
      <c r="O28" s="11"/>
      <c r="P28" s="2">
        <f>--639.79</f>
        <v>639.79</v>
      </c>
      <c r="Q28" s="2"/>
      <c r="R28" s="19"/>
      <c r="S28" s="2"/>
      <c r="T28" s="2"/>
      <c r="U28" s="2"/>
      <c r="V28" s="19"/>
      <c r="W28" s="2"/>
      <c r="X28" s="2">
        <f t="shared" si="2"/>
        <v>639.79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"4100", " - ", "NON-TAXABLE SALES")</f>
        <v xml:space="preserve">          4100 - NON-TAXABLE SALES</v>
      </c>
      <c r="C29" s="11"/>
      <c r="D29" s="2">
        <f t="shared" ref="D29:D31" si="4">0</f>
        <v>0</v>
      </c>
      <c r="E29" s="2"/>
      <c r="F29" s="19"/>
      <c r="G29" s="2"/>
      <c r="H29" s="2">
        <v>13513</v>
      </c>
      <c r="I29" s="2"/>
      <c r="J29" s="19"/>
      <c r="K29" s="2"/>
      <c r="L29" s="2">
        <f t="shared" si="0"/>
        <v>-13513</v>
      </c>
      <c r="M29" s="2"/>
      <c r="N29" s="19">
        <f t="shared" si="1"/>
        <v>-1</v>
      </c>
      <c r="O29" s="11"/>
      <c r="P29" s="2">
        <f>0</f>
        <v>0</v>
      </c>
      <c r="Q29" s="2"/>
      <c r="R29" s="19"/>
      <c r="S29" s="2"/>
      <c r="T29" s="2">
        <v>58864</v>
      </c>
      <c r="U29" s="2"/>
      <c r="V29" s="19"/>
      <c r="W29" s="2"/>
      <c r="X29" s="2">
        <f t="shared" si="2"/>
        <v>-58864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"4127", " - ", "NON-TAXABLE SALES-SCHOOL SUPPL")</f>
        <v xml:space="preserve">          4127 - NON-TAXABLE SALES-SCHOOL SUPPL</v>
      </c>
      <c r="C30" s="11"/>
      <c r="D30" s="2">
        <f t="shared" si="4"/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--12.17</f>
        <v>12.17</v>
      </c>
      <c r="Q30" s="2"/>
      <c r="R30" s="19"/>
      <c r="S30" s="2"/>
      <c r="T30" s="2"/>
      <c r="U30" s="2"/>
      <c r="V30" s="19"/>
      <c r="W30" s="2"/>
      <c r="X30" s="2">
        <f t="shared" si="2"/>
        <v>12.17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"4128", " - ", "NON-TAXABLE SALES-ART/TECH")</f>
        <v xml:space="preserve">          4128 - NON-TAXABLE SALES-ART/TECH</v>
      </c>
      <c r="C31" s="11"/>
      <c r="D31" s="2">
        <f t="shared" si="4"/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--95.4</f>
        <v>95.4</v>
      </c>
      <c r="Q31" s="2"/>
      <c r="R31" s="19"/>
      <c r="S31" s="2"/>
      <c r="T31" s="2"/>
      <c r="U31" s="2"/>
      <c r="V31" s="19"/>
      <c r="W31" s="2"/>
      <c r="X31" s="2">
        <f t="shared" si="2"/>
        <v>95.4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"4131", " - ", "NON-TAXABLE SALES-FOOD")</f>
        <v xml:space="preserve">          4131 - NON-TAXABLE SALES-FOOD</v>
      </c>
      <c r="C32" s="11"/>
      <c r="D32" s="2">
        <f>--8214.93</f>
        <v>8214.93</v>
      </c>
      <c r="E32" s="2"/>
      <c r="F32" s="19"/>
      <c r="G32" s="2"/>
      <c r="H32" s="2"/>
      <c r="I32" s="2"/>
      <c r="J32" s="19"/>
      <c r="K32" s="2"/>
      <c r="L32" s="2">
        <f t="shared" si="0"/>
        <v>8214.93</v>
      </c>
      <c r="M32" s="2"/>
      <c r="N32" s="19">
        <f t="shared" si="1"/>
        <v>0</v>
      </c>
      <c r="O32" s="11"/>
      <c r="P32" s="2">
        <f>--34233.68</f>
        <v>34233.68</v>
      </c>
      <c r="Q32" s="2"/>
      <c r="R32" s="19"/>
      <c r="S32" s="2"/>
      <c r="T32" s="2"/>
      <c r="U32" s="2"/>
      <c r="V32" s="19"/>
      <c r="W32" s="2"/>
      <c r="X32" s="2">
        <f t="shared" si="2"/>
        <v>34233.68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"4132", " - ", "NON-TAXABLE SALES-JUICE")</f>
        <v xml:space="preserve">          4132 - NON-TAXABLE SALES-JUICE</v>
      </c>
      <c r="C33" s="11"/>
      <c r="D33" s="2">
        <f>--2505.59</f>
        <v>2505.59</v>
      </c>
      <c r="E33" s="2"/>
      <c r="F33" s="19"/>
      <c r="G33" s="2"/>
      <c r="H33" s="2"/>
      <c r="I33" s="2"/>
      <c r="J33" s="19"/>
      <c r="K33" s="2"/>
      <c r="L33" s="2">
        <f t="shared" si="0"/>
        <v>2505.59</v>
      </c>
      <c r="M33" s="2"/>
      <c r="N33" s="19">
        <f t="shared" si="1"/>
        <v>0</v>
      </c>
      <c r="O33" s="11"/>
      <c r="P33" s="2">
        <f>--10274.39</f>
        <v>10274.39</v>
      </c>
      <c r="Q33" s="2"/>
      <c r="R33" s="19"/>
      <c r="S33" s="2"/>
      <c r="T33" s="2"/>
      <c r="U33" s="2"/>
      <c r="V33" s="19"/>
      <c r="W33" s="2"/>
      <c r="X33" s="2">
        <f t="shared" si="2"/>
        <v>10274.39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"4133", " - ", "NON-TAXABLE SALES-CANDY")</f>
        <v xml:space="preserve">          4133 - NON-TAXABLE SALES-CANDY</v>
      </c>
      <c r="C34" s="11"/>
      <c r="D34" s="2">
        <f>--2153.98</f>
        <v>2153.98</v>
      </c>
      <c r="E34" s="2"/>
      <c r="F34" s="19"/>
      <c r="G34" s="2"/>
      <c r="H34" s="2"/>
      <c r="I34" s="2"/>
      <c r="J34" s="19"/>
      <c r="K34" s="2"/>
      <c r="L34" s="2">
        <f t="shared" si="0"/>
        <v>2153.98</v>
      </c>
      <c r="M34" s="2"/>
      <c r="N34" s="19">
        <f t="shared" si="1"/>
        <v>0</v>
      </c>
      <c r="O34" s="11"/>
      <c r="P34" s="2">
        <f>--9475.44</f>
        <v>9475.44</v>
      </c>
      <c r="Q34" s="2"/>
      <c r="R34" s="19"/>
      <c r="S34" s="2"/>
      <c r="T34" s="2"/>
      <c r="U34" s="2"/>
      <c r="V34" s="19"/>
      <c r="W34" s="2"/>
      <c r="X34" s="2">
        <f t="shared" si="2"/>
        <v>9475.44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"4135", " - ", "NON-TAXABLE SALES")</f>
        <v xml:space="preserve">          4135 - NON-TAXABLE SALES</v>
      </c>
      <c r="C35" s="11"/>
      <c r="D35" s="2">
        <f>--10.77</f>
        <v>10.77</v>
      </c>
      <c r="E35" s="2"/>
      <c r="F35" s="19"/>
      <c r="G35" s="2"/>
      <c r="H35" s="2"/>
      <c r="I35" s="2"/>
      <c r="J35" s="19"/>
      <c r="K35" s="2"/>
      <c r="L35" s="2">
        <f t="shared" si="0"/>
        <v>10.77</v>
      </c>
      <c r="M35" s="2"/>
      <c r="N35" s="19">
        <f t="shared" si="1"/>
        <v>0</v>
      </c>
      <c r="O35" s="11"/>
      <c r="P35" s="2">
        <f>--64.57</f>
        <v>64.569999999999993</v>
      </c>
      <c r="Q35" s="2"/>
      <c r="R35" s="19"/>
      <c r="S35" s="2"/>
      <c r="T35" s="2"/>
      <c r="U35" s="2"/>
      <c r="V35" s="19"/>
      <c r="W35" s="2"/>
      <c r="X35" s="2">
        <f t="shared" si="2"/>
        <v>64.569999999999993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"4137", " - ", "NON-TAXABLE SALES-WATER")</f>
        <v xml:space="preserve">          4137 - NON-TAXABLE SALES-WATER</v>
      </c>
      <c r="C36" s="11"/>
      <c r="D36" s="2">
        <f>--1022.54</f>
        <v>1022.54</v>
      </c>
      <c r="E36" s="2"/>
      <c r="F36" s="19"/>
      <c r="G36" s="2"/>
      <c r="H36" s="2"/>
      <c r="I36" s="2"/>
      <c r="J36" s="19"/>
      <c r="K36" s="2"/>
      <c r="L36" s="2">
        <f t="shared" si="0"/>
        <v>1022.54</v>
      </c>
      <c r="M36" s="2"/>
      <c r="N36" s="19">
        <f t="shared" si="1"/>
        <v>0</v>
      </c>
      <c r="O36" s="11"/>
      <c r="P36" s="2">
        <f>--5202.34</f>
        <v>5202.34</v>
      </c>
      <c r="Q36" s="2"/>
      <c r="R36" s="19"/>
      <c r="S36" s="2"/>
      <c r="T36" s="2"/>
      <c r="U36" s="2"/>
      <c r="V36" s="19"/>
      <c r="W36" s="2"/>
      <c r="X36" s="2">
        <f t="shared" si="2"/>
        <v>5202.34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"4186", " - ", "NON-TAXABLE SALES-COMPUTER SUP")</f>
        <v xml:space="preserve">          4186 - NON-TAXABLE SALES-COMPUTER SUP</v>
      </c>
      <c r="C37" s="11"/>
      <c r="D37" s="2">
        <f t="shared" ref="D37:D38" si="5">0</f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-30.97</f>
        <v>-30.97</v>
      </c>
      <c r="Q37" s="2"/>
      <c r="R37" s="19"/>
      <c r="S37" s="2"/>
      <c r="T37" s="2"/>
      <c r="U37" s="2"/>
      <c r="V37" s="19"/>
      <c r="W37" s="2"/>
      <c r="X37" s="2">
        <f t="shared" si="2"/>
        <v>-30.97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"4225", " - ", "SALES RETURN TAXABLE-TEST FORM")</f>
        <v xml:space="preserve">          4225 - SALES RETURN TAXABLE-TEST FORM</v>
      </c>
      <c r="C38" s="11"/>
      <c r="D38" s="2">
        <f t="shared" si="5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-0.49</f>
        <v>-0.49</v>
      </c>
      <c r="Q38" s="2"/>
      <c r="R38" s="19"/>
      <c r="S38" s="2"/>
      <c r="T38" s="2"/>
      <c r="U38" s="2"/>
      <c r="V38" s="19"/>
      <c r="W38" s="2"/>
      <c r="X38" s="2">
        <f t="shared" si="2"/>
        <v>-0.49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"4226", " - ", "SALES RETURN TAXABLE-WRITING I")</f>
        <v xml:space="preserve">          4226 - SALES RETURN TAXABLE-WRITING I</v>
      </c>
      <c r="C39" s="11"/>
      <c r="D39" s="2">
        <f>-2.99</f>
        <v>-2.99</v>
      </c>
      <c r="E39" s="2"/>
      <c r="F39" s="19"/>
      <c r="G39" s="2"/>
      <c r="H39" s="2"/>
      <c r="I39" s="2"/>
      <c r="J39" s="19"/>
      <c r="K39" s="2"/>
      <c r="L39" s="2">
        <f t="shared" si="0"/>
        <v>-2.99</v>
      </c>
      <c r="M39" s="2"/>
      <c r="N39" s="19">
        <f t="shared" si="1"/>
        <v>0</v>
      </c>
      <c r="O39" s="11"/>
      <c r="P39" s="2">
        <f>-5.98</f>
        <v>-5.98</v>
      </c>
      <c r="Q39" s="2"/>
      <c r="R39" s="19"/>
      <c r="S39" s="2"/>
      <c r="T39" s="2"/>
      <c r="U39" s="2"/>
      <c r="V39" s="19"/>
      <c r="W39" s="2"/>
      <c r="X39" s="2">
        <f t="shared" si="2"/>
        <v>-5.98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"4227", " - ", "SALES RETURN TAXABLE-SCHOOL SU")</f>
        <v xml:space="preserve">          4227 - SALES RETURN TAXABLE-SCHOOL SU</v>
      </c>
      <c r="C40" s="11"/>
      <c r="D40" s="2">
        <f>-3.27</f>
        <v>-3.27</v>
      </c>
      <c r="E40" s="2"/>
      <c r="F40" s="19"/>
      <c r="G40" s="2"/>
      <c r="H40" s="2"/>
      <c r="I40" s="2"/>
      <c r="J40" s="19"/>
      <c r="K40" s="2"/>
      <c r="L40" s="2">
        <f t="shared" si="0"/>
        <v>-3.27</v>
      </c>
      <c r="M40" s="2"/>
      <c r="N40" s="19">
        <f t="shared" si="1"/>
        <v>0</v>
      </c>
      <c r="O40" s="11"/>
      <c r="P40" s="2">
        <f>-25.49</f>
        <v>-25.49</v>
      </c>
      <c r="Q40" s="2"/>
      <c r="R40" s="19"/>
      <c r="S40" s="2"/>
      <c r="T40" s="2"/>
      <c r="U40" s="2"/>
      <c r="V40" s="19"/>
      <c r="W40" s="2"/>
      <c r="X40" s="2">
        <f t="shared" si="2"/>
        <v>-25.49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"4228", " - ", "SALES RETURN TAXABLE-ART/TECH")</f>
        <v xml:space="preserve">          4228 - SALES RETURN TAXABLE-ART/TECH</v>
      </c>
      <c r="C41" s="11"/>
      <c r="D41" s="2">
        <f>-430.25</f>
        <v>-430.25</v>
      </c>
      <c r="E41" s="2"/>
      <c r="F41" s="19"/>
      <c r="G41" s="2"/>
      <c r="H41" s="2"/>
      <c r="I41" s="2"/>
      <c r="J41" s="19"/>
      <c r="K41" s="2"/>
      <c r="L41" s="2">
        <f t="shared" si="0"/>
        <v>-430.25</v>
      </c>
      <c r="M41" s="2"/>
      <c r="N41" s="19">
        <f t="shared" si="1"/>
        <v>0</v>
      </c>
      <c r="O41" s="11"/>
      <c r="P41" s="2">
        <f>-2633.54</f>
        <v>-2633.54</v>
      </c>
      <c r="Q41" s="2"/>
      <c r="R41" s="19"/>
      <c r="S41" s="2"/>
      <c r="T41" s="2"/>
      <c r="U41" s="2"/>
      <c r="V41" s="19"/>
      <c r="W41" s="2"/>
      <c r="X41" s="2">
        <f t="shared" si="2"/>
        <v>-2633.54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"4233", " - ", "SALES RETURN TAXABLE-CANDY")</f>
        <v xml:space="preserve">          4233 - SALES RETURN TAXABLE-CANDY</v>
      </c>
      <c r="C42" s="11"/>
      <c r="D42" s="2">
        <f>-1.29</f>
        <v>-1.29</v>
      </c>
      <c r="E42" s="2"/>
      <c r="F42" s="19"/>
      <c r="G42" s="2"/>
      <c r="H42" s="2"/>
      <c r="I42" s="2"/>
      <c r="J42" s="19"/>
      <c r="K42" s="2"/>
      <c r="L42" s="2">
        <f t="shared" si="0"/>
        <v>-1.29</v>
      </c>
      <c r="M42" s="2"/>
      <c r="N42" s="19">
        <f t="shared" si="1"/>
        <v>0</v>
      </c>
      <c r="O42" s="11"/>
      <c r="P42" s="2">
        <f>-1.29</f>
        <v>-1.29</v>
      </c>
      <c r="Q42" s="2"/>
      <c r="R42" s="19"/>
      <c r="S42" s="2"/>
      <c r="T42" s="2"/>
      <c r="U42" s="2"/>
      <c r="V42" s="19"/>
      <c r="W42" s="2"/>
      <c r="X42" s="2">
        <f t="shared" si="2"/>
        <v>-1.29</v>
      </c>
      <c r="Y42" s="2"/>
      <c r="Z42" s="19">
        <f t="shared" si="3"/>
        <v>0</v>
      </c>
    </row>
    <row r="43" spans="1:26" s="24" customFormat="1" hidden="1" outlineLevel="1" x14ac:dyDescent="0.25">
      <c r="A43" s="44"/>
      <c r="B43" s="11" t="str">
        <f>CONCATENATE("          ", "4281", " - ", "SALES RETURN TAXABLE-ELECTRONI")</f>
        <v xml:space="preserve">          4281 - SALES RETURN TAXABLE-ELECTRONI</v>
      </c>
      <c r="C43" s="11"/>
      <c r="D43" s="2">
        <f>0</f>
        <v>0</v>
      </c>
      <c r="E43" s="2"/>
      <c r="F43" s="19"/>
      <c r="G43" s="2"/>
      <c r="H43" s="2"/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-44.98</f>
        <v>-44.98</v>
      </c>
      <c r="Q43" s="2"/>
      <c r="R43" s="19"/>
      <c r="S43" s="2"/>
      <c r="T43" s="2"/>
      <c r="U43" s="2"/>
      <c r="V43" s="19"/>
      <c r="W43" s="2"/>
      <c r="X43" s="2">
        <f t="shared" si="2"/>
        <v>-44.98</v>
      </c>
      <c r="Y43" s="2"/>
      <c r="Z43" s="19">
        <f t="shared" si="3"/>
        <v>0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collapsed="1" x14ac:dyDescent="0.25">
      <c r="A45" s="10"/>
      <c r="B45" s="29" t="s">
        <v>8</v>
      </c>
      <c r="C45" s="10"/>
      <c r="D45" s="4">
        <f>SUM(OSRRefD16x_0)</f>
        <v>24588.93</v>
      </c>
      <c r="E45" s="4"/>
      <c r="F45" s="12">
        <f t="shared" ref="F45:F65" si="6">IF(D$12=0,0,D45/D$12)</f>
        <v>0.53445028667908923</v>
      </c>
      <c r="G45" s="4"/>
      <c r="H45" s="4">
        <f>SUM(OSRRefH16x_0)</f>
        <v>19706</v>
      </c>
      <c r="I45" s="4"/>
      <c r="J45" s="12">
        <f t="shared" ref="J45:J65" si="7">IF(H$12=0,0,H45/H$12)</f>
        <v>0.44289117633838271</v>
      </c>
      <c r="K45" s="4"/>
      <c r="L45" s="4">
        <f t="shared" ref="L45:L65" si="8">+D45-H45</f>
        <v>4882.93</v>
      </c>
      <c r="M45" s="4"/>
      <c r="N45" s="12">
        <f t="shared" ref="N45:N65" si="9">IF(H45=0,0,L45/H45)</f>
        <v>0.24778899827463718</v>
      </c>
      <c r="O45" s="10"/>
      <c r="P45" s="4">
        <f>SUM(OSRRefP16x_0)</f>
        <v>129763.64000000003</v>
      </c>
      <c r="Q45" s="4"/>
      <c r="R45" s="12">
        <f t="shared" ref="R45:R65" si="10">IF(P$12=0,0,P45/P$12)</f>
        <v>0.52510269281585309</v>
      </c>
      <c r="S45" s="4"/>
      <c r="T45" s="4">
        <f>SUM(OSRRefT16x_0)</f>
        <v>112484</v>
      </c>
      <c r="U45" s="4"/>
      <c r="V45" s="12">
        <f t="shared" ref="V45:V65" si="11">IF(T$12=0,0,T45/T$12)</f>
        <v>0.43648526992208114</v>
      </c>
      <c r="W45" s="4"/>
      <c r="X45" s="4">
        <f t="shared" ref="X45:X65" si="12">+P45-T45</f>
        <v>17279.640000000029</v>
      </c>
      <c r="Y45" s="4"/>
      <c r="Z45" s="12">
        <f t="shared" ref="Z45:Z65" si="13">IF(T45=0,0,X45/T45)</f>
        <v>0.15361864798549152</v>
      </c>
    </row>
    <row r="46" spans="1:26" s="24" customFormat="1" hidden="1" outlineLevel="1" x14ac:dyDescent="0.25">
      <c r="A46" s="44"/>
      <c r="B46" s="11" t="str">
        <f>CONCATENATE("          ", "5000", " - ", "PURCHASES @ COST")</f>
        <v xml:space="preserve">          5000 - PURCHASES @ COST</v>
      </c>
      <c r="C46" s="11"/>
      <c r="D46" s="2"/>
      <c r="E46" s="2"/>
      <c r="F46" s="19">
        <f t="shared" si="6"/>
        <v>0</v>
      </c>
      <c r="G46" s="2"/>
      <c r="H46" s="2">
        <v>19706</v>
      </c>
      <c r="I46" s="2"/>
      <c r="J46" s="19">
        <f t="shared" si="7"/>
        <v>0.44289117633838271</v>
      </c>
      <c r="K46" s="2"/>
      <c r="L46" s="2">
        <f t="shared" si="8"/>
        <v>-19706</v>
      </c>
      <c r="M46" s="2"/>
      <c r="N46" s="19">
        <f t="shared" si="9"/>
        <v>-1</v>
      </c>
      <c r="O46" s="11"/>
      <c r="P46" s="2"/>
      <c r="Q46" s="2"/>
      <c r="R46" s="19">
        <f t="shared" si="10"/>
        <v>0</v>
      </c>
      <c r="S46" s="2"/>
      <c r="T46" s="2">
        <v>112484</v>
      </c>
      <c r="U46" s="2"/>
      <c r="V46" s="19">
        <f t="shared" si="11"/>
        <v>0.43648526992208114</v>
      </c>
      <c r="W46" s="2"/>
      <c r="X46" s="2">
        <f t="shared" si="12"/>
        <v>-112484</v>
      </c>
      <c r="Y46" s="2"/>
      <c r="Z46" s="19">
        <f t="shared" si="13"/>
        <v>-1</v>
      </c>
    </row>
    <row r="47" spans="1:26" s="24" customFormat="1" hidden="1" outlineLevel="1" x14ac:dyDescent="0.25">
      <c r="A47" s="44"/>
      <c r="B47" s="11" t="str">
        <f>CONCATENATE("          ", "5014", " - ", "PURCHASES @ COST-REMAINDERS")</f>
        <v xml:space="preserve">          5014 - PURCHASES @ COST-REMAINDERS</v>
      </c>
      <c r="C47" s="11"/>
      <c r="D47" s="2"/>
      <c r="E47" s="2"/>
      <c r="F47" s="19">
        <f t="shared" si="6"/>
        <v>0</v>
      </c>
      <c r="G47" s="2"/>
      <c r="H47" s="2"/>
      <c r="I47" s="2"/>
      <c r="J47" s="19">
        <f t="shared" si="7"/>
        <v>0</v>
      </c>
      <c r="K47" s="2"/>
      <c r="L47" s="2">
        <f t="shared" si="8"/>
        <v>0</v>
      </c>
      <c r="M47" s="2"/>
      <c r="N47" s="19">
        <f t="shared" si="9"/>
        <v>0</v>
      </c>
      <c r="O47" s="11"/>
      <c r="P47" s="2">
        <v>14.46</v>
      </c>
      <c r="Q47" s="2"/>
      <c r="R47" s="19">
        <f t="shared" si="10"/>
        <v>5.8513963835456793E-5</v>
      </c>
      <c r="S47" s="2"/>
      <c r="T47" s="2"/>
      <c r="U47" s="2"/>
      <c r="V47" s="19">
        <f t="shared" si="11"/>
        <v>0</v>
      </c>
      <c r="W47" s="2"/>
      <c r="X47" s="2">
        <f t="shared" si="12"/>
        <v>14.46</v>
      </c>
      <c r="Y47" s="2"/>
      <c r="Z47" s="19">
        <f t="shared" si="13"/>
        <v>0</v>
      </c>
    </row>
    <row r="48" spans="1:26" s="24" customFormat="1" hidden="1" outlineLevel="1" x14ac:dyDescent="0.25">
      <c r="A48" s="44"/>
      <c r="B48" s="11" t="str">
        <f>CONCATENATE("          ", "5025", " - ", "PURCHASES @ COST-TEST FORMS")</f>
        <v xml:space="preserve">          5025 - PURCHASES @ COST-TEST FORMS</v>
      </c>
      <c r="C48" s="11"/>
      <c r="D48" s="2">
        <v>-34.1</v>
      </c>
      <c r="E48" s="2"/>
      <c r="F48" s="19">
        <f t="shared" si="6"/>
        <v>-7.4117721982033954E-4</v>
      </c>
      <c r="G48" s="2"/>
      <c r="H48" s="2"/>
      <c r="I48" s="2"/>
      <c r="J48" s="19">
        <f t="shared" si="7"/>
        <v>0</v>
      </c>
      <c r="K48" s="2"/>
      <c r="L48" s="2">
        <f t="shared" si="8"/>
        <v>-34.1</v>
      </c>
      <c r="M48" s="2"/>
      <c r="N48" s="19">
        <f t="shared" si="9"/>
        <v>0</v>
      </c>
      <c r="O48" s="11"/>
      <c r="P48" s="2">
        <v>404.28</v>
      </c>
      <c r="Q48" s="2"/>
      <c r="R48" s="19">
        <f t="shared" si="10"/>
        <v>1.6359630220884143E-3</v>
      </c>
      <c r="S48" s="2"/>
      <c r="T48" s="2"/>
      <c r="U48" s="2"/>
      <c r="V48" s="19">
        <f t="shared" si="11"/>
        <v>0</v>
      </c>
      <c r="W48" s="2"/>
      <c r="X48" s="2">
        <f t="shared" si="12"/>
        <v>404.28</v>
      </c>
      <c r="Y48" s="2"/>
      <c r="Z48" s="19">
        <f t="shared" si="13"/>
        <v>0</v>
      </c>
    </row>
    <row r="49" spans="1:26" s="24" customFormat="1" hidden="1" outlineLevel="1" x14ac:dyDescent="0.25">
      <c r="A49" s="44"/>
      <c r="B49" s="11" t="str">
        <f>CONCATENATE("          ", "5026", " - ", "PURCHASES @ COST-WRITING INSTR")</f>
        <v xml:space="preserve">          5026 - PURCHASES @ COST-WRITING INSTR</v>
      </c>
      <c r="C49" s="11"/>
      <c r="D49" s="2">
        <v>723.67</v>
      </c>
      <c r="E49" s="2"/>
      <c r="F49" s="19">
        <f t="shared" si="6"/>
        <v>1.5729258611946777E-2</v>
      </c>
      <c r="G49" s="2"/>
      <c r="H49" s="2"/>
      <c r="I49" s="2"/>
      <c r="J49" s="19">
        <f t="shared" si="7"/>
        <v>0</v>
      </c>
      <c r="K49" s="2"/>
      <c r="L49" s="2">
        <f t="shared" si="8"/>
        <v>723.67</v>
      </c>
      <c r="M49" s="2"/>
      <c r="N49" s="19">
        <f t="shared" si="9"/>
        <v>0</v>
      </c>
      <c r="O49" s="11"/>
      <c r="P49" s="2">
        <v>2577.5100000000002</v>
      </c>
      <c r="Q49" s="2"/>
      <c r="R49" s="19">
        <f t="shared" si="10"/>
        <v>1.0430174752802784E-2</v>
      </c>
      <c r="S49" s="2"/>
      <c r="T49" s="2"/>
      <c r="U49" s="2"/>
      <c r="V49" s="19">
        <f t="shared" si="11"/>
        <v>0</v>
      </c>
      <c r="W49" s="2"/>
      <c r="X49" s="2">
        <f t="shared" si="12"/>
        <v>2577.5100000000002</v>
      </c>
      <c r="Y49" s="2"/>
      <c r="Z49" s="19">
        <f t="shared" si="13"/>
        <v>0</v>
      </c>
    </row>
    <row r="50" spans="1:26" s="24" customFormat="1" hidden="1" outlineLevel="1" x14ac:dyDescent="0.25">
      <c r="A50" s="44"/>
      <c r="B50" s="11" t="str">
        <f>CONCATENATE("          ", "5027", " - ", "PURCHASES @ COST-SCHOOL SUPPLI")</f>
        <v xml:space="preserve">          5027 - PURCHASES @ COST-SCHOOL SUPPLI</v>
      </c>
      <c r="C50" s="11"/>
      <c r="D50" s="2">
        <v>92.71</v>
      </c>
      <c r="E50" s="2"/>
      <c r="F50" s="19">
        <f t="shared" si="6"/>
        <v>2.015089151013011E-3</v>
      </c>
      <c r="G50" s="2"/>
      <c r="H50" s="2"/>
      <c r="I50" s="2"/>
      <c r="J50" s="19">
        <f t="shared" si="7"/>
        <v>0</v>
      </c>
      <c r="K50" s="2"/>
      <c r="L50" s="2">
        <f t="shared" si="8"/>
        <v>92.71</v>
      </c>
      <c r="M50" s="2"/>
      <c r="N50" s="19">
        <f t="shared" si="9"/>
        <v>0</v>
      </c>
      <c r="O50" s="11"/>
      <c r="P50" s="2">
        <v>1855.07</v>
      </c>
      <c r="Q50" s="2"/>
      <c r="R50" s="19">
        <f t="shared" si="10"/>
        <v>7.5067426619806936E-3</v>
      </c>
      <c r="S50" s="2"/>
      <c r="T50" s="2"/>
      <c r="U50" s="2"/>
      <c r="V50" s="19">
        <f t="shared" si="11"/>
        <v>0</v>
      </c>
      <c r="W50" s="2"/>
      <c r="X50" s="2">
        <f t="shared" si="12"/>
        <v>1855.07</v>
      </c>
      <c r="Y50" s="2"/>
      <c r="Z50" s="19">
        <f t="shared" si="13"/>
        <v>0</v>
      </c>
    </row>
    <row r="51" spans="1:26" s="24" customFormat="1" hidden="1" outlineLevel="1" x14ac:dyDescent="0.25">
      <c r="A51" s="44"/>
      <c r="B51" s="11" t="str">
        <f>CONCATENATE("          ", "5028", " - ", "PURCHASES @ COST-ART/TECH")</f>
        <v xml:space="preserve">          5028 - PURCHASES @ COST-ART/TECH</v>
      </c>
      <c r="C51" s="11"/>
      <c r="D51" s="2">
        <v>4926.5200000000004</v>
      </c>
      <c r="E51" s="2"/>
      <c r="F51" s="19">
        <f t="shared" si="6"/>
        <v>0.10707989433986215</v>
      </c>
      <c r="G51" s="2"/>
      <c r="H51" s="2"/>
      <c r="I51" s="2"/>
      <c r="J51" s="19">
        <f t="shared" si="7"/>
        <v>0</v>
      </c>
      <c r="K51" s="2"/>
      <c r="L51" s="2">
        <f t="shared" si="8"/>
        <v>4926.5200000000004</v>
      </c>
      <c r="M51" s="2"/>
      <c r="N51" s="19">
        <f t="shared" si="9"/>
        <v>0</v>
      </c>
      <c r="O51" s="11"/>
      <c r="P51" s="2">
        <v>91992.25</v>
      </c>
      <c r="Q51" s="2"/>
      <c r="R51" s="19">
        <f t="shared" si="10"/>
        <v>0.37225665211910791</v>
      </c>
      <c r="S51" s="2"/>
      <c r="T51" s="2"/>
      <c r="U51" s="2"/>
      <c r="V51" s="19">
        <f t="shared" si="11"/>
        <v>0</v>
      </c>
      <c r="W51" s="2"/>
      <c r="X51" s="2">
        <f t="shared" si="12"/>
        <v>91992.25</v>
      </c>
      <c r="Y51" s="2"/>
      <c r="Z51" s="19">
        <f t="shared" si="13"/>
        <v>0</v>
      </c>
    </row>
    <row r="52" spans="1:26" s="24" customFormat="1" hidden="1" outlineLevel="1" x14ac:dyDescent="0.25">
      <c r="A52" s="44"/>
      <c r="B52" s="11" t="str">
        <f>CONCATENATE("          ", "5031", " - ", "PURCHASES @ COST-FOOD")</f>
        <v xml:space="preserve">          5031 - PURCHASES @ COST-FOOD</v>
      </c>
      <c r="C52" s="11"/>
      <c r="D52" s="2">
        <v>4726.8599999999997</v>
      </c>
      <c r="E52" s="2"/>
      <c r="F52" s="19">
        <f t="shared" si="6"/>
        <v>0.10274020390850351</v>
      </c>
      <c r="G52" s="2"/>
      <c r="H52" s="2"/>
      <c r="I52" s="2"/>
      <c r="J52" s="19">
        <f t="shared" si="7"/>
        <v>0</v>
      </c>
      <c r="K52" s="2"/>
      <c r="L52" s="2">
        <f t="shared" si="8"/>
        <v>4726.8599999999997</v>
      </c>
      <c r="M52" s="2"/>
      <c r="N52" s="19">
        <f t="shared" si="9"/>
        <v>0</v>
      </c>
      <c r="O52" s="11"/>
      <c r="P52" s="2">
        <v>20548.649999999998</v>
      </c>
      <c r="Q52" s="2"/>
      <c r="R52" s="19">
        <f t="shared" si="10"/>
        <v>8.3152348752936311E-2</v>
      </c>
      <c r="S52" s="2"/>
      <c r="T52" s="2"/>
      <c r="U52" s="2"/>
      <c r="V52" s="19">
        <f t="shared" si="11"/>
        <v>0</v>
      </c>
      <c r="W52" s="2"/>
      <c r="X52" s="2">
        <f t="shared" si="12"/>
        <v>20548.649999999998</v>
      </c>
      <c r="Y52" s="2"/>
      <c r="Z52" s="19">
        <f t="shared" si="13"/>
        <v>0</v>
      </c>
    </row>
    <row r="53" spans="1:26" s="24" customFormat="1" hidden="1" outlineLevel="1" x14ac:dyDescent="0.25">
      <c r="A53" s="44"/>
      <c r="B53" s="11" t="str">
        <f>CONCATENATE("          ", "5032", " - ", "PURCHASES @ COST-JUICE")</f>
        <v xml:space="preserve">          5032 - PURCHASES @ COST-JUICE</v>
      </c>
      <c r="C53" s="11"/>
      <c r="D53" s="2">
        <v>1278.21</v>
      </c>
      <c r="E53" s="2"/>
      <c r="F53" s="19">
        <f t="shared" si="6"/>
        <v>2.7782408625998716E-2</v>
      </c>
      <c r="G53" s="2"/>
      <c r="H53" s="2"/>
      <c r="I53" s="2"/>
      <c r="J53" s="19">
        <f t="shared" si="7"/>
        <v>0</v>
      </c>
      <c r="K53" s="2"/>
      <c r="L53" s="2">
        <f t="shared" si="8"/>
        <v>1278.21</v>
      </c>
      <c r="M53" s="2"/>
      <c r="N53" s="19">
        <f t="shared" si="9"/>
        <v>0</v>
      </c>
      <c r="O53" s="11"/>
      <c r="P53" s="2">
        <v>4662.49</v>
      </c>
      <c r="Q53" s="2"/>
      <c r="R53" s="19">
        <f t="shared" si="10"/>
        <v>1.8867273253331877E-2</v>
      </c>
      <c r="S53" s="2"/>
      <c r="T53" s="2"/>
      <c r="U53" s="2"/>
      <c r="V53" s="19">
        <f t="shared" si="11"/>
        <v>0</v>
      </c>
      <c r="W53" s="2"/>
      <c r="X53" s="2">
        <f t="shared" si="12"/>
        <v>4662.49</v>
      </c>
      <c r="Y53" s="2"/>
      <c r="Z53" s="19">
        <f t="shared" si="13"/>
        <v>0</v>
      </c>
    </row>
    <row r="54" spans="1:26" s="24" customFormat="1" hidden="1" outlineLevel="1" x14ac:dyDescent="0.25">
      <c r="A54" s="44"/>
      <c r="B54" s="11" t="str">
        <f>CONCATENATE("          ", "5033", " - ", "PURCHASES @ COST-CANDY")</f>
        <v xml:space="preserve">          5033 - PURCHASES @ COST-CANDY</v>
      </c>
      <c r="C54" s="11"/>
      <c r="D54" s="2">
        <v>1347.65</v>
      </c>
      <c r="E54" s="2"/>
      <c r="F54" s="19">
        <f t="shared" si="6"/>
        <v>2.9291714964541953E-2</v>
      </c>
      <c r="G54" s="2"/>
      <c r="H54" s="2"/>
      <c r="I54" s="2"/>
      <c r="J54" s="19">
        <f t="shared" si="7"/>
        <v>0</v>
      </c>
      <c r="K54" s="2"/>
      <c r="L54" s="2">
        <f t="shared" si="8"/>
        <v>1347.65</v>
      </c>
      <c r="M54" s="2"/>
      <c r="N54" s="19">
        <f t="shared" si="9"/>
        <v>0</v>
      </c>
      <c r="O54" s="11"/>
      <c r="P54" s="2">
        <v>5648.86</v>
      </c>
      <c r="Q54" s="2"/>
      <c r="R54" s="19">
        <f t="shared" si="10"/>
        <v>2.2858726815460473E-2</v>
      </c>
      <c r="S54" s="2"/>
      <c r="T54" s="2"/>
      <c r="U54" s="2"/>
      <c r="V54" s="19">
        <f t="shared" si="11"/>
        <v>0</v>
      </c>
      <c r="W54" s="2"/>
      <c r="X54" s="2">
        <f t="shared" si="12"/>
        <v>5648.86</v>
      </c>
      <c r="Y54" s="2"/>
      <c r="Z54" s="19">
        <f t="shared" si="13"/>
        <v>0</v>
      </c>
    </row>
    <row r="55" spans="1:26" s="24" customFormat="1" hidden="1" outlineLevel="1" x14ac:dyDescent="0.25">
      <c r="A55" s="44"/>
      <c r="B55" s="11" t="str">
        <f>CONCATENATE("          ", "5034", " - ", "PURCHASES @ COST-SODA")</f>
        <v xml:space="preserve">          5034 - PURCHASES @ COST-SODA</v>
      </c>
      <c r="C55" s="11"/>
      <c r="D55" s="2">
        <v>587.38</v>
      </c>
      <c r="E55" s="2"/>
      <c r="F55" s="19">
        <f t="shared" si="6"/>
        <v>1.2766940626922903E-2</v>
      </c>
      <c r="G55" s="2"/>
      <c r="H55" s="2"/>
      <c r="I55" s="2"/>
      <c r="J55" s="19">
        <f t="shared" si="7"/>
        <v>0</v>
      </c>
      <c r="K55" s="2"/>
      <c r="L55" s="2">
        <f t="shared" si="8"/>
        <v>587.38</v>
      </c>
      <c r="M55" s="2"/>
      <c r="N55" s="19">
        <f t="shared" si="9"/>
        <v>0</v>
      </c>
      <c r="O55" s="11"/>
      <c r="P55" s="2">
        <v>2081.92</v>
      </c>
      <c r="Q55" s="2"/>
      <c r="R55" s="19">
        <f t="shared" si="10"/>
        <v>8.424715877476778E-3</v>
      </c>
      <c r="S55" s="2"/>
      <c r="T55" s="2"/>
      <c r="U55" s="2"/>
      <c r="V55" s="19">
        <f t="shared" si="11"/>
        <v>0</v>
      </c>
      <c r="W55" s="2"/>
      <c r="X55" s="2">
        <f t="shared" si="12"/>
        <v>2081.92</v>
      </c>
      <c r="Y55" s="2"/>
      <c r="Z55" s="19">
        <f t="shared" si="13"/>
        <v>0</v>
      </c>
    </row>
    <row r="56" spans="1:26" s="24" customFormat="1" hidden="1" outlineLevel="1" x14ac:dyDescent="0.25">
      <c r="A56" s="44"/>
      <c r="B56" s="11" t="str">
        <f>CONCATENATE("          ", "5035", " - ", "PURCHASES @ COST-HEALTH &amp; BEAU")</f>
        <v xml:space="preserve">          5035 - PURCHASES @ COST-HEALTH &amp; BEAU</v>
      </c>
      <c r="C56" s="11"/>
      <c r="D56" s="2">
        <v>222.52</v>
      </c>
      <c r="E56" s="2"/>
      <c r="F56" s="19">
        <f t="shared" si="6"/>
        <v>4.8365617288686795E-3</v>
      </c>
      <c r="G56" s="2"/>
      <c r="H56" s="2"/>
      <c r="I56" s="2"/>
      <c r="J56" s="19">
        <f t="shared" si="7"/>
        <v>0</v>
      </c>
      <c r="K56" s="2"/>
      <c r="L56" s="2">
        <f t="shared" si="8"/>
        <v>222.52</v>
      </c>
      <c r="M56" s="2"/>
      <c r="N56" s="19">
        <f t="shared" si="9"/>
        <v>0</v>
      </c>
      <c r="O56" s="11"/>
      <c r="P56" s="2">
        <v>766.72</v>
      </c>
      <c r="Q56" s="2"/>
      <c r="R56" s="19">
        <f t="shared" si="10"/>
        <v>3.102615930285023E-3</v>
      </c>
      <c r="S56" s="2"/>
      <c r="T56" s="2"/>
      <c r="U56" s="2"/>
      <c r="V56" s="19">
        <f t="shared" si="11"/>
        <v>0</v>
      </c>
      <c r="W56" s="2"/>
      <c r="X56" s="2">
        <f t="shared" si="12"/>
        <v>766.72</v>
      </c>
      <c r="Y56" s="2"/>
      <c r="Z56" s="19">
        <f t="shared" si="13"/>
        <v>0</v>
      </c>
    </row>
    <row r="57" spans="1:26" s="24" customFormat="1" hidden="1" outlineLevel="1" x14ac:dyDescent="0.25">
      <c r="A57" s="44"/>
      <c r="B57" s="11" t="str">
        <f>CONCATENATE("          ", "5037", " - ", "PURCHASES @ COST-WATER")</f>
        <v xml:space="preserve">          5037 - PURCHASES @ COST-WATER</v>
      </c>
      <c r="C57" s="11"/>
      <c r="D57" s="2">
        <v>667.52</v>
      </c>
      <c r="E57" s="2"/>
      <c r="F57" s="19">
        <f t="shared" si="6"/>
        <v>1.4508815770512405E-2</v>
      </c>
      <c r="G57" s="2"/>
      <c r="H57" s="2"/>
      <c r="I57" s="2"/>
      <c r="J57" s="19">
        <f t="shared" si="7"/>
        <v>0</v>
      </c>
      <c r="K57" s="2"/>
      <c r="L57" s="2">
        <f t="shared" si="8"/>
        <v>667.52</v>
      </c>
      <c r="M57" s="2"/>
      <c r="N57" s="19">
        <f t="shared" si="9"/>
        <v>0</v>
      </c>
      <c r="O57" s="11"/>
      <c r="P57" s="2">
        <v>3493.61</v>
      </c>
      <c r="Q57" s="2"/>
      <c r="R57" s="19">
        <f t="shared" si="10"/>
        <v>1.4137273111700568E-2</v>
      </c>
      <c r="S57" s="2"/>
      <c r="T57" s="2"/>
      <c r="U57" s="2"/>
      <c r="V57" s="19">
        <f t="shared" si="11"/>
        <v>0</v>
      </c>
      <c r="W57" s="2"/>
      <c r="X57" s="2">
        <f t="shared" si="12"/>
        <v>3493.61</v>
      </c>
      <c r="Y57" s="2"/>
      <c r="Z57" s="19">
        <f t="shared" si="13"/>
        <v>0</v>
      </c>
    </row>
    <row r="58" spans="1:26" s="24" customFormat="1" hidden="1" outlineLevel="1" x14ac:dyDescent="0.25">
      <c r="A58" s="44"/>
      <c r="B58" s="11" t="str">
        <f>CONCATENATE("          ", "5081", " - ", "PURCHASES @ COST-ELECTRONICS")</f>
        <v xml:space="preserve">          5081 - PURCHASES @ COST-ELECTRONICS</v>
      </c>
      <c r="C58" s="11"/>
      <c r="D58" s="2">
        <v>281.74</v>
      </c>
      <c r="E58" s="2"/>
      <c r="F58" s="19">
        <f t="shared" si="6"/>
        <v>6.1237322554892216E-3</v>
      </c>
      <c r="G58" s="2"/>
      <c r="H58" s="2"/>
      <c r="I58" s="2"/>
      <c r="J58" s="19">
        <f t="shared" si="7"/>
        <v>0</v>
      </c>
      <c r="K58" s="2"/>
      <c r="L58" s="2">
        <f t="shared" si="8"/>
        <v>281.74</v>
      </c>
      <c r="M58" s="2"/>
      <c r="N58" s="19">
        <f t="shared" si="9"/>
        <v>0</v>
      </c>
      <c r="O58" s="11"/>
      <c r="P58" s="2">
        <v>1244.81</v>
      </c>
      <c r="Q58" s="2"/>
      <c r="R58" s="19">
        <f t="shared" si="10"/>
        <v>5.0372591509000664E-3</v>
      </c>
      <c r="S58" s="2"/>
      <c r="T58" s="2"/>
      <c r="U58" s="2"/>
      <c r="V58" s="19">
        <f t="shared" si="11"/>
        <v>0</v>
      </c>
      <c r="W58" s="2"/>
      <c r="X58" s="2">
        <f t="shared" si="12"/>
        <v>1244.81</v>
      </c>
      <c r="Y58" s="2"/>
      <c r="Z58" s="19">
        <f t="shared" si="13"/>
        <v>0</v>
      </c>
    </row>
    <row r="59" spans="1:26" s="24" customFormat="1" hidden="1" outlineLevel="1" x14ac:dyDescent="0.25">
      <c r="A59" s="44"/>
      <c r="B59" s="11" t="str">
        <f>CONCATENATE("          ", "5082", " - ", "PURCHASES @ COST-COMPUTER HARD")</f>
        <v xml:space="preserve">          5082 - PURCHASES @ COST-COMPUTER HARD</v>
      </c>
      <c r="C59" s="11"/>
      <c r="D59" s="2">
        <v>95</v>
      </c>
      <c r="E59" s="2"/>
      <c r="F59" s="19">
        <f t="shared" si="6"/>
        <v>2.0648632223733798E-3</v>
      </c>
      <c r="G59" s="2"/>
      <c r="H59" s="2"/>
      <c r="I59" s="2"/>
      <c r="J59" s="19">
        <f t="shared" si="7"/>
        <v>0</v>
      </c>
      <c r="K59" s="2"/>
      <c r="L59" s="2">
        <f t="shared" si="8"/>
        <v>95</v>
      </c>
      <c r="M59" s="2"/>
      <c r="N59" s="19">
        <f t="shared" si="9"/>
        <v>0</v>
      </c>
      <c r="O59" s="11"/>
      <c r="P59" s="2">
        <v>244.6</v>
      </c>
      <c r="Q59" s="2"/>
      <c r="R59" s="19">
        <f t="shared" si="10"/>
        <v>9.8980052241720139E-4</v>
      </c>
      <c r="S59" s="2"/>
      <c r="T59" s="2"/>
      <c r="U59" s="2"/>
      <c r="V59" s="19">
        <f t="shared" si="11"/>
        <v>0</v>
      </c>
      <c r="W59" s="2"/>
      <c r="X59" s="2">
        <f t="shared" si="12"/>
        <v>244.6</v>
      </c>
      <c r="Y59" s="2"/>
      <c r="Z59" s="19">
        <f t="shared" si="13"/>
        <v>0</v>
      </c>
    </row>
    <row r="60" spans="1:26" s="24" customFormat="1" hidden="1" outlineLevel="1" x14ac:dyDescent="0.25">
      <c r="A60" s="44"/>
      <c r="B60" s="11" t="str">
        <f>CONCATENATE("          ", "5083", " - ", "PURCHASES @ COST-COMPUTER EQUI")</f>
        <v xml:space="preserve">          5083 - PURCHASES @ COST-COMPUTER EQUI</v>
      </c>
      <c r="C60" s="11"/>
      <c r="D60" s="2"/>
      <c r="E60" s="2"/>
      <c r="F60" s="19">
        <f t="shared" si="6"/>
        <v>0</v>
      </c>
      <c r="G60" s="2"/>
      <c r="H60" s="2"/>
      <c r="I60" s="2"/>
      <c r="J60" s="19">
        <f t="shared" si="7"/>
        <v>0</v>
      </c>
      <c r="K60" s="2"/>
      <c r="L60" s="2">
        <f t="shared" si="8"/>
        <v>0</v>
      </c>
      <c r="M60" s="2"/>
      <c r="N60" s="19">
        <f t="shared" si="9"/>
        <v>0</v>
      </c>
      <c r="O60" s="11"/>
      <c r="P60" s="2">
        <v>192.2</v>
      </c>
      <c r="Q60" s="2"/>
      <c r="R60" s="19">
        <f t="shared" si="10"/>
        <v>7.7775821916838139E-4</v>
      </c>
      <c r="S60" s="2"/>
      <c r="T60" s="2"/>
      <c r="U60" s="2"/>
      <c r="V60" s="19">
        <f t="shared" si="11"/>
        <v>0</v>
      </c>
      <c r="W60" s="2"/>
      <c r="X60" s="2">
        <f t="shared" si="12"/>
        <v>192.2</v>
      </c>
      <c r="Y60" s="2"/>
      <c r="Z60" s="19">
        <f t="shared" si="13"/>
        <v>0</v>
      </c>
    </row>
    <row r="61" spans="1:26" s="24" customFormat="1" hidden="1" outlineLevel="1" x14ac:dyDescent="0.25">
      <c r="A61" s="44"/>
      <c r="B61" s="11" t="str">
        <f>CONCATENATE("          ", "5086", " - ", "PURCHASES @ COST-COMPUTER SUPP")</f>
        <v xml:space="preserve">          5086 - PURCHASES @ COST-COMPUTER SUPP</v>
      </c>
      <c r="C61" s="11"/>
      <c r="D61" s="2">
        <v>87</v>
      </c>
      <c r="E61" s="2"/>
      <c r="F61" s="19">
        <f t="shared" si="6"/>
        <v>1.8909800036472006E-3</v>
      </c>
      <c r="G61" s="2"/>
      <c r="H61" s="2"/>
      <c r="I61" s="2"/>
      <c r="J61" s="19">
        <f t="shared" si="7"/>
        <v>0</v>
      </c>
      <c r="K61" s="2"/>
      <c r="L61" s="2">
        <f t="shared" si="8"/>
        <v>87</v>
      </c>
      <c r="M61" s="2"/>
      <c r="N61" s="19">
        <f t="shared" si="9"/>
        <v>0</v>
      </c>
      <c r="O61" s="11"/>
      <c r="P61" s="2">
        <v>228</v>
      </c>
      <c r="Q61" s="2"/>
      <c r="R61" s="19">
        <f t="shared" si="10"/>
        <v>9.2262681566280418E-4</v>
      </c>
      <c r="S61" s="2"/>
      <c r="T61" s="2"/>
      <c r="U61" s="2"/>
      <c r="V61" s="19">
        <f t="shared" si="11"/>
        <v>0</v>
      </c>
      <c r="W61" s="2"/>
      <c r="X61" s="2">
        <f t="shared" si="12"/>
        <v>228</v>
      </c>
      <c r="Y61" s="2"/>
      <c r="Z61" s="19">
        <f t="shared" si="13"/>
        <v>0</v>
      </c>
    </row>
    <row r="62" spans="1:26" s="24" customFormat="1" hidden="1" outlineLevel="1" x14ac:dyDescent="0.25">
      <c r="A62" s="44"/>
      <c r="B62" s="11" t="str">
        <f>CONCATENATE("          ", "5200", " - ", "PURCHASES OFFSET")</f>
        <v xml:space="preserve">          5200 - PURCHASES OFFSET</v>
      </c>
      <c r="C62" s="11"/>
      <c r="D62" s="2">
        <v>-15106</v>
      </c>
      <c r="E62" s="2"/>
      <c r="F62" s="19">
        <f t="shared" si="6"/>
        <v>-0.32833498775970815</v>
      </c>
      <c r="G62" s="2"/>
      <c r="H62" s="2"/>
      <c r="I62" s="2"/>
      <c r="J62" s="19">
        <f t="shared" si="7"/>
        <v>0</v>
      </c>
      <c r="K62" s="2"/>
      <c r="L62" s="2">
        <f t="shared" si="8"/>
        <v>-15106</v>
      </c>
      <c r="M62" s="2"/>
      <c r="N62" s="19">
        <f t="shared" si="9"/>
        <v>0</v>
      </c>
      <c r="O62" s="11"/>
      <c r="P62" s="2">
        <v>-136847</v>
      </c>
      <c r="Q62" s="2"/>
      <c r="R62" s="19">
        <f t="shared" si="10"/>
        <v>-0.55376628001319195</v>
      </c>
      <c r="S62" s="2"/>
      <c r="T62" s="2"/>
      <c r="U62" s="2"/>
      <c r="V62" s="19">
        <f t="shared" si="11"/>
        <v>0</v>
      </c>
      <c r="W62" s="2"/>
      <c r="X62" s="2">
        <f t="shared" si="12"/>
        <v>-136847</v>
      </c>
      <c r="Y62" s="2"/>
      <c r="Z62" s="19">
        <f t="shared" si="13"/>
        <v>0</v>
      </c>
    </row>
    <row r="63" spans="1:26" s="24" customFormat="1" hidden="1" outlineLevel="1" x14ac:dyDescent="0.25">
      <c r="A63" s="44"/>
      <c r="B63" s="11" t="str">
        <f>CONCATENATE("          ", "5300", " - ", "COG$ OFFSET")</f>
        <v xml:space="preserve">          5300 - COG$ OFFSET</v>
      </c>
      <c r="C63" s="11"/>
      <c r="D63" s="2">
        <v>24591</v>
      </c>
      <c r="E63" s="2"/>
      <c r="F63" s="19">
        <f t="shared" si="6"/>
        <v>0.53449527896193461</v>
      </c>
      <c r="G63" s="2"/>
      <c r="H63" s="2"/>
      <c r="I63" s="2"/>
      <c r="J63" s="19">
        <f t="shared" si="7"/>
        <v>0</v>
      </c>
      <c r="K63" s="2"/>
      <c r="L63" s="2">
        <f t="shared" si="8"/>
        <v>24591</v>
      </c>
      <c r="M63" s="2"/>
      <c r="N63" s="19">
        <f t="shared" si="9"/>
        <v>0</v>
      </c>
      <c r="O63" s="11"/>
      <c r="P63" s="2">
        <v>129767</v>
      </c>
      <c r="Q63" s="2"/>
      <c r="R63" s="19">
        <f t="shared" si="10"/>
        <v>0.52511628942155752</v>
      </c>
      <c r="S63" s="2"/>
      <c r="T63" s="2"/>
      <c r="U63" s="2"/>
      <c r="V63" s="19">
        <f t="shared" si="11"/>
        <v>0</v>
      </c>
      <c r="W63" s="2"/>
      <c r="X63" s="2">
        <f t="shared" si="12"/>
        <v>129767</v>
      </c>
      <c r="Y63" s="2"/>
      <c r="Z63" s="19">
        <f t="shared" si="13"/>
        <v>0</v>
      </c>
    </row>
    <row r="64" spans="1:26" s="24" customFormat="1" hidden="1" outlineLevel="1" x14ac:dyDescent="0.25">
      <c r="A64" s="44"/>
      <c r="B64" s="11" t="str">
        <f>CONCATENATE("          ", "5527", " - ", "FREIGHT-IN-SCHOOL SUPPLIES")</f>
        <v xml:space="preserve">          5527 - FREIGHT-IN-SCHOOL SUPPLIES</v>
      </c>
      <c r="C64" s="11"/>
      <c r="D64" s="2"/>
      <c r="E64" s="2"/>
      <c r="F64" s="19">
        <f t="shared" si="6"/>
        <v>0</v>
      </c>
      <c r="G64" s="2"/>
      <c r="H64" s="2"/>
      <c r="I64" s="2"/>
      <c r="J64" s="19">
        <f t="shared" si="7"/>
        <v>0</v>
      </c>
      <c r="K64" s="2"/>
      <c r="L64" s="2">
        <f t="shared" si="8"/>
        <v>0</v>
      </c>
      <c r="M64" s="2"/>
      <c r="N64" s="19">
        <f t="shared" si="9"/>
        <v>0</v>
      </c>
      <c r="O64" s="11"/>
      <c r="P64" s="2">
        <v>12.52</v>
      </c>
      <c r="Q64" s="2"/>
      <c r="R64" s="19">
        <f t="shared" si="10"/>
        <v>5.0663542684641703E-5</v>
      </c>
      <c r="S64" s="2"/>
      <c r="T64" s="2"/>
      <c r="U64" s="2"/>
      <c r="V64" s="19">
        <f t="shared" si="11"/>
        <v>0</v>
      </c>
      <c r="W64" s="2"/>
      <c r="X64" s="2">
        <f t="shared" si="12"/>
        <v>12.52</v>
      </c>
      <c r="Y64" s="2"/>
      <c r="Z64" s="19">
        <f t="shared" si="13"/>
        <v>0</v>
      </c>
    </row>
    <row r="65" spans="1:26" s="24" customFormat="1" hidden="1" outlineLevel="1" x14ac:dyDescent="0.25">
      <c r="A65" s="44"/>
      <c r="B65" s="11" t="str">
        <f>CONCATENATE("          ", "5528", " - ", "FREIGHT-IN-ART/TECH")</f>
        <v xml:space="preserve">          5528 - FREIGHT-IN-ART/TECH</v>
      </c>
      <c r="C65" s="11"/>
      <c r="D65" s="2">
        <v>101.25</v>
      </c>
      <c r="E65" s="2"/>
      <c r="F65" s="19">
        <f t="shared" si="6"/>
        <v>2.2007094870032076E-3</v>
      </c>
      <c r="G65" s="2"/>
      <c r="H65" s="2"/>
      <c r="I65" s="2"/>
      <c r="J65" s="19">
        <f t="shared" si="7"/>
        <v>0</v>
      </c>
      <c r="K65" s="2"/>
      <c r="L65" s="2">
        <f t="shared" si="8"/>
        <v>101.25</v>
      </c>
      <c r="M65" s="2"/>
      <c r="N65" s="19">
        <f t="shared" si="9"/>
        <v>0</v>
      </c>
      <c r="O65" s="11"/>
      <c r="P65" s="2">
        <v>875.69</v>
      </c>
      <c r="Q65" s="2"/>
      <c r="R65" s="19">
        <f t="shared" si="10"/>
        <v>3.5435748956480747E-3</v>
      </c>
      <c r="S65" s="2"/>
      <c r="T65" s="2"/>
      <c r="U65" s="2"/>
      <c r="V65" s="19">
        <f t="shared" si="11"/>
        <v>0</v>
      </c>
      <c r="W65" s="2"/>
      <c r="X65" s="2">
        <f t="shared" si="12"/>
        <v>875.69</v>
      </c>
      <c r="Y65" s="2"/>
      <c r="Z65" s="19">
        <f t="shared" si="13"/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8" t="s">
        <v>6</v>
      </c>
      <c r="C67" s="28"/>
      <c r="D67" s="20">
        <f>D12-D45</f>
        <v>21418.959999999999</v>
      </c>
      <c r="E67" s="14"/>
      <c r="F67" s="22">
        <f>IF(D$12=0,0,D67/D$12)</f>
        <v>0.46554971332091083</v>
      </c>
      <c r="G67" s="14"/>
      <c r="H67" s="20">
        <f>H12-H45</f>
        <v>24788</v>
      </c>
      <c r="I67" s="14"/>
      <c r="J67" s="22">
        <f>IF(H$12=0,0,H67/H$12)</f>
        <v>0.55710882366161729</v>
      </c>
      <c r="K67" s="16"/>
      <c r="L67" s="20">
        <f>+D67-H67</f>
        <v>-3369.0400000000009</v>
      </c>
      <c r="M67" s="16"/>
      <c r="N67" s="22">
        <f>IF(H67=0,0,L67/H67)</f>
        <v>-0.13591415200903667</v>
      </c>
      <c r="O67" s="29"/>
      <c r="P67" s="20">
        <f>P12-P45</f>
        <v>117356.85999999997</v>
      </c>
      <c r="Q67" s="14"/>
      <c r="R67" s="22">
        <f>IF(P$12=0,0,P67/P$12)</f>
        <v>0.47489730718414691</v>
      </c>
      <c r="S67" s="14"/>
      <c r="T67" s="20">
        <f>T12-T45</f>
        <v>145220</v>
      </c>
      <c r="U67" s="14"/>
      <c r="V67" s="22">
        <f>IF(T$12=0,0,T67/T$12)</f>
        <v>0.56351473007791886</v>
      </c>
      <c r="W67" s="16"/>
      <c r="X67" s="20">
        <f>+P67-T67</f>
        <v>-27863.140000000029</v>
      </c>
      <c r="Y67" s="16"/>
      <c r="Z67" s="22">
        <f>IF(T67=0,0,X67/T67)</f>
        <v>-0.19186847541660948</v>
      </c>
    </row>
    <row r="68" spans="1:26" x14ac:dyDescent="0.25">
      <c r="A68" s="9"/>
      <c r="B68" s="10"/>
      <c r="C68" s="9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9" t="s">
        <v>9</v>
      </c>
      <c r="C69" s="10"/>
      <c r="D69" s="21">
        <f>SUM(OSRRefD22x_0)</f>
        <v>13652.4</v>
      </c>
      <c r="E69" s="21"/>
      <c r="F69" s="33">
        <f t="shared" ref="F69:F79" si="14">IF(D$12=0,0,D69/D$12)</f>
        <v>0.29674040691716136</v>
      </c>
      <c r="G69" s="21"/>
      <c r="H69" s="21">
        <f>SUM(OSRRefH22x_0)</f>
        <v>11559.255647</v>
      </c>
      <c r="I69" s="21"/>
      <c r="J69" s="33">
        <f t="shared" ref="J69:J79" si="15">IF(H$12=0,0,H69/H$12)</f>
        <v>0.25979358221333215</v>
      </c>
      <c r="K69" s="4"/>
      <c r="L69" s="21">
        <f t="shared" ref="L69:L79" si="16">+D69-H69</f>
        <v>2093.1443529999997</v>
      </c>
      <c r="M69" s="4"/>
      <c r="N69" s="33">
        <f t="shared" ref="N69:N79" si="17">IF(H69=0,0,L69/H69)</f>
        <v>0.181079510387266</v>
      </c>
      <c r="O69" s="10"/>
      <c r="P69" s="21">
        <f>SUM(OSRRefP22x_0)</f>
        <v>60628.880000000012</v>
      </c>
      <c r="Q69" s="21"/>
      <c r="R69" s="33">
        <f t="shared" ref="R69:R79" si="18">IF(P$12=0,0,P69/P$12)</f>
        <v>0.24534136180527319</v>
      </c>
      <c r="S69" s="21"/>
      <c r="T69" s="21">
        <f>SUM(OSRRefT22x_0)</f>
        <v>58946.054806</v>
      </c>
      <c r="U69" s="21"/>
      <c r="V69" s="33">
        <f t="shared" ref="V69:V79" si="19">IF(T$12=0,0,T69/T$12)</f>
        <v>0.22873550587495731</v>
      </c>
      <c r="W69" s="4"/>
      <c r="X69" s="21">
        <f t="shared" ref="X69:X79" si="20">+P69-T69</f>
        <v>1682.8251940000118</v>
      </c>
      <c r="Y69" s="4"/>
      <c r="Z69" s="33">
        <f t="shared" ref="Z69:Z79" si="21">IF(T69=0,0,X69/T69)</f>
        <v>2.8548563589852336E-2</v>
      </c>
    </row>
    <row r="70" spans="1:26" s="26" customFormat="1" outlineLevel="1" collapsed="1" x14ac:dyDescent="0.25">
      <c r="A70" s="27"/>
      <c r="B70" s="13" t="str">
        <f>CONCATENATE("     ","*Benefits                                         ")</f>
        <v xml:space="preserve">     *Benefits                                         </v>
      </c>
      <c r="C70" s="13"/>
      <c r="D70" s="1">
        <f>SUM(OSRRefD22_0x_0)</f>
        <v>3259.03</v>
      </c>
      <c r="E70" s="1"/>
      <c r="F70" s="5">
        <f t="shared" si="14"/>
        <v>7.0836328290647538E-2</v>
      </c>
      <c r="G70" s="1"/>
      <c r="H70" s="1">
        <f>SUM(OSRRefH22_0x_0)</f>
        <v>1806.2206469999999</v>
      </c>
      <c r="I70" s="1"/>
      <c r="J70" s="5">
        <f t="shared" si="15"/>
        <v>4.0594701465366111E-2</v>
      </c>
      <c r="K70" s="1"/>
      <c r="L70" s="1">
        <f t="shared" si="16"/>
        <v>1452.8093530000003</v>
      </c>
      <c r="M70" s="1"/>
      <c r="N70" s="5">
        <f t="shared" si="17"/>
        <v>0.80433658834152422</v>
      </c>
      <c r="O70" s="13"/>
      <c r="P70" s="1">
        <f>SUM(OSRRefP22_0x_0)</f>
        <v>9501.84</v>
      </c>
      <c r="Q70" s="1"/>
      <c r="R70" s="5">
        <f t="shared" si="18"/>
        <v>3.8450229746216924E-2</v>
      </c>
      <c r="S70" s="1"/>
      <c r="T70" s="1">
        <f>SUM(OSRRefT22_0x_0)</f>
        <v>9183.6498059999994</v>
      </c>
      <c r="U70" s="1"/>
      <c r="V70" s="5">
        <f t="shared" si="19"/>
        <v>3.5636427086890382E-2</v>
      </c>
      <c r="W70" s="1"/>
      <c r="X70" s="1">
        <f t="shared" si="20"/>
        <v>318.1901940000007</v>
      </c>
      <c r="Y70" s="1"/>
      <c r="Z70" s="5">
        <f t="shared" si="21"/>
        <v>3.4647465955432659E-2</v>
      </c>
    </row>
    <row r="71" spans="1:26" s="24" customFormat="1" hidden="1" outlineLevel="2" x14ac:dyDescent="0.25">
      <c r="A71" s="25"/>
      <c r="B71" s="11" t="str">
        <f>CONCATENATE("          ", "6111", " - ", "F.I.C.A.")</f>
        <v xml:space="preserve">          6111 - F.I.C.A.</v>
      </c>
      <c r="C71" s="11"/>
      <c r="D71" s="6">
        <v>320.3</v>
      </c>
      <c r="E71" s="2"/>
      <c r="F71" s="7">
        <f t="shared" si="14"/>
        <v>6.9618493697494064E-3</v>
      </c>
      <c r="G71" s="2"/>
      <c r="H71" s="6">
        <v>594.01820699999996</v>
      </c>
      <c r="I71" s="2"/>
      <c r="J71" s="7">
        <f t="shared" si="15"/>
        <v>1.3350523823436867E-2</v>
      </c>
      <c r="K71" s="2"/>
      <c r="L71" s="6">
        <f t="shared" si="16"/>
        <v>-273.71820699999995</v>
      </c>
      <c r="M71" s="2"/>
      <c r="N71" s="7">
        <f t="shared" si="17"/>
        <v>-0.46079093834913376</v>
      </c>
      <c r="O71" s="11"/>
      <c r="P71" s="6">
        <v>1522.65</v>
      </c>
      <c r="Q71" s="2"/>
      <c r="R71" s="7">
        <f t="shared" si="18"/>
        <v>6.161568951179688E-3</v>
      </c>
      <c r="S71" s="2"/>
      <c r="T71" s="6">
        <v>2914.7368860000001</v>
      </c>
      <c r="U71" s="2"/>
      <c r="V71" s="7">
        <f t="shared" si="19"/>
        <v>1.1310406070530531E-2</v>
      </c>
      <c r="W71" s="2"/>
      <c r="X71" s="6">
        <f t="shared" si="20"/>
        <v>-1392.086886</v>
      </c>
      <c r="Y71" s="2"/>
      <c r="Z71" s="7">
        <f t="shared" si="21"/>
        <v>-0.47760293311085505</v>
      </c>
    </row>
    <row r="72" spans="1:26" s="24" customFormat="1" hidden="1" outlineLevel="2" x14ac:dyDescent="0.25">
      <c r="A72" s="25"/>
      <c r="B72" s="11" t="str">
        <f>CONCATENATE("          ", "6112", " - ", "COMPENSATION INSURANCE")</f>
        <v xml:space="preserve">          6112 - COMPENSATION INSURANCE</v>
      </c>
      <c r="C72" s="11"/>
      <c r="D72" s="6">
        <v>210.21</v>
      </c>
      <c r="E72" s="2"/>
      <c r="F72" s="7">
        <f t="shared" si="14"/>
        <v>4.5689989260537705E-3</v>
      </c>
      <c r="G72" s="2"/>
      <c r="H72" s="6">
        <v>147.4761</v>
      </c>
      <c r="I72" s="2"/>
      <c r="J72" s="7">
        <f t="shared" si="15"/>
        <v>3.3145165640311052E-3</v>
      </c>
      <c r="K72" s="2"/>
      <c r="L72" s="6">
        <f t="shared" si="16"/>
        <v>62.733900000000006</v>
      </c>
      <c r="M72" s="2"/>
      <c r="N72" s="7">
        <f t="shared" si="17"/>
        <v>0.4253835028184228</v>
      </c>
      <c r="O72" s="11"/>
      <c r="P72" s="6">
        <v>584.05999999999995</v>
      </c>
      <c r="Q72" s="2"/>
      <c r="R72" s="7">
        <f t="shared" si="18"/>
        <v>2.3634623594562163E-3</v>
      </c>
      <c r="S72" s="2"/>
      <c r="T72" s="6">
        <v>756.04229999999995</v>
      </c>
      <c r="U72" s="2"/>
      <c r="V72" s="7">
        <f t="shared" si="19"/>
        <v>2.9337623785428242E-3</v>
      </c>
      <c r="W72" s="2"/>
      <c r="X72" s="6">
        <f t="shared" si="20"/>
        <v>-171.98230000000001</v>
      </c>
      <c r="Y72" s="2"/>
      <c r="Z72" s="7">
        <f t="shared" si="21"/>
        <v>-0.22747708693018898</v>
      </c>
    </row>
    <row r="73" spans="1:26" s="24" customFormat="1" hidden="1" outlineLevel="2" x14ac:dyDescent="0.25">
      <c r="A73" s="25"/>
      <c r="B73" s="11" t="str">
        <f>CONCATENATE("          ", "6113", " - ", "GROUP INSURANCE")</f>
        <v xml:space="preserve">          6113 - GROUP INSURANCE</v>
      </c>
      <c r="C73" s="11"/>
      <c r="D73" s="6">
        <v>1992.63</v>
      </c>
      <c r="E73" s="2"/>
      <c r="F73" s="7">
        <f t="shared" si="14"/>
        <v>4.3310614766293352E-2</v>
      </c>
      <c r="G73" s="2"/>
      <c r="H73" s="6">
        <v>497.25</v>
      </c>
      <c r="I73" s="2"/>
      <c r="J73" s="7">
        <f t="shared" si="15"/>
        <v>1.1175664134490044E-2</v>
      </c>
      <c r="K73" s="2"/>
      <c r="L73" s="6">
        <f t="shared" si="16"/>
        <v>1495.38</v>
      </c>
      <c r="M73" s="2"/>
      <c r="N73" s="7">
        <f t="shared" si="17"/>
        <v>3.0073001508295629</v>
      </c>
      <c r="O73" s="11"/>
      <c r="P73" s="6">
        <v>4095.07</v>
      </c>
      <c r="Q73" s="2"/>
      <c r="R73" s="7">
        <f t="shared" si="18"/>
        <v>1.6571146464983682E-2</v>
      </c>
      <c r="S73" s="2"/>
      <c r="T73" s="6">
        <v>2486.25</v>
      </c>
      <c r="U73" s="2"/>
      <c r="V73" s="7">
        <f t="shared" si="19"/>
        <v>9.647696582125229E-3</v>
      </c>
      <c r="W73" s="2"/>
      <c r="X73" s="6">
        <f t="shared" si="20"/>
        <v>1608.8200000000002</v>
      </c>
      <c r="Y73" s="2"/>
      <c r="Z73" s="7">
        <f t="shared" si="21"/>
        <v>0.64708697838109608</v>
      </c>
    </row>
    <row r="74" spans="1:26" s="24" customFormat="1" hidden="1" outlineLevel="2" x14ac:dyDescent="0.25">
      <c r="A74" s="25"/>
      <c r="B74" s="11" t="str">
        <f>CONCATENATE("          ", "6114", " - ", "STATE UNEMPLOYMENT INSURANCE")</f>
        <v xml:space="preserve">          6114 - STATE UNEMPLOYMENT INSURANCE</v>
      </c>
      <c r="C74" s="11"/>
      <c r="D74" s="6">
        <v>28.77</v>
      </c>
      <c r="E74" s="2"/>
      <c r="F74" s="7">
        <f t="shared" si="14"/>
        <v>6.2532752534402247E-4</v>
      </c>
      <c r="G74" s="2"/>
      <c r="H74" s="6">
        <v>20.18094</v>
      </c>
      <c r="I74" s="2"/>
      <c r="J74" s="7">
        <f t="shared" si="15"/>
        <v>4.5356542455162493E-4</v>
      </c>
      <c r="K74" s="2"/>
      <c r="L74" s="6">
        <f t="shared" si="16"/>
        <v>8.5890599999999999</v>
      </c>
      <c r="M74" s="2"/>
      <c r="N74" s="7">
        <f t="shared" si="17"/>
        <v>0.42560257351738817</v>
      </c>
      <c r="O74" s="11"/>
      <c r="P74" s="6">
        <v>102.32</v>
      </c>
      <c r="Q74" s="2"/>
      <c r="R74" s="7">
        <f t="shared" si="18"/>
        <v>4.140490165728865E-4</v>
      </c>
      <c r="S74" s="2"/>
      <c r="T74" s="6">
        <v>103.45842</v>
      </c>
      <c r="U74" s="2"/>
      <c r="V74" s="7">
        <f t="shared" si="19"/>
        <v>4.0146222022164967E-4</v>
      </c>
      <c r="W74" s="2"/>
      <c r="X74" s="6">
        <f t="shared" si="20"/>
        <v>-1.1384200000000106</v>
      </c>
      <c r="Y74" s="2"/>
      <c r="Z74" s="7">
        <f t="shared" si="21"/>
        <v>-1.100364764897831E-2</v>
      </c>
    </row>
    <row r="75" spans="1:26" s="24" customFormat="1" hidden="1" outlineLevel="2" x14ac:dyDescent="0.25">
      <c r="A75" s="25"/>
      <c r="B75" s="11" t="str">
        <f>CONCATENATE("          ", "6115", " - ", "P.E.R.S.")</f>
        <v xml:space="preserve">          6115 - P.E.R.S.</v>
      </c>
      <c r="C75" s="11"/>
      <c r="D75" s="6">
        <v>299.39</v>
      </c>
      <c r="E75" s="2"/>
      <c r="F75" s="7">
        <f t="shared" si="14"/>
        <v>6.5073621068038549E-3</v>
      </c>
      <c r="G75" s="2"/>
      <c r="H75" s="6">
        <v>255.1104</v>
      </c>
      <c r="I75" s="2"/>
      <c r="J75" s="7">
        <f t="shared" si="15"/>
        <v>5.7335910459837278E-3</v>
      </c>
      <c r="K75" s="2"/>
      <c r="L75" s="6">
        <f t="shared" si="16"/>
        <v>44.279599999999988</v>
      </c>
      <c r="M75" s="2"/>
      <c r="N75" s="7">
        <f t="shared" si="17"/>
        <v>0.17357034444695313</v>
      </c>
      <c r="O75" s="11"/>
      <c r="P75" s="6">
        <v>1037.01</v>
      </c>
      <c r="Q75" s="2"/>
      <c r="R75" s="7">
        <f t="shared" si="18"/>
        <v>4.1963738338179147E-3</v>
      </c>
      <c r="S75" s="2"/>
      <c r="T75" s="6">
        <v>1403.1071999999999</v>
      </c>
      <c r="U75" s="2"/>
      <c r="V75" s="7">
        <f t="shared" si="19"/>
        <v>5.4446465712600497E-3</v>
      </c>
      <c r="W75" s="2"/>
      <c r="X75" s="6">
        <f t="shared" si="20"/>
        <v>-366.09719999999993</v>
      </c>
      <c r="Y75" s="2"/>
      <c r="Z75" s="7">
        <f t="shared" si="21"/>
        <v>-0.26091890911827686</v>
      </c>
    </row>
    <row r="76" spans="1:26" s="24" customFormat="1" hidden="1" outlineLevel="2" x14ac:dyDescent="0.25">
      <c r="A76" s="25"/>
      <c r="B76" s="11" t="str">
        <f>CONCATENATE("          ", "6116", " - ", "EDUCATIONAL BENEFITS")</f>
        <v xml:space="preserve">          6116 - EDUCATIONAL BENEFITS</v>
      </c>
      <c r="C76" s="11"/>
      <c r="D76" s="6"/>
      <c r="E76" s="2"/>
      <c r="F76" s="7">
        <f t="shared" si="14"/>
        <v>0</v>
      </c>
      <c r="G76" s="2"/>
      <c r="H76" s="6">
        <v>0</v>
      </c>
      <c r="I76" s="2"/>
      <c r="J76" s="7">
        <f t="shared" si="15"/>
        <v>0</v>
      </c>
      <c r="K76" s="2"/>
      <c r="L76" s="6">
        <f t="shared" si="16"/>
        <v>0</v>
      </c>
      <c r="M76" s="2"/>
      <c r="N76" s="7">
        <f t="shared" si="17"/>
        <v>0</v>
      </c>
      <c r="O76" s="11"/>
      <c r="P76" s="6"/>
      <c r="Q76" s="2"/>
      <c r="R76" s="7">
        <f t="shared" si="18"/>
        <v>0</v>
      </c>
      <c r="S76" s="2"/>
      <c r="T76" s="6">
        <v>0</v>
      </c>
      <c r="U76" s="2"/>
      <c r="V76" s="7">
        <f t="shared" si="19"/>
        <v>0</v>
      </c>
      <c r="W76" s="2"/>
      <c r="X76" s="6">
        <f t="shared" si="20"/>
        <v>0</v>
      </c>
      <c r="Y76" s="2"/>
      <c r="Z76" s="7">
        <f t="shared" si="21"/>
        <v>0</v>
      </c>
    </row>
    <row r="77" spans="1:26" s="24" customFormat="1" hidden="1" outlineLevel="2" x14ac:dyDescent="0.25">
      <c r="A77" s="25"/>
      <c r="B77" s="11" t="str">
        <f>CONCATENATE("          ", "6118", " - ", "VACATION")</f>
        <v xml:space="preserve">          6118 - VACATION</v>
      </c>
      <c r="C77" s="11"/>
      <c r="D77" s="6">
        <v>540.55999999999995</v>
      </c>
      <c r="E77" s="2"/>
      <c r="F77" s="7">
        <f t="shared" si="14"/>
        <v>1.1749289089327939E-2</v>
      </c>
      <c r="G77" s="2"/>
      <c r="H77" s="6">
        <v>88.992000000000004</v>
      </c>
      <c r="I77" s="2"/>
      <c r="J77" s="7">
        <f t="shared" si="15"/>
        <v>2.0000898997617656E-3</v>
      </c>
      <c r="K77" s="2"/>
      <c r="L77" s="6">
        <f t="shared" si="16"/>
        <v>451.56799999999993</v>
      </c>
      <c r="M77" s="2"/>
      <c r="N77" s="7">
        <f t="shared" si="17"/>
        <v>5.0742538655160008</v>
      </c>
      <c r="O77" s="11"/>
      <c r="P77" s="6">
        <v>1103.48</v>
      </c>
      <c r="Q77" s="2"/>
      <c r="R77" s="7">
        <f t="shared" si="18"/>
        <v>4.4653519234543471E-3</v>
      </c>
      <c r="S77" s="2"/>
      <c r="T77" s="6">
        <v>489.45600000000002</v>
      </c>
      <c r="U77" s="2"/>
      <c r="V77" s="7">
        <f t="shared" si="19"/>
        <v>1.8992953155558315E-3</v>
      </c>
      <c r="W77" s="2"/>
      <c r="X77" s="6">
        <f t="shared" si="20"/>
        <v>614.024</v>
      </c>
      <c r="Y77" s="2"/>
      <c r="Z77" s="7">
        <f t="shared" si="21"/>
        <v>1.2545029583864535</v>
      </c>
    </row>
    <row r="78" spans="1:26" s="24" customFormat="1" hidden="1" outlineLevel="2" x14ac:dyDescent="0.25">
      <c r="A78" s="25"/>
      <c r="B78" s="11" t="str">
        <f>CONCATENATE("          ", "6119", " - ", "SICK LEAVE")</f>
        <v xml:space="preserve">          6119 - SICK LEAVE</v>
      </c>
      <c r="C78" s="11"/>
      <c r="D78" s="6">
        <v>-269.18</v>
      </c>
      <c r="E78" s="2"/>
      <c r="F78" s="7">
        <f t="shared" si="14"/>
        <v>-5.85073560208912E-3</v>
      </c>
      <c r="G78" s="2"/>
      <c r="H78" s="6">
        <v>203.19300000000001</v>
      </c>
      <c r="I78" s="2"/>
      <c r="J78" s="7">
        <f t="shared" si="15"/>
        <v>4.5667505731109819E-3</v>
      </c>
      <c r="K78" s="2"/>
      <c r="L78" s="6">
        <f t="shared" si="16"/>
        <v>-472.37300000000005</v>
      </c>
      <c r="M78" s="2"/>
      <c r="N78" s="7">
        <f t="shared" si="17"/>
        <v>-2.324750360494702</v>
      </c>
      <c r="O78" s="11"/>
      <c r="P78" s="6">
        <v>273.25</v>
      </c>
      <c r="Q78" s="2"/>
      <c r="R78" s="7">
        <f t="shared" si="18"/>
        <v>1.1057358657011458E-3</v>
      </c>
      <c r="S78" s="2"/>
      <c r="T78" s="6">
        <v>1030.5989999999999</v>
      </c>
      <c r="U78" s="2"/>
      <c r="V78" s="7">
        <f t="shared" si="19"/>
        <v>3.9991579486542694E-3</v>
      </c>
      <c r="W78" s="2"/>
      <c r="X78" s="6">
        <f t="shared" si="20"/>
        <v>-757.34899999999993</v>
      </c>
      <c r="Y78" s="2"/>
      <c r="Z78" s="7">
        <f t="shared" si="21"/>
        <v>-0.73486292922853602</v>
      </c>
    </row>
    <row r="79" spans="1:26" s="24" customFormat="1" hidden="1" outlineLevel="2" x14ac:dyDescent="0.25">
      <c r="A79" s="25"/>
      <c r="B79" s="11" t="str">
        <f>CONCATENATE("          ", "6156", " - ", "EMPLOYEE MEALS")</f>
        <v xml:space="preserve">          6156 - EMPLOYEE MEALS</v>
      </c>
      <c r="C79" s="11"/>
      <c r="D79" s="6">
        <v>136.35</v>
      </c>
      <c r="E79" s="2"/>
      <c r="F79" s="7">
        <f t="shared" si="14"/>
        <v>2.9636221091643195E-3</v>
      </c>
      <c r="G79" s="2"/>
      <c r="H79" s="6"/>
      <c r="I79" s="2"/>
      <c r="J79" s="7">
        <f t="shared" si="15"/>
        <v>0</v>
      </c>
      <c r="K79" s="2"/>
      <c r="L79" s="6">
        <f t="shared" si="16"/>
        <v>136.35</v>
      </c>
      <c r="M79" s="2"/>
      <c r="N79" s="7">
        <f t="shared" si="17"/>
        <v>0</v>
      </c>
      <c r="O79" s="11"/>
      <c r="P79" s="6">
        <v>784</v>
      </c>
      <c r="Q79" s="2"/>
      <c r="R79" s="7">
        <f t="shared" si="18"/>
        <v>3.172541331051046E-3</v>
      </c>
      <c r="S79" s="2"/>
      <c r="T79" s="6"/>
      <c r="U79" s="2"/>
      <c r="V79" s="7">
        <f t="shared" si="19"/>
        <v>0</v>
      </c>
      <c r="W79" s="2"/>
      <c r="X79" s="6">
        <f t="shared" si="20"/>
        <v>784</v>
      </c>
      <c r="Y79" s="2"/>
      <c r="Z79" s="7">
        <f t="shared" si="21"/>
        <v>0</v>
      </c>
    </row>
    <row r="80" spans="1:26" s="26" customFormat="1" outlineLevel="1" collapsed="1" x14ac:dyDescent="0.25">
      <c r="A80" s="27"/>
      <c r="B80" s="13" t="str">
        <f>CONCATENATE("     ","*Payroll                                          ")</f>
        <v xml:space="preserve">     *Payroll                                          </v>
      </c>
      <c r="C80" s="13"/>
      <c r="D80" s="1">
        <f>SUM(OSRRefD22_1x_0)</f>
        <v>9083.49</v>
      </c>
      <c r="E80" s="1"/>
      <c r="F80" s="5">
        <f t="shared" ref="F80:F90" si="22">IF(D$12=0,0,D80/D$12)</f>
        <v>0.19743330980838286</v>
      </c>
      <c r="G80" s="1"/>
      <c r="H80" s="1">
        <f>SUM(OSRRefH22_1x_0)</f>
        <v>7618.0349999999999</v>
      </c>
      <c r="I80" s="1"/>
      <c r="J80" s="5">
        <f t="shared" ref="J80:J90" si="23">IF(H$12=0,0,H80/H$12)</f>
        <v>0.17121488290556031</v>
      </c>
      <c r="K80" s="1"/>
      <c r="L80" s="1">
        <f t="shared" ref="L80:L90" si="24">+D80-H80</f>
        <v>1465.4549999999999</v>
      </c>
      <c r="M80" s="1"/>
      <c r="N80" s="5">
        <f t="shared" ref="N80:N90" si="25">IF(H80=0,0,L80/H80)</f>
        <v>0.19236653546485413</v>
      </c>
      <c r="O80" s="13"/>
      <c r="P80" s="1">
        <f>SUM(OSRRefP22_1x_0)</f>
        <v>40654.619999999995</v>
      </c>
      <c r="Q80" s="1"/>
      <c r="R80" s="5">
        <f t="shared" ref="R80:R90" si="26">IF(P$12=0,0,P80/P$12)</f>
        <v>0.16451334470430415</v>
      </c>
      <c r="S80" s="1"/>
      <c r="T80" s="1">
        <f>SUM(OSRRefT22_1x_0)</f>
        <v>39087.405000000006</v>
      </c>
      <c r="U80" s="1"/>
      <c r="V80" s="5">
        <f t="shared" ref="V80:V90" si="27">IF(T$12=0,0,T80/T$12)</f>
        <v>0.151675585167479</v>
      </c>
      <c r="W80" s="1"/>
      <c r="X80" s="1">
        <f t="shared" ref="X80:X90" si="28">+P80-T80</f>
        <v>1567.2149999999892</v>
      </c>
      <c r="Y80" s="1"/>
      <c r="Z80" s="5">
        <f t="shared" ref="Z80:Z90" si="29">IF(T80=0,0,X80/T80)</f>
        <v>4.0095140621384022E-2</v>
      </c>
    </row>
    <row r="81" spans="1:26" s="24" customFormat="1" hidden="1" outlineLevel="2" x14ac:dyDescent="0.25">
      <c r="A81" s="25"/>
      <c r="B81" s="11" t="str">
        <f>CONCATENATE("          ", "6001", " - ", "ADMINISTRATIVE SALARIES")</f>
        <v xml:space="preserve">          6001 - ADMINISTRATIVE SALARIES</v>
      </c>
      <c r="C81" s="11"/>
      <c r="D81" s="6"/>
      <c r="E81" s="2"/>
      <c r="F81" s="7">
        <f t="shared" si="22"/>
        <v>0</v>
      </c>
      <c r="G81" s="2"/>
      <c r="H81" s="6">
        <v>2966.4</v>
      </c>
      <c r="I81" s="2"/>
      <c r="J81" s="7">
        <f t="shared" si="23"/>
        <v>6.6669663325392189E-2</v>
      </c>
      <c r="K81" s="2"/>
      <c r="L81" s="6">
        <f t="shared" si="24"/>
        <v>-2966.4</v>
      </c>
      <c r="M81" s="2"/>
      <c r="N81" s="7">
        <f t="shared" si="25"/>
        <v>-1</v>
      </c>
      <c r="O81" s="11"/>
      <c r="P81" s="6"/>
      <c r="Q81" s="2"/>
      <c r="R81" s="7">
        <f t="shared" si="26"/>
        <v>0</v>
      </c>
      <c r="S81" s="2"/>
      <c r="T81" s="6">
        <v>16315.2</v>
      </c>
      <c r="U81" s="2"/>
      <c r="V81" s="7">
        <f t="shared" si="27"/>
        <v>6.3309843851861058E-2</v>
      </c>
      <c r="W81" s="2"/>
      <c r="X81" s="6">
        <f t="shared" si="28"/>
        <v>-16315.2</v>
      </c>
      <c r="Y81" s="2"/>
      <c r="Z81" s="7">
        <f t="shared" si="29"/>
        <v>-1</v>
      </c>
    </row>
    <row r="82" spans="1:26" s="24" customFormat="1" hidden="1" outlineLevel="2" x14ac:dyDescent="0.25">
      <c r="A82" s="25"/>
      <c r="B82" s="11" t="str">
        <f>CONCATENATE("          ", "6002", " - ", "STAFF SALARIES")</f>
        <v xml:space="preserve">          6002 - STAFF SALARIES</v>
      </c>
      <c r="C82" s="11"/>
      <c r="D82" s="6">
        <v>2563.85</v>
      </c>
      <c r="E82" s="2"/>
      <c r="F82" s="7">
        <f t="shared" si="22"/>
        <v>5.5726311291389365E-2</v>
      </c>
      <c r="G82" s="2"/>
      <c r="H82" s="6">
        <v>0</v>
      </c>
      <c r="I82" s="2"/>
      <c r="J82" s="7">
        <f t="shared" si="23"/>
        <v>0</v>
      </c>
      <c r="K82" s="2"/>
      <c r="L82" s="6">
        <f t="shared" si="24"/>
        <v>2563.85</v>
      </c>
      <c r="M82" s="2"/>
      <c r="N82" s="7">
        <f t="shared" si="25"/>
        <v>0</v>
      </c>
      <c r="O82" s="11"/>
      <c r="P82" s="6">
        <v>13939.85</v>
      </c>
      <c r="Q82" s="2"/>
      <c r="R82" s="7">
        <f t="shared" si="26"/>
        <v>5.6409120247005007E-2</v>
      </c>
      <c r="S82" s="2"/>
      <c r="T82" s="6">
        <v>0</v>
      </c>
      <c r="U82" s="2"/>
      <c r="V82" s="7">
        <f t="shared" si="27"/>
        <v>0</v>
      </c>
      <c r="W82" s="2"/>
      <c r="X82" s="6">
        <f t="shared" si="28"/>
        <v>13939.85</v>
      </c>
      <c r="Y82" s="2"/>
      <c r="Z82" s="7">
        <f t="shared" si="29"/>
        <v>0</v>
      </c>
    </row>
    <row r="83" spans="1:26" s="24" customFormat="1" hidden="1" outlineLevel="2" x14ac:dyDescent="0.25">
      <c r="A83" s="25"/>
      <c r="B83" s="11" t="str">
        <f>CONCATENATE("          ", "6003", " - ", "STAFF HOURLY-9 MONTH")</f>
        <v xml:space="preserve">          6003 - STAFF HOURLY-9 MONTH</v>
      </c>
      <c r="C83" s="11"/>
      <c r="D83" s="6"/>
      <c r="E83" s="2"/>
      <c r="F83" s="7">
        <f t="shared" si="22"/>
        <v>0</v>
      </c>
      <c r="G83" s="2"/>
      <c r="H83" s="6">
        <v>0</v>
      </c>
      <c r="I83" s="2"/>
      <c r="J83" s="7">
        <f t="shared" si="23"/>
        <v>0</v>
      </c>
      <c r="K83" s="2"/>
      <c r="L83" s="6">
        <f t="shared" si="24"/>
        <v>0</v>
      </c>
      <c r="M83" s="2"/>
      <c r="N83" s="7">
        <f t="shared" si="25"/>
        <v>0</v>
      </c>
      <c r="O83" s="11"/>
      <c r="P83" s="6"/>
      <c r="Q83" s="2"/>
      <c r="R83" s="7">
        <f t="shared" si="26"/>
        <v>0</v>
      </c>
      <c r="S83" s="2"/>
      <c r="T83" s="6">
        <v>0</v>
      </c>
      <c r="U83" s="2"/>
      <c r="V83" s="7">
        <f t="shared" si="27"/>
        <v>0</v>
      </c>
      <c r="W83" s="2"/>
      <c r="X83" s="6">
        <f t="shared" si="28"/>
        <v>0</v>
      </c>
      <c r="Y83" s="2"/>
      <c r="Z83" s="7">
        <f t="shared" si="29"/>
        <v>0</v>
      </c>
    </row>
    <row r="84" spans="1:26" s="24" customFormat="1" hidden="1" outlineLevel="2" x14ac:dyDescent="0.25">
      <c r="A84" s="25"/>
      <c r="B84" s="11" t="str">
        <f>CONCATENATE("          ", "6004", " - ", "STAFF HOURLY")</f>
        <v xml:space="preserve">          6004 - STAFF HOURLY</v>
      </c>
      <c r="C84" s="11"/>
      <c r="D84" s="6"/>
      <c r="E84" s="2"/>
      <c r="F84" s="7">
        <f t="shared" si="22"/>
        <v>0</v>
      </c>
      <c r="G84" s="2"/>
      <c r="H84" s="6">
        <v>0</v>
      </c>
      <c r="I84" s="2"/>
      <c r="J84" s="7">
        <f t="shared" si="23"/>
        <v>0</v>
      </c>
      <c r="K84" s="2"/>
      <c r="L84" s="6">
        <f t="shared" si="24"/>
        <v>0</v>
      </c>
      <c r="M84" s="2"/>
      <c r="N84" s="7">
        <f t="shared" si="25"/>
        <v>0</v>
      </c>
      <c r="O84" s="11"/>
      <c r="P84" s="6"/>
      <c r="Q84" s="2"/>
      <c r="R84" s="7">
        <f t="shared" si="26"/>
        <v>0</v>
      </c>
      <c r="S84" s="2"/>
      <c r="T84" s="6">
        <v>0</v>
      </c>
      <c r="U84" s="2"/>
      <c r="V84" s="7">
        <f t="shared" si="27"/>
        <v>0</v>
      </c>
      <c r="W84" s="2"/>
      <c r="X84" s="6">
        <f t="shared" si="28"/>
        <v>0</v>
      </c>
      <c r="Y84" s="2"/>
      <c r="Z84" s="7">
        <f t="shared" si="29"/>
        <v>0</v>
      </c>
    </row>
    <row r="85" spans="1:26" s="24" customFormat="1" hidden="1" outlineLevel="2" x14ac:dyDescent="0.25">
      <c r="A85" s="25"/>
      <c r="B85" s="11" t="str">
        <f>CONCATENATE("          ", "6005", " - ", "TEMPORARY WAGES-HOURLY")</f>
        <v xml:space="preserve">          6005 - TEMPORARY WAGES-HOURLY</v>
      </c>
      <c r="C85" s="11"/>
      <c r="D85" s="6">
        <v>1265.1300000000001</v>
      </c>
      <c r="E85" s="2"/>
      <c r="F85" s="7">
        <f t="shared" si="22"/>
        <v>2.7498109563381414E-2</v>
      </c>
      <c r="G85" s="2"/>
      <c r="H85" s="6">
        <v>0</v>
      </c>
      <c r="I85" s="2"/>
      <c r="J85" s="7">
        <f t="shared" si="23"/>
        <v>0</v>
      </c>
      <c r="K85" s="2"/>
      <c r="L85" s="6">
        <f t="shared" si="24"/>
        <v>1265.1300000000001</v>
      </c>
      <c r="M85" s="2"/>
      <c r="N85" s="7">
        <f t="shared" si="25"/>
        <v>0</v>
      </c>
      <c r="O85" s="11"/>
      <c r="P85" s="6">
        <v>1682.01</v>
      </c>
      <c r="Q85" s="2"/>
      <c r="R85" s="7">
        <f t="shared" si="26"/>
        <v>6.8064365360219004E-3</v>
      </c>
      <c r="S85" s="2"/>
      <c r="T85" s="6">
        <v>0</v>
      </c>
      <c r="U85" s="2"/>
      <c r="V85" s="7">
        <f t="shared" si="27"/>
        <v>0</v>
      </c>
      <c r="W85" s="2"/>
      <c r="X85" s="6">
        <f t="shared" si="28"/>
        <v>1682.01</v>
      </c>
      <c r="Y85" s="2"/>
      <c r="Z85" s="7">
        <f t="shared" si="29"/>
        <v>0</v>
      </c>
    </row>
    <row r="86" spans="1:26" s="24" customFormat="1" hidden="1" outlineLevel="2" x14ac:dyDescent="0.25">
      <c r="A86" s="25"/>
      <c r="B86" s="11" t="str">
        <f>CONCATENATE("          ", "6006", " - ", "TEMPORARY PART TIME")</f>
        <v xml:space="preserve">          6006 - TEMPORARY PART TIME</v>
      </c>
      <c r="C86" s="11"/>
      <c r="D86" s="6"/>
      <c r="E86" s="2"/>
      <c r="F86" s="7">
        <f t="shared" si="22"/>
        <v>0</v>
      </c>
      <c r="G86" s="2"/>
      <c r="H86" s="6">
        <v>0</v>
      </c>
      <c r="I86" s="2"/>
      <c r="J86" s="7">
        <f t="shared" si="23"/>
        <v>0</v>
      </c>
      <c r="K86" s="2"/>
      <c r="L86" s="6">
        <f t="shared" si="24"/>
        <v>0</v>
      </c>
      <c r="M86" s="2"/>
      <c r="N86" s="7">
        <f t="shared" si="25"/>
        <v>0</v>
      </c>
      <c r="O86" s="11"/>
      <c r="P86" s="6">
        <v>25.5</v>
      </c>
      <c r="Q86" s="2"/>
      <c r="R86" s="7">
        <f t="shared" si="26"/>
        <v>1.0318852543597152E-4</v>
      </c>
      <c r="S86" s="2"/>
      <c r="T86" s="6">
        <v>0</v>
      </c>
      <c r="U86" s="2"/>
      <c r="V86" s="7">
        <f t="shared" si="27"/>
        <v>0</v>
      </c>
      <c r="W86" s="2"/>
      <c r="X86" s="6">
        <f t="shared" si="28"/>
        <v>25.5</v>
      </c>
      <c r="Y86" s="2"/>
      <c r="Z86" s="7">
        <f t="shared" si="29"/>
        <v>0</v>
      </c>
    </row>
    <row r="87" spans="1:26" s="24" customFormat="1" hidden="1" outlineLevel="2" x14ac:dyDescent="0.25">
      <c r="A87" s="25"/>
      <c r="B87" s="11" t="str">
        <f>CONCATENATE("          ", "6007", " - ", "STUDENT HOURLY")</f>
        <v xml:space="preserve">          6007 - STUDENT HOURLY</v>
      </c>
      <c r="C87" s="11"/>
      <c r="D87" s="6">
        <v>5254.51</v>
      </c>
      <c r="E87" s="2"/>
      <c r="F87" s="7">
        <f t="shared" si="22"/>
        <v>0.11420888895361209</v>
      </c>
      <c r="G87" s="2"/>
      <c r="H87" s="6">
        <v>4651.6350000000002</v>
      </c>
      <c r="I87" s="2"/>
      <c r="J87" s="7">
        <f t="shared" si="23"/>
        <v>0.10454521958016812</v>
      </c>
      <c r="K87" s="2"/>
      <c r="L87" s="6">
        <f t="shared" si="24"/>
        <v>602.875</v>
      </c>
      <c r="M87" s="2"/>
      <c r="N87" s="7">
        <f t="shared" si="25"/>
        <v>0.12960496685573997</v>
      </c>
      <c r="O87" s="11"/>
      <c r="P87" s="6">
        <v>25007.26</v>
      </c>
      <c r="Q87" s="2"/>
      <c r="R87" s="7">
        <f t="shared" si="26"/>
        <v>0.1011945993958413</v>
      </c>
      <c r="S87" s="2"/>
      <c r="T87" s="6">
        <v>21117.870000000003</v>
      </c>
      <c r="U87" s="2"/>
      <c r="V87" s="7">
        <f t="shared" si="27"/>
        <v>8.1946225126501737E-2</v>
      </c>
      <c r="W87" s="2"/>
      <c r="X87" s="6">
        <f t="shared" si="28"/>
        <v>3889.3899999999958</v>
      </c>
      <c r="Y87" s="2"/>
      <c r="Z87" s="7">
        <f t="shared" si="29"/>
        <v>0.18417529798222998</v>
      </c>
    </row>
    <row r="88" spans="1:26" s="24" customFormat="1" hidden="1" outlineLevel="2" x14ac:dyDescent="0.25">
      <c r="A88" s="25"/>
      <c r="B88" s="11" t="str">
        <f>CONCATENATE("          ", "6008", " - ", "STUDENT HOURLY-FICA EXEMPT")</f>
        <v xml:space="preserve">          6008 - STUDENT HOURLY-FICA EXEMPT</v>
      </c>
      <c r="C88" s="11"/>
      <c r="D88" s="6"/>
      <c r="E88" s="2"/>
      <c r="F88" s="7">
        <f t="shared" si="22"/>
        <v>0</v>
      </c>
      <c r="G88" s="2"/>
      <c r="H88" s="6">
        <v>0</v>
      </c>
      <c r="I88" s="2"/>
      <c r="J88" s="7">
        <f t="shared" si="23"/>
        <v>0</v>
      </c>
      <c r="K88" s="2"/>
      <c r="L88" s="6">
        <f t="shared" si="24"/>
        <v>0</v>
      </c>
      <c r="M88" s="2"/>
      <c r="N88" s="7">
        <f t="shared" si="25"/>
        <v>0</v>
      </c>
      <c r="O88" s="11"/>
      <c r="P88" s="6"/>
      <c r="Q88" s="2"/>
      <c r="R88" s="7">
        <f t="shared" si="26"/>
        <v>0</v>
      </c>
      <c r="S88" s="2"/>
      <c r="T88" s="6">
        <v>1654.335</v>
      </c>
      <c r="U88" s="2"/>
      <c r="V88" s="7">
        <f t="shared" si="27"/>
        <v>6.419516189116195E-3</v>
      </c>
      <c r="W88" s="2"/>
      <c r="X88" s="6">
        <f t="shared" si="28"/>
        <v>-1654.335</v>
      </c>
      <c r="Y88" s="2"/>
      <c r="Z88" s="7">
        <f t="shared" si="29"/>
        <v>-1</v>
      </c>
    </row>
    <row r="89" spans="1:26" s="24" customFormat="1" hidden="1" outlineLevel="2" x14ac:dyDescent="0.25">
      <c r="A89" s="25"/>
      <c r="B89" s="11" t="str">
        <f>CONCATENATE("          ", "6009", " - ", "TEMPORARY-SEASONAL")</f>
        <v xml:space="preserve">          6009 - TEMPORARY-SEASONAL</v>
      </c>
      <c r="C89" s="11"/>
      <c r="D89" s="6"/>
      <c r="E89" s="2"/>
      <c r="F89" s="7">
        <f t="shared" si="22"/>
        <v>0</v>
      </c>
      <c r="G89" s="2"/>
      <c r="H89" s="6">
        <v>0</v>
      </c>
      <c r="I89" s="2"/>
      <c r="J89" s="7">
        <f t="shared" si="23"/>
        <v>0</v>
      </c>
      <c r="K89" s="2"/>
      <c r="L89" s="6">
        <f t="shared" si="24"/>
        <v>0</v>
      </c>
      <c r="M89" s="2"/>
      <c r="N89" s="7">
        <f t="shared" si="25"/>
        <v>0</v>
      </c>
      <c r="O89" s="11"/>
      <c r="P89" s="6"/>
      <c r="Q89" s="2"/>
      <c r="R89" s="7">
        <f t="shared" si="26"/>
        <v>0</v>
      </c>
      <c r="S89" s="2"/>
      <c r="T89" s="6">
        <v>0</v>
      </c>
      <c r="U89" s="2"/>
      <c r="V89" s="7">
        <f t="shared" si="27"/>
        <v>0</v>
      </c>
      <c r="W89" s="2"/>
      <c r="X89" s="6">
        <f t="shared" si="28"/>
        <v>0</v>
      </c>
      <c r="Y89" s="2"/>
      <c r="Z89" s="7">
        <f t="shared" si="29"/>
        <v>0</v>
      </c>
    </row>
    <row r="90" spans="1:26" s="24" customFormat="1" hidden="1" outlineLevel="2" x14ac:dyDescent="0.25">
      <c r="A90" s="25"/>
      <c r="B90" s="11" t="str">
        <f>CONCATENATE("          ", "6010", " - ", "GRATUITY")</f>
        <v xml:space="preserve">          6010 - GRATUITY</v>
      </c>
      <c r="C90" s="11"/>
      <c r="D90" s="6"/>
      <c r="E90" s="2"/>
      <c r="F90" s="7">
        <f t="shared" si="22"/>
        <v>0</v>
      </c>
      <c r="G90" s="2"/>
      <c r="H90" s="6">
        <v>0</v>
      </c>
      <c r="I90" s="2"/>
      <c r="J90" s="7">
        <f t="shared" si="23"/>
        <v>0</v>
      </c>
      <c r="K90" s="2"/>
      <c r="L90" s="6">
        <f t="shared" si="24"/>
        <v>0</v>
      </c>
      <c r="M90" s="2"/>
      <c r="N90" s="7">
        <f t="shared" si="25"/>
        <v>0</v>
      </c>
      <c r="O90" s="11"/>
      <c r="P90" s="6"/>
      <c r="Q90" s="2"/>
      <c r="R90" s="7">
        <f t="shared" si="26"/>
        <v>0</v>
      </c>
      <c r="S90" s="2"/>
      <c r="T90" s="6">
        <v>0</v>
      </c>
      <c r="U90" s="2"/>
      <c r="V90" s="7">
        <f t="shared" si="27"/>
        <v>0</v>
      </c>
      <c r="W90" s="2"/>
      <c r="X90" s="6">
        <f t="shared" si="28"/>
        <v>0</v>
      </c>
      <c r="Y90" s="2"/>
      <c r="Z90" s="7">
        <f t="shared" si="29"/>
        <v>0</v>
      </c>
    </row>
    <row r="91" spans="1:26" s="26" customFormat="1" outlineLevel="1" collapsed="1" x14ac:dyDescent="0.25">
      <c r="A91" s="27"/>
      <c r="B91" s="13" t="str">
        <f>CONCATENATE("     ","Advertising/Promo                                 ")</f>
        <v xml:space="preserve">     Advertising/Promo                                 </v>
      </c>
      <c r="C91" s="13"/>
      <c r="D91" s="1">
        <f>SUM(OSRRefD22_2x_0)</f>
        <v>115</v>
      </c>
      <c r="E91" s="1"/>
      <c r="F91" s="5">
        <f t="shared" ref="F91:F97" si="30">IF(D$12=0,0,D91/D$12)</f>
        <v>2.4995712691888283E-3</v>
      </c>
      <c r="G91" s="1"/>
      <c r="H91" s="1">
        <f>SUM(OSRRefH22_2x_0)</f>
        <v>40</v>
      </c>
      <c r="I91" s="1"/>
      <c r="J91" s="5">
        <f t="shared" ref="J91:J97" si="31">IF(H$12=0,0,H91/H$12)</f>
        <v>8.9899761765631326E-4</v>
      </c>
      <c r="K91" s="1"/>
      <c r="L91" s="1">
        <f t="shared" ref="L91:L97" si="32">+D91-H91</f>
        <v>75</v>
      </c>
      <c r="M91" s="1"/>
      <c r="N91" s="5">
        <f t="shared" ref="N91:N97" si="33">IF(H91=0,0,L91/H91)</f>
        <v>1.875</v>
      </c>
      <c r="O91" s="13"/>
      <c r="P91" s="1">
        <f>SUM(OSRRefP22_2x_0)</f>
        <v>963.62</v>
      </c>
      <c r="Q91" s="1"/>
      <c r="R91" s="5">
        <f t="shared" ref="R91:R97" si="34">IF(P$12=0,0,P91/P$12)</f>
        <v>3.8993932110043482E-3</v>
      </c>
      <c r="S91" s="1"/>
      <c r="T91" s="1">
        <f>SUM(OSRRefT22_2x_0)</f>
        <v>200</v>
      </c>
      <c r="U91" s="1"/>
      <c r="V91" s="5">
        <f t="shared" ref="V91:V97" si="35">IF(T$12=0,0,T91/T$12)</f>
        <v>7.7608418961288921E-4</v>
      </c>
      <c r="W91" s="1"/>
      <c r="X91" s="1">
        <f t="shared" ref="X91:X97" si="36">+P91-T91</f>
        <v>763.62</v>
      </c>
      <c r="Y91" s="1"/>
      <c r="Z91" s="5">
        <f t="shared" ref="Z91:Z97" si="37">IF(T91=0,0,X91/T91)</f>
        <v>3.8180999999999998</v>
      </c>
    </row>
    <row r="92" spans="1:26" s="24" customFormat="1" hidden="1" outlineLevel="2" x14ac:dyDescent="0.25">
      <c r="A92" s="25"/>
      <c r="B92" s="11" t="str">
        <f>CONCATENATE("          ", "6362", " - ", "ADVERTISING EXPENSE")</f>
        <v xml:space="preserve">          6362 - ADVERTISING EXPENSE</v>
      </c>
      <c r="C92" s="11"/>
      <c r="D92" s="6">
        <v>115</v>
      </c>
      <c r="E92" s="2"/>
      <c r="F92" s="7">
        <f t="shared" si="30"/>
        <v>2.4995712691888283E-3</v>
      </c>
      <c r="G92" s="2"/>
      <c r="H92" s="6">
        <v>40</v>
      </c>
      <c r="I92" s="2"/>
      <c r="J92" s="7">
        <f t="shared" si="31"/>
        <v>8.9899761765631326E-4</v>
      </c>
      <c r="K92" s="2"/>
      <c r="L92" s="6">
        <f t="shared" si="32"/>
        <v>75</v>
      </c>
      <c r="M92" s="2"/>
      <c r="N92" s="7">
        <f t="shared" si="33"/>
        <v>1.875</v>
      </c>
      <c r="O92" s="11"/>
      <c r="P92" s="6">
        <v>963.62</v>
      </c>
      <c r="Q92" s="2"/>
      <c r="R92" s="7">
        <f t="shared" si="34"/>
        <v>3.8993932110043482E-3</v>
      </c>
      <c r="S92" s="2"/>
      <c r="T92" s="6">
        <v>200</v>
      </c>
      <c r="U92" s="2"/>
      <c r="V92" s="7">
        <f t="shared" si="35"/>
        <v>7.7608418961288921E-4</v>
      </c>
      <c r="W92" s="2"/>
      <c r="X92" s="6">
        <f t="shared" si="36"/>
        <v>763.62</v>
      </c>
      <c r="Y92" s="2"/>
      <c r="Z92" s="7">
        <f t="shared" si="37"/>
        <v>3.8180999999999998</v>
      </c>
    </row>
    <row r="93" spans="1:26" s="26" customFormat="1" outlineLevel="1" collapsed="1" x14ac:dyDescent="0.25">
      <c r="A93" s="27"/>
      <c r="B93" s="13" t="str">
        <f>CONCATENATE("     ","Bad Debts/Over/Short                              ")</f>
        <v xml:space="preserve">     Bad Debts/Over/Short                              </v>
      </c>
      <c r="C93" s="13"/>
      <c r="D93" s="1">
        <f>SUM(OSRRefD22_3x_0)</f>
        <v>0.35</v>
      </c>
      <c r="E93" s="1"/>
      <c r="F93" s="5">
        <f t="shared" si="30"/>
        <v>7.6073908192703467E-6</v>
      </c>
      <c r="G93" s="1"/>
      <c r="H93" s="1">
        <f>SUM(OSRRefH22_3x_0)</f>
        <v>0</v>
      </c>
      <c r="I93" s="1"/>
      <c r="J93" s="5">
        <f t="shared" si="31"/>
        <v>0</v>
      </c>
      <c r="K93" s="1"/>
      <c r="L93" s="1">
        <f t="shared" si="32"/>
        <v>0.35</v>
      </c>
      <c r="M93" s="1"/>
      <c r="N93" s="5">
        <f t="shared" si="33"/>
        <v>0</v>
      </c>
      <c r="O93" s="13"/>
      <c r="P93" s="1">
        <f>SUM(OSRRefP22_3x_0)</f>
        <v>-47.21</v>
      </c>
      <c r="Q93" s="1"/>
      <c r="R93" s="5">
        <f t="shared" si="34"/>
        <v>-1.9104040336596925E-4</v>
      </c>
      <c r="S93" s="1"/>
      <c r="T93" s="1">
        <f>SUM(OSRRefT22_3x_0)</f>
        <v>0</v>
      </c>
      <c r="U93" s="1"/>
      <c r="V93" s="5">
        <f t="shared" si="35"/>
        <v>0</v>
      </c>
      <c r="W93" s="1"/>
      <c r="X93" s="1">
        <f t="shared" si="36"/>
        <v>-47.21</v>
      </c>
      <c r="Y93" s="1"/>
      <c r="Z93" s="5">
        <f t="shared" si="37"/>
        <v>0</v>
      </c>
    </row>
    <row r="94" spans="1:26" s="24" customFormat="1" hidden="1" outlineLevel="2" x14ac:dyDescent="0.25">
      <c r="A94" s="25"/>
      <c r="B94" s="11" t="str">
        <f>CONCATENATE("          ", "6272", " - ", "CASH (OVER/SHORT)")</f>
        <v xml:space="preserve">          6272 - CASH (OVER/SHORT)</v>
      </c>
      <c r="C94" s="11"/>
      <c r="D94" s="6">
        <v>0.35</v>
      </c>
      <c r="E94" s="2"/>
      <c r="F94" s="7">
        <f t="shared" si="30"/>
        <v>7.6073908192703467E-6</v>
      </c>
      <c r="G94" s="2"/>
      <c r="H94" s="6"/>
      <c r="I94" s="2"/>
      <c r="J94" s="7">
        <f t="shared" si="31"/>
        <v>0</v>
      </c>
      <c r="K94" s="2"/>
      <c r="L94" s="6">
        <f t="shared" si="32"/>
        <v>0.35</v>
      </c>
      <c r="M94" s="2"/>
      <c r="N94" s="7">
        <f t="shared" si="33"/>
        <v>0</v>
      </c>
      <c r="O94" s="11"/>
      <c r="P94" s="6">
        <v>-47.21</v>
      </c>
      <c r="Q94" s="2"/>
      <c r="R94" s="7">
        <f t="shared" si="34"/>
        <v>-1.9104040336596925E-4</v>
      </c>
      <c r="S94" s="2"/>
      <c r="T94" s="6"/>
      <c r="U94" s="2"/>
      <c r="V94" s="7">
        <f t="shared" si="35"/>
        <v>0</v>
      </c>
      <c r="W94" s="2"/>
      <c r="X94" s="6">
        <f t="shared" si="36"/>
        <v>-47.21</v>
      </c>
      <c r="Y94" s="2"/>
      <c r="Z94" s="7">
        <f t="shared" si="37"/>
        <v>0</v>
      </c>
    </row>
    <row r="95" spans="1:26" s="26" customFormat="1" outlineLevel="1" collapsed="1" x14ac:dyDescent="0.25">
      <c r="A95" s="27"/>
      <c r="B95" s="13" t="str">
        <f>CONCATENATE("     ","Discounts and Markdowns                           ")</f>
        <v xml:space="preserve">     Discounts and Markdowns                           </v>
      </c>
      <c r="C95" s="13"/>
      <c r="D95" s="1">
        <f>SUM(OSRRefD22_4x_0)</f>
        <v>539</v>
      </c>
      <c r="E95" s="1"/>
      <c r="F95" s="5">
        <f t="shared" si="30"/>
        <v>1.1715381861676335E-2</v>
      </c>
      <c r="G95" s="1"/>
      <c r="H95" s="1">
        <f>SUM(OSRRefH22_4x_0)</f>
        <v>1250</v>
      </c>
      <c r="I95" s="1"/>
      <c r="J95" s="5">
        <f t="shared" si="31"/>
        <v>2.8093675551759789E-2</v>
      </c>
      <c r="K95" s="1"/>
      <c r="L95" s="1">
        <f t="shared" si="32"/>
        <v>-711</v>
      </c>
      <c r="M95" s="1"/>
      <c r="N95" s="5">
        <f t="shared" si="33"/>
        <v>-0.56879999999999997</v>
      </c>
      <c r="O95" s="13"/>
      <c r="P95" s="1">
        <f>SUM(OSRRefP22_4x_0)</f>
        <v>5275.61</v>
      </c>
      <c r="Q95" s="1"/>
      <c r="R95" s="5">
        <f t="shared" si="34"/>
        <v>2.1348330065696693E-2</v>
      </c>
      <c r="S95" s="1"/>
      <c r="T95" s="1">
        <f>SUM(OSRRefT22_4x_0)</f>
        <v>6250</v>
      </c>
      <c r="U95" s="1"/>
      <c r="V95" s="5">
        <f t="shared" si="35"/>
        <v>2.4252630925402786E-2</v>
      </c>
      <c r="W95" s="1"/>
      <c r="X95" s="1">
        <f t="shared" si="36"/>
        <v>-974.39000000000033</v>
      </c>
      <c r="Y95" s="1"/>
      <c r="Z95" s="5">
        <f t="shared" si="37"/>
        <v>-0.15590240000000005</v>
      </c>
    </row>
    <row r="96" spans="1:26" s="24" customFormat="1" hidden="1" outlineLevel="2" x14ac:dyDescent="0.25">
      <c r="A96" s="25"/>
      <c r="B96" s="11" t="str">
        <f>CONCATENATE("          ", "6382", " - ", "DISCOUNTS/MARK DOWNS")</f>
        <v xml:space="preserve">          6382 - DISCOUNTS/MARK DOWNS</v>
      </c>
      <c r="C96" s="11"/>
      <c r="D96" s="6">
        <v>539</v>
      </c>
      <c r="E96" s="2"/>
      <c r="F96" s="7">
        <f t="shared" si="30"/>
        <v>1.1715381861676335E-2</v>
      </c>
      <c r="G96" s="2"/>
      <c r="H96" s="6">
        <v>1250</v>
      </c>
      <c r="I96" s="2"/>
      <c r="J96" s="7">
        <f t="shared" si="31"/>
        <v>2.8093675551759789E-2</v>
      </c>
      <c r="K96" s="2"/>
      <c r="L96" s="6">
        <f t="shared" si="32"/>
        <v>-711</v>
      </c>
      <c r="M96" s="2"/>
      <c r="N96" s="7">
        <f t="shared" si="33"/>
        <v>-0.56879999999999997</v>
      </c>
      <c r="O96" s="11"/>
      <c r="P96" s="6">
        <v>5275.61</v>
      </c>
      <c r="Q96" s="2"/>
      <c r="R96" s="7">
        <f t="shared" si="34"/>
        <v>2.1348330065696693E-2</v>
      </c>
      <c r="S96" s="2"/>
      <c r="T96" s="6">
        <v>6250</v>
      </c>
      <c r="U96" s="2"/>
      <c r="V96" s="7">
        <f t="shared" si="35"/>
        <v>2.4252630925402786E-2</v>
      </c>
      <c r="W96" s="2"/>
      <c r="X96" s="6">
        <f t="shared" si="36"/>
        <v>-974.39000000000033</v>
      </c>
      <c r="Y96" s="2"/>
      <c r="Z96" s="7">
        <f t="shared" si="37"/>
        <v>-0.15590240000000005</v>
      </c>
    </row>
    <row r="97" spans="1:26" s="24" customFormat="1" hidden="1" outlineLevel="2" x14ac:dyDescent="0.25">
      <c r="A97" s="25"/>
      <c r="B97" s="11" t="str">
        <f>CONCATENATE("          ", "9175", " - ", "EARNED DISCOUNTS")</f>
        <v xml:space="preserve">          9175 - EARNED DISCOUNTS</v>
      </c>
      <c r="C97" s="11"/>
      <c r="D97" s="6"/>
      <c r="E97" s="2"/>
      <c r="F97" s="7">
        <f t="shared" si="30"/>
        <v>0</v>
      </c>
      <c r="G97" s="2"/>
      <c r="H97" s="6"/>
      <c r="I97" s="2"/>
      <c r="J97" s="7">
        <f t="shared" si="31"/>
        <v>0</v>
      </c>
      <c r="K97" s="2"/>
      <c r="L97" s="6">
        <f t="shared" si="32"/>
        <v>0</v>
      </c>
      <c r="M97" s="2"/>
      <c r="N97" s="7">
        <f t="shared" si="33"/>
        <v>0</v>
      </c>
      <c r="O97" s="11"/>
      <c r="P97" s="6">
        <v>0</v>
      </c>
      <c r="Q97" s="2"/>
      <c r="R97" s="7">
        <f t="shared" si="34"/>
        <v>0</v>
      </c>
      <c r="S97" s="2"/>
      <c r="T97" s="6"/>
      <c r="U97" s="2"/>
      <c r="V97" s="7">
        <f t="shared" si="35"/>
        <v>0</v>
      </c>
      <c r="W97" s="2"/>
      <c r="X97" s="6">
        <f t="shared" si="36"/>
        <v>0</v>
      </c>
      <c r="Y97" s="2"/>
      <c r="Z97" s="7">
        <f t="shared" si="37"/>
        <v>0</v>
      </c>
    </row>
    <row r="98" spans="1:26" s="26" customFormat="1" outlineLevel="1" collapsed="1" x14ac:dyDescent="0.25">
      <c r="A98" s="27"/>
      <c r="B98" s="13" t="str">
        <f>CONCATENATE("     ","Employees' Appreciation                           ")</f>
        <v xml:space="preserve">     Employees' Appreciation                           </v>
      </c>
      <c r="C98" s="13"/>
      <c r="D98" s="1">
        <f>SUM(OSRRefD22_5x_0)</f>
        <v>0</v>
      </c>
      <c r="E98" s="1"/>
      <c r="F98" s="5">
        <f t="shared" ref="F98:F106" si="38">IF(D$12=0,0,D98/D$12)</f>
        <v>0</v>
      </c>
      <c r="G98" s="1"/>
      <c r="H98" s="1">
        <f>SUM(OSRRefH22_5x_0)</f>
        <v>25</v>
      </c>
      <c r="I98" s="1"/>
      <c r="J98" s="5">
        <f t="shared" ref="J98:J106" si="39">IF(H$12=0,0,H98/H$12)</f>
        <v>5.6187351103519577E-4</v>
      </c>
      <c r="K98" s="1"/>
      <c r="L98" s="1">
        <f t="shared" ref="L98:L106" si="40">+D98-H98</f>
        <v>-25</v>
      </c>
      <c r="M98" s="1"/>
      <c r="N98" s="5">
        <f t="shared" ref="N98:N106" si="41">IF(H98=0,0,L98/H98)</f>
        <v>-1</v>
      </c>
      <c r="O98" s="13"/>
      <c r="P98" s="1">
        <f>SUM(OSRRefP22_5x_0)</f>
        <v>0</v>
      </c>
      <c r="Q98" s="1"/>
      <c r="R98" s="5">
        <f t="shared" ref="R98:R106" si="42">IF(P$12=0,0,P98/P$12)</f>
        <v>0</v>
      </c>
      <c r="S98" s="1"/>
      <c r="T98" s="1">
        <f>SUM(OSRRefT22_5x_0)</f>
        <v>125</v>
      </c>
      <c r="U98" s="1"/>
      <c r="V98" s="5">
        <f t="shared" ref="V98:V106" si="43">IF(T$12=0,0,T98/T$12)</f>
        <v>4.8505261850805573E-4</v>
      </c>
      <c r="W98" s="1"/>
      <c r="X98" s="1">
        <f t="shared" ref="X98:X106" si="44">+P98-T98</f>
        <v>-125</v>
      </c>
      <c r="Y98" s="1"/>
      <c r="Z98" s="5">
        <f t="shared" ref="Z98:Z106" si="45">IF(T98=0,0,X98/T98)</f>
        <v>-1</v>
      </c>
    </row>
    <row r="99" spans="1:26" s="24" customFormat="1" hidden="1" outlineLevel="2" x14ac:dyDescent="0.25">
      <c r="A99" s="25"/>
      <c r="B99" s="11" t="str">
        <f>CONCATENATE("          ", "6277", " - ", "EMPLOYEE APPRECIATION")</f>
        <v xml:space="preserve">          6277 - EMPLOYEE APPRECIATION</v>
      </c>
      <c r="C99" s="11"/>
      <c r="D99" s="6"/>
      <c r="E99" s="2"/>
      <c r="F99" s="7">
        <f t="shared" si="38"/>
        <v>0</v>
      </c>
      <c r="G99" s="2"/>
      <c r="H99" s="6">
        <v>25</v>
      </c>
      <c r="I99" s="2"/>
      <c r="J99" s="7">
        <f t="shared" si="39"/>
        <v>5.6187351103519577E-4</v>
      </c>
      <c r="K99" s="2"/>
      <c r="L99" s="6">
        <f t="shared" si="40"/>
        <v>-25</v>
      </c>
      <c r="M99" s="2"/>
      <c r="N99" s="7">
        <f t="shared" si="41"/>
        <v>-1</v>
      </c>
      <c r="O99" s="11"/>
      <c r="P99" s="6"/>
      <c r="Q99" s="2"/>
      <c r="R99" s="7">
        <f t="shared" si="42"/>
        <v>0</v>
      </c>
      <c r="S99" s="2"/>
      <c r="T99" s="6">
        <v>125</v>
      </c>
      <c r="U99" s="2"/>
      <c r="V99" s="7">
        <f t="shared" si="43"/>
        <v>4.8505261850805573E-4</v>
      </c>
      <c r="W99" s="2"/>
      <c r="X99" s="6">
        <f t="shared" si="44"/>
        <v>-125</v>
      </c>
      <c r="Y99" s="2"/>
      <c r="Z99" s="7">
        <f t="shared" si="45"/>
        <v>-1</v>
      </c>
    </row>
    <row r="100" spans="1:26" s="26" customFormat="1" outlineLevel="1" collapsed="1" x14ac:dyDescent="0.25">
      <c r="A100" s="27"/>
      <c r="B100" s="13" t="str">
        <f>CONCATENATE("     ","General                                           ")</f>
        <v xml:space="preserve">     General                                           </v>
      </c>
      <c r="C100" s="13"/>
      <c r="D100" s="1">
        <f>SUM(OSRRefD22_6x_0)</f>
        <v>0</v>
      </c>
      <c r="E100" s="1"/>
      <c r="F100" s="5">
        <f t="shared" si="38"/>
        <v>0</v>
      </c>
      <c r="G100" s="1"/>
      <c r="H100" s="1">
        <f>SUM(OSRRefH22_6x_0)</f>
        <v>80</v>
      </c>
      <c r="I100" s="1"/>
      <c r="J100" s="5">
        <f t="shared" si="39"/>
        <v>1.7979952353126265E-3</v>
      </c>
      <c r="K100" s="1"/>
      <c r="L100" s="1">
        <f t="shared" si="40"/>
        <v>-80</v>
      </c>
      <c r="M100" s="1"/>
      <c r="N100" s="5">
        <f t="shared" si="41"/>
        <v>-1</v>
      </c>
      <c r="O100" s="13"/>
      <c r="P100" s="1">
        <f>SUM(OSRRefP22_6x_0)</f>
        <v>794.05</v>
      </c>
      <c r="Q100" s="1"/>
      <c r="R100" s="5">
        <f t="shared" si="42"/>
        <v>3.2132097498993404E-3</v>
      </c>
      <c r="S100" s="1"/>
      <c r="T100" s="1">
        <f>SUM(OSRRefT22_6x_0)</f>
        <v>400</v>
      </c>
      <c r="U100" s="1"/>
      <c r="V100" s="5">
        <f t="shared" si="43"/>
        <v>1.5521683792257784E-3</v>
      </c>
      <c r="W100" s="1"/>
      <c r="X100" s="1">
        <f t="shared" si="44"/>
        <v>394.04999999999995</v>
      </c>
      <c r="Y100" s="1"/>
      <c r="Z100" s="5">
        <f t="shared" si="45"/>
        <v>0.98512499999999992</v>
      </c>
    </row>
    <row r="101" spans="1:26" s="24" customFormat="1" hidden="1" outlineLevel="2" x14ac:dyDescent="0.25">
      <c r="A101" s="25"/>
      <c r="B101" s="11" t="str">
        <f>CONCATENATE("          ", "6279", " - ", "GENERAL EXPENSE")</f>
        <v xml:space="preserve">          6279 - GENERAL EXPENSE</v>
      </c>
      <c r="C101" s="11"/>
      <c r="D101" s="6"/>
      <c r="E101" s="2"/>
      <c r="F101" s="7">
        <f t="shared" si="38"/>
        <v>0</v>
      </c>
      <c r="G101" s="2"/>
      <c r="H101" s="6">
        <v>80</v>
      </c>
      <c r="I101" s="2"/>
      <c r="J101" s="7">
        <f t="shared" si="39"/>
        <v>1.7979952353126265E-3</v>
      </c>
      <c r="K101" s="2"/>
      <c r="L101" s="6">
        <f t="shared" si="40"/>
        <v>-80</v>
      </c>
      <c r="M101" s="2"/>
      <c r="N101" s="7">
        <f t="shared" si="41"/>
        <v>-1</v>
      </c>
      <c r="O101" s="11"/>
      <c r="P101" s="6">
        <v>794.05</v>
      </c>
      <c r="Q101" s="2"/>
      <c r="R101" s="7">
        <f t="shared" si="42"/>
        <v>3.2132097498993404E-3</v>
      </c>
      <c r="S101" s="2"/>
      <c r="T101" s="6">
        <v>400</v>
      </c>
      <c r="U101" s="2"/>
      <c r="V101" s="7">
        <f t="shared" si="43"/>
        <v>1.5521683792257784E-3</v>
      </c>
      <c r="W101" s="2"/>
      <c r="X101" s="6">
        <f t="shared" si="44"/>
        <v>394.04999999999995</v>
      </c>
      <c r="Y101" s="2"/>
      <c r="Z101" s="7">
        <f t="shared" si="45"/>
        <v>0.98512499999999992</v>
      </c>
    </row>
    <row r="102" spans="1:26" s="26" customFormat="1" outlineLevel="1" collapsed="1" x14ac:dyDescent="0.25">
      <c r="A102" s="27"/>
      <c r="B102" s="13" t="str">
        <f>CONCATENATE("     ","Professional Services                             ")</f>
        <v xml:space="preserve">     Professional Services                             </v>
      </c>
      <c r="C102" s="13"/>
      <c r="D102" s="1">
        <f>SUM(OSRRefD22_7x_0)</f>
        <v>0</v>
      </c>
      <c r="E102" s="1"/>
      <c r="F102" s="5">
        <f t="shared" si="38"/>
        <v>0</v>
      </c>
      <c r="G102" s="1"/>
      <c r="H102" s="1">
        <f>SUM(OSRRefH22_7x_0)</f>
        <v>115</v>
      </c>
      <c r="I102" s="1"/>
      <c r="J102" s="5">
        <f t="shared" si="39"/>
        <v>2.5846181507619007E-3</v>
      </c>
      <c r="K102" s="1"/>
      <c r="L102" s="1">
        <f t="shared" si="40"/>
        <v>-115</v>
      </c>
      <c r="M102" s="1"/>
      <c r="N102" s="5">
        <f t="shared" si="41"/>
        <v>-1</v>
      </c>
      <c r="O102" s="13"/>
      <c r="P102" s="1">
        <f>SUM(OSRRefP22_7x_0)</f>
        <v>750</v>
      </c>
      <c r="Q102" s="1"/>
      <c r="R102" s="5">
        <f t="shared" si="42"/>
        <v>3.0349566304697507E-3</v>
      </c>
      <c r="S102" s="1"/>
      <c r="T102" s="1">
        <f>SUM(OSRRefT22_7x_0)</f>
        <v>575</v>
      </c>
      <c r="U102" s="1"/>
      <c r="V102" s="5">
        <f t="shared" si="43"/>
        <v>2.2312420451370565E-3</v>
      </c>
      <c r="W102" s="1"/>
      <c r="X102" s="1">
        <f t="shared" si="44"/>
        <v>175</v>
      </c>
      <c r="Y102" s="1"/>
      <c r="Z102" s="5">
        <f t="shared" si="45"/>
        <v>0.30434782608695654</v>
      </c>
    </row>
    <row r="103" spans="1:26" s="24" customFormat="1" hidden="1" outlineLevel="2" x14ac:dyDescent="0.25">
      <c r="A103" s="25"/>
      <c r="B103" s="11" t="str">
        <f>CONCATENATE("          ", "6336", " - ", "PROFESSIONAL SERVICES")</f>
        <v xml:space="preserve">          6336 - PROFESSIONAL SERVICES</v>
      </c>
      <c r="C103" s="11"/>
      <c r="D103" s="6"/>
      <c r="E103" s="2"/>
      <c r="F103" s="7">
        <f t="shared" si="38"/>
        <v>0</v>
      </c>
      <c r="G103" s="2"/>
      <c r="H103" s="6">
        <v>115</v>
      </c>
      <c r="I103" s="2"/>
      <c r="J103" s="7">
        <f t="shared" si="39"/>
        <v>2.5846181507619007E-3</v>
      </c>
      <c r="K103" s="2"/>
      <c r="L103" s="6">
        <f t="shared" si="40"/>
        <v>-115</v>
      </c>
      <c r="M103" s="2"/>
      <c r="N103" s="7">
        <f t="shared" si="41"/>
        <v>-1</v>
      </c>
      <c r="O103" s="11"/>
      <c r="P103" s="6">
        <v>750</v>
      </c>
      <c r="Q103" s="2"/>
      <c r="R103" s="7">
        <f t="shared" si="42"/>
        <v>3.0349566304697507E-3</v>
      </c>
      <c r="S103" s="2"/>
      <c r="T103" s="6">
        <v>575</v>
      </c>
      <c r="U103" s="2"/>
      <c r="V103" s="7">
        <f t="shared" si="43"/>
        <v>2.2312420451370565E-3</v>
      </c>
      <c r="W103" s="2"/>
      <c r="X103" s="6">
        <f t="shared" si="44"/>
        <v>175</v>
      </c>
      <c r="Y103" s="2"/>
      <c r="Z103" s="7">
        <f t="shared" si="45"/>
        <v>0.30434782608695654</v>
      </c>
    </row>
    <row r="104" spans="1:26" s="26" customFormat="1" outlineLevel="1" collapsed="1" x14ac:dyDescent="0.25">
      <c r="A104" s="27"/>
      <c r="B104" s="13" t="str">
        <f>CONCATENATE("     ","Repair and Maintenance                            ")</f>
        <v xml:space="preserve">     Repair and Maintenance                            </v>
      </c>
      <c r="C104" s="13"/>
      <c r="D104" s="1">
        <f>SUM(OSRRefD22_8x_0)</f>
        <v>0</v>
      </c>
      <c r="E104" s="1"/>
      <c r="F104" s="5">
        <f t="shared" si="38"/>
        <v>0</v>
      </c>
      <c r="G104" s="1"/>
      <c r="H104" s="1">
        <f>SUM(OSRRefH22_8x_0)</f>
        <v>125</v>
      </c>
      <c r="I104" s="1"/>
      <c r="J104" s="5">
        <f t="shared" si="39"/>
        <v>2.8093675551759787E-3</v>
      </c>
      <c r="K104" s="1"/>
      <c r="L104" s="1">
        <f t="shared" si="40"/>
        <v>-125</v>
      </c>
      <c r="M104" s="1"/>
      <c r="N104" s="5">
        <f t="shared" si="41"/>
        <v>-1</v>
      </c>
      <c r="O104" s="13"/>
      <c r="P104" s="1">
        <f>SUM(OSRRefP22_8x_0)</f>
        <v>68.42</v>
      </c>
      <c r="Q104" s="1"/>
      <c r="R104" s="5">
        <f t="shared" si="42"/>
        <v>2.7686897687565377E-4</v>
      </c>
      <c r="S104" s="1"/>
      <c r="T104" s="1">
        <f>SUM(OSRRefT22_8x_0)</f>
        <v>625</v>
      </c>
      <c r="U104" s="1"/>
      <c r="V104" s="5">
        <f t="shared" si="43"/>
        <v>2.4252630925402788E-3</v>
      </c>
      <c r="W104" s="1"/>
      <c r="X104" s="1">
        <f t="shared" si="44"/>
        <v>-556.58000000000004</v>
      </c>
      <c r="Y104" s="1"/>
      <c r="Z104" s="5">
        <f t="shared" si="45"/>
        <v>-0.8905280000000001</v>
      </c>
    </row>
    <row r="105" spans="1:26" s="24" customFormat="1" hidden="1" outlineLevel="2" x14ac:dyDescent="0.25">
      <c r="A105" s="25"/>
      <c r="B105" s="11" t="str">
        <f>CONCATENATE("          ", "6373", " - ", "MAINTENANCE CONTRACTS")</f>
        <v xml:space="preserve">          6373 - MAINTENANCE CONTRACTS</v>
      </c>
      <c r="C105" s="11"/>
      <c r="D105" s="6"/>
      <c r="E105" s="2"/>
      <c r="F105" s="7">
        <f t="shared" si="38"/>
        <v>0</v>
      </c>
      <c r="G105" s="2"/>
      <c r="H105" s="6"/>
      <c r="I105" s="2"/>
      <c r="J105" s="7">
        <f t="shared" si="39"/>
        <v>0</v>
      </c>
      <c r="K105" s="2"/>
      <c r="L105" s="6">
        <f t="shared" si="40"/>
        <v>0</v>
      </c>
      <c r="M105" s="2"/>
      <c r="N105" s="7">
        <f t="shared" si="41"/>
        <v>0</v>
      </c>
      <c r="O105" s="11"/>
      <c r="P105" s="6">
        <v>58.62</v>
      </c>
      <c r="Q105" s="2"/>
      <c r="R105" s="7">
        <f t="shared" si="42"/>
        <v>2.372122102375157E-4</v>
      </c>
      <c r="S105" s="2"/>
      <c r="T105" s="6"/>
      <c r="U105" s="2"/>
      <c r="V105" s="7">
        <f t="shared" si="43"/>
        <v>0</v>
      </c>
      <c r="W105" s="2"/>
      <c r="X105" s="6">
        <f t="shared" si="44"/>
        <v>58.62</v>
      </c>
      <c r="Y105" s="2"/>
      <c r="Z105" s="7">
        <f t="shared" si="45"/>
        <v>0</v>
      </c>
    </row>
    <row r="106" spans="1:26" s="24" customFormat="1" hidden="1" outlineLevel="2" x14ac:dyDescent="0.25">
      <c r="A106" s="25"/>
      <c r="B106" s="11" t="str">
        <f>CONCATENATE("          ", "6375", " - ", "OUTSIDE REPAIRS &amp; MAINTENANCE")</f>
        <v xml:space="preserve">          6375 - OUTSIDE REPAIRS &amp; MAINTENANCE</v>
      </c>
      <c r="C106" s="11"/>
      <c r="D106" s="6"/>
      <c r="E106" s="2"/>
      <c r="F106" s="7">
        <f t="shared" si="38"/>
        <v>0</v>
      </c>
      <c r="G106" s="2"/>
      <c r="H106" s="6">
        <v>125</v>
      </c>
      <c r="I106" s="2"/>
      <c r="J106" s="7">
        <f t="shared" si="39"/>
        <v>2.8093675551759787E-3</v>
      </c>
      <c r="K106" s="2"/>
      <c r="L106" s="6">
        <f t="shared" si="40"/>
        <v>-125</v>
      </c>
      <c r="M106" s="2"/>
      <c r="N106" s="7">
        <f t="shared" si="41"/>
        <v>-1</v>
      </c>
      <c r="O106" s="11"/>
      <c r="P106" s="6">
        <v>9.8000000000000007</v>
      </c>
      <c r="Q106" s="2"/>
      <c r="R106" s="7">
        <f t="shared" si="42"/>
        <v>3.9656766638138078E-5</v>
      </c>
      <c r="S106" s="2"/>
      <c r="T106" s="6">
        <v>625</v>
      </c>
      <c r="U106" s="2"/>
      <c r="V106" s="7">
        <f t="shared" si="43"/>
        <v>2.4252630925402788E-3</v>
      </c>
      <c r="W106" s="2"/>
      <c r="X106" s="6">
        <f t="shared" si="44"/>
        <v>-615.20000000000005</v>
      </c>
      <c r="Y106" s="2"/>
      <c r="Z106" s="7">
        <f t="shared" si="45"/>
        <v>-0.98432000000000008</v>
      </c>
    </row>
    <row r="107" spans="1:26" s="26" customFormat="1" outlineLevel="1" collapsed="1" x14ac:dyDescent="0.25">
      <c r="A107" s="27"/>
      <c r="B107" s="13" t="str">
        <f>CONCATENATE("     ","Services                                          ")</f>
        <v xml:space="preserve">     Services                                          </v>
      </c>
      <c r="C107" s="13"/>
      <c r="D107" s="1">
        <f>SUM(OSRRefD22_9x_0)</f>
        <v>150.81</v>
      </c>
      <c r="E107" s="1"/>
      <c r="F107" s="5">
        <f t="shared" ref="F107:F109" si="46">IF(D$12=0,0,D107/D$12)</f>
        <v>3.2779160270118889E-3</v>
      </c>
      <c r="G107" s="1"/>
      <c r="H107" s="1">
        <f>SUM(OSRRefH22_9x_0)</f>
        <v>100</v>
      </c>
      <c r="I107" s="1"/>
      <c r="J107" s="5">
        <f t="shared" ref="J107:J109" si="47">IF(H$12=0,0,H107/H$12)</f>
        <v>2.2474940441407831E-3</v>
      </c>
      <c r="K107" s="1"/>
      <c r="L107" s="1">
        <f t="shared" ref="L107:L109" si="48">+D107-H107</f>
        <v>50.81</v>
      </c>
      <c r="M107" s="1"/>
      <c r="N107" s="5">
        <f t="shared" ref="N107:N109" si="49">IF(H107=0,0,L107/H107)</f>
        <v>0.5081</v>
      </c>
      <c r="O107" s="13"/>
      <c r="P107" s="1">
        <f>SUM(OSRRefP22_9x_0)</f>
        <v>1121.03</v>
      </c>
      <c r="Q107" s="1"/>
      <c r="R107" s="5">
        <f t="shared" ref="R107:R109" si="50">IF(P$12=0,0,P107/P$12)</f>
        <v>4.5363699086073388E-3</v>
      </c>
      <c r="S107" s="1"/>
      <c r="T107" s="1">
        <f>SUM(OSRRefT22_9x_0)</f>
        <v>500</v>
      </c>
      <c r="U107" s="1"/>
      <c r="V107" s="5">
        <f t="shared" ref="V107:V109" si="51">IF(T$12=0,0,T107/T$12)</f>
        <v>1.9402104740322229E-3</v>
      </c>
      <c r="W107" s="1"/>
      <c r="X107" s="1">
        <f t="shared" ref="X107:X109" si="52">+P107-T107</f>
        <v>621.03</v>
      </c>
      <c r="Y107" s="1"/>
      <c r="Z107" s="5">
        <f t="shared" ref="Z107:Z109" si="53">IF(T107=0,0,X107/T107)</f>
        <v>1.2420599999999999</v>
      </c>
    </row>
    <row r="108" spans="1:26" s="24" customFormat="1" hidden="1" outlineLevel="2" x14ac:dyDescent="0.25">
      <c r="A108" s="25"/>
      <c r="B108" s="11" t="str">
        <f>CONCATENATE("          ", "6282", " - ", "JANITORIAL/EXTERMINATOR EXPENS")</f>
        <v xml:space="preserve">          6282 - JANITORIAL/EXTERMINATOR EXPENS</v>
      </c>
      <c r="C108" s="11"/>
      <c r="D108" s="6">
        <v>44</v>
      </c>
      <c r="E108" s="2"/>
      <c r="F108" s="7">
        <f t="shared" si="46"/>
        <v>9.563577029939865E-4</v>
      </c>
      <c r="G108" s="2"/>
      <c r="H108" s="6">
        <v>50</v>
      </c>
      <c r="I108" s="2"/>
      <c r="J108" s="7">
        <f t="shared" si="47"/>
        <v>1.1237470220703915E-3</v>
      </c>
      <c r="K108" s="2"/>
      <c r="L108" s="6">
        <f t="shared" si="48"/>
        <v>-6</v>
      </c>
      <c r="M108" s="2"/>
      <c r="N108" s="7">
        <f t="shared" si="49"/>
        <v>-0.12</v>
      </c>
      <c r="O108" s="11"/>
      <c r="P108" s="6">
        <v>220</v>
      </c>
      <c r="Q108" s="2"/>
      <c r="R108" s="7">
        <f t="shared" si="50"/>
        <v>8.9025394493779351E-4</v>
      </c>
      <c r="S108" s="2"/>
      <c r="T108" s="6">
        <v>250</v>
      </c>
      <c r="U108" s="2"/>
      <c r="V108" s="7">
        <f t="shared" si="51"/>
        <v>9.7010523701611146E-4</v>
      </c>
      <c r="W108" s="2"/>
      <c r="X108" s="6">
        <f t="shared" si="52"/>
        <v>-30</v>
      </c>
      <c r="Y108" s="2"/>
      <c r="Z108" s="7">
        <f t="shared" si="53"/>
        <v>-0.12</v>
      </c>
    </row>
    <row r="109" spans="1:26" s="24" customFormat="1" hidden="1" outlineLevel="2" x14ac:dyDescent="0.25">
      <c r="A109" s="25"/>
      <c r="B109" s="11" t="str">
        <f>CONCATENATE("          ", "6285", " - ", "JANITORIAL SERVICES")</f>
        <v xml:space="preserve">          6285 - JANITORIAL SERVICES</v>
      </c>
      <c r="C109" s="11"/>
      <c r="D109" s="6">
        <v>106.81</v>
      </c>
      <c r="E109" s="2"/>
      <c r="F109" s="7">
        <f t="shared" si="46"/>
        <v>2.3215583240179024E-3</v>
      </c>
      <c r="G109" s="2"/>
      <c r="H109" s="6">
        <v>50</v>
      </c>
      <c r="I109" s="2"/>
      <c r="J109" s="7">
        <f t="shared" si="47"/>
        <v>1.1237470220703915E-3</v>
      </c>
      <c r="K109" s="2"/>
      <c r="L109" s="6">
        <f t="shared" si="48"/>
        <v>56.81</v>
      </c>
      <c r="M109" s="2"/>
      <c r="N109" s="7">
        <f t="shared" si="49"/>
        <v>1.1362000000000001</v>
      </c>
      <c r="O109" s="11"/>
      <c r="P109" s="6">
        <v>901.03</v>
      </c>
      <c r="Q109" s="2"/>
      <c r="R109" s="7">
        <f t="shared" si="50"/>
        <v>3.6461159636695458E-3</v>
      </c>
      <c r="S109" s="2"/>
      <c r="T109" s="6">
        <v>250</v>
      </c>
      <c r="U109" s="2"/>
      <c r="V109" s="7">
        <f t="shared" si="51"/>
        <v>9.7010523701611146E-4</v>
      </c>
      <c r="W109" s="2"/>
      <c r="X109" s="6">
        <f t="shared" si="52"/>
        <v>651.03</v>
      </c>
      <c r="Y109" s="2"/>
      <c r="Z109" s="7">
        <f t="shared" si="53"/>
        <v>2.60412</v>
      </c>
    </row>
    <row r="110" spans="1:26" s="26" customFormat="1" outlineLevel="1" collapsed="1" x14ac:dyDescent="0.25">
      <c r="A110" s="27"/>
      <c r="B110" s="13" t="str">
        <f>CONCATENATE("     ","Supplies                                          ")</f>
        <v xml:space="preserve">     Supplies                                          </v>
      </c>
      <c r="C110" s="13"/>
      <c r="D110" s="1">
        <f>SUM(OSRRefD22_10x_0)</f>
        <v>405.98</v>
      </c>
      <c r="E110" s="1"/>
      <c r="F110" s="5">
        <f t="shared" ref="F110:F112" si="54">IF(D$12=0,0,D110/D$12)</f>
        <v>8.8241386423067881E-3</v>
      </c>
      <c r="G110" s="1"/>
      <c r="H110" s="1">
        <f>SUM(OSRRefH22_10x_0)</f>
        <v>150</v>
      </c>
      <c r="I110" s="1"/>
      <c r="J110" s="5">
        <f t="shared" ref="J110:J112" si="55">IF(H$12=0,0,H110/H$12)</f>
        <v>3.3712410662111746E-3</v>
      </c>
      <c r="K110" s="1"/>
      <c r="L110" s="1">
        <f t="shared" ref="L110:L112" si="56">+D110-H110</f>
        <v>255.98000000000002</v>
      </c>
      <c r="M110" s="1"/>
      <c r="N110" s="5">
        <f t="shared" ref="N110:N112" si="57">IF(H110=0,0,L110/H110)</f>
        <v>1.7065333333333335</v>
      </c>
      <c r="O110" s="13"/>
      <c r="P110" s="1">
        <f>SUM(OSRRefP22_10x_0)</f>
        <v>978.17</v>
      </c>
      <c r="Q110" s="1"/>
      <c r="R110" s="5">
        <f t="shared" ref="R110:R112" si="58">IF(P$12=0,0,P110/P$12)</f>
        <v>3.9582713696354613E-3</v>
      </c>
      <c r="S110" s="1"/>
      <c r="T110" s="1">
        <f>SUM(OSRRefT22_10x_0)</f>
        <v>750</v>
      </c>
      <c r="U110" s="1"/>
      <c r="V110" s="5">
        <f t="shared" ref="V110:V112" si="59">IF(T$12=0,0,T110/T$12)</f>
        <v>2.9103157110483345E-3</v>
      </c>
      <c r="W110" s="1"/>
      <c r="X110" s="1">
        <f t="shared" ref="X110:X112" si="60">+P110-T110</f>
        <v>228.16999999999996</v>
      </c>
      <c r="Y110" s="1"/>
      <c r="Z110" s="5">
        <f t="shared" ref="Z110:Z112" si="61">IF(T110=0,0,X110/T110)</f>
        <v>0.30422666666666659</v>
      </c>
    </row>
    <row r="111" spans="1:26" s="24" customFormat="1" hidden="1" outlineLevel="2" x14ac:dyDescent="0.25">
      <c r="A111" s="25"/>
      <c r="B111" s="11" t="str">
        <f>CONCATENATE("          ", "6241", " - ", "OFFICE EXPENSE")</f>
        <v xml:space="preserve">          6241 - OFFICE EXPENSE</v>
      </c>
      <c r="C111" s="11"/>
      <c r="D111" s="6">
        <v>405.98</v>
      </c>
      <c r="E111" s="2"/>
      <c r="F111" s="7">
        <f t="shared" si="54"/>
        <v>8.8241386423067881E-3</v>
      </c>
      <c r="G111" s="2"/>
      <c r="H111" s="6">
        <v>150</v>
      </c>
      <c r="I111" s="2"/>
      <c r="J111" s="7">
        <f t="shared" si="55"/>
        <v>3.3712410662111746E-3</v>
      </c>
      <c r="K111" s="2"/>
      <c r="L111" s="6">
        <f t="shared" si="56"/>
        <v>255.98000000000002</v>
      </c>
      <c r="M111" s="2"/>
      <c r="N111" s="7">
        <f t="shared" si="57"/>
        <v>1.7065333333333335</v>
      </c>
      <c r="O111" s="11"/>
      <c r="P111" s="6">
        <v>978.27</v>
      </c>
      <c r="Q111" s="2"/>
      <c r="R111" s="7">
        <f t="shared" si="58"/>
        <v>3.9586760305195239E-3</v>
      </c>
      <c r="S111" s="2"/>
      <c r="T111" s="6">
        <v>750</v>
      </c>
      <c r="U111" s="2"/>
      <c r="V111" s="7">
        <f t="shared" si="59"/>
        <v>2.9103157110483345E-3</v>
      </c>
      <c r="W111" s="2"/>
      <c r="X111" s="6">
        <f t="shared" si="60"/>
        <v>228.26999999999998</v>
      </c>
      <c r="Y111" s="2"/>
      <c r="Z111" s="7">
        <f t="shared" si="61"/>
        <v>0.30435999999999996</v>
      </c>
    </row>
    <row r="112" spans="1:26" s="24" customFormat="1" hidden="1" outlineLevel="2" x14ac:dyDescent="0.25">
      <c r="A112" s="25"/>
      <c r="B112" s="11" t="str">
        <f>CONCATENATE("          ", "6247", " - ", "STORE SUPPLIES")</f>
        <v xml:space="preserve">          6247 - STORE SUPPLIES</v>
      </c>
      <c r="C112" s="11"/>
      <c r="D112" s="6"/>
      <c r="E112" s="2"/>
      <c r="F112" s="7">
        <f t="shared" si="54"/>
        <v>0</v>
      </c>
      <c r="G112" s="2"/>
      <c r="H112" s="6"/>
      <c r="I112" s="2"/>
      <c r="J112" s="7">
        <f t="shared" si="55"/>
        <v>0</v>
      </c>
      <c r="K112" s="2"/>
      <c r="L112" s="6">
        <f t="shared" si="56"/>
        <v>0</v>
      </c>
      <c r="M112" s="2"/>
      <c r="N112" s="7">
        <f t="shared" si="57"/>
        <v>0</v>
      </c>
      <c r="O112" s="11"/>
      <c r="P112" s="6">
        <v>-0.1</v>
      </c>
      <c r="Q112" s="2"/>
      <c r="R112" s="7">
        <f t="shared" si="58"/>
        <v>-4.0466088406263343E-7</v>
      </c>
      <c r="S112" s="2"/>
      <c r="T112" s="6"/>
      <c r="U112" s="2"/>
      <c r="V112" s="7">
        <f t="shared" si="59"/>
        <v>0</v>
      </c>
      <c r="W112" s="2"/>
      <c r="X112" s="6">
        <f t="shared" si="60"/>
        <v>-0.1</v>
      </c>
      <c r="Y112" s="2"/>
      <c r="Z112" s="7">
        <f t="shared" si="61"/>
        <v>0</v>
      </c>
    </row>
    <row r="113" spans="1:26" s="26" customFormat="1" outlineLevel="1" collapsed="1" x14ac:dyDescent="0.25">
      <c r="A113" s="27"/>
      <c r="B113" s="13" t="str">
        <f>CONCATENATE("     ","Telephone/Data Lines                              ")</f>
        <v xml:space="preserve">     Telephone/Data Lines                              </v>
      </c>
      <c r="C113" s="13"/>
      <c r="D113" s="1">
        <f>SUM(OSRRefD22_11x_0)</f>
        <v>98.74</v>
      </c>
      <c r="E113" s="1"/>
      <c r="F113" s="5">
        <f t="shared" ref="F113:F116" si="62">IF(D$12=0,0,D113/D$12)</f>
        <v>2.1461536271278688E-3</v>
      </c>
      <c r="G113" s="1"/>
      <c r="H113" s="1">
        <f>SUM(OSRRefH22_11x_0)</f>
        <v>75</v>
      </c>
      <c r="I113" s="1"/>
      <c r="J113" s="5">
        <f t="shared" ref="J113:J116" si="63">IF(H$12=0,0,H113/H$12)</f>
        <v>1.6856205331055873E-3</v>
      </c>
      <c r="K113" s="1"/>
      <c r="L113" s="1">
        <f t="shared" ref="L113:L116" si="64">+D113-H113</f>
        <v>23.739999999999995</v>
      </c>
      <c r="M113" s="1"/>
      <c r="N113" s="5">
        <f t="shared" ref="N113:N116" si="65">IF(H113=0,0,L113/H113)</f>
        <v>0.31653333333333328</v>
      </c>
      <c r="O113" s="13"/>
      <c r="P113" s="1">
        <f>SUM(OSRRefP22_11x_0)</f>
        <v>488.73</v>
      </c>
      <c r="Q113" s="1"/>
      <c r="R113" s="5">
        <f t="shared" ref="R113:R116" si="66">IF(P$12=0,0,P113/P$12)</f>
        <v>1.9776991386793084E-3</v>
      </c>
      <c r="S113" s="1"/>
      <c r="T113" s="1">
        <f>SUM(OSRRefT22_11x_0)</f>
        <v>375</v>
      </c>
      <c r="U113" s="1"/>
      <c r="V113" s="5">
        <f t="shared" ref="V113:V116" si="67">IF(T$12=0,0,T113/T$12)</f>
        <v>1.4551578555241672E-3</v>
      </c>
      <c r="W113" s="1"/>
      <c r="X113" s="1">
        <f t="shared" ref="X113:X116" si="68">+P113-T113</f>
        <v>113.73000000000002</v>
      </c>
      <c r="Y113" s="1"/>
      <c r="Z113" s="5">
        <f t="shared" ref="Z113:Z116" si="69">IF(T113=0,0,X113/T113)</f>
        <v>0.30328000000000005</v>
      </c>
    </row>
    <row r="114" spans="1:26" s="24" customFormat="1" hidden="1" outlineLevel="2" x14ac:dyDescent="0.25">
      <c r="A114" s="25"/>
      <c r="B114" s="11" t="str">
        <f>CONCATENATE("          ", "6309", " - ", "TELEPHONE")</f>
        <v xml:space="preserve">          6309 - TELEPHONE</v>
      </c>
      <c r="C114" s="11"/>
      <c r="D114" s="6">
        <v>98.74</v>
      </c>
      <c r="E114" s="2"/>
      <c r="F114" s="7">
        <f t="shared" si="62"/>
        <v>2.1461536271278688E-3</v>
      </c>
      <c r="G114" s="2"/>
      <c r="H114" s="6">
        <v>75</v>
      </c>
      <c r="I114" s="2"/>
      <c r="J114" s="7">
        <f t="shared" si="63"/>
        <v>1.6856205331055873E-3</v>
      </c>
      <c r="K114" s="2"/>
      <c r="L114" s="6">
        <f t="shared" si="64"/>
        <v>23.739999999999995</v>
      </c>
      <c r="M114" s="2"/>
      <c r="N114" s="7">
        <f t="shared" si="65"/>
        <v>0.31653333333333328</v>
      </c>
      <c r="O114" s="11"/>
      <c r="P114" s="6">
        <v>488.73</v>
      </c>
      <c r="Q114" s="2"/>
      <c r="R114" s="7">
        <f t="shared" si="66"/>
        <v>1.9776991386793084E-3</v>
      </c>
      <c r="S114" s="2"/>
      <c r="T114" s="6">
        <v>375</v>
      </c>
      <c r="U114" s="2"/>
      <c r="V114" s="7">
        <f t="shared" si="67"/>
        <v>1.4551578555241672E-3</v>
      </c>
      <c r="W114" s="2"/>
      <c r="X114" s="6">
        <f t="shared" si="68"/>
        <v>113.73000000000002</v>
      </c>
      <c r="Y114" s="2"/>
      <c r="Z114" s="7">
        <f t="shared" si="69"/>
        <v>0.30328000000000005</v>
      </c>
    </row>
    <row r="115" spans="1:26" s="26" customFormat="1" outlineLevel="1" collapsed="1" x14ac:dyDescent="0.25">
      <c r="A115" s="27"/>
      <c r="B115" s="13" t="str">
        <f>CONCATENATE("     ","Training                                          ")</f>
        <v xml:space="preserve">     Training                                          </v>
      </c>
      <c r="C115" s="13"/>
      <c r="D115" s="1">
        <f>SUM(OSRRefD22_12x_0)</f>
        <v>0</v>
      </c>
      <c r="E115" s="1"/>
      <c r="F115" s="5">
        <f t="shared" si="62"/>
        <v>0</v>
      </c>
      <c r="G115" s="1"/>
      <c r="H115" s="1">
        <f>SUM(OSRRefH22_12x_0)</f>
        <v>175</v>
      </c>
      <c r="I115" s="1"/>
      <c r="J115" s="5">
        <f t="shared" si="63"/>
        <v>3.9331145772463702E-3</v>
      </c>
      <c r="K115" s="1"/>
      <c r="L115" s="1">
        <f t="shared" si="64"/>
        <v>-175</v>
      </c>
      <c r="M115" s="1"/>
      <c r="N115" s="5">
        <f t="shared" si="65"/>
        <v>-1</v>
      </c>
      <c r="O115" s="13"/>
      <c r="P115" s="1">
        <f>SUM(OSRRefP22_12x_0)</f>
        <v>80</v>
      </c>
      <c r="Q115" s="1"/>
      <c r="R115" s="5">
        <f t="shared" si="66"/>
        <v>3.2372870725010675E-4</v>
      </c>
      <c r="S115" s="1"/>
      <c r="T115" s="1">
        <f>SUM(OSRRefT22_12x_0)</f>
        <v>875</v>
      </c>
      <c r="U115" s="1"/>
      <c r="V115" s="5">
        <f t="shared" si="67"/>
        <v>3.3953683295563902E-3</v>
      </c>
      <c r="W115" s="1"/>
      <c r="X115" s="1">
        <f t="shared" si="68"/>
        <v>-795</v>
      </c>
      <c r="Y115" s="1"/>
      <c r="Z115" s="5">
        <f t="shared" si="69"/>
        <v>-0.90857142857142859</v>
      </c>
    </row>
    <row r="116" spans="1:26" s="24" customFormat="1" hidden="1" outlineLevel="2" x14ac:dyDescent="0.25">
      <c r="A116" s="25"/>
      <c r="B116" s="11" t="str">
        <f>CONCATENATE("          ", "6376", " - ", "TRAINING")</f>
        <v xml:space="preserve">          6376 - TRAINING</v>
      </c>
      <c r="C116" s="11"/>
      <c r="D116" s="6"/>
      <c r="E116" s="2"/>
      <c r="F116" s="7">
        <f t="shared" si="62"/>
        <v>0</v>
      </c>
      <c r="G116" s="2"/>
      <c r="H116" s="6">
        <v>175</v>
      </c>
      <c r="I116" s="2"/>
      <c r="J116" s="7">
        <f t="shared" si="63"/>
        <v>3.9331145772463702E-3</v>
      </c>
      <c r="K116" s="2"/>
      <c r="L116" s="6">
        <f t="shared" si="64"/>
        <v>-175</v>
      </c>
      <c r="M116" s="2"/>
      <c r="N116" s="7">
        <f t="shared" si="65"/>
        <v>-1</v>
      </c>
      <c r="O116" s="11"/>
      <c r="P116" s="6">
        <v>80</v>
      </c>
      <c r="Q116" s="2"/>
      <c r="R116" s="7">
        <f t="shared" si="66"/>
        <v>3.2372870725010675E-4</v>
      </c>
      <c r="S116" s="2"/>
      <c r="T116" s="6">
        <v>875</v>
      </c>
      <c r="U116" s="2"/>
      <c r="V116" s="7">
        <f t="shared" si="67"/>
        <v>3.3953683295563902E-3</v>
      </c>
      <c r="W116" s="2"/>
      <c r="X116" s="6">
        <f t="shared" si="68"/>
        <v>-795</v>
      </c>
      <c r="Y116" s="2"/>
      <c r="Z116" s="7">
        <f t="shared" si="69"/>
        <v>-0.90857142857142859</v>
      </c>
    </row>
    <row r="117" spans="1:26" s="59" customFormat="1" x14ac:dyDescent="0.25">
      <c r="A117" s="36"/>
      <c r="B117" s="36"/>
      <c r="C117" s="36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6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x14ac:dyDescent="0.25">
      <c r="A118" s="10"/>
      <c r="B118" s="29" t="s">
        <v>0</v>
      </c>
      <c r="C118" s="10"/>
      <c r="D118" s="4">
        <f>SUM(0)</f>
        <v>0</v>
      </c>
      <c r="E118" s="4"/>
      <c r="F118" s="12">
        <f>IF(D$12=0,0,D118/D$12)</f>
        <v>0</v>
      </c>
      <c r="G118" s="4"/>
      <c r="H118" s="4">
        <f>SUM(0)</f>
        <v>0</v>
      </c>
      <c r="I118" s="4"/>
      <c r="J118" s="12">
        <f>IF(H$12=0,0,H118/H$12)</f>
        <v>0</v>
      </c>
      <c r="K118" s="4"/>
      <c r="L118" s="4">
        <f>+D118-H118</f>
        <v>0</v>
      </c>
      <c r="M118" s="4"/>
      <c r="N118" s="12">
        <f>IF(H118=0,0,L118/H118)</f>
        <v>0</v>
      </c>
      <c r="O118" s="10"/>
      <c r="P118" s="4">
        <f>SUM(0)</f>
        <v>0</v>
      </c>
      <c r="Q118" s="4"/>
      <c r="R118" s="12">
        <f>IF(P$12=0,0,P118/P$12)</f>
        <v>0</v>
      </c>
      <c r="S118" s="4"/>
      <c r="T118" s="4">
        <f>SUM(0)</f>
        <v>0</v>
      </c>
      <c r="U118" s="4"/>
      <c r="V118" s="12">
        <f>IF(T$12=0,0,T118/T$12)</f>
        <v>0</v>
      </c>
      <c r="W118" s="4"/>
      <c r="X118" s="4">
        <f>+P118-T118</f>
        <v>0</v>
      </c>
      <c r="Y118" s="4"/>
      <c r="Z118" s="12">
        <f>IF(T118=0,0,X118/T118)</f>
        <v>0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10"/>
      <c r="B120" s="28" t="s">
        <v>3</v>
      </c>
      <c r="C120" s="28"/>
      <c r="D120" s="20">
        <f>+D67-D69+D118</f>
        <v>7766.5599999999995</v>
      </c>
      <c r="E120" s="14"/>
      <c r="F120" s="22">
        <f>IF(D$12=0,0,D120/D$12)</f>
        <v>0.16880930640374944</v>
      </c>
      <c r="G120" s="14"/>
      <c r="H120" s="20">
        <f>+H67-H69+H118</f>
        <v>13228.744353</v>
      </c>
      <c r="I120" s="14"/>
      <c r="J120" s="22">
        <f>IF(H$12=0,0,H120/H$12)</f>
        <v>0.29731524144828514</v>
      </c>
      <c r="K120" s="16"/>
      <c r="L120" s="20">
        <f>+D120-H120</f>
        <v>-5462.1843530000006</v>
      </c>
      <c r="M120" s="16"/>
      <c r="N120" s="22">
        <f>IF(H120=0,0,L120/H120)</f>
        <v>-0.41290270695731546</v>
      </c>
      <c r="O120" s="29"/>
      <c r="P120" s="20">
        <f>+P67-P69+P118</f>
        <v>56727.97999999996</v>
      </c>
      <c r="Q120" s="14"/>
      <c r="R120" s="22">
        <f>IF(P$12=0,0,P120/P$12)</f>
        <v>0.22955594537887369</v>
      </c>
      <c r="S120" s="14"/>
      <c r="T120" s="20">
        <f>+T67-T69+T118</f>
        <v>86273.945194</v>
      </c>
      <c r="U120" s="14"/>
      <c r="V120" s="22">
        <f>IF(T$12=0,0,T120/T$12)</f>
        <v>0.33477922420296152</v>
      </c>
      <c r="W120" s="16"/>
      <c r="X120" s="20">
        <f>+P120-T120</f>
        <v>-29545.96519400004</v>
      </c>
      <c r="Y120" s="16"/>
      <c r="Z120" s="22">
        <f>IF(T120=0,0,X120/T120)</f>
        <v>-0.34246683778702219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52"/>
      <c r="B122" s="10" t="s">
        <v>14</v>
      </c>
      <c r="C122" s="10"/>
      <c r="D122" s="4">
        <v>5923.88</v>
      </c>
      <c r="E122" s="4"/>
      <c r="F122" s="12">
        <f>IF(D$12=0,0,D122/D$12)</f>
        <v>0.12875791521845492</v>
      </c>
      <c r="G122" s="4"/>
      <c r="H122" s="4">
        <v>6984</v>
      </c>
      <c r="I122" s="4"/>
      <c r="J122" s="12">
        <f>IF(H$12=0,0,H122/H$12)</f>
        <v>0.1569649840427923</v>
      </c>
      <c r="K122" s="4"/>
      <c r="L122" s="4">
        <f>+D122-H122</f>
        <v>-1060.1199999999999</v>
      </c>
      <c r="M122" s="4"/>
      <c r="N122" s="12">
        <f>IF(H122=0,0,L122/H122)</f>
        <v>-0.15179266895761739</v>
      </c>
      <c r="O122" s="10"/>
      <c r="P122" s="4">
        <v>26168.390000000003</v>
      </c>
      <c r="Q122" s="4"/>
      <c r="R122" s="12">
        <f>IF(P$12=0,0,P122/P$12)</f>
        <v>0.10589323831895776</v>
      </c>
      <c r="S122" s="4"/>
      <c r="T122" s="4">
        <v>32659</v>
      </c>
      <c r="U122" s="4"/>
      <c r="V122" s="12">
        <f>IF(T$12=0,0,T122/T$12)</f>
        <v>0.12673066774283676</v>
      </c>
      <c r="W122" s="4"/>
      <c r="X122" s="4">
        <f>+P122-T122</f>
        <v>-6490.6099999999969</v>
      </c>
      <c r="Y122" s="4"/>
      <c r="Z122" s="12">
        <f>IF(T122=0,0,X122/T122)</f>
        <v>-0.19873878563336284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8" t="s">
        <v>4</v>
      </c>
      <c r="C124" s="28"/>
      <c r="D124" s="30">
        <f>+D120-D122</f>
        <v>1842.6799999999994</v>
      </c>
      <c r="E124" s="14"/>
      <c r="F124" s="32">
        <f>IF(D$12=0,0,D124/D$12)</f>
        <v>4.0051391185294508E-2</v>
      </c>
      <c r="G124" s="14"/>
      <c r="H124" s="30">
        <f>+H120-H122</f>
        <v>6244.744353</v>
      </c>
      <c r="I124" s="14"/>
      <c r="J124" s="32">
        <f>IF(H$12=0,0,H124/H$12)</f>
        <v>0.14035025740549287</v>
      </c>
      <c r="K124" s="16"/>
      <c r="L124" s="30">
        <f>D124-H124</f>
        <v>-4402.0643530000007</v>
      </c>
      <c r="M124" s="16"/>
      <c r="N124" s="32">
        <f>IF(H124=0,0,L124/H124)</f>
        <v>-0.70492306876985789</v>
      </c>
      <c r="O124" s="29"/>
      <c r="P124" s="30">
        <f>+P120-P122</f>
        <v>30559.589999999956</v>
      </c>
      <c r="Q124" s="14"/>
      <c r="R124" s="32">
        <f>IF(P$12=0,0,P124/P$12)</f>
        <v>0.12366270705991594</v>
      </c>
      <c r="S124" s="14"/>
      <c r="T124" s="30">
        <f>+T120-T122</f>
        <v>53614.945194</v>
      </c>
      <c r="U124" s="14"/>
      <c r="V124" s="32">
        <f>IF(T$12=0,0,T124/T$12)</f>
        <v>0.20804855646012479</v>
      </c>
      <c r="W124" s="16"/>
      <c r="X124" s="30">
        <f>P124-T124</f>
        <v>-23055.355194000043</v>
      </c>
      <c r="Y124" s="16"/>
      <c r="Z124" s="32">
        <f>IF(T124=0,0,X124/T124)</f>
        <v>-0.43001732279267812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8" t="s">
        <v>5</v>
      </c>
      <c r="C127" s="28"/>
      <c r="D127" s="31">
        <f>SUM(D124:D126)</f>
        <v>1842.6799999999994</v>
      </c>
      <c r="E127" s="14"/>
      <c r="F127" s="35">
        <f>IF(D$12=0,0,D127/D$12)</f>
        <v>4.0051391185294508E-2</v>
      </c>
      <c r="G127" s="14"/>
      <c r="H127" s="31">
        <f>SUM(H124:H126)</f>
        <v>6244.744353</v>
      </c>
      <c r="I127" s="14"/>
      <c r="J127" s="35">
        <f>IF(H$12=0,0,H127/H$12)</f>
        <v>0.14035025740549287</v>
      </c>
      <c r="K127" s="16"/>
      <c r="L127" s="31">
        <f>+D127-H127</f>
        <v>-4402.0643530000007</v>
      </c>
      <c r="M127" s="16"/>
      <c r="N127" s="35">
        <f>IF(H127=0,0,L127/H127)</f>
        <v>-0.70492306876985789</v>
      </c>
      <c r="O127" s="29"/>
      <c r="P127" s="31">
        <f>SUM(P124:P126)</f>
        <v>30559.589999999956</v>
      </c>
      <c r="Q127" s="14"/>
      <c r="R127" s="35">
        <f>IF(P$12=0,0,P127/P$12)</f>
        <v>0.12366270705991594</v>
      </c>
      <c r="S127" s="14"/>
      <c r="T127" s="31">
        <f>SUM(T124:T126)</f>
        <v>53614.945194</v>
      </c>
      <c r="U127" s="14"/>
      <c r="V127" s="35">
        <f>IF(T$12=0,0,T127/T$12)</f>
        <v>0.20804855646012479</v>
      </c>
      <c r="W127" s="16"/>
      <c r="X127" s="31">
        <f>+P127-T127</f>
        <v>-23055.355194000043</v>
      </c>
      <c r="Y127" s="16"/>
      <c r="Z127" s="35">
        <f>IF(T127=0,0,X127/T127)</f>
        <v>-0.43001732279267812</v>
      </c>
    </row>
    <row r="128" spans="1:26" ht="15.75" thickTop="1" x14ac:dyDescent="0.25">
      <c r="A128" s="9"/>
      <c r="C128" s="9"/>
      <c r="D128" s="17"/>
      <c r="E128" s="17"/>
      <c r="G128" s="17"/>
      <c r="H128" s="17"/>
      <c r="I128" s="17"/>
      <c r="J128" s="43"/>
      <c r="K128" s="17"/>
      <c r="L128" s="17"/>
      <c r="M128" s="17"/>
      <c r="P128" s="17"/>
      <c r="Q128" s="17"/>
      <c r="R128" s="43"/>
      <c r="S128" s="17"/>
      <c r="T128" s="17"/>
      <c r="U128" s="17"/>
      <c r="V128" s="43"/>
      <c r="W128" s="17"/>
      <c r="X128" s="17"/>
    </row>
    <row r="129" spans="1:24" x14ac:dyDescent="0.25">
      <c r="A129" s="9"/>
      <c r="B129" s="56">
        <v>43815.483657291668</v>
      </c>
      <c r="D129" s="17"/>
      <c r="E129" s="17"/>
      <c r="G129" s="17"/>
      <c r="H129" s="17"/>
      <c r="I129" s="17"/>
      <c r="J129" s="43"/>
      <c r="K129" s="17"/>
      <c r="L129" s="17"/>
      <c r="M129" s="17"/>
      <c r="P129" s="17"/>
      <c r="Q129" s="17"/>
      <c r="R129" s="43"/>
      <c r="S129" s="17"/>
      <c r="T129" s="17"/>
      <c r="U129" s="17"/>
      <c r="V129" s="43"/>
      <c r="W129" s="17"/>
      <c r="X129" s="17"/>
    </row>
    <row r="130" spans="1:24" x14ac:dyDescent="0.25">
      <c r="A130" s="9"/>
      <c r="B130" s="62" t="s">
        <v>314</v>
      </c>
      <c r="D130" s="17"/>
      <c r="E130" s="17"/>
      <c r="G130" s="17"/>
      <c r="H130" s="17"/>
      <c r="I130" s="17"/>
      <c r="J130" s="43"/>
      <c r="K130" s="17"/>
      <c r="L130" s="17"/>
      <c r="M130" s="17"/>
      <c r="P130" s="17"/>
      <c r="Q130" s="17"/>
      <c r="R130" s="43"/>
      <c r="S130" s="17"/>
      <c r="T130" s="17"/>
      <c r="U130" s="17"/>
      <c r="V130" s="43"/>
      <c r="W130" s="17"/>
      <c r="X130" s="17"/>
    </row>
    <row r="131" spans="1:24" x14ac:dyDescent="0.25">
      <c r="A131" s="9"/>
      <c r="B131" s="58"/>
      <c r="D131" s="17"/>
      <c r="E131" s="17"/>
      <c r="G131" s="17"/>
      <c r="H131" s="17"/>
      <c r="I131" s="17"/>
      <c r="J131" s="43"/>
      <c r="K131" s="17"/>
      <c r="L131" s="17"/>
      <c r="M131" s="17"/>
      <c r="P131" s="17"/>
      <c r="Q131" s="17"/>
      <c r="R131" s="43"/>
      <c r="S131" s="17"/>
      <c r="T131" s="17"/>
      <c r="U131" s="17"/>
      <c r="V131" s="43"/>
      <c r="W131" s="17"/>
      <c r="X131" s="17"/>
    </row>
    <row r="132" spans="1:24" x14ac:dyDescent="0.25">
      <c r="D132" s="17"/>
      <c r="E132" s="17"/>
      <c r="G132" s="17"/>
      <c r="H132" s="17"/>
      <c r="I132" s="17"/>
      <c r="J132" s="43"/>
      <c r="K132" s="17"/>
      <c r="L132" s="17"/>
      <c r="M132" s="17"/>
      <c r="P132" s="17"/>
      <c r="Q132" s="17"/>
      <c r="R132" s="43"/>
      <c r="S132" s="17"/>
      <c r="T132" s="17"/>
      <c r="U132" s="17"/>
      <c r="V132" s="43"/>
      <c r="W132" s="17"/>
      <c r="X132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","314", " - ", "Supplies")</f>
        <v>Department 314 - Supplies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19240.009999999998</v>
      </c>
      <c r="E12" s="4"/>
      <c r="F12" s="12"/>
      <c r="G12" s="4"/>
      <c r="H12" s="4">
        <f>SUM(OSRRefH13x_0)</f>
        <v>24555</v>
      </c>
      <c r="I12" s="4"/>
      <c r="J12" s="12"/>
      <c r="K12" s="4"/>
      <c r="L12" s="4">
        <f t="shared" ref="L12:L34" si="0">+D12-H12</f>
        <v>-5314.9900000000016</v>
      </c>
      <c r="M12" s="4"/>
      <c r="N12" s="12">
        <f t="shared" ref="N12:N34" si="1">IF(H12=0,0,L12/H12)</f>
        <v>-0.2164524536754226</v>
      </c>
      <c r="O12" s="10"/>
      <c r="P12" s="4">
        <f>SUM(OSRRefP13x_0)</f>
        <v>224660.36000000002</v>
      </c>
      <c r="Q12" s="4"/>
      <c r="R12" s="12"/>
      <c r="S12" s="4"/>
      <c r="T12" s="4">
        <f>SUM(OSRRefT13x_0)</f>
        <v>254153</v>
      </c>
      <c r="U12" s="4"/>
      <c r="V12" s="12"/>
      <c r="W12" s="4"/>
      <c r="X12" s="4">
        <f t="shared" ref="X12:X34" si="2">+P12-T12</f>
        <v>-29492.639999999985</v>
      </c>
      <c r="Y12" s="4"/>
      <c r="Z12" s="12">
        <f t="shared" ref="Z12:Z34" si="3">IF(T12=0,0,X12/T12)</f>
        <v>-0.11604285607488397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19"/>
      <c r="G13" s="2"/>
      <c r="H13" s="2">
        <v>22590</v>
      </c>
      <c r="I13" s="2"/>
      <c r="J13" s="19"/>
      <c r="K13" s="2"/>
      <c r="L13" s="2">
        <f t="shared" si="0"/>
        <v>-22590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233821</v>
      </c>
      <c r="U13" s="2"/>
      <c r="V13" s="19"/>
      <c r="W13" s="2"/>
      <c r="X13" s="2">
        <f t="shared" si="2"/>
        <v>-233821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--209.2</f>
        <v>209.2</v>
      </c>
      <c r="Q14" s="2"/>
      <c r="R14" s="19"/>
      <c r="S14" s="2"/>
      <c r="T14" s="2"/>
      <c r="U14" s="2"/>
      <c r="V14" s="19"/>
      <c r="W14" s="2"/>
      <c r="X14" s="2">
        <f t="shared" si="2"/>
        <v>209.2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>--3.98</f>
        <v>3.98</v>
      </c>
      <c r="E15" s="2"/>
      <c r="F15" s="19"/>
      <c r="G15" s="2"/>
      <c r="H15" s="2"/>
      <c r="I15" s="2"/>
      <c r="J15" s="19"/>
      <c r="K15" s="2"/>
      <c r="L15" s="2">
        <f t="shared" si="0"/>
        <v>3.98</v>
      </c>
      <c r="M15" s="2"/>
      <c r="N15" s="19">
        <f t="shared" si="1"/>
        <v>0</v>
      </c>
      <c r="O15" s="11"/>
      <c r="P15" s="2">
        <f>--33.88</f>
        <v>33.880000000000003</v>
      </c>
      <c r="Q15" s="2"/>
      <c r="R15" s="19"/>
      <c r="S15" s="2"/>
      <c r="T15" s="2"/>
      <c r="U15" s="2"/>
      <c r="V15" s="19"/>
      <c r="W15" s="2"/>
      <c r="X15" s="2">
        <f t="shared" si="2"/>
        <v>33.880000000000003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>--3023.67</f>
        <v>3023.67</v>
      </c>
      <c r="E16" s="2"/>
      <c r="F16" s="19"/>
      <c r="G16" s="2"/>
      <c r="H16" s="2"/>
      <c r="I16" s="2"/>
      <c r="J16" s="19"/>
      <c r="K16" s="2"/>
      <c r="L16" s="2">
        <f t="shared" si="0"/>
        <v>3023.67</v>
      </c>
      <c r="M16" s="2"/>
      <c r="N16" s="19">
        <f t="shared" si="1"/>
        <v>0</v>
      </c>
      <c r="O16" s="11"/>
      <c r="P16" s="2">
        <f>--28235.55</f>
        <v>28235.55</v>
      </c>
      <c r="Q16" s="2"/>
      <c r="R16" s="19"/>
      <c r="S16" s="2"/>
      <c r="T16" s="2"/>
      <c r="U16" s="2"/>
      <c r="V16" s="19"/>
      <c r="W16" s="2"/>
      <c r="X16" s="2">
        <f t="shared" si="2"/>
        <v>28235.55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--5828.94</f>
        <v>5828.94</v>
      </c>
      <c r="E17" s="2"/>
      <c r="F17" s="19"/>
      <c r="G17" s="2"/>
      <c r="H17" s="2"/>
      <c r="I17" s="2"/>
      <c r="J17" s="19"/>
      <c r="K17" s="2"/>
      <c r="L17" s="2">
        <f t="shared" si="0"/>
        <v>5828.94</v>
      </c>
      <c r="M17" s="2"/>
      <c r="N17" s="19">
        <f t="shared" si="1"/>
        <v>0</v>
      </c>
      <c r="O17" s="11"/>
      <c r="P17" s="2">
        <f>--40074.73</f>
        <v>40074.730000000003</v>
      </c>
      <c r="Q17" s="2"/>
      <c r="R17" s="19"/>
      <c r="S17" s="2"/>
      <c r="T17" s="2"/>
      <c r="U17" s="2"/>
      <c r="V17" s="19"/>
      <c r="W17" s="2"/>
      <c r="X17" s="2">
        <f t="shared" si="2"/>
        <v>40074.730000000003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--10193.48</f>
        <v>10193.48</v>
      </c>
      <c r="E18" s="2"/>
      <c r="F18" s="19"/>
      <c r="G18" s="2"/>
      <c r="H18" s="2"/>
      <c r="I18" s="2"/>
      <c r="J18" s="19"/>
      <c r="K18" s="2"/>
      <c r="L18" s="2">
        <f t="shared" si="0"/>
        <v>10193.48</v>
      </c>
      <c r="M18" s="2"/>
      <c r="N18" s="19">
        <f t="shared" si="1"/>
        <v>0</v>
      </c>
      <c r="O18" s="11"/>
      <c r="P18" s="2">
        <f>--149176.63</f>
        <v>149176.63</v>
      </c>
      <c r="Q18" s="2"/>
      <c r="R18" s="19"/>
      <c r="S18" s="2"/>
      <c r="T18" s="2"/>
      <c r="U18" s="2"/>
      <c r="V18" s="19"/>
      <c r="W18" s="2"/>
      <c r="X18" s="2">
        <f t="shared" si="2"/>
        <v>149176.63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--845.44</f>
        <v>845.44</v>
      </c>
      <c r="E19" s="2"/>
      <c r="F19" s="19"/>
      <c r="G19" s="2"/>
      <c r="H19" s="2"/>
      <c r="I19" s="2"/>
      <c r="J19" s="19"/>
      <c r="K19" s="2"/>
      <c r="L19" s="2">
        <f t="shared" si="0"/>
        <v>845.44</v>
      </c>
      <c r="M19" s="2"/>
      <c r="N19" s="19">
        <f t="shared" si="1"/>
        <v>0</v>
      </c>
      <c r="O19" s="11"/>
      <c r="P19" s="2">
        <f>--6684.78</f>
        <v>6684.78</v>
      </c>
      <c r="Q19" s="2"/>
      <c r="R19" s="19"/>
      <c r="S19" s="2"/>
      <c r="T19" s="2"/>
      <c r="U19" s="2"/>
      <c r="V19" s="19"/>
      <c r="W19" s="2"/>
      <c r="X19" s="2">
        <f t="shared" si="2"/>
        <v>6684.78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"4035", " - ", "TAXABLE SALES-HEALTH &amp; BEAUTY")</f>
        <v xml:space="preserve">          4035 - TAXABLE SALES-HEALTH &amp; BEAUTY</v>
      </c>
      <c r="C20" s="11"/>
      <c r="D20" s="2">
        <f t="shared" ref="D20:D22" si="5">0</f>
        <v>0</v>
      </c>
      <c r="E20" s="2"/>
      <c r="F20" s="19"/>
      <c r="G20" s="2"/>
      <c r="H20" s="2"/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>--16.2</f>
        <v>16.2</v>
      </c>
      <c r="Q20" s="2"/>
      <c r="R20" s="19"/>
      <c r="S20" s="2"/>
      <c r="T20" s="2"/>
      <c r="U20" s="2"/>
      <c r="V20" s="19"/>
      <c r="W20" s="2"/>
      <c r="X20" s="2">
        <f t="shared" si="2"/>
        <v>16.2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 t="shared" si="5"/>
        <v>0</v>
      </c>
      <c r="E21" s="2"/>
      <c r="F21" s="19"/>
      <c r="G21" s="2"/>
      <c r="H21" s="2">
        <v>1965</v>
      </c>
      <c r="I21" s="2"/>
      <c r="J21" s="19"/>
      <c r="K21" s="2"/>
      <c r="L21" s="2">
        <f t="shared" si="0"/>
        <v>-1965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20332</v>
      </c>
      <c r="U21" s="2"/>
      <c r="V21" s="19"/>
      <c r="W21" s="2"/>
      <c r="X21" s="2">
        <f t="shared" si="2"/>
        <v>-20332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"4125", " - ", "NON-TAXABLE SALES-TEST FORMS")</f>
        <v xml:space="preserve">          4125 - NON-TAXABLE SALES-TEST FORMS</v>
      </c>
      <c r="C22" s="11"/>
      <c r="D22" s="2">
        <f t="shared" si="5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--124.18</f>
        <v>124.18</v>
      </c>
      <c r="Q22" s="2"/>
      <c r="R22" s="19"/>
      <c r="S22" s="2"/>
      <c r="T22" s="2"/>
      <c r="U22" s="2"/>
      <c r="V22" s="19"/>
      <c r="W22" s="2"/>
      <c r="X22" s="2">
        <f t="shared" si="2"/>
        <v>124.18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"4126", " - ", "NON-TAXABLE SALES-WRITING INST")</f>
        <v xml:space="preserve">          4126 - NON-TAXABLE SALES-WRITING INST</v>
      </c>
      <c r="C23" s="11"/>
      <c r="D23" s="2">
        <f>--11.85</f>
        <v>11.85</v>
      </c>
      <c r="E23" s="2"/>
      <c r="F23" s="19"/>
      <c r="G23" s="2"/>
      <c r="H23" s="2"/>
      <c r="I23" s="2"/>
      <c r="J23" s="19"/>
      <c r="K23" s="2"/>
      <c r="L23" s="2">
        <f t="shared" si="0"/>
        <v>11.85</v>
      </c>
      <c r="M23" s="2"/>
      <c r="N23" s="19">
        <f t="shared" si="1"/>
        <v>0</v>
      </c>
      <c r="O23" s="11"/>
      <c r="P23" s="2">
        <f>--1470.38</f>
        <v>1470.38</v>
      </c>
      <c r="Q23" s="2"/>
      <c r="R23" s="19"/>
      <c r="S23" s="2"/>
      <c r="T23" s="2"/>
      <c r="U23" s="2"/>
      <c r="V23" s="19"/>
      <c r="W23" s="2"/>
      <c r="X23" s="2">
        <f t="shared" si="2"/>
        <v>1470.38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"4127", " - ", "NON-TAXABLE SALES-SCHOOL SUPPL")</f>
        <v xml:space="preserve">          4127 - NON-TAXABLE SALES-SCHOOL SUPPL</v>
      </c>
      <c r="C24" s="11"/>
      <c r="D24" s="2">
        <f>--6.28</f>
        <v>6.28</v>
      </c>
      <c r="E24" s="2"/>
      <c r="F24" s="19"/>
      <c r="G24" s="2"/>
      <c r="H24" s="2"/>
      <c r="I24" s="2"/>
      <c r="J24" s="19"/>
      <c r="K24" s="2"/>
      <c r="L24" s="2">
        <f t="shared" si="0"/>
        <v>6.28</v>
      </c>
      <c r="M24" s="2"/>
      <c r="N24" s="19">
        <f t="shared" si="1"/>
        <v>0</v>
      </c>
      <c r="O24" s="11"/>
      <c r="P24" s="2">
        <f>--2591.23</f>
        <v>2591.23</v>
      </c>
      <c r="Q24" s="2"/>
      <c r="R24" s="19"/>
      <c r="S24" s="2"/>
      <c r="T24" s="2"/>
      <c r="U24" s="2"/>
      <c r="V24" s="19"/>
      <c r="W24" s="2"/>
      <c r="X24" s="2">
        <f t="shared" si="2"/>
        <v>2591.23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"4128", " - ", "NON-TAXABLE SALES-ART/TECH")</f>
        <v xml:space="preserve">          4128 - NON-TAXABLE SALES-ART/TECH</v>
      </c>
      <c r="C25" s="11"/>
      <c r="D25" s="2">
        <f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--253.32</f>
        <v>253.32</v>
      </c>
      <c r="Q25" s="2"/>
      <c r="R25" s="19"/>
      <c r="S25" s="2"/>
      <c r="T25" s="2"/>
      <c r="U25" s="2"/>
      <c r="V25" s="19"/>
      <c r="W25" s="2"/>
      <c r="X25" s="2">
        <f t="shared" si="2"/>
        <v>253.32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"4131", " - ", "NON-TAXABLE SALES-FOOD")</f>
        <v xml:space="preserve">          4131 - NON-TAXABLE SALES-FOOD</v>
      </c>
      <c r="C26" s="11"/>
      <c r="D26" s="2">
        <f>--90.16</f>
        <v>90.16</v>
      </c>
      <c r="E26" s="2"/>
      <c r="F26" s="19"/>
      <c r="G26" s="2"/>
      <c r="H26" s="2"/>
      <c r="I26" s="2"/>
      <c r="J26" s="19"/>
      <c r="K26" s="2"/>
      <c r="L26" s="2">
        <f t="shared" si="0"/>
        <v>90.16</v>
      </c>
      <c r="M26" s="2"/>
      <c r="N26" s="19">
        <f t="shared" si="1"/>
        <v>0</v>
      </c>
      <c r="O26" s="11"/>
      <c r="P26" s="2">
        <f>--793.83</f>
        <v>793.83</v>
      </c>
      <c r="Q26" s="2"/>
      <c r="R26" s="19"/>
      <c r="S26" s="2"/>
      <c r="T26" s="2"/>
      <c r="U26" s="2"/>
      <c r="V26" s="19"/>
      <c r="W26" s="2"/>
      <c r="X26" s="2">
        <f t="shared" si="2"/>
        <v>793.83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"4133", " - ", "NON-TAXABLE SALES-CANDY")</f>
        <v xml:space="preserve">          4133 - NON-TAXABLE SALES-CANDY</v>
      </c>
      <c r="C27" s="11"/>
      <c r="D27" s="2">
        <f>--195.72</f>
        <v>195.72</v>
      </c>
      <c r="E27" s="2"/>
      <c r="F27" s="19"/>
      <c r="G27" s="2"/>
      <c r="H27" s="2"/>
      <c r="I27" s="2"/>
      <c r="J27" s="19"/>
      <c r="K27" s="2"/>
      <c r="L27" s="2">
        <f t="shared" si="0"/>
        <v>195.72</v>
      </c>
      <c r="M27" s="2"/>
      <c r="N27" s="19">
        <f t="shared" si="1"/>
        <v>0</v>
      </c>
      <c r="O27" s="11"/>
      <c r="P27" s="2">
        <f>--1341.12</f>
        <v>1341.12</v>
      </c>
      <c r="Q27" s="2"/>
      <c r="R27" s="19"/>
      <c r="S27" s="2"/>
      <c r="T27" s="2"/>
      <c r="U27" s="2"/>
      <c r="V27" s="19"/>
      <c r="W27" s="2"/>
      <c r="X27" s="2">
        <f t="shared" si="2"/>
        <v>1341.12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"4135", " - ", "NON-TAXABLE SALES")</f>
        <v xml:space="preserve">          4135 - NON-TAXABLE SALES</v>
      </c>
      <c r="C28" s="11"/>
      <c r="D28" s="2">
        <f t="shared" ref="D28:D29" si="6"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--50.16</f>
        <v>50.16</v>
      </c>
      <c r="Q28" s="2"/>
      <c r="R28" s="19"/>
      <c r="S28" s="2"/>
      <c r="T28" s="2"/>
      <c r="U28" s="2"/>
      <c r="V28" s="19"/>
      <c r="W28" s="2"/>
      <c r="X28" s="2">
        <f t="shared" si="2"/>
        <v>50.16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"4217", " - ", "NON-TAXABLE SALES-DORM/HOUSEWA")</f>
        <v xml:space="preserve">          4217 - NON-TAXABLE SALES-DORM/HOUSEWA</v>
      </c>
      <c r="C29" s="11"/>
      <c r="D29" s="2">
        <f t="shared" si="6"/>
        <v>0</v>
      </c>
      <c r="E29" s="2"/>
      <c r="F29" s="19"/>
      <c r="G29" s="2"/>
      <c r="H29" s="2"/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-2.98</f>
        <v>-2.98</v>
      </c>
      <c r="Q29" s="2"/>
      <c r="R29" s="19"/>
      <c r="S29" s="2"/>
      <c r="T29" s="2"/>
      <c r="U29" s="2"/>
      <c r="V29" s="19"/>
      <c r="W29" s="2"/>
      <c r="X29" s="2">
        <f t="shared" si="2"/>
        <v>-2.98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"4225", " - ", "SALES RETURN TAXABLE-TEST FORM")</f>
        <v xml:space="preserve">          4225 - SALES RETURN TAXABLE-TEST FORM</v>
      </c>
      <c r="C30" s="11"/>
      <c r="D30" s="2">
        <f>-23.91</f>
        <v>-23.91</v>
      </c>
      <c r="E30" s="2"/>
      <c r="F30" s="19"/>
      <c r="G30" s="2"/>
      <c r="H30" s="2"/>
      <c r="I30" s="2"/>
      <c r="J30" s="19"/>
      <c r="K30" s="2"/>
      <c r="L30" s="2">
        <f t="shared" si="0"/>
        <v>-23.91</v>
      </c>
      <c r="M30" s="2"/>
      <c r="N30" s="19">
        <f t="shared" si="1"/>
        <v>0</v>
      </c>
      <c r="O30" s="11"/>
      <c r="P30" s="2">
        <f>-64.97</f>
        <v>-64.97</v>
      </c>
      <c r="Q30" s="2"/>
      <c r="R30" s="19"/>
      <c r="S30" s="2"/>
      <c r="T30" s="2"/>
      <c r="U30" s="2"/>
      <c r="V30" s="19"/>
      <c r="W30" s="2"/>
      <c r="X30" s="2">
        <f t="shared" si="2"/>
        <v>-64.97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"4226", " - ", "SALES RETURN TAXABLE-WRITING I")</f>
        <v xml:space="preserve">          4226 - SALES RETURN TAXABLE-WRITING I</v>
      </c>
      <c r="C31" s="11"/>
      <c r="D31" s="2">
        <f>-10.75</f>
        <v>-10.75</v>
      </c>
      <c r="E31" s="2"/>
      <c r="F31" s="19"/>
      <c r="G31" s="2"/>
      <c r="H31" s="2"/>
      <c r="I31" s="2"/>
      <c r="J31" s="19"/>
      <c r="K31" s="2"/>
      <c r="L31" s="2">
        <f t="shared" si="0"/>
        <v>-10.75</v>
      </c>
      <c r="M31" s="2"/>
      <c r="N31" s="19">
        <f t="shared" si="1"/>
        <v>0</v>
      </c>
      <c r="O31" s="11"/>
      <c r="P31" s="2">
        <f>-348.93</f>
        <v>-348.93</v>
      </c>
      <c r="Q31" s="2"/>
      <c r="R31" s="19"/>
      <c r="S31" s="2"/>
      <c r="T31" s="2"/>
      <c r="U31" s="2"/>
      <c r="V31" s="19"/>
      <c r="W31" s="2"/>
      <c r="X31" s="2">
        <f t="shared" si="2"/>
        <v>-348.93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"4227", " - ", "SALES RETURN TAXABLE-SCHOOL SU")</f>
        <v xml:space="preserve">          4227 - SALES RETURN TAXABLE-SCHOOL SU</v>
      </c>
      <c r="C32" s="11"/>
      <c r="D32" s="2">
        <f>-914.07</f>
        <v>-914.07</v>
      </c>
      <c r="E32" s="2"/>
      <c r="F32" s="19"/>
      <c r="G32" s="2"/>
      <c r="H32" s="2"/>
      <c r="I32" s="2"/>
      <c r="J32" s="19"/>
      <c r="K32" s="2"/>
      <c r="L32" s="2">
        <f t="shared" si="0"/>
        <v>-914.07</v>
      </c>
      <c r="M32" s="2"/>
      <c r="N32" s="19">
        <f t="shared" si="1"/>
        <v>0</v>
      </c>
      <c r="O32" s="11"/>
      <c r="P32" s="2">
        <f>-5718.33</f>
        <v>-5718.33</v>
      </c>
      <c r="Q32" s="2"/>
      <c r="R32" s="19"/>
      <c r="S32" s="2"/>
      <c r="T32" s="2"/>
      <c r="U32" s="2"/>
      <c r="V32" s="19"/>
      <c r="W32" s="2"/>
      <c r="X32" s="2">
        <f t="shared" si="2"/>
        <v>-5718.33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"4228", " - ", "SALES RETURN TAXABLE-ART/TECH")</f>
        <v xml:space="preserve">          4228 - SALES RETURN TAXABLE-ART/TECH</v>
      </c>
      <c r="C33" s="11"/>
      <c r="D33" s="2">
        <f>-10.78</f>
        <v>-10.78</v>
      </c>
      <c r="E33" s="2"/>
      <c r="F33" s="19"/>
      <c r="G33" s="2"/>
      <c r="H33" s="2"/>
      <c r="I33" s="2"/>
      <c r="J33" s="19"/>
      <c r="K33" s="2"/>
      <c r="L33" s="2">
        <f t="shared" si="0"/>
        <v>-10.78</v>
      </c>
      <c r="M33" s="2"/>
      <c r="N33" s="19">
        <f t="shared" si="1"/>
        <v>0</v>
      </c>
      <c r="O33" s="11"/>
      <c r="P33" s="2">
        <f>-237.75</f>
        <v>-237.75</v>
      </c>
      <c r="Q33" s="2"/>
      <c r="R33" s="19"/>
      <c r="S33" s="2"/>
      <c r="T33" s="2"/>
      <c r="U33" s="2"/>
      <c r="V33" s="19"/>
      <c r="W33" s="2"/>
      <c r="X33" s="2">
        <f t="shared" si="2"/>
        <v>-237.75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"4327", " - ", "SALES RETURN NON TAXABLE-SCHOO")</f>
        <v xml:space="preserve">          4327 - SALES RETURN NON TAXABLE-SCHOO</v>
      </c>
      <c r="C34" s="11"/>
      <c r="D34" s="2">
        <f>0</f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-21.87</f>
        <v>-21.87</v>
      </c>
      <c r="Q34" s="2"/>
      <c r="R34" s="19"/>
      <c r="S34" s="2"/>
      <c r="T34" s="2"/>
      <c r="U34" s="2"/>
      <c r="V34" s="19"/>
      <c r="W34" s="2"/>
      <c r="X34" s="2">
        <f t="shared" si="2"/>
        <v>-21.87</v>
      </c>
      <c r="Y34" s="2"/>
      <c r="Z34" s="19">
        <f t="shared" si="3"/>
        <v>0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9" t="s">
        <v>8</v>
      </c>
      <c r="C36" s="10"/>
      <c r="D36" s="4">
        <f>SUM(OSRRefD16x_0)</f>
        <v>9387.1799999999967</v>
      </c>
      <c r="E36" s="4"/>
      <c r="F36" s="12">
        <f t="shared" ref="F36:F52" si="7">IF(D$12=0,0,D36/D$12)</f>
        <v>0.48789891481345371</v>
      </c>
      <c r="G36" s="4"/>
      <c r="H36" s="4">
        <f>SUM(OSRRefH16x_0)</f>
        <v>12522</v>
      </c>
      <c r="I36" s="4"/>
      <c r="J36" s="12">
        <f t="shared" ref="J36:J52" si="8">IF(H$12=0,0,H36/H$12)</f>
        <v>0.50995723885155775</v>
      </c>
      <c r="K36" s="4"/>
      <c r="L36" s="4">
        <f t="shared" ref="L36:L52" si="9">+D36-H36</f>
        <v>-3134.8200000000033</v>
      </c>
      <c r="M36" s="4"/>
      <c r="N36" s="12">
        <f t="shared" ref="N36:N52" si="10">IF(H36=0,0,L36/H36)</f>
        <v>-0.25034499281264999</v>
      </c>
      <c r="O36" s="10"/>
      <c r="P36" s="4">
        <f>SUM(OSRRefP16x_0)</f>
        <v>104566.19</v>
      </c>
      <c r="Q36" s="4"/>
      <c r="R36" s="12">
        <f t="shared" ref="R36:R52" si="11">IF(P$12=0,0,P36/P$12)</f>
        <v>0.46544121090164725</v>
      </c>
      <c r="S36" s="4"/>
      <c r="T36" s="4">
        <f>SUM(OSRRefT16x_0)</f>
        <v>129616</v>
      </c>
      <c r="U36" s="4"/>
      <c r="V36" s="12">
        <f t="shared" ref="V36:V52" si="12">IF(T$12=0,0,T36/T$12)</f>
        <v>0.50999201268527228</v>
      </c>
      <c r="W36" s="4"/>
      <c r="X36" s="4">
        <f t="shared" ref="X36:X52" si="13">+P36-T36</f>
        <v>-25049.809999999998</v>
      </c>
      <c r="Y36" s="4"/>
      <c r="Z36" s="12">
        <f t="shared" ref="Z36:Z52" si="14">IF(T36=0,0,X36/T36)</f>
        <v>-0.19326171151709665</v>
      </c>
    </row>
    <row r="37" spans="1:26" s="24" customFormat="1" hidden="1" outlineLevel="1" x14ac:dyDescent="0.25">
      <c r="A37" s="44"/>
      <c r="B37" s="11" t="str">
        <f>CONCATENATE("          ", "5000", " - ", "PURCHASES @ COST")</f>
        <v xml:space="preserve">          5000 - PURCHASES @ COST</v>
      </c>
      <c r="C37" s="11"/>
      <c r="D37" s="2"/>
      <c r="E37" s="2"/>
      <c r="F37" s="19">
        <f t="shared" si="7"/>
        <v>0</v>
      </c>
      <c r="G37" s="2"/>
      <c r="H37" s="2">
        <v>12522</v>
      </c>
      <c r="I37" s="2"/>
      <c r="J37" s="19">
        <f t="shared" si="8"/>
        <v>0.50995723885155775</v>
      </c>
      <c r="K37" s="2"/>
      <c r="L37" s="2">
        <f t="shared" si="9"/>
        <v>-12522</v>
      </c>
      <c r="M37" s="2"/>
      <c r="N37" s="19">
        <f t="shared" si="10"/>
        <v>-1</v>
      </c>
      <c r="O37" s="11"/>
      <c r="P37" s="2"/>
      <c r="Q37" s="2"/>
      <c r="R37" s="19">
        <f t="shared" si="11"/>
        <v>0</v>
      </c>
      <c r="S37" s="2"/>
      <c r="T37" s="2">
        <v>129616</v>
      </c>
      <c r="U37" s="2"/>
      <c r="V37" s="19">
        <f t="shared" si="12"/>
        <v>0.50999201268527228</v>
      </c>
      <c r="W37" s="2"/>
      <c r="X37" s="2">
        <f t="shared" si="13"/>
        <v>-129616</v>
      </c>
      <c r="Y37" s="2"/>
      <c r="Z37" s="19">
        <f t="shared" si="14"/>
        <v>-1</v>
      </c>
    </row>
    <row r="38" spans="1:26" s="24" customFormat="1" hidden="1" outlineLevel="1" x14ac:dyDescent="0.25">
      <c r="A38" s="44"/>
      <c r="B38" s="11" t="str">
        <f>CONCATENATE("          ", "5017", " - ", "PURCHASES @ COST-DORM/HOUSEWAR")</f>
        <v xml:space="preserve">          5017 - PURCHASES @ COST-DORM/HOUSEWAR</v>
      </c>
      <c r="C38" s="11"/>
      <c r="D38" s="2"/>
      <c r="E38" s="2"/>
      <c r="F38" s="19">
        <f t="shared" si="7"/>
        <v>0</v>
      </c>
      <c r="G38" s="2"/>
      <c r="H38" s="2"/>
      <c r="I38" s="2"/>
      <c r="J38" s="19">
        <f t="shared" si="8"/>
        <v>0</v>
      </c>
      <c r="K38" s="2"/>
      <c r="L38" s="2">
        <f t="shared" si="9"/>
        <v>0</v>
      </c>
      <c r="M38" s="2"/>
      <c r="N38" s="19">
        <f t="shared" si="10"/>
        <v>0</v>
      </c>
      <c r="O38" s="11"/>
      <c r="P38" s="2">
        <v>0</v>
      </c>
      <c r="Q38" s="2"/>
      <c r="R38" s="19">
        <f t="shared" si="11"/>
        <v>0</v>
      </c>
      <c r="S38" s="2"/>
      <c r="T38" s="2"/>
      <c r="U38" s="2"/>
      <c r="V38" s="19">
        <f t="shared" si="12"/>
        <v>0</v>
      </c>
      <c r="W38" s="2"/>
      <c r="X38" s="2">
        <f t="shared" si="13"/>
        <v>0</v>
      </c>
      <c r="Y38" s="2"/>
      <c r="Z38" s="19">
        <f t="shared" si="14"/>
        <v>0</v>
      </c>
    </row>
    <row r="39" spans="1:26" s="24" customFormat="1" hidden="1" outlineLevel="1" x14ac:dyDescent="0.25">
      <c r="A39" s="44"/>
      <c r="B39" s="11" t="str">
        <f>CONCATENATE("          ", "5025", " - ", "PURCHASES @ COST-TEST FORMS")</f>
        <v xml:space="preserve">          5025 - PURCHASES @ COST-TEST FORMS</v>
      </c>
      <c r="C39" s="11"/>
      <c r="D39" s="2">
        <v>18880.099999999999</v>
      </c>
      <c r="E39" s="2"/>
      <c r="F39" s="19">
        <f t="shared" si="7"/>
        <v>0.98129366876628443</v>
      </c>
      <c r="G39" s="2"/>
      <c r="H39" s="2"/>
      <c r="I39" s="2"/>
      <c r="J39" s="19">
        <f t="shared" si="8"/>
        <v>0</v>
      </c>
      <c r="K39" s="2"/>
      <c r="L39" s="2">
        <f t="shared" si="9"/>
        <v>18880.099999999999</v>
      </c>
      <c r="M39" s="2"/>
      <c r="N39" s="19">
        <f t="shared" si="10"/>
        <v>0</v>
      </c>
      <c r="O39" s="11"/>
      <c r="P39" s="2">
        <v>21694.11</v>
      </c>
      <c r="Q39" s="2"/>
      <c r="R39" s="19">
        <f t="shared" si="11"/>
        <v>9.6564031144613136E-2</v>
      </c>
      <c r="S39" s="2"/>
      <c r="T39" s="2"/>
      <c r="U39" s="2"/>
      <c r="V39" s="19">
        <f t="shared" si="12"/>
        <v>0</v>
      </c>
      <c r="W39" s="2"/>
      <c r="X39" s="2">
        <f t="shared" si="13"/>
        <v>21694.11</v>
      </c>
      <c r="Y39" s="2"/>
      <c r="Z39" s="19">
        <f t="shared" si="14"/>
        <v>0</v>
      </c>
    </row>
    <row r="40" spans="1:26" s="24" customFormat="1" hidden="1" outlineLevel="1" x14ac:dyDescent="0.25">
      <c r="A40" s="44"/>
      <c r="B40" s="11" t="str">
        <f>CONCATENATE("          ", "5026", " - ", "PURCHASES @ COST-WRITING INSTR")</f>
        <v xml:space="preserve">          5026 - PURCHASES @ COST-WRITING INSTR</v>
      </c>
      <c r="C40" s="11"/>
      <c r="D40" s="2">
        <v>3910.23</v>
      </c>
      <c r="E40" s="2"/>
      <c r="F40" s="19">
        <f t="shared" si="7"/>
        <v>0.20323430185327349</v>
      </c>
      <c r="G40" s="2"/>
      <c r="H40" s="2"/>
      <c r="I40" s="2"/>
      <c r="J40" s="19">
        <f t="shared" si="8"/>
        <v>0</v>
      </c>
      <c r="K40" s="2"/>
      <c r="L40" s="2">
        <f t="shared" si="9"/>
        <v>3910.23</v>
      </c>
      <c r="M40" s="2"/>
      <c r="N40" s="19">
        <f t="shared" si="10"/>
        <v>0</v>
      </c>
      <c r="O40" s="11"/>
      <c r="P40" s="2">
        <v>27410.329999999998</v>
      </c>
      <c r="Q40" s="2"/>
      <c r="R40" s="19">
        <f t="shared" si="11"/>
        <v>0.12200786111087865</v>
      </c>
      <c r="S40" s="2"/>
      <c r="T40" s="2"/>
      <c r="U40" s="2"/>
      <c r="V40" s="19">
        <f t="shared" si="12"/>
        <v>0</v>
      </c>
      <c r="W40" s="2"/>
      <c r="X40" s="2">
        <f t="shared" si="13"/>
        <v>27410.329999999998</v>
      </c>
      <c r="Y40" s="2"/>
      <c r="Z40" s="19">
        <f t="shared" si="14"/>
        <v>0</v>
      </c>
    </row>
    <row r="41" spans="1:26" s="24" customFormat="1" hidden="1" outlineLevel="1" x14ac:dyDescent="0.25">
      <c r="A41" s="44"/>
      <c r="B41" s="11" t="str">
        <f>CONCATENATE("          ", "5027", " - ", "PURCHASES @ COST-SCHOOL SUPPLI")</f>
        <v xml:space="preserve">          5027 - PURCHASES @ COST-SCHOOL SUPPLI</v>
      </c>
      <c r="C41" s="11"/>
      <c r="D41" s="2">
        <v>3386.98</v>
      </c>
      <c r="E41" s="2"/>
      <c r="F41" s="19">
        <f t="shared" si="7"/>
        <v>0.17603837004242723</v>
      </c>
      <c r="G41" s="2"/>
      <c r="H41" s="2"/>
      <c r="I41" s="2"/>
      <c r="J41" s="19">
        <f t="shared" si="8"/>
        <v>0</v>
      </c>
      <c r="K41" s="2"/>
      <c r="L41" s="2">
        <f t="shared" si="9"/>
        <v>3386.98</v>
      </c>
      <c r="M41" s="2"/>
      <c r="N41" s="19">
        <f t="shared" si="10"/>
        <v>0</v>
      </c>
      <c r="O41" s="11"/>
      <c r="P41" s="2">
        <v>73600</v>
      </c>
      <c r="Q41" s="2"/>
      <c r="R41" s="19">
        <f t="shared" si="11"/>
        <v>0.32760563545789739</v>
      </c>
      <c r="S41" s="2"/>
      <c r="T41" s="2"/>
      <c r="U41" s="2"/>
      <c r="V41" s="19">
        <f t="shared" si="12"/>
        <v>0</v>
      </c>
      <c r="W41" s="2"/>
      <c r="X41" s="2">
        <f t="shared" si="13"/>
        <v>73600</v>
      </c>
      <c r="Y41" s="2"/>
      <c r="Z41" s="19">
        <f t="shared" si="14"/>
        <v>0</v>
      </c>
    </row>
    <row r="42" spans="1:26" s="24" customFormat="1" hidden="1" outlineLevel="1" x14ac:dyDescent="0.25">
      <c r="A42" s="44"/>
      <c r="B42" s="11" t="str">
        <f>CONCATENATE("          ", "5028", " - ", "PURCHASES @ COST-ART/TECH")</f>
        <v xml:space="preserve">          5028 - PURCHASES @ COST-ART/TECH</v>
      </c>
      <c r="C42" s="11"/>
      <c r="D42" s="2">
        <v>4.92</v>
      </c>
      <c r="E42" s="2"/>
      <c r="F42" s="19">
        <f t="shared" si="7"/>
        <v>2.5571712280814823E-4</v>
      </c>
      <c r="G42" s="2"/>
      <c r="H42" s="2"/>
      <c r="I42" s="2"/>
      <c r="J42" s="19">
        <f t="shared" si="8"/>
        <v>0</v>
      </c>
      <c r="K42" s="2"/>
      <c r="L42" s="2">
        <f t="shared" si="9"/>
        <v>4.92</v>
      </c>
      <c r="M42" s="2"/>
      <c r="N42" s="19">
        <f t="shared" si="10"/>
        <v>0</v>
      </c>
      <c r="O42" s="11"/>
      <c r="P42" s="2">
        <v>3278.26</v>
      </c>
      <c r="Q42" s="2"/>
      <c r="R42" s="19">
        <f t="shared" si="11"/>
        <v>1.4592071338263679E-2</v>
      </c>
      <c r="S42" s="2"/>
      <c r="T42" s="2"/>
      <c r="U42" s="2"/>
      <c r="V42" s="19">
        <f t="shared" si="12"/>
        <v>0</v>
      </c>
      <c r="W42" s="2"/>
      <c r="X42" s="2">
        <f t="shared" si="13"/>
        <v>3278.26</v>
      </c>
      <c r="Y42" s="2"/>
      <c r="Z42" s="19">
        <f t="shared" si="14"/>
        <v>0</v>
      </c>
    </row>
    <row r="43" spans="1:26" s="24" customFormat="1" hidden="1" outlineLevel="1" x14ac:dyDescent="0.25">
      <c r="A43" s="44"/>
      <c r="B43" s="11" t="str">
        <f>CONCATENATE("          ", "5031", " - ", "PURCHASES @ COST-FOOD")</f>
        <v xml:space="preserve">          5031 - PURCHASES @ COST-FOOD</v>
      </c>
      <c r="C43" s="11"/>
      <c r="D43" s="2">
        <v>98.54</v>
      </c>
      <c r="E43" s="2"/>
      <c r="F43" s="19">
        <f t="shared" si="7"/>
        <v>5.1216189596575059E-3</v>
      </c>
      <c r="G43" s="2"/>
      <c r="H43" s="2"/>
      <c r="I43" s="2"/>
      <c r="J43" s="19">
        <f t="shared" si="8"/>
        <v>0</v>
      </c>
      <c r="K43" s="2"/>
      <c r="L43" s="2">
        <f t="shared" si="9"/>
        <v>98.54</v>
      </c>
      <c r="M43" s="2"/>
      <c r="N43" s="19">
        <f t="shared" si="10"/>
        <v>0</v>
      </c>
      <c r="O43" s="11"/>
      <c r="P43" s="2">
        <v>265.83999999999997</v>
      </c>
      <c r="Q43" s="2"/>
      <c r="R43" s="19">
        <f t="shared" si="11"/>
        <v>1.1832973115506445E-3</v>
      </c>
      <c r="S43" s="2"/>
      <c r="T43" s="2"/>
      <c r="U43" s="2"/>
      <c r="V43" s="19">
        <f t="shared" si="12"/>
        <v>0</v>
      </c>
      <c r="W43" s="2"/>
      <c r="X43" s="2">
        <f t="shared" si="13"/>
        <v>265.83999999999997</v>
      </c>
      <c r="Y43" s="2"/>
      <c r="Z43" s="19">
        <f t="shared" si="14"/>
        <v>0</v>
      </c>
    </row>
    <row r="44" spans="1:26" s="24" customFormat="1" hidden="1" outlineLevel="1" x14ac:dyDescent="0.25">
      <c r="A44" s="44"/>
      <c r="B44" s="11" t="str">
        <f>CONCATENATE("          ", "5033", " - ", "PURCHASES @ COST-CANDY")</f>
        <v xml:space="preserve">          5033 - PURCHASES @ COST-CANDY</v>
      </c>
      <c r="C44" s="11"/>
      <c r="D44" s="2">
        <v>134.88999999999999</v>
      </c>
      <c r="E44" s="2"/>
      <c r="F44" s="19">
        <f t="shared" si="7"/>
        <v>7.0109111169900642E-3</v>
      </c>
      <c r="G44" s="2"/>
      <c r="H44" s="2"/>
      <c r="I44" s="2"/>
      <c r="J44" s="19">
        <f t="shared" si="8"/>
        <v>0</v>
      </c>
      <c r="K44" s="2"/>
      <c r="L44" s="2">
        <f t="shared" si="9"/>
        <v>134.88999999999999</v>
      </c>
      <c r="M44" s="2"/>
      <c r="N44" s="19">
        <f t="shared" si="10"/>
        <v>0</v>
      </c>
      <c r="O44" s="11"/>
      <c r="P44" s="2">
        <v>288.88</v>
      </c>
      <c r="Q44" s="2"/>
      <c r="R44" s="19">
        <f t="shared" si="11"/>
        <v>1.2858521191722472E-3</v>
      </c>
      <c r="S44" s="2"/>
      <c r="T44" s="2"/>
      <c r="U44" s="2"/>
      <c r="V44" s="19">
        <f t="shared" si="12"/>
        <v>0</v>
      </c>
      <c r="W44" s="2"/>
      <c r="X44" s="2">
        <f t="shared" si="13"/>
        <v>288.88</v>
      </c>
      <c r="Y44" s="2"/>
      <c r="Z44" s="19">
        <f t="shared" si="14"/>
        <v>0</v>
      </c>
    </row>
    <row r="45" spans="1:26" s="24" customFormat="1" hidden="1" outlineLevel="1" x14ac:dyDescent="0.25">
      <c r="A45" s="44"/>
      <c r="B45" s="11" t="str">
        <f>CONCATENATE("          ", "5035", " - ", "PURCHASES @ COST-HEALTH &amp; BEAU")</f>
        <v xml:space="preserve">          5035 - PURCHASES @ COST-HEALTH &amp; BEAU</v>
      </c>
      <c r="C45" s="11"/>
      <c r="D45" s="2"/>
      <c r="E45" s="2"/>
      <c r="F45" s="19">
        <f t="shared" si="7"/>
        <v>0</v>
      </c>
      <c r="G45" s="2"/>
      <c r="H45" s="2"/>
      <c r="I45" s="2"/>
      <c r="J45" s="19">
        <f t="shared" si="8"/>
        <v>0</v>
      </c>
      <c r="K45" s="2"/>
      <c r="L45" s="2">
        <f t="shared" si="9"/>
        <v>0</v>
      </c>
      <c r="M45" s="2"/>
      <c r="N45" s="19">
        <f t="shared" si="10"/>
        <v>0</v>
      </c>
      <c r="O45" s="11"/>
      <c r="P45" s="2">
        <v>34.49</v>
      </c>
      <c r="Q45" s="2"/>
      <c r="R45" s="19">
        <f t="shared" si="11"/>
        <v>1.5352062998563699E-4</v>
      </c>
      <c r="S45" s="2"/>
      <c r="T45" s="2"/>
      <c r="U45" s="2"/>
      <c r="V45" s="19">
        <f t="shared" si="12"/>
        <v>0</v>
      </c>
      <c r="W45" s="2"/>
      <c r="X45" s="2">
        <f t="shared" si="13"/>
        <v>34.49</v>
      </c>
      <c r="Y45" s="2"/>
      <c r="Z45" s="19">
        <f t="shared" si="14"/>
        <v>0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-27051</v>
      </c>
      <c r="E46" s="2"/>
      <c r="F46" s="19">
        <f t="shared" si="7"/>
        <v>-1.4059764002201662</v>
      </c>
      <c r="G46" s="2"/>
      <c r="H46" s="2"/>
      <c r="I46" s="2"/>
      <c r="J46" s="19">
        <f t="shared" si="8"/>
        <v>0</v>
      </c>
      <c r="K46" s="2"/>
      <c r="L46" s="2">
        <f t="shared" si="9"/>
        <v>-27051</v>
      </c>
      <c r="M46" s="2"/>
      <c r="N46" s="19">
        <f t="shared" si="10"/>
        <v>0</v>
      </c>
      <c r="O46" s="11"/>
      <c r="P46" s="2">
        <v>-128073</v>
      </c>
      <c r="Q46" s="2"/>
      <c r="R46" s="19">
        <f t="shared" si="11"/>
        <v>-0.57007386616846867</v>
      </c>
      <c r="S46" s="2"/>
      <c r="T46" s="2"/>
      <c r="U46" s="2"/>
      <c r="V46" s="19">
        <f t="shared" si="12"/>
        <v>0</v>
      </c>
      <c r="W46" s="2"/>
      <c r="X46" s="2">
        <f t="shared" si="13"/>
        <v>-128073</v>
      </c>
      <c r="Y46" s="2"/>
      <c r="Z46" s="19">
        <f t="shared" si="14"/>
        <v>0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9388</v>
      </c>
      <c r="E47" s="2"/>
      <c r="F47" s="19">
        <f t="shared" si="7"/>
        <v>0.4879415343339219</v>
      </c>
      <c r="G47" s="2"/>
      <c r="H47" s="2"/>
      <c r="I47" s="2"/>
      <c r="J47" s="19">
        <f t="shared" si="8"/>
        <v>0</v>
      </c>
      <c r="K47" s="2"/>
      <c r="L47" s="2">
        <f t="shared" si="9"/>
        <v>9388</v>
      </c>
      <c r="M47" s="2"/>
      <c r="N47" s="19">
        <f t="shared" si="10"/>
        <v>0</v>
      </c>
      <c r="O47" s="11"/>
      <c r="P47" s="2">
        <v>104561</v>
      </c>
      <c r="Q47" s="2"/>
      <c r="R47" s="19">
        <f t="shared" si="11"/>
        <v>0.46541810936295125</v>
      </c>
      <c r="S47" s="2"/>
      <c r="T47" s="2"/>
      <c r="U47" s="2"/>
      <c r="V47" s="19">
        <f t="shared" si="12"/>
        <v>0</v>
      </c>
      <c r="W47" s="2"/>
      <c r="X47" s="2">
        <f t="shared" si="13"/>
        <v>104561</v>
      </c>
      <c r="Y47" s="2"/>
      <c r="Z47" s="19">
        <f t="shared" si="14"/>
        <v>0</v>
      </c>
    </row>
    <row r="48" spans="1:26" s="24" customFormat="1" hidden="1" outlineLevel="1" x14ac:dyDescent="0.25">
      <c r="A48" s="44"/>
      <c r="B48" s="11" t="str">
        <f>CONCATENATE("          ", "5500", " - ", "FREIGHT-IN")</f>
        <v xml:space="preserve">          5500 - FREIGHT-IN</v>
      </c>
      <c r="C48" s="11"/>
      <c r="D48" s="2"/>
      <c r="E48" s="2"/>
      <c r="F48" s="19">
        <f t="shared" si="7"/>
        <v>0</v>
      </c>
      <c r="G48" s="2"/>
      <c r="H48" s="2"/>
      <c r="I48" s="2"/>
      <c r="J48" s="19">
        <f t="shared" si="8"/>
        <v>0</v>
      </c>
      <c r="K48" s="2"/>
      <c r="L48" s="2">
        <f t="shared" si="9"/>
        <v>0</v>
      </c>
      <c r="M48" s="2"/>
      <c r="N48" s="19">
        <f t="shared" si="10"/>
        <v>0</v>
      </c>
      <c r="O48" s="11"/>
      <c r="P48" s="2">
        <v>6</v>
      </c>
      <c r="Q48" s="2"/>
      <c r="R48" s="19">
        <f t="shared" si="11"/>
        <v>2.6706981151459027E-5</v>
      </c>
      <c r="S48" s="2"/>
      <c r="T48" s="2"/>
      <c r="U48" s="2"/>
      <c r="V48" s="19">
        <f t="shared" si="12"/>
        <v>0</v>
      </c>
      <c r="W48" s="2"/>
      <c r="X48" s="2">
        <f t="shared" si="13"/>
        <v>6</v>
      </c>
      <c r="Y48" s="2"/>
      <c r="Z48" s="19">
        <f t="shared" si="14"/>
        <v>0</v>
      </c>
    </row>
    <row r="49" spans="1:26" s="24" customFormat="1" hidden="1" outlineLevel="1" x14ac:dyDescent="0.25">
      <c r="A49" s="44"/>
      <c r="B49" s="11" t="str">
        <f>CONCATENATE("          ", "5525", " - ", "FREIGHT-IN-TEST FORMS")</f>
        <v xml:space="preserve">          5525 - FREIGHT-IN-TEST FORMS</v>
      </c>
      <c r="C49" s="11"/>
      <c r="D49" s="2">
        <v>335.7</v>
      </c>
      <c r="E49" s="2"/>
      <c r="F49" s="19">
        <f t="shared" si="7"/>
        <v>1.7448015879409626E-2</v>
      </c>
      <c r="G49" s="2"/>
      <c r="H49" s="2"/>
      <c r="I49" s="2"/>
      <c r="J49" s="19">
        <f t="shared" si="8"/>
        <v>0</v>
      </c>
      <c r="K49" s="2"/>
      <c r="L49" s="2">
        <f t="shared" si="9"/>
        <v>335.7</v>
      </c>
      <c r="M49" s="2"/>
      <c r="N49" s="19">
        <f t="shared" si="10"/>
        <v>0</v>
      </c>
      <c r="O49" s="11"/>
      <c r="P49" s="2">
        <v>374.92</v>
      </c>
      <c r="Q49" s="2"/>
      <c r="R49" s="19">
        <f t="shared" si="11"/>
        <v>1.6688302288841699E-3</v>
      </c>
      <c r="S49" s="2"/>
      <c r="T49" s="2"/>
      <c r="U49" s="2"/>
      <c r="V49" s="19">
        <f t="shared" si="12"/>
        <v>0</v>
      </c>
      <c r="W49" s="2"/>
      <c r="X49" s="2">
        <f t="shared" si="13"/>
        <v>374.92</v>
      </c>
      <c r="Y49" s="2"/>
      <c r="Z49" s="19">
        <f t="shared" si="14"/>
        <v>0</v>
      </c>
    </row>
    <row r="50" spans="1:26" s="24" customFormat="1" hidden="1" outlineLevel="1" x14ac:dyDescent="0.25">
      <c r="A50" s="44"/>
      <c r="B50" s="11" t="str">
        <f>CONCATENATE("          ", "5526", " - ", "FREIGHT-IN-WRITING INSTRUMENTS")</f>
        <v xml:space="preserve">          5526 - FREIGHT-IN-WRITING INSTRUMENTS</v>
      </c>
      <c r="C50" s="11"/>
      <c r="D50" s="2">
        <v>160.91999999999999</v>
      </c>
      <c r="E50" s="2"/>
      <c r="F50" s="19">
        <f t="shared" si="7"/>
        <v>8.3638210167250437E-3</v>
      </c>
      <c r="G50" s="2"/>
      <c r="H50" s="2"/>
      <c r="I50" s="2"/>
      <c r="J50" s="19">
        <f t="shared" si="8"/>
        <v>0</v>
      </c>
      <c r="K50" s="2"/>
      <c r="L50" s="2">
        <f t="shared" si="9"/>
        <v>160.91999999999999</v>
      </c>
      <c r="M50" s="2"/>
      <c r="N50" s="19">
        <f t="shared" si="10"/>
        <v>0</v>
      </c>
      <c r="O50" s="11"/>
      <c r="P50" s="2">
        <v>217.49</v>
      </c>
      <c r="Q50" s="2"/>
      <c r="R50" s="19">
        <f t="shared" si="11"/>
        <v>9.6808355510513732E-4</v>
      </c>
      <c r="S50" s="2"/>
      <c r="T50" s="2"/>
      <c r="U50" s="2"/>
      <c r="V50" s="19">
        <f t="shared" si="12"/>
        <v>0</v>
      </c>
      <c r="W50" s="2"/>
      <c r="X50" s="2">
        <f t="shared" si="13"/>
        <v>217.49</v>
      </c>
      <c r="Y50" s="2"/>
      <c r="Z50" s="19">
        <f t="shared" si="14"/>
        <v>0</v>
      </c>
    </row>
    <row r="51" spans="1:26" s="24" customFormat="1" hidden="1" outlineLevel="1" x14ac:dyDescent="0.25">
      <c r="A51" s="44"/>
      <c r="B51" s="11" t="str">
        <f>CONCATENATE("          ", "5527", " - ", "FREIGHT-IN-SCHOOL SUPPLIES")</f>
        <v xml:space="preserve">          5527 - FREIGHT-IN-SCHOOL SUPPLIES</v>
      </c>
      <c r="C51" s="11"/>
      <c r="D51" s="2">
        <v>134.09</v>
      </c>
      <c r="E51" s="2"/>
      <c r="F51" s="19">
        <f t="shared" si="7"/>
        <v>6.9693310970212604E-3</v>
      </c>
      <c r="G51" s="2"/>
      <c r="H51" s="2"/>
      <c r="I51" s="2"/>
      <c r="J51" s="19">
        <f t="shared" si="8"/>
        <v>0</v>
      </c>
      <c r="K51" s="2"/>
      <c r="L51" s="2">
        <f t="shared" si="9"/>
        <v>134.09</v>
      </c>
      <c r="M51" s="2"/>
      <c r="N51" s="19">
        <f t="shared" si="10"/>
        <v>0</v>
      </c>
      <c r="O51" s="11"/>
      <c r="P51" s="2">
        <v>860.06</v>
      </c>
      <c r="Q51" s="2"/>
      <c r="R51" s="19">
        <f t="shared" si="11"/>
        <v>3.8282677015206417E-3</v>
      </c>
      <c r="S51" s="2"/>
      <c r="T51" s="2"/>
      <c r="U51" s="2"/>
      <c r="V51" s="19">
        <f t="shared" si="12"/>
        <v>0</v>
      </c>
      <c r="W51" s="2"/>
      <c r="X51" s="2">
        <f t="shared" si="13"/>
        <v>860.06</v>
      </c>
      <c r="Y51" s="2"/>
      <c r="Z51" s="19">
        <f t="shared" si="14"/>
        <v>0</v>
      </c>
    </row>
    <row r="52" spans="1:26" s="24" customFormat="1" hidden="1" outlineLevel="1" x14ac:dyDescent="0.25">
      <c r="A52" s="44"/>
      <c r="B52" s="11" t="str">
        <f>CONCATENATE("          ", "5528", " - ", "FREIGHT-IN-ART/TECH")</f>
        <v xml:space="preserve">          5528 - FREIGHT-IN-ART/TECH</v>
      </c>
      <c r="C52" s="11"/>
      <c r="D52" s="2">
        <v>3.81</v>
      </c>
      <c r="E52" s="2"/>
      <c r="F52" s="19">
        <f t="shared" si="7"/>
        <v>1.9802484510143188E-4</v>
      </c>
      <c r="G52" s="2"/>
      <c r="H52" s="2"/>
      <c r="I52" s="2"/>
      <c r="J52" s="19">
        <f t="shared" si="8"/>
        <v>0</v>
      </c>
      <c r="K52" s="2"/>
      <c r="L52" s="2">
        <f t="shared" si="9"/>
        <v>3.81</v>
      </c>
      <c r="M52" s="2"/>
      <c r="N52" s="19">
        <f t="shared" si="10"/>
        <v>0</v>
      </c>
      <c r="O52" s="11"/>
      <c r="P52" s="2">
        <v>47.81</v>
      </c>
      <c r="Q52" s="2"/>
      <c r="R52" s="19">
        <f t="shared" si="11"/>
        <v>2.1281012814187603E-4</v>
      </c>
      <c r="S52" s="2"/>
      <c r="T52" s="2"/>
      <c r="U52" s="2"/>
      <c r="V52" s="19">
        <f t="shared" si="12"/>
        <v>0</v>
      </c>
      <c r="W52" s="2"/>
      <c r="X52" s="2">
        <f t="shared" si="13"/>
        <v>47.81</v>
      </c>
      <c r="Y52" s="2"/>
      <c r="Z52" s="19">
        <f t="shared" si="14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8" t="s">
        <v>6</v>
      </c>
      <c r="C54" s="28"/>
      <c r="D54" s="20">
        <f>D12-D36</f>
        <v>9852.8300000000017</v>
      </c>
      <c r="E54" s="14"/>
      <c r="F54" s="22">
        <f>IF(D$12=0,0,D54/D$12)</f>
        <v>0.51210108518654629</v>
      </c>
      <c r="G54" s="14"/>
      <c r="H54" s="20">
        <f>H12-H36</f>
        <v>12033</v>
      </c>
      <c r="I54" s="14"/>
      <c r="J54" s="22">
        <f>IF(H$12=0,0,H54/H$12)</f>
        <v>0.49004276114844225</v>
      </c>
      <c r="K54" s="16"/>
      <c r="L54" s="20">
        <f>+D54-H54</f>
        <v>-2180.1699999999983</v>
      </c>
      <c r="M54" s="16"/>
      <c r="N54" s="22">
        <f>IF(H54=0,0,L54/H54)</f>
        <v>-0.18118258123493711</v>
      </c>
      <c r="O54" s="29"/>
      <c r="P54" s="20">
        <f>P12-P36</f>
        <v>120094.17000000001</v>
      </c>
      <c r="Q54" s="14"/>
      <c r="R54" s="22">
        <f>IF(P$12=0,0,P54/P$12)</f>
        <v>0.53455878909835275</v>
      </c>
      <c r="S54" s="14"/>
      <c r="T54" s="20">
        <f>T12-T36</f>
        <v>124537</v>
      </c>
      <c r="U54" s="14"/>
      <c r="V54" s="22">
        <f>IF(T$12=0,0,T54/T$12)</f>
        <v>0.49000798731472772</v>
      </c>
      <c r="W54" s="16"/>
      <c r="X54" s="20">
        <f>+P54-T54</f>
        <v>-4442.8299999999872</v>
      </c>
      <c r="Y54" s="16"/>
      <c r="Z54" s="22">
        <f>IF(T54=0,0,X54/T54)</f>
        <v>-3.5674779382833914E-2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9" t="s">
        <v>9</v>
      </c>
      <c r="C56" s="10"/>
      <c r="D56" s="21">
        <f>SUM(OSRRefD22x_0)</f>
        <v>9864.3799999999974</v>
      </c>
      <c r="E56" s="21"/>
      <c r="F56" s="33">
        <f t="shared" ref="F56:F65" si="15">IF(D$12=0,0,D56/D$12)</f>
        <v>0.51270139672484571</v>
      </c>
      <c r="G56" s="21"/>
      <c r="H56" s="21">
        <f>SUM(OSRRefH22x_0)</f>
        <v>8861.72670554461</v>
      </c>
      <c r="I56" s="21"/>
      <c r="J56" s="33">
        <f t="shared" ref="J56:J65" si="16">IF(H$12=0,0,H56/H$12)</f>
        <v>0.36089296296251722</v>
      </c>
      <c r="K56" s="4"/>
      <c r="L56" s="21">
        <f t="shared" ref="L56:L65" si="17">+D56-H56</f>
        <v>1002.6532944553874</v>
      </c>
      <c r="M56" s="4"/>
      <c r="N56" s="33">
        <f t="shared" ref="N56:N65" si="18">IF(H56=0,0,L56/H56)</f>
        <v>0.11314423562938887</v>
      </c>
      <c r="O56" s="10"/>
      <c r="P56" s="21">
        <f>SUM(OSRRefP22x_0)</f>
        <v>50835.499999999993</v>
      </c>
      <c r="Q56" s="21"/>
      <c r="R56" s="33">
        <f t="shared" ref="R56:R65" si="19">IF(P$12=0,0,P56/P$12)</f>
        <v>0.2262771233874992</v>
      </c>
      <c r="S56" s="21"/>
      <c r="T56" s="21">
        <f>SUM(OSRRefT22x_0)</f>
        <v>51594.068705495367</v>
      </c>
      <c r="U56" s="21"/>
      <c r="V56" s="33">
        <f t="shared" ref="V56:V65" si="20">IF(T$12=0,0,T56/T$12)</f>
        <v>0.20300397282540583</v>
      </c>
      <c r="W56" s="4"/>
      <c r="X56" s="21">
        <f t="shared" ref="X56:X65" si="21">+P56-T56</f>
        <v>-758.56870549537416</v>
      </c>
      <c r="Y56" s="4"/>
      <c r="Z56" s="33">
        <f t="shared" ref="Z56:Z65" si="22">IF(T56=0,0,X56/T56)</f>
        <v>-1.4702633936962172E-2</v>
      </c>
    </row>
    <row r="57" spans="1:26" s="26" customFormat="1" outlineLevel="1" collapsed="1" x14ac:dyDescent="0.25">
      <c r="A57" s="27"/>
      <c r="B57" s="13" t="str">
        <f>CONCATENATE("     ","*Benefits                                         ")</f>
        <v xml:space="preserve">     *Benefits                                         </v>
      </c>
      <c r="C57" s="13"/>
      <c r="D57" s="1">
        <f>SUM(OSRRefD22_0x_0)</f>
        <v>1800.21</v>
      </c>
      <c r="E57" s="1"/>
      <c r="F57" s="5">
        <f t="shared" si="15"/>
        <v>9.3565959685052144E-2</v>
      </c>
      <c r="G57" s="1"/>
      <c r="H57" s="1">
        <f>SUM(OSRRefH22_0x_0)</f>
        <v>1513.569111698461</v>
      </c>
      <c r="I57" s="1"/>
      <c r="J57" s="5">
        <f t="shared" si="16"/>
        <v>6.1639955679025089E-2</v>
      </c>
      <c r="K57" s="1"/>
      <c r="L57" s="1">
        <f t="shared" si="17"/>
        <v>286.64088830153901</v>
      </c>
      <c r="M57" s="1"/>
      <c r="N57" s="5">
        <f t="shared" si="18"/>
        <v>0.18938077295980435</v>
      </c>
      <c r="O57" s="13"/>
      <c r="P57" s="1">
        <f>SUM(OSRRefP22_0x_0)</f>
        <v>8596.77</v>
      </c>
      <c r="Q57" s="1"/>
      <c r="R57" s="5">
        <f t="shared" si="19"/>
        <v>3.8265629058904738E-2</v>
      </c>
      <c r="S57" s="1"/>
      <c r="T57" s="1">
        <f>SUM(OSRRefT22_0x_0)</f>
        <v>8772.3269393415376</v>
      </c>
      <c r="U57" s="1"/>
      <c r="V57" s="5">
        <f t="shared" si="20"/>
        <v>3.4515929142451739E-2</v>
      </c>
      <c r="W57" s="1"/>
      <c r="X57" s="1">
        <f t="shared" si="21"/>
        <v>-175.55693934153715</v>
      </c>
      <c r="Y57" s="1"/>
      <c r="Z57" s="5">
        <f t="shared" si="22"/>
        <v>-2.0012585093495693E-2</v>
      </c>
    </row>
    <row r="58" spans="1:26" s="24" customFormat="1" hidden="1" outlineLevel="2" x14ac:dyDescent="0.25">
      <c r="A58" s="25"/>
      <c r="B58" s="11" t="str">
        <f>CONCATENATE("          ", "6111", " - ", "F.I.C.A.")</f>
        <v xml:space="preserve">          6111 - F.I.C.A.</v>
      </c>
      <c r="C58" s="11"/>
      <c r="D58" s="6">
        <v>180.9</v>
      </c>
      <c r="E58" s="2"/>
      <c r="F58" s="7">
        <f t="shared" si="15"/>
        <v>9.4022820154459393E-3</v>
      </c>
      <c r="G58" s="2"/>
      <c r="H58" s="6">
        <v>174.43080234461499</v>
      </c>
      <c r="I58" s="2"/>
      <c r="J58" s="7">
        <f t="shared" si="16"/>
        <v>7.1036775542502543E-3</v>
      </c>
      <c r="K58" s="2"/>
      <c r="L58" s="6">
        <f t="shared" si="17"/>
        <v>6.4691976553850168</v>
      </c>
      <c r="M58" s="2"/>
      <c r="N58" s="7">
        <f t="shared" si="18"/>
        <v>3.7087472902888552E-2</v>
      </c>
      <c r="O58" s="11"/>
      <c r="P58" s="6">
        <v>1415.17</v>
      </c>
      <c r="Q58" s="2"/>
      <c r="R58" s="7">
        <f t="shared" si="19"/>
        <v>6.2991530860183791E-3</v>
      </c>
      <c r="S58" s="2"/>
      <c r="T58" s="6">
        <v>1703.814987895383</v>
      </c>
      <c r="U58" s="2"/>
      <c r="V58" s="7">
        <f t="shared" si="20"/>
        <v>6.7038948503278847E-3</v>
      </c>
      <c r="W58" s="2"/>
      <c r="X58" s="6">
        <f t="shared" si="21"/>
        <v>-288.64498789538288</v>
      </c>
      <c r="Y58" s="2"/>
      <c r="Z58" s="7">
        <f t="shared" si="22"/>
        <v>-0.16941099235893456</v>
      </c>
    </row>
    <row r="59" spans="1:26" s="24" customFormat="1" hidden="1" outlineLevel="2" x14ac:dyDescent="0.25">
      <c r="A59" s="25"/>
      <c r="B59" s="11" t="str">
        <f>CONCATENATE("          ", "6112", " - ", "COMPENSATION INSURANCE")</f>
        <v xml:space="preserve">          6112 - COMPENSATION INSURANCE</v>
      </c>
      <c r="C59" s="11"/>
      <c r="D59" s="6">
        <v>118</v>
      </c>
      <c r="E59" s="2"/>
      <c r="F59" s="7">
        <f t="shared" si="15"/>
        <v>6.1330529453986777E-3</v>
      </c>
      <c r="G59" s="2"/>
      <c r="H59" s="6">
        <v>115.90945030769201</v>
      </c>
      <c r="I59" s="2"/>
      <c r="J59" s="7">
        <f t="shared" si="16"/>
        <v>4.7204011528280193E-3</v>
      </c>
      <c r="K59" s="2"/>
      <c r="L59" s="6">
        <f t="shared" si="17"/>
        <v>2.090549692307988</v>
      </c>
      <c r="M59" s="2"/>
      <c r="N59" s="7">
        <f t="shared" si="18"/>
        <v>1.8036059068164301E-2</v>
      </c>
      <c r="O59" s="11"/>
      <c r="P59" s="6">
        <v>527.05999999999995</v>
      </c>
      <c r="Q59" s="2"/>
      <c r="R59" s="7">
        <f t="shared" si="19"/>
        <v>2.3460302476146656E-3</v>
      </c>
      <c r="S59" s="2"/>
      <c r="T59" s="6">
        <v>696.81760169230597</v>
      </c>
      <c r="U59" s="2"/>
      <c r="V59" s="7">
        <f t="shared" si="20"/>
        <v>2.7417248731760237E-3</v>
      </c>
      <c r="W59" s="2"/>
      <c r="X59" s="6">
        <f t="shared" si="21"/>
        <v>-169.75760169230603</v>
      </c>
      <c r="Y59" s="2"/>
      <c r="Z59" s="7">
        <f t="shared" si="22"/>
        <v>-0.2436184179045264</v>
      </c>
    </row>
    <row r="60" spans="1:26" s="24" customFormat="1" hidden="1" outlineLevel="2" x14ac:dyDescent="0.25">
      <c r="A60" s="25"/>
      <c r="B60" s="11" t="str">
        <f>CONCATENATE("          ", "6113", " - ", "GROUP INSURANCE")</f>
        <v xml:space="preserve">          6113 - GROUP INSURANCE</v>
      </c>
      <c r="C60" s="11"/>
      <c r="D60" s="6">
        <v>1107.68</v>
      </c>
      <c r="E60" s="2"/>
      <c r="F60" s="7">
        <f t="shared" si="15"/>
        <v>5.7571695648806841E-2</v>
      </c>
      <c r="G60" s="2"/>
      <c r="H60" s="6">
        <v>790.8</v>
      </c>
      <c r="I60" s="2"/>
      <c r="J60" s="7">
        <f t="shared" si="16"/>
        <v>3.2205253512522909E-2</v>
      </c>
      <c r="K60" s="2"/>
      <c r="L60" s="6">
        <f t="shared" si="17"/>
        <v>316.88000000000011</v>
      </c>
      <c r="M60" s="2"/>
      <c r="N60" s="7">
        <f t="shared" si="18"/>
        <v>0.40070814365199814</v>
      </c>
      <c r="O60" s="11"/>
      <c r="P60" s="6">
        <v>3880.44</v>
      </c>
      <c r="Q60" s="2"/>
      <c r="R60" s="7">
        <f t="shared" si="19"/>
        <v>1.7272472989894611E-2</v>
      </c>
      <c r="S60" s="2"/>
      <c r="T60" s="6">
        <v>3954</v>
      </c>
      <c r="U60" s="2"/>
      <c r="V60" s="7">
        <f t="shared" si="20"/>
        <v>1.5557557849012209E-2</v>
      </c>
      <c r="W60" s="2"/>
      <c r="X60" s="6">
        <f t="shared" si="21"/>
        <v>-73.559999999999945</v>
      </c>
      <c r="Y60" s="2"/>
      <c r="Z60" s="7">
        <f t="shared" si="22"/>
        <v>-1.8603945371775402E-2</v>
      </c>
    </row>
    <row r="61" spans="1:26" s="24" customFormat="1" hidden="1" outlineLevel="2" x14ac:dyDescent="0.25">
      <c r="A61" s="25"/>
      <c r="B61" s="11" t="str">
        <f>CONCATENATE("          ", "6114", " - ", "STATE UNEMPLOYMENT INSURANCE")</f>
        <v xml:space="preserve">          6114 - STATE UNEMPLOYMENT INSURANCE</v>
      </c>
      <c r="C61" s="11"/>
      <c r="D61" s="6">
        <v>17.170000000000002</v>
      </c>
      <c r="E61" s="2"/>
      <c r="F61" s="7">
        <f t="shared" si="15"/>
        <v>8.9241117858046863E-4</v>
      </c>
      <c r="G61" s="2"/>
      <c r="H61" s="6">
        <v>15.8612932</v>
      </c>
      <c r="I61" s="2"/>
      <c r="J61" s="7">
        <f t="shared" si="16"/>
        <v>6.4594963143962535E-4</v>
      </c>
      <c r="K61" s="2"/>
      <c r="L61" s="6">
        <f t="shared" si="17"/>
        <v>1.3087068000000013</v>
      </c>
      <c r="M61" s="2"/>
      <c r="N61" s="7">
        <f t="shared" si="18"/>
        <v>8.2509463982419873E-2</v>
      </c>
      <c r="O61" s="11"/>
      <c r="P61" s="6">
        <v>91.7</v>
      </c>
      <c r="Q61" s="2"/>
      <c r="R61" s="7">
        <f t="shared" si="19"/>
        <v>4.0817169526479884E-4</v>
      </c>
      <c r="S61" s="2"/>
      <c r="T61" s="6">
        <v>95.353987599999996</v>
      </c>
      <c r="U61" s="2"/>
      <c r="V61" s="7">
        <f t="shared" si="20"/>
        <v>3.751834036977726E-4</v>
      </c>
      <c r="W61" s="2"/>
      <c r="X61" s="6">
        <f t="shared" si="21"/>
        <v>-3.6539875999999936</v>
      </c>
      <c r="Y61" s="2"/>
      <c r="Z61" s="7">
        <f t="shared" si="22"/>
        <v>-3.8320239058361037E-2</v>
      </c>
    </row>
    <row r="62" spans="1:26" s="24" customFormat="1" hidden="1" outlineLevel="2" x14ac:dyDescent="0.25">
      <c r="A62" s="25"/>
      <c r="B62" s="11" t="str">
        <f>CONCATENATE("          ", "6115", " - ", "P.E.R.S.")</f>
        <v xml:space="preserve">          6115 - P.E.R.S.</v>
      </c>
      <c r="C62" s="11"/>
      <c r="D62" s="6">
        <v>232.24</v>
      </c>
      <c r="E62" s="2"/>
      <c r="F62" s="7">
        <f t="shared" si="15"/>
        <v>1.2070679796943973E-2</v>
      </c>
      <c r="G62" s="2"/>
      <c r="H62" s="6">
        <v>196.01527507692302</v>
      </c>
      <c r="I62" s="2"/>
      <c r="J62" s="7">
        <f t="shared" si="16"/>
        <v>7.9827031185877827E-3</v>
      </c>
      <c r="K62" s="2"/>
      <c r="L62" s="6">
        <f t="shared" si="17"/>
        <v>36.224724923076991</v>
      </c>
      <c r="M62" s="2"/>
      <c r="N62" s="7">
        <f t="shared" si="18"/>
        <v>0.1848056224641737</v>
      </c>
      <c r="O62" s="11"/>
      <c r="P62" s="6">
        <v>795.28</v>
      </c>
      <c r="Q62" s="2"/>
      <c r="R62" s="7">
        <f t="shared" si="19"/>
        <v>3.539921328355389E-3</v>
      </c>
      <c r="S62" s="2"/>
      <c r="T62" s="6">
        <v>1078.0840129230771</v>
      </c>
      <c r="U62" s="2"/>
      <c r="V62" s="7">
        <f t="shared" si="20"/>
        <v>4.241870105499747E-3</v>
      </c>
      <c r="W62" s="2"/>
      <c r="X62" s="6">
        <f t="shared" si="21"/>
        <v>-282.80401292307715</v>
      </c>
      <c r="Y62" s="2"/>
      <c r="Z62" s="7">
        <f t="shared" si="22"/>
        <v>-0.26232094116328913</v>
      </c>
    </row>
    <row r="63" spans="1:26" s="24" customFormat="1" hidden="1" outlineLevel="2" x14ac:dyDescent="0.25">
      <c r="A63" s="25"/>
      <c r="B63" s="11" t="str">
        <f>CONCATENATE("          ", "6116", " - ", "EDUCATIONAL BENEFITS")</f>
        <v xml:space="preserve">          6116 - EDUCATIONAL BENEFITS</v>
      </c>
      <c r="C63" s="11"/>
      <c r="D63" s="6"/>
      <c r="E63" s="2"/>
      <c r="F63" s="7">
        <f t="shared" si="15"/>
        <v>0</v>
      </c>
      <c r="G63" s="2"/>
      <c r="H63" s="6">
        <v>0</v>
      </c>
      <c r="I63" s="2"/>
      <c r="J63" s="7">
        <f t="shared" si="16"/>
        <v>0</v>
      </c>
      <c r="K63" s="2"/>
      <c r="L63" s="6">
        <f t="shared" si="17"/>
        <v>0</v>
      </c>
      <c r="M63" s="2"/>
      <c r="N63" s="7">
        <f t="shared" si="18"/>
        <v>0</v>
      </c>
      <c r="O63" s="11"/>
      <c r="P63" s="6"/>
      <c r="Q63" s="2"/>
      <c r="R63" s="7">
        <f t="shared" si="19"/>
        <v>0</v>
      </c>
      <c r="S63" s="2"/>
      <c r="T63" s="6">
        <v>0</v>
      </c>
      <c r="U63" s="2"/>
      <c r="V63" s="7">
        <f t="shared" si="20"/>
        <v>0</v>
      </c>
      <c r="W63" s="2"/>
      <c r="X63" s="6">
        <f t="shared" si="21"/>
        <v>0</v>
      </c>
      <c r="Y63" s="2"/>
      <c r="Z63" s="7">
        <f t="shared" si="22"/>
        <v>0</v>
      </c>
    </row>
    <row r="64" spans="1:26" s="24" customFormat="1" hidden="1" outlineLevel="2" x14ac:dyDescent="0.25">
      <c r="A64" s="25"/>
      <c r="B64" s="11" t="str">
        <f>CONCATENATE("          ", "6118", " - ", "VACATION")</f>
        <v xml:space="preserve">          6118 - VACATION</v>
      </c>
      <c r="C64" s="11"/>
      <c r="D64" s="6">
        <v>57.28</v>
      </c>
      <c r="E64" s="2"/>
      <c r="F64" s="7">
        <f t="shared" si="15"/>
        <v>2.9771294297664089E-3</v>
      </c>
      <c r="G64" s="2"/>
      <c r="H64" s="6">
        <v>113.962369230769</v>
      </c>
      <c r="I64" s="2"/>
      <c r="J64" s="7">
        <f t="shared" si="16"/>
        <v>4.641106464295215E-3</v>
      </c>
      <c r="K64" s="2"/>
      <c r="L64" s="6">
        <f t="shared" si="17"/>
        <v>-56.682369230768998</v>
      </c>
      <c r="M64" s="2"/>
      <c r="N64" s="7">
        <f t="shared" si="18"/>
        <v>-0.49737794689043002</v>
      </c>
      <c r="O64" s="11"/>
      <c r="P64" s="6">
        <v>935.1</v>
      </c>
      <c r="Q64" s="2"/>
      <c r="R64" s="7">
        <f t="shared" si="19"/>
        <v>4.1622830124548897E-3</v>
      </c>
      <c r="S64" s="2"/>
      <c r="T64" s="6">
        <v>626.793030769231</v>
      </c>
      <c r="U64" s="2"/>
      <c r="V64" s="7">
        <f t="shared" si="20"/>
        <v>2.4662035497091555E-3</v>
      </c>
      <c r="W64" s="2"/>
      <c r="X64" s="6">
        <f t="shared" si="21"/>
        <v>308.30696923076903</v>
      </c>
      <c r="Y64" s="2"/>
      <c r="Z64" s="7">
        <f t="shared" si="22"/>
        <v>0.49188002114892643</v>
      </c>
    </row>
    <row r="65" spans="1:26" s="24" customFormat="1" hidden="1" outlineLevel="2" x14ac:dyDescent="0.25">
      <c r="A65" s="25"/>
      <c r="B65" s="11" t="str">
        <f>CONCATENATE("          ", "6119", " - ", "SICK LEAVE")</f>
        <v xml:space="preserve">          6119 - SICK LEAVE</v>
      </c>
      <c r="C65" s="11"/>
      <c r="D65" s="6">
        <v>86.94</v>
      </c>
      <c r="E65" s="2"/>
      <c r="F65" s="7">
        <f t="shared" si="15"/>
        <v>4.5187086701098389E-3</v>
      </c>
      <c r="G65" s="2"/>
      <c r="H65" s="6">
        <v>106.58992153846201</v>
      </c>
      <c r="I65" s="2"/>
      <c r="J65" s="7">
        <f t="shared" si="16"/>
        <v>4.3408642451012829E-3</v>
      </c>
      <c r="K65" s="2"/>
      <c r="L65" s="6">
        <f t="shared" si="17"/>
        <v>-19.64992153846201</v>
      </c>
      <c r="M65" s="2"/>
      <c r="N65" s="7">
        <f t="shared" si="18"/>
        <v>-0.18435065205833287</v>
      </c>
      <c r="O65" s="11"/>
      <c r="P65" s="6">
        <v>952.02</v>
      </c>
      <c r="Q65" s="2"/>
      <c r="R65" s="7">
        <f t="shared" si="19"/>
        <v>4.237596699302004E-3</v>
      </c>
      <c r="S65" s="2"/>
      <c r="T65" s="6">
        <v>617.4633184615401</v>
      </c>
      <c r="U65" s="2"/>
      <c r="V65" s="7">
        <f t="shared" si="20"/>
        <v>2.4294945110289474E-3</v>
      </c>
      <c r="W65" s="2"/>
      <c r="X65" s="6">
        <f t="shared" si="21"/>
        <v>334.55668153845988</v>
      </c>
      <c r="Y65" s="2"/>
      <c r="Z65" s="7">
        <f t="shared" si="22"/>
        <v>0.54182438298040925</v>
      </c>
    </row>
    <row r="66" spans="1:26" s="26" customFormat="1" outlineLevel="1" collapsed="1" x14ac:dyDescent="0.25">
      <c r="A66" s="27"/>
      <c r="B66" s="13" t="str">
        <f>CONCATENATE("     ","*Payroll                                          ")</f>
        <v xml:space="preserve">     *Payroll                                          </v>
      </c>
      <c r="C66" s="13"/>
      <c r="D66" s="1">
        <f>SUM(OSRRefD22_1x_0)</f>
        <v>6249.68</v>
      </c>
      <c r="E66" s="1"/>
      <c r="F66" s="5">
        <f t="shared" ref="F66:F76" si="23">IF(D$12=0,0,D66/D$12)</f>
        <v>0.32482727399829836</v>
      </c>
      <c r="G66" s="1"/>
      <c r="H66" s="1">
        <f>SUM(OSRRefH22_1x_0)</f>
        <v>5918.1575938461501</v>
      </c>
      <c r="I66" s="1"/>
      <c r="J66" s="5">
        <f t="shared" ref="J66:J76" si="24">IF(H$12=0,0,H66/H$12)</f>
        <v>0.24101639559544494</v>
      </c>
      <c r="K66" s="1"/>
      <c r="L66" s="1">
        <f t="shared" ref="L66:L76" si="25">+D66-H66</f>
        <v>331.52240615385017</v>
      </c>
      <c r="M66" s="1"/>
      <c r="N66" s="5">
        <f t="shared" ref="N66:N76" si="26">IF(H66=0,0,L66/H66)</f>
        <v>5.601784016339402E-2</v>
      </c>
      <c r="O66" s="13"/>
      <c r="P66" s="1">
        <f>SUM(OSRRefP22_1x_0)</f>
        <v>36029.65</v>
      </c>
      <c r="Q66" s="1"/>
      <c r="R66" s="5">
        <f t="shared" ref="R66:R76" si="27">IF(P$12=0,0,P66/P$12)</f>
        <v>0.16037386390727762</v>
      </c>
      <c r="S66" s="1"/>
      <c r="T66" s="1">
        <f>SUM(OSRRefT22_1x_0)</f>
        <v>35671.741766153835</v>
      </c>
      <c r="U66" s="1"/>
      <c r="V66" s="5">
        <f t="shared" ref="V66:V76" si="28">IF(T$12=0,0,T66/T$12)</f>
        <v>0.14035538343499324</v>
      </c>
      <c r="W66" s="1"/>
      <c r="X66" s="1">
        <f t="shared" ref="X66:X76" si="29">+P66-T66</f>
        <v>357.9082338461667</v>
      </c>
      <c r="Y66" s="1"/>
      <c r="Z66" s="5">
        <f t="shared" ref="Z66:Z76" si="30">IF(T66=0,0,X66/T66)</f>
        <v>1.0033382619565783E-2</v>
      </c>
    </row>
    <row r="67" spans="1:26" s="24" customFormat="1" hidden="1" outlineLevel="2" x14ac:dyDescent="0.25">
      <c r="A67" s="25"/>
      <c r="B67" s="11" t="str">
        <f>CONCATENATE("          ", "6001", " - ", "ADMINISTRATIVE SALARIES")</f>
        <v xml:space="preserve">          6001 - ADMINISTRATIVE SALARIES</v>
      </c>
      <c r="C67" s="11"/>
      <c r="D67" s="6"/>
      <c r="E67" s="2"/>
      <c r="F67" s="7">
        <f t="shared" si="23"/>
        <v>0</v>
      </c>
      <c r="G67" s="2"/>
      <c r="H67" s="6">
        <v>2096.9075938461501</v>
      </c>
      <c r="I67" s="2"/>
      <c r="J67" s="7">
        <f t="shared" si="24"/>
        <v>8.5396358943031977E-2</v>
      </c>
      <c r="K67" s="2"/>
      <c r="L67" s="6">
        <f t="shared" si="25"/>
        <v>-2096.9075938461501</v>
      </c>
      <c r="M67" s="2"/>
      <c r="N67" s="7">
        <f t="shared" si="26"/>
        <v>-1</v>
      </c>
      <c r="O67" s="11"/>
      <c r="P67" s="6"/>
      <c r="Q67" s="2"/>
      <c r="R67" s="7">
        <f t="shared" si="27"/>
        <v>0</v>
      </c>
      <c r="S67" s="2"/>
      <c r="T67" s="6">
        <v>11532.991766153831</v>
      </c>
      <c r="U67" s="2"/>
      <c r="V67" s="7">
        <f t="shared" si="28"/>
        <v>4.5378145314648385E-2</v>
      </c>
      <c r="W67" s="2"/>
      <c r="X67" s="6">
        <f t="shared" si="29"/>
        <v>-11532.991766153831</v>
      </c>
      <c r="Y67" s="2"/>
      <c r="Z67" s="7">
        <f t="shared" si="30"/>
        <v>-1</v>
      </c>
    </row>
    <row r="68" spans="1:26" s="24" customFormat="1" hidden="1" outlineLevel="2" x14ac:dyDescent="0.25">
      <c r="A68" s="25"/>
      <c r="B68" s="11" t="str">
        <f>CONCATENATE("          ", "6002", " - ", "STAFF SALARIES")</f>
        <v xml:space="preserve">          6002 - STAFF SALARIES</v>
      </c>
      <c r="C68" s="11"/>
      <c r="D68" s="6">
        <v>2364.8000000000002</v>
      </c>
      <c r="E68" s="2"/>
      <c r="F68" s="7">
        <f t="shared" si="23"/>
        <v>0.12291053902778638</v>
      </c>
      <c r="G68" s="2"/>
      <c r="H68" s="6">
        <v>0</v>
      </c>
      <c r="I68" s="2"/>
      <c r="J68" s="7">
        <f t="shared" si="24"/>
        <v>0</v>
      </c>
      <c r="K68" s="2"/>
      <c r="L68" s="6">
        <f t="shared" si="25"/>
        <v>2364.8000000000002</v>
      </c>
      <c r="M68" s="2"/>
      <c r="N68" s="7">
        <f t="shared" si="26"/>
        <v>0</v>
      </c>
      <c r="O68" s="11"/>
      <c r="P68" s="6">
        <v>10996.91</v>
      </c>
      <c r="Q68" s="2"/>
      <c r="R68" s="7">
        <f t="shared" si="27"/>
        <v>4.8949044682381884E-2</v>
      </c>
      <c r="S68" s="2"/>
      <c r="T68" s="6">
        <v>0</v>
      </c>
      <c r="U68" s="2"/>
      <c r="V68" s="7">
        <f t="shared" si="28"/>
        <v>0</v>
      </c>
      <c r="W68" s="2"/>
      <c r="X68" s="6">
        <f t="shared" si="29"/>
        <v>10996.91</v>
      </c>
      <c r="Y68" s="2"/>
      <c r="Z68" s="7">
        <f t="shared" si="30"/>
        <v>0</v>
      </c>
    </row>
    <row r="69" spans="1:26" s="24" customFormat="1" hidden="1" outlineLevel="2" x14ac:dyDescent="0.25">
      <c r="A69" s="25"/>
      <c r="B69" s="11" t="str">
        <f>CONCATENATE("          ", "6003", " - ", "STAFF HOURLY-9 MONTH")</f>
        <v xml:space="preserve">          6003 - STAFF HOURLY-9 MONTH</v>
      </c>
      <c r="C69" s="11"/>
      <c r="D69" s="6"/>
      <c r="E69" s="2"/>
      <c r="F69" s="7">
        <f t="shared" si="23"/>
        <v>0</v>
      </c>
      <c r="G69" s="2"/>
      <c r="H69" s="6">
        <v>0</v>
      </c>
      <c r="I69" s="2"/>
      <c r="J69" s="7">
        <f t="shared" si="24"/>
        <v>0</v>
      </c>
      <c r="K69" s="2"/>
      <c r="L69" s="6">
        <f t="shared" si="25"/>
        <v>0</v>
      </c>
      <c r="M69" s="2"/>
      <c r="N69" s="7">
        <f t="shared" si="26"/>
        <v>0</v>
      </c>
      <c r="O69" s="11"/>
      <c r="P69" s="6"/>
      <c r="Q69" s="2"/>
      <c r="R69" s="7">
        <f t="shared" si="27"/>
        <v>0</v>
      </c>
      <c r="S69" s="2"/>
      <c r="T69" s="6">
        <v>0</v>
      </c>
      <c r="U69" s="2"/>
      <c r="V69" s="7">
        <f t="shared" si="28"/>
        <v>0</v>
      </c>
      <c r="W69" s="2"/>
      <c r="X69" s="6">
        <f t="shared" si="29"/>
        <v>0</v>
      </c>
      <c r="Y69" s="2"/>
      <c r="Z69" s="7">
        <f t="shared" si="30"/>
        <v>0</v>
      </c>
    </row>
    <row r="70" spans="1:26" s="24" customFormat="1" hidden="1" outlineLevel="2" x14ac:dyDescent="0.25">
      <c r="A70" s="25"/>
      <c r="B70" s="11" t="str">
        <f>CONCATENATE("          ", "6004", " - ", "STAFF HOURLY")</f>
        <v xml:space="preserve">          6004 - STAFF HOURLY</v>
      </c>
      <c r="C70" s="11"/>
      <c r="D70" s="6">
        <v>-48</v>
      </c>
      <c r="E70" s="2"/>
      <c r="F70" s="7">
        <f t="shared" si="23"/>
        <v>-2.4948011981282756E-3</v>
      </c>
      <c r="G70" s="2"/>
      <c r="H70" s="6">
        <v>0</v>
      </c>
      <c r="I70" s="2"/>
      <c r="J70" s="7">
        <f t="shared" si="24"/>
        <v>0</v>
      </c>
      <c r="K70" s="2"/>
      <c r="L70" s="6">
        <f t="shared" si="25"/>
        <v>-48</v>
      </c>
      <c r="M70" s="2"/>
      <c r="N70" s="7">
        <f t="shared" si="26"/>
        <v>0</v>
      </c>
      <c r="O70" s="11"/>
      <c r="P70" s="6">
        <v>-48</v>
      </c>
      <c r="Q70" s="2"/>
      <c r="R70" s="7">
        <f t="shared" si="27"/>
        <v>-2.1365584921167221E-4</v>
      </c>
      <c r="S70" s="2"/>
      <c r="T70" s="6">
        <v>0</v>
      </c>
      <c r="U70" s="2"/>
      <c r="V70" s="7">
        <f t="shared" si="28"/>
        <v>0</v>
      </c>
      <c r="W70" s="2"/>
      <c r="X70" s="6">
        <f t="shared" si="29"/>
        <v>-48</v>
      </c>
      <c r="Y70" s="2"/>
      <c r="Z70" s="7">
        <f t="shared" si="30"/>
        <v>0</v>
      </c>
    </row>
    <row r="71" spans="1:26" s="24" customFormat="1" hidden="1" outlineLevel="2" x14ac:dyDescent="0.25">
      <c r="A71" s="25"/>
      <c r="B71" s="11" t="str">
        <f>CONCATENATE("          ", "6005", " - ", "TEMPORARY WAGES-HOURLY")</f>
        <v xml:space="preserve">          6005 - TEMPORARY WAGES-HOURLY</v>
      </c>
      <c r="C71" s="11"/>
      <c r="D71" s="6"/>
      <c r="E71" s="2"/>
      <c r="F71" s="7">
        <f t="shared" si="23"/>
        <v>0</v>
      </c>
      <c r="G71" s="2"/>
      <c r="H71" s="6">
        <v>0</v>
      </c>
      <c r="I71" s="2"/>
      <c r="J71" s="7">
        <f t="shared" si="24"/>
        <v>0</v>
      </c>
      <c r="K71" s="2"/>
      <c r="L71" s="6">
        <f t="shared" si="25"/>
        <v>0</v>
      </c>
      <c r="M71" s="2"/>
      <c r="N71" s="7">
        <f t="shared" si="26"/>
        <v>0</v>
      </c>
      <c r="O71" s="11"/>
      <c r="P71" s="6"/>
      <c r="Q71" s="2"/>
      <c r="R71" s="7">
        <f t="shared" si="27"/>
        <v>0</v>
      </c>
      <c r="S71" s="2"/>
      <c r="T71" s="6">
        <v>0</v>
      </c>
      <c r="U71" s="2"/>
      <c r="V71" s="7">
        <f t="shared" si="28"/>
        <v>0</v>
      </c>
      <c r="W71" s="2"/>
      <c r="X71" s="6">
        <f t="shared" si="29"/>
        <v>0</v>
      </c>
      <c r="Y71" s="2"/>
      <c r="Z71" s="7">
        <f t="shared" si="30"/>
        <v>0</v>
      </c>
    </row>
    <row r="72" spans="1:26" s="24" customFormat="1" hidden="1" outlineLevel="2" x14ac:dyDescent="0.25">
      <c r="A72" s="25"/>
      <c r="B72" s="11" t="str">
        <f>CONCATENATE("          ", "6006", " - ", "TEMPORARY PART TIME")</f>
        <v xml:space="preserve">          6006 - TEMPORARY PART TIME</v>
      </c>
      <c r="C72" s="11"/>
      <c r="D72" s="6"/>
      <c r="E72" s="2"/>
      <c r="F72" s="7">
        <f t="shared" si="23"/>
        <v>0</v>
      </c>
      <c r="G72" s="2"/>
      <c r="H72" s="6">
        <v>0</v>
      </c>
      <c r="I72" s="2"/>
      <c r="J72" s="7">
        <f t="shared" si="24"/>
        <v>0</v>
      </c>
      <c r="K72" s="2"/>
      <c r="L72" s="6">
        <f t="shared" si="25"/>
        <v>0</v>
      </c>
      <c r="M72" s="2"/>
      <c r="N72" s="7">
        <f t="shared" si="26"/>
        <v>0</v>
      </c>
      <c r="O72" s="11"/>
      <c r="P72" s="6"/>
      <c r="Q72" s="2"/>
      <c r="R72" s="7">
        <f t="shared" si="27"/>
        <v>0</v>
      </c>
      <c r="S72" s="2"/>
      <c r="T72" s="6">
        <v>0</v>
      </c>
      <c r="U72" s="2"/>
      <c r="V72" s="7">
        <f t="shared" si="28"/>
        <v>0</v>
      </c>
      <c r="W72" s="2"/>
      <c r="X72" s="6">
        <f t="shared" si="29"/>
        <v>0</v>
      </c>
      <c r="Y72" s="2"/>
      <c r="Z72" s="7">
        <f t="shared" si="30"/>
        <v>0</v>
      </c>
    </row>
    <row r="73" spans="1:26" s="24" customFormat="1" hidden="1" outlineLevel="2" x14ac:dyDescent="0.25">
      <c r="A73" s="25"/>
      <c r="B73" s="11" t="str">
        <f>CONCATENATE("          ", "6007", " - ", "STUDENT HOURLY")</f>
        <v xml:space="preserve">          6007 - STUDENT HOURLY</v>
      </c>
      <c r="C73" s="11"/>
      <c r="D73" s="6">
        <v>3932.88</v>
      </c>
      <c r="E73" s="2"/>
      <c r="F73" s="7">
        <f t="shared" si="23"/>
        <v>0.20441153616864027</v>
      </c>
      <c r="G73" s="2"/>
      <c r="H73" s="6">
        <v>0</v>
      </c>
      <c r="I73" s="2"/>
      <c r="J73" s="7">
        <f t="shared" si="24"/>
        <v>0</v>
      </c>
      <c r="K73" s="2"/>
      <c r="L73" s="6">
        <f t="shared" si="25"/>
        <v>3932.88</v>
      </c>
      <c r="M73" s="2"/>
      <c r="N73" s="7">
        <f t="shared" si="26"/>
        <v>0</v>
      </c>
      <c r="O73" s="11"/>
      <c r="P73" s="6">
        <v>25080.74</v>
      </c>
      <c r="Q73" s="2"/>
      <c r="R73" s="7">
        <f t="shared" si="27"/>
        <v>0.11163847507410742</v>
      </c>
      <c r="S73" s="2"/>
      <c r="T73" s="6">
        <v>9727.5</v>
      </c>
      <c r="U73" s="2"/>
      <c r="V73" s="7">
        <f t="shared" si="28"/>
        <v>3.8274189169515999E-2</v>
      </c>
      <c r="W73" s="2"/>
      <c r="X73" s="6">
        <f t="shared" si="29"/>
        <v>15353.240000000002</v>
      </c>
      <c r="Y73" s="2"/>
      <c r="Z73" s="7">
        <f t="shared" si="30"/>
        <v>1.5783335903366746</v>
      </c>
    </row>
    <row r="74" spans="1:26" s="24" customFormat="1" hidden="1" outlineLevel="2" x14ac:dyDescent="0.25">
      <c r="A74" s="25"/>
      <c r="B74" s="11" t="str">
        <f>CONCATENATE("          ", "6008", " - ", "STUDENT HOURLY-FICA EXEMPT")</f>
        <v xml:space="preserve">          6008 - STUDENT HOURLY-FICA EXEMPT</v>
      </c>
      <c r="C74" s="11"/>
      <c r="D74" s="6"/>
      <c r="E74" s="2"/>
      <c r="F74" s="7">
        <f t="shared" si="23"/>
        <v>0</v>
      </c>
      <c r="G74" s="2"/>
      <c r="H74" s="6">
        <v>3821.25</v>
      </c>
      <c r="I74" s="2"/>
      <c r="J74" s="7">
        <f t="shared" si="24"/>
        <v>0.15562003665241295</v>
      </c>
      <c r="K74" s="2"/>
      <c r="L74" s="6">
        <f t="shared" si="25"/>
        <v>-3821.25</v>
      </c>
      <c r="M74" s="2"/>
      <c r="N74" s="7">
        <f t="shared" si="26"/>
        <v>-1</v>
      </c>
      <c r="O74" s="11"/>
      <c r="P74" s="6"/>
      <c r="Q74" s="2"/>
      <c r="R74" s="7">
        <f t="shared" si="27"/>
        <v>0</v>
      </c>
      <c r="S74" s="2"/>
      <c r="T74" s="6">
        <v>14411.25</v>
      </c>
      <c r="U74" s="2"/>
      <c r="V74" s="7">
        <f t="shared" si="28"/>
        <v>5.6703048950828831E-2</v>
      </c>
      <c r="W74" s="2"/>
      <c r="X74" s="6">
        <f t="shared" si="29"/>
        <v>-14411.25</v>
      </c>
      <c r="Y74" s="2"/>
      <c r="Z74" s="7">
        <f t="shared" si="30"/>
        <v>-1</v>
      </c>
    </row>
    <row r="75" spans="1:26" s="24" customFormat="1" hidden="1" outlineLevel="2" x14ac:dyDescent="0.25">
      <c r="A75" s="25"/>
      <c r="B75" s="11" t="str">
        <f>CONCATENATE("          ", "6009", " - ", "TEMPORARY-SEASONAL")</f>
        <v xml:space="preserve">          6009 - TEMPORARY-SEASONAL</v>
      </c>
      <c r="C75" s="11"/>
      <c r="D75" s="6"/>
      <c r="E75" s="2"/>
      <c r="F75" s="7">
        <f t="shared" si="23"/>
        <v>0</v>
      </c>
      <c r="G75" s="2"/>
      <c r="H75" s="6">
        <v>0</v>
      </c>
      <c r="I75" s="2"/>
      <c r="J75" s="7">
        <f t="shared" si="24"/>
        <v>0</v>
      </c>
      <c r="K75" s="2"/>
      <c r="L75" s="6">
        <f t="shared" si="25"/>
        <v>0</v>
      </c>
      <c r="M75" s="2"/>
      <c r="N75" s="7">
        <f t="shared" si="26"/>
        <v>0</v>
      </c>
      <c r="O75" s="11"/>
      <c r="P75" s="6"/>
      <c r="Q75" s="2"/>
      <c r="R75" s="7">
        <f t="shared" si="27"/>
        <v>0</v>
      </c>
      <c r="S75" s="2"/>
      <c r="T75" s="6">
        <v>0</v>
      </c>
      <c r="U75" s="2"/>
      <c r="V75" s="7">
        <f t="shared" si="28"/>
        <v>0</v>
      </c>
      <c r="W75" s="2"/>
      <c r="X75" s="6">
        <f t="shared" si="29"/>
        <v>0</v>
      </c>
      <c r="Y75" s="2"/>
      <c r="Z75" s="7">
        <f t="shared" si="30"/>
        <v>0</v>
      </c>
    </row>
    <row r="76" spans="1:26" s="24" customFormat="1" hidden="1" outlineLevel="2" x14ac:dyDescent="0.25">
      <c r="A76" s="25"/>
      <c r="B76" s="11" t="str">
        <f>CONCATENATE("          ", "6010", " - ", "GRATUITY")</f>
        <v xml:space="preserve">          6010 - GRATUITY</v>
      </c>
      <c r="C76" s="11"/>
      <c r="D76" s="6"/>
      <c r="E76" s="2"/>
      <c r="F76" s="7">
        <f t="shared" si="23"/>
        <v>0</v>
      </c>
      <c r="G76" s="2"/>
      <c r="H76" s="6">
        <v>0</v>
      </c>
      <c r="I76" s="2"/>
      <c r="J76" s="7">
        <f t="shared" si="24"/>
        <v>0</v>
      </c>
      <c r="K76" s="2"/>
      <c r="L76" s="6">
        <f t="shared" si="25"/>
        <v>0</v>
      </c>
      <c r="M76" s="2"/>
      <c r="N76" s="7">
        <f t="shared" si="26"/>
        <v>0</v>
      </c>
      <c r="O76" s="11"/>
      <c r="P76" s="6"/>
      <c r="Q76" s="2"/>
      <c r="R76" s="7">
        <f t="shared" si="27"/>
        <v>0</v>
      </c>
      <c r="S76" s="2"/>
      <c r="T76" s="6">
        <v>0</v>
      </c>
      <c r="U76" s="2"/>
      <c r="V76" s="7">
        <f t="shared" si="28"/>
        <v>0</v>
      </c>
      <c r="W76" s="2"/>
      <c r="X76" s="6">
        <f t="shared" si="29"/>
        <v>0</v>
      </c>
      <c r="Y76" s="2"/>
      <c r="Z76" s="7">
        <f t="shared" si="30"/>
        <v>0</v>
      </c>
    </row>
    <row r="77" spans="1:26" s="26" customFormat="1" outlineLevel="1" collapsed="1" x14ac:dyDescent="0.25">
      <c r="A77" s="27"/>
      <c r="B77" s="13" t="str">
        <f>CONCATENATE("     ","Advertising/Promo                                 ")</f>
        <v xml:space="preserve">     Advertising/Promo                                 </v>
      </c>
      <c r="C77" s="13"/>
      <c r="D77" s="1">
        <f>SUM(OSRRefD22_2x_0)</f>
        <v>545</v>
      </c>
      <c r="E77" s="1"/>
      <c r="F77" s="5">
        <f t="shared" ref="F77:F81" si="31">IF(D$12=0,0,D77/D$12)</f>
        <v>2.8326388603748129E-2</v>
      </c>
      <c r="G77" s="1"/>
      <c r="H77" s="1">
        <f>SUM(OSRRefH22_2x_0)</f>
        <v>80</v>
      </c>
      <c r="I77" s="1"/>
      <c r="J77" s="5">
        <f t="shared" ref="J77:J81" si="32">IF(H$12=0,0,H77/H$12)</f>
        <v>3.2579922622683771E-3</v>
      </c>
      <c r="K77" s="1"/>
      <c r="L77" s="1">
        <f t="shared" ref="L77:L81" si="33">+D77-H77</f>
        <v>465</v>
      </c>
      <c r="M77" s="1"/>
      <c r="N77" s="5">
        <f t="shared" ref="N77:N81" si="34">IF(H77=0,0,L77/H77)</f>
        <v>5.8125</v>
      </c>
      <c r="O77" s="13"/>
      <c r="P77" s="1">
        <f>SUM(OSRRefP22_2x_0)</f>
        <v>881.86</v>
      </c>
      <c r="Q77" s="1"/>
      <c r="R77" s="5">
        <f t="shared" ref="R77:R81" si="35">IF(P$12=0,0,P77/P$12)</f>
        <v>3.9253030663709432E-3</v>
      </c>
      <c r="S77" s="1"/>
      <c r="T77" s="1">
        <f>SUM(OSRRefT22_2x_0)</f>
        <v>400</v>
      </c>
      <c r="U77" s="1"/>
      <c r="V77" s="5">
        <f t="shared" ref="V77:V81" si="36">IF(T$12=0,0,T77/T$12)</f>
        <v>1.5738551187670419E-3</v>
      </c>
      <c r="W77" s="1"/>
      <c r="X77" s="1">
        <f t="shared" ref="X77:X81" si="37">+P77-T77</f>
        <v>481.86</v>
      </c>
      <c r="Y77" s="1"/>
      <c r="Z77" s="5">
        <f t="shared" ref="Z77:Z81" si="38">IF(T77=0,0,X77/T77)</f>
        <v>1.20465</v>
      </c>
    </row>
    <row r="78" spans="1:26" s="24" customFormat="1" hidden="1" outlineLevel="2" x14ac:dyDescent="0.25">
      <c r="A78" s="25"/>
      <c r="B78" s="11" t="str">
        <f>CONCATENATE("          ", "6362", " - ", "ADVERTISING EXPENSE")</f>
        <v xml:space="preserve">          6362 - ADVERTISING EXPENSE</v>
      </c>
      <c r="C78" s="11"/>
      <c r="D78" s="6">
        <v>545</v>
      </c>
      <c r="E78" s="2"/>
      <c r="F78" s="7">
        <f t="shared" si="31"/>
        <v>2.8326388603748129E-2</v>
      </c>
      <c r="G78" s="2"/>
      <c r="H78" s="6">
        <v>80</v>
      </c>
      <c r="I78" s="2"/>
      <c r="J78" s="7">
        <f t="shared" si="32"/>
        <v>3.2579922622683771E-3</v>
      </c>
      <c r="K78" s="2"/>
      <c r="L78" s="6">
        <f t="shared" si="33"/>
        <v>465</v>
      </c>
      <c r="M78" s="2"/>
      <c r="N78" s="7">
        <f t="shared" si="34"/>
        <v>5.8125</v>
      </c>
      <c r="O78" s="11"/>
      <c r="P78" s="6">
        <v>881.86</v>
      </c>
      <c r="Q78" s="2"/>
      <c r="R78" s="7">
        <f t="shared" si="35"/>
        <v>3.9253030663709432E-3</v>
      </c>
      <c r="S78" s="2"/>
      <c r="T78" s="6">
        <v>400</v>
      </c>
      <c r="U78" s="2"/>
      <c r="V78" s="7">
        <f t="shared" si="36"/>
        <v>1.5738551187670419E-3</v>
      </c>
      <c r="W78" s="2"/>
      <c r="X78" s="6">
        <f t="shared" si="37"/>
        <v>481.86</v>
      </c>
      <c r="Y78" s="2"/>
      <c r="Z78" s="7">
        <f t="shared" si="38"/>
        <v>1.20465</v>
      </c>
    </row>
    <row r="79" spans="1:26" s="26" customFormat="1" outlineLevel="1" collapsed="1" x14ac:dyDescent="0.25">
      <c r="A79" s="27"/>
      <c r="B79" s="13" t="str">
        <f>CONCATENATE("     ","Discounts and Markdowns                           ")</f>
        <v xml:space="preserve">     Discounts and Markdowns                           </v>
      </c>
      <c r="C79" s="13"/>
      <c r="D79" s="1">
        <f>SUM(OSRRefD22_3x_0)</f>
        <v>1229.05</v>
      </c>
      <c r="E79" s="1"/>
      <c r="F79" s="5">
        <f t="shared" si="31"/>
        <v>6.38799044283241E-2</v>
      </c>
      <c r="G79" s="1"/>
      <c r="H79" s="1">
        <f>SUM(OSRRefH22_3x_0)</f>
        <v>1250</v>
      </c>
      <c r="I79" s="1"/>
      <c r="J79" s="5">
        <f t="shared" si="32"/>
        <v>5.0906129097943391E-2</v>
      </c>
      <c r="K79" s="1"/>
      <c r="L79" s="1">
        <f t="shared" si="33"/>
        <v>-20.950000000000045</v>
      </c>
      <c r="M79" s="1"/>
      <c r="N79" s="5">
        <f t="shared" si="34"/>
        <v>-1.6760000000000035E-2</v>
      </c>
      <c r="O79" s="13"/>
      <c r="P79" s="1">
        <f>SUM(OSRRefP22_3x_0)</f>
        <v>4949.57</v>
      </c>
      <c r="Q79" s="1"/>
      <c r="R79" s="5">
        <f t="shared" si="35"/>
        <v>2.2031345449637842E-2</v>
      </c>
      <c r="S79" s="1"/>
      <c r="T79" s="1">
        <f>SUM(OSRRefT22_3x_0)</f>
        <v>6250</v>
      </c>
      <c r="U79" s="1"/>
      <c r="V79" s="5">
        <f t="shared" si="36"/>
        <v>2.4591486230735031E-2</v>
      </c>
      <c r="W79" s="1"/>
      <c r="X79" s="1">
        <f t="shared" si="37"/>
        <v>-1300.4300000000003</v>
      </c>
      <c r="Y79" s="1"/>
      <c r="Z79" s="5">
        <f t="shared" si="38"/>
        <v>-0.20806880000000005</v>
      </c>
    </row>
    <row r="80" spans="1:26" s="24" customFormat="1" hidden="1" outlineLevel="2" x14ac:dyDescent="0.25">
      <c r="A80" s="25"/>
      <c r="B80" s="11" t="str">
        <f>CONCATENATE("          ", "6382", " - ", "DISCOUNTS/MARK DOWNS")</f>
        <v xml:space="preserve">          6382 - DISCOUNTS/MARK DOWNS</v>
      </c>
      <c r="C80" s="11"/>
      <c r="D80" s="6">
        <v>1040.48</v>
      </c>
      <c r="E80" s="2"/>
      <c r="F80" s="7">
        <f t="shared" si="31"/>
        <v>5.4078973971427254E-2</v>
      </c>
      <c r="G80" s="2"/>
      <c r="H80" s="6">
        <v>1250</v>
      </c>
      <c r="I80" s="2"/>
      <c r="J80" s="7">
        <f t="shared" si="32"/>
        <v>5.0906129097943391E-2</v>
      </c>
      <c r="K80" s="2"/>
      <c r="L80" s="6">
        <f t="shared" si="33"/>
        <v>-209.51999999999998</v>
      </c>
      <c r="M80" s="2"/>
      <c r="N80" s="7">
        <f t="shared" si="34"/>
        <v>-0.16761599999999999</v>
      </c>
      <c r="O80" s="11"/>
      <c r="P80" s="6">
        <v>4949.57</v>
      </c>
      <c r="Q80" s="2"/>
      <c r="R80" s="7">
        <f t="shared" si="35"/>
        <v>2.2031345449637842E-2</v>
      </c>
      <c r="S80" s="2"/>
      <c r="T80" s="6">
        <v>6250</v>
      </c>
      <c r="U80" s="2"/>
      <c r="V80" s="7">
        <f t="shared" si="36"/>
        <v>2.4591486230735031E-2</v>
      </c>
      <c r="W80" s="2"/>
      <c r="X80" s="6">
        <f t="shared" si="37"/>
        <v>-1300.4300000000003</v>
      </c>
      <c r="Y80" s="2"/>
      <c r="Z80" s="7">
        <f t="shared" si="38"/>
        <v>-0.20806880000000005</v>
      </c>
    </row>
    <row r="81" spans="1:26" s="24" customFormat="1" hidden="1" outlineLevel="2" x14ac:dyDescent="0.25">
      <c r="A81" s="25"/>
      <c r="B81" s="11" t="str">
        <f>CONCATENATE("          ", "9175", " - ", "EARNED DISCOUNTS")</f>
        <v xml:space="preserve">          9175 - EARNED DISCOUNTS</v>
      </c>
      <c r="C81" s="11"/>
      <c r="D81" s="6">
        <v>188.57</v>
      </c>
      <c r="E81" s="2"/>
      <c r="F81" s="7">
        <f t="shared" si="31"/>
        <v>9.800930456896853E-3</v>
      </c>
      <c r="G81" s="2"/>
      <c r="H81" s="6"/>
      <c r="I81" s="2"/>
      <c r="J81" s="7">
        <f t="shared" si="32"/>
        <v>0</v>
      </c>
      <c r="K81" s="2"/>
      <c r="L81" s="6">
        <f t="shared" si="33"/>
        <v>188.57</v>
      </c>
      <c r="M81" s="2"/>
      <c r="N81" s="7">
        <f t="shared" si="34"/>
        <v>0</v>
      </c>
      <c r="O81" s="11"/>
      <c r="P81" s="6">
        <v>0</v>
      </c>
      <c r="Q81" s="2"/>
      <c r="R81" s="7">
        <f t="shared" si="35"/>
        <v>0</v>
      </c>
      <c r="S81" s="2"/>
      <c r="T81" s="6"/>
      <c r="U81" s="2"/>
      <c r="V81" s="7">
        <f t="shared" si="36"/>
        <v>0</v>
      </c>
      <c r="W81" s="2"/>
      <c r="X81" s="6">
        <f t="shared" si="37"/>
        <v>0</v>
      </c>
      <c r="Y81" s="2"/>
      <c r="Z81" s="7">
        <f t="shared" si="38"/>
        <v>0</v>
      </c>
    </row>
    <row r="82" spans="1:26" s="26" customFormat="1" outlineLevel="1" collapsed="1" x14ac:dyDescent="0.25">
      <c r="A82" s="27"/>
      <c r="B82" s="13" t="str">
        <f>CONCATENATE("     ","Employees' Appreciation                           ")</f>
        <v xml:space="preserve">     Employees' Appreciation                           </v>
      </c>
      <c r="C82" s="13"/>
      <c r="D82" s="1">
        <f>SUM(OSRRefD22_4x_0)</f>
        <v>0</v>
      </c>
      <c r="E82" s="1"/>
      <c r="F82" s="5">
        <f t="shared" ref="F82:F91" si="39">IF(D$12=0,0,D82/D$12)</f>
        <v>0</v>
      </c>
      <c r="G82" s="1"/>
      <c r="H82" s="1">
        <f>SUM(OSRRefH22_4x_0)</f>
        <v>25</v>
      </c>
      <c r="I82" s="1"/>
      <c r="J82" s="5">
        <f t="shared" ref="J82:J91" si="40">IF(H$12=0,0,H82/H$12)</f>
        <v>1.0181225819588678E-3</v>
      </c>
      <c r="K82" s="1"/>
      <c r="L82" s="1">
        <f t="shared" ref="L82:L91" si="41">+D82-H82</f>
        <v>-25</v>
      </c>
      <c r="M82" s="1"/>
      <c r="N82" s="5">
        <f t="shared" ref="N82:N91" si="42">IF(H82=0,0,L82/H82)</f>
        <v>-1</v>
      </c>
      <c r="O82" s="13"/>
      <c r="P82" s="1">
        <f>SUM(OSRRefP22_4x_0)</f>
        <v>0</v>
      </c>
      <c r="Q82" s="1"/>
      <c r="R82" s="5">
        <f t="shared" ref="R82:R91" si="43">IF(P$12=0,0,P82/P$12)</f>
        <v>0</v>
      </c>
      <c r="S82" s="1"/>
      <c r="T82" s="1">
        <f>SUM(OSRRefT22_4x_0)</f>
        <v>125</v>
      </c>
      <c r="U82" s="1"/>
      <c r="V82" s="5">
        <f t="shared" ref="V82:V91" si="44">IF(T$12=0,0,T82/T$12)</f>
        <v>4.9182972461470054E-4</v>
      </c>
      <c r="W82" s="1"/>
      <c r="X82" s="1">
        <f t="shared" ref="X82:X91" si="45">+P82-T82</f>
        <v>-125</v>
      </c>
      <c r="Y82" s="1"/>
      <c r="Z82" s="5">
        <f t="shared" ref="Z82:Z91" si="46">IF(T82=0,0,X82/T82)</f>
        <v>-1</v>
      </c>
    </row>
    <row r="83" spans="1:26" s="24" customFormat="1" hidden="1" outlineLevel="2" x14ac:dyDescent="0.25">
      <c r="A83" s="25"/>
      <c r="B83" s="11" t="str">
        <f>CONCATENATE("          ", "6277", " - ", "EMPLOYEE APPRECIATION")</f>
        <v xml:space="preserve">          6277 - EMPLOYEE APPRECIATION</v>
      </c>
      <c r="C83" s="11"/>
      <c r="D83" s="6"/>
      <c r="E83" s="2"/>
      <c r="F83" s="7">
        <f t="shared" si="39"/>
        <v>0</v>
      </c>
      <c r="G83" s="2"/>
      <c r="H83" s="6">
        <v>25</v>
      </c>
      <c r="I83" s="2"/>
      <c r="J83" s="7">
        <f t="shared" si="40"/>
        <v>1.0181225819588678E-3</v>
      </c>
      <c r="K83" s="2"/>
      <c r="L83" s="6">
        <f t="shared" si="41"/>
        <v>-25</v>
      </c>
      <c r="M83" s="2"/>
      <c r="N83" s="7">
        <f t="shared" si="42"/>
        <v>-1</v>
      </c>
      <c r="O83" s="11"/>
      <c r="P83" s="6"/>
      <c r="Q83" s="2"/>
      <c r="R83" s="7">
        <f t="shared" si="43"/>
        <v>0</v>
      </c>
      <c r="S83" s="2"/>
      <c r="T83" s="6">
        <v>125</v>
      </c>
      <c r="U83" s="2"/>
      <c r="V83" s="7">
        <f t="shared" si="44"/>
        <v>4.9182972461470054E-4</v>
      </c>
      <c r="W83" s="2"/>
      <c r="X83" s="6">
        <f t="shared" si="45"/>
        <v>-125</v>
      </c>
      <c r="Y83" s="2"/>
      <c r="Z83" s="7">
        <f t="shared" si="46"/>
        <v>-1</v>
      </c>
    </row>
    <row r="84" spans="1:26" s="26" customFormat="1" outlineLevel="1" collapsed="1" x14ac:dyDescent="0.25">
      <c r="A84" s="27"/>
      <c r="B84" s="13" t="str">
        <f>CONCATENATE("     ","Freight out/Postage                               ")</f>
        <v xml:space="preserve">     Freight out/Postage                               </v>
      </c>
      <c r="C84" s="13"/>
      <c r="D84" s="1">
        <f>SUM(OSRRefD22_5x_0)</f>
        <v>15.81</v>
      </c>
      <c r="E84" s="1"/>
      <c r="F84" s="5">
        <f t="shared" si="39"/>
        <v>8.2172514463350085E-4</v>
      </c>
      <c r="G84" s="1"/>
      <c r="H84" s="1">
        <f>SUM(OSRRefH22_5x_0)</f>
        <v>0</v>
      </c>
      <c r="I84" s="1"/>
      <c r="J84" s="5">
        <f t="shared" si="40"/>
        <v>0</v>
      </c>
      <c r="K84" s="1"/>
      <c r="L84" s="1">
        <f t="shared" si="41"/>
        <v>15.81</v>
      </c>
      <c r="M84" s="1"/>
      <c r="N84" s="5">
        <f t="shared" si="42"/>
        <v>0</v>
      </c>
      <c r="O84" s="13"/>
      <c r="P84" s="1">
        <f>SUM(OSRRefP22_5x_0)</f>
        <v>15.81</v>
      </c>
      <c r="Q84" s="1"/>
      <c r="R84" s="5">
        <f t="shared" si="43"/>
        <v>7.0372895334094539E-5</v>
      </c>
      <c r="S84" s="1"/>
      <c r="T84" s="1">
        <f>SUM(OSRRefT22_5x_0)</f>
        <v>0</v>
      </c>
      <c r="U84" s="1"/>
      <c r="V84" s="5">
        <f t="shared" si="44"/>
        <v>0</v>
      </c>
      <c r="W84" s="1"/>
      <c r="X84" s="1">
        <f t="shared" si="45"/>
        <v>15.81</v>
      </c>
      <c r="Y84" s="1"/>
      <c r="Z84" s="5">
        <f t="shared" si="46"/>
        <v>0</v>
      </c>
    </row>
    <row r="85" spans="1:26" s="24" customFormat="1" hidden="1" outlineLevel="2" x14ac:dyDescent="0.25">
      <c r="A85" s="25"/>
      <c r="B85" s="11" t="str">
        <f>CONCATENATE("          ", "6305", " - ", "FREIGHT OUT")</f>
        <v xml:space="preserve">          6305 - FREIGHT OUT</v>
      </c>
      <c r="C85" s="11"/>
      <c r="D85" s="6">
        <v>15.81</v>
      </c>
      <c r="E85" s="2"/>
      <c r="F85" s="7">
        <f t="shared" si="39"/>
        <v>8.2172514463350085E-4</v>
      </c>
      <c r="G85" s="2"/>
      <c r="H85" s="6"/>
      <c r="I85" s="2"/>
      <c r="J85" s="7">
        <f t="shared" si="40"/>
        <v>0</v>
      </c>
      <c r="K85" s="2"/>
      <c r="L85" s="6">
        <f t="shared" si="41"/>
        <v>15.81</v>
      </c>
      <c r="M85" s="2"/>
      <c r="N85" s="7">
        <f t="shared" si="42"/>
        <v>0</v>
      </c>
      <c r="O85" s="11"/>
      <c r="P85" s="6">
        <v>15.81</v>
      </c>
      <c r="Q85" s="2"/>
      <c r="R85" s="7">
        <f t="shared" si="43"/>
        <v>7.0372895334094539E-5</v>
      </c>
      <c r="S85" s="2"/>
      <c r="T85" s="6"/>
      <c r="U85" s="2"/>
      <c r="V85" s="7">
        <f t="shared" si="44"/>
        <v>0</v>
      </c>
      <c r="W85" s="2"/>
      <c r="X85" s="6">
        <f t="shared" si="45"/>
        <v>15.81</v>
      </c>
      <c r="Y85" s="2"/>
      <c r="Z85" s="7">
        <f t="shared" si="46"/>
        <v>0</v>
      </c>
    </row>
    <row r="86" spans="1:26" s="26" customFormat="1" outlineLevel="1" collapsed="1" x14ac:dyDescent="0.25">
      <c r="A86" s="27"/>
      <c r="B86" s="13" t="str">
        <f>CONCATENATE("     ","General                                           ")</f>
        <v xml:space="preserve">     General                                           </v>
      </c>
      <c r="C86" s="13"/>
      <c r="D86" s="1">
        <f>SUM(OSRRefD22_6x_0)</f>
        <v>0</v>
      </c>
      <c r="E86" s="1"/>
      <c r="F86" s="5">
        <f t="shared" si="39"/>
        <v>0</v>
      </c>
      <c r="G86" s="1"/>
      <c r="H86" s="1">
        <f>SUM(OSRRefH22_6x_0)</f>
        <v>0</v>
      </c>
      <c r="I86" s="1"/>
      <c r="J86" s="5">
        <f t="shared" si="40"/>
        <v>0</v>
      </c>
      <c r="K86" s="1"/>
      <c r="L86" s="1">
        <f t="shared" si="41"/>
        <v>0</v>
      </c>
      <c r="M86" s="1"/>
      <c r="N86" s="5">
        <f t="shared" si="42"/>
        <v>0</v>
      </c>
      <c r="O86" s="13"/>
      <c r="P86" s="1">
        <f>SUM(OSRRefP22_6x_0)</f>
        <v>0</v>
      </c>
      <c r="Q86" s="1"/>
      <c r="R86" s="5">
        <f t="shared" si="43"/>
        <v>0</v>
      </c>
      <c r="S86" s="1"/>
      <c r="T86" s="1">
        <f>SUM(OSRRefT22_6x_0)</f>
        <v>0</v>
      </c>
      <c r="U86" s="1"/>
      <c r="V86" s="5">
        <f t="shared" si="44"/>
        <v>0</v>
      </c>
      <c r="W86" s="1"/>
      <c r="X86" s="1">
        <f t="shared" si="45"/>
        <v>0</v>
      </c>
      <c r="Y86" s="1"/>
      <c r="Z86" s="5">
        <f t="shared" si="46"/>
        <v>0</v>
      </c>
    </row>
    <row r="87" spans="1:26" s="24" customFormat="1" hidden="1" outlineLevel="2" x14ac:dyDescent="0.25">
      <c r="A87" s="25"/>
      <c r="B87" s="11" t="str">
        <f>CONCATENATE("          ", "6279", " - ", "GENERAL EXPENSE")</f>
        <v xml:space="preserve">          6279 - GENERAL EXPENSE</v>
      </c>
      <c r="C87" s="11"/>
      <c r="D87" s="6"/>
      <c r="E87" s="2"/>
      <c r="F87" s="7">
        <f t="shared" si="39"/>
        <v>0</v>
      </c>
      <c r="G87" s="2"/>
      <c r="H87" s="6">
        <v>0</v>
      </c>
      <c r="I87" s="2"/>
      <c r="J87" s="7">
        <f t="shared" si="40"/>
        <v>0</v>
      </c>
      <c r="K87" s="2"/>
      <c r="L87" s="6">
        <f t="shared" si="41"/>
        <v>0</v>
      </c>
      <c r="M87" s="2"/>
      <c r="N87" s="7">
        <f t="shared" si="42"/>
        <v>0</v>
      </c>
      <c r="O87" s="11"/>
      <c r="P87" s="6"/>
      <c r="Q87" s="2"/>
      <c r="R87" s="7">
        <f t="shared" si="43"/>
        <v>0</v>
      </c>
      <c r="S87" s="2"/>
      <c r="T87" s="6">
        <v>0</v>
      </c>
      <c r="U87" s="2"/>
      <c r="V87" s="7">
        <f t="shared" si="44"/>
        <v>0</v>
      </c>
      <c r="W87" s="2"/>
      <c r="X87" s="6">
        <f t="shared" si="45"/>
        <v>0</v>
      </c>
      <c r="Y87" s="2"/>
      <c r="Z87" s="7">
        <f t="shared" si="46"/>
        <v>0</v>
      </c>
    </row>
    <row r="88" spans="1:26" s="26" customFormat="1" outlineLevel="1" collapsed="1" x14ac:dyDescent="0.25">
      <c r="A88" s="27"/>
      <c r="B88" s="13" t="str">
        <f>CONCATENATE("     ","Subscriptions &amp; Dues                              ")</f>
        <v xml:space="preserve">     Subscriptions &amp; Dues                              </v>
      </c>
      <c r="C88" s="13"/>
      <c r="D88" s="1">
        <f>SUM(OSRRefD22_7x_0)</f>
        <v>0</v>
      </c>
      <c r="E88" s="1"/>
      <c r="F88" s="5">
        <f t="shared" si="39"/>
        <v>0</v>
      </c>
      <c r="G88" s="1"/>
      <c r="H88" s="1">
        <f>SUM(OSRRefH22_7x_0)</f>
        <v>0</v>
      </c>
      <c r="I88" s="1"/>
      <c r="J88" s="5">
        <f t="shared" si="40"/>
        <v>0</v>
      </c>
      <c r="K88" s="1"/>
      <c r="L88" s="1">
        <f t="shared" si="41"/>
        <v>0</v>
      </c>
      <c r="M88" s="1"/>
      <c r="N88" s="5">
        <f t="shared" si="42"/>
        <v>0</v>
      </c>
      <c r="O88" s="13"/>
      <c r="P88" s="1">
        <f>SUM(OSRRefP22_7x_0)</f>
        <v>120</v>
      </c>
      <c r="Q88" s="1"/>
      <c r="R88" s="5">
        <f t="shared" si="43"/>
        <v>5.3413962302918054E-4</v>
      </c>
      <c r="S88" s="1"/>
      <c r="T88" s="1">
        <f>SUM(OSRRefT22_7x_0)</f>
        <v>0</v>
      </c>
      <c r="U88" s="1"/>
      <c r="V88" s="5">
        <f t="shared" si="44"/>
        <v>0</v>
      </c>
      <c r="W88" s="1"/>
      <c r="X88" s="1">
        <f t="shared" si="45"/>
        <v>120</v>
      </c>
      <c r="Y88" s="1"/>
      <c r="Z88" s="5">
        <f t="shared" si="46"/>
        <v>0</v>
      </c>
    </row>
    <row r="89" spans="1:26" s="24" customFormat="1" hidden="1" outlineLevel="2" x14ac:dyDescent="0.25">
      <c r="A89" s="25"/>
      <c r="B89" s="11" t="str">
        <f>CONCATENATE("          ", "6258", " - ", "MEMBERSHIP DUES")</f>
        <v xml:space="preserve">          6258 - MEMBERSHIP DUES</v>
      </c>
      <c r="C89" s="11"/>
      <c r="D89" s="6"/>
      <c r="E89" s="2"/>
      <c r="F89" s="7">
        <f t="shared" si="39"/>
        <v>0</v>
      </c>
      <c r="G89" s="2"/>
      <c r="H89" s="6"/>
      <c r="I89" s="2"/>
      <c r="J89" s="7">
        <f t="shared" si="40"/>
        <v>0</v>
      </c>
      <c r="K89" s="2"/>
      <c r="L89" s="6">
        <f t="shared" si="41"/>
        <v>0</v>
      </c>
      <c r="M89" s="2"/>
      <c r="N89" s="7">
        <f t="shared" si="42"/>
        <v>0</v>
      </c>
      <c r="O89" s="11"/>
      <c r="P89" s="6">
        <v>120</v>
      </c>
      <c r="Q89" s="2"/>
      <c r="R89" s="7">
        <f t="shared" si="43"/>
        <v>5.3413962302918054E-4</v>
      </c>
      <c r="S89" s="2"/>
      <c r="T89" s="6"/>
      <c r="U89" s="2"/>
      <c r="V89" s="7">
        <f t="shared" si="44"/>
        <v>0</v>
      </c>
      <c r="W89" s="2"/>
      <c r="X89" s="6">
        <f t="shared" si="45"/>
        <v>120</v>
      </c>
      <c r="Y89" s="2"/>
      <c r="Z89" s="7">
        <f t="shared" si="46"/>
        <v>0</v>
      </c>
    </row>
    <row r="90" spans="1:26" s="26" customFormat="1" outlineLevel="1" collapsed="1" x14ac:dyDescent="0.25">
      <c r="A90" s="27"/>
      <c r="B90" s="13" t="str">
        <f>CONCATENATE("     ","Supplies                                          ")</f>
        <v xml:space="preserve">     Supplies                                          </v>
      </c>
      <c r="C90" s="13"/>
      <c r="D90" s="1">
        <f>SUM(OSRRefD22_8x_0)</f>
        <v>24.63</v>
      </c>
      <c r="E90" s="1"/>
      <c r="F90" s="5">
        <f t="shared" si="39"/>
        <v>1.2801448647895713E-3</v>
      </c>
      <c r="G90" s="1"/>
      <c r="H90" s="1">
        <f>SUM(OSRRefH22_8x_0)</f>
        <v>75</v>
      </c>
      <c r="I90" s="1"/>
      <c r="J90" s="5">
        <f t="shared" si="40"/>
        <v>3.0543677458766036E-3</v>
      </c>
      <c r="K90" s="1"/>
      <c r="L90" s="1">
        <f t="shared" si="41"/>
        <v>-50.370000000000005</v>
      </c>
      <c r="M90" s="1"/>
      <c r="N90" s="5">
        <f t="shared" si="42"/>
        <v>-0.67160000000000009</v>
      </c>
      <c r="O90" s="13"/>
      <c r="P90" s="1">
        <f>SUM(OSRRefP22_8x_0)</f>
        <v>241.84</v>
      </c>
      <c r="Q90" s="1"/>
      <c r="R90" s="5">
        <f t="shared" si="43"/>
        <v>1.0764693869448085E-3</v>
      </c>
      <c r="S90" s="1"/>
      <c r="T90" s="1">
        <f>SUM(OSRRefT22_8x_0)</f>
        <v>375</v>
      </c>
      <c r="U90" s="1"/>
      <c r="V90" s="5">
        <f t="shared" si="44"/>
        <v>1.4754891738441018E-3</v>
      </c>
      <c r="W90" s="1"/>
      <c r="X90" s="1">
        <f t="shared" si="45"/>
        <v>-133.16</v>
      </c>
      <c r="Y90" s="1"/>
      <c r="Z90" s="5">
        <f t="shared" si="46"/>
        <v>-0.35509333333333332</v>
      </c>
    </row>
    <row r="91" spans="1:26" s="24" customFormat="1" hidden="1" outlineLevel="2" x14ac:dyDescent="0.25">
      <c r="A91" s="25"/>
      <c r="B91" s="11" t="str">
        <f>CONCATENATE("          ", "6241", " - ", "OFFICE EXPENSE")</f>
        <v xml:space="preserve">          6241 - OFFICE EXPENSE</v>
      </c>
      <c r="C91" s="11"/>
      <c r="D91" s="6">
        <v>24.63</v>
      </c>
      <c r="E91" s="2"/>
      <c r="F91" s="7">
        <f t="shared" si="39"/>
        <v>1.2801448647895713E-3</v>
      </c>
      <c r="G91" s="2"/>
      <c r="H91" s="6">
        <v>75</v>
      </c>
      <c r="I91" s="2"/>
      <c r="J91" s="7">
        <f t="shared" si="40"/>
        <v>3.0543677458766036E-3</v>
      </c>
      <c r="K91" s="2"/>
      <c r="L91" s="6">
        <f t="shared" si="41"/>
        <v>-50.370000000000005</v>
      </c>
      <c r="M91" s="2"/>
      <c r="N91" s="7">
        <f t="shared" si="42"/>
        <v>-0.67160000000000009</v>
      </c>
      <c r="O91" s="11"/>
      <c r="P91" s="6">
        <v>241.84</v>
      </c>
      <c r="Q91" s="2"/>
      <c r="R91" s="7">
        <f t="shared" si="43"/>
        <v>1.0764693869448085E-3</v>
      </c>
      <c r="S91" s="2"/>
      <c r="T91" s="6">
        <v>375</v>
      </c>
      <c r="U91" s="2"/>
      <c r="V91" s="7">
        <f t="shared" si="44"/>
        <v>1.4754891738441018E-3</v>
      </c>
      <c r="W91" s="2"/>
      <c r="X91" s="6">
        <f t="shared" si="45"/>
        <v>-133.16</v>
      </c>
      <c r="Y91" s="2"/>
      <c r="Z91" s="7">
        <f t="shared" si="46"/>
        <v>-0.35509333333333332</v>
      </c>
    </row>
    <row r="92" spans="1:26" s="59" customFormat="1" x14ac:dyDescent="0.25">
      <c r="A92" s="36"/>
      <c r="B92" s="36"/>
      <c r="C92" s="36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6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x14ac:dyDescent="0.25">
      <c r="A93" s="10"/>
      <c r="B93" s="29" t="s">
        <v>0</v>
      </c>
      <c r="C93" s="10"/>
      <c r="D93" s="4">
        <f>SUM(0)</f>
        <v>0</v>
      </c>
      <c r="E93" s="4"/>
      <c r="F93" s="12">
        <f>IF(D$12=0,0,D93/D$12)</f>
        <v>0</v>
      </c>
      <c r="G93" s="4"/>
      <c r="H93" s="4">
        <f>SUM(0)</f>
        <v>0</v>
      </c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>
        <f>SUM(0)</f>
        <v>0</v>
      </c>
      <c r="Q93" s="4"/>
      <c r="R93" s="12">
        <f>IF(P$12=0,0,P93/P$12)</f>
        <v>0</v>
      </c>
      <c r="S93" s="4"/>
      <c r="T93" s="4">
        <f>SUM(0)</f>
        <v>0</v>
      </c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8" t="s">
        <v>3</v>
      </c>
      <c r="C95" s="28"/>
      <c r="D95" s="20">
        <f>+D54-D56+D93</f>
        <v>-11.549999999995634</v>
      </c>
      <c r="E95" s="14"/>
      <c r="F95" s="22">
        <f>IF(D$12=0,0,D95/D$12)</f>
        <v>-6.003115382993894E-4</v>
      </c>
      <c r="G95" s="14"/>
      <c r="H95" s="20">
        <f>+H54-H56+H93</f>
        <v>3171.27329445539</v>
      </c>
      <c r="I95" s="14"/>
      <c r="J95" s="22">
        <f>IF(H$12=0,0,H95/H$12)</f>
        <v>0.12914979818592506</v>
      </c>
      <c r="K95" s="16"/>
      <c r="L95" s="20">
        <f>+D95-H95</f>
        <v>-3182.8232944553856</v>
      </c>
      <c r="M95" s="16"/>
      <c r="N95" s="22">
        <f>IF(H95=0,0,L95/H95)</f>
        <v>-1.0036420702120468</v>
      </c>
      <c r="O95" s="29"/>
      <c r="P95" s="20">
        <f>+P54-P56+P93</f>
        <v>69258.670000000013</v>
      </c>
      <c r="Q95" s="14"/>
      <c r="R95" s="22">
        <f>IF(P$12=0,0,P95/P$12)</f>
        <v>0.30828166571085353</v>
      </c>
      <c r="S95" s="14"/>
      <c r="T95" s="20">
        <f>+T54-T56+T93</f>
        <v>72942.93129450464</v>
      </c>
      <c r="U95" s="14"/>
      <c r="V95" s="22">
        <f>IF(T$12=0,0,T95/T$12)</f>
        <v>0.28700401448932195</v>
      </c>
      <c r="W95" s="16"/>
      <c r="X95" s="20">
        <f>+P95-T95</f>
        <v>-3684.2612945046276</v>
      </c>
      <c r="Y95" s="16"/>
      <c r="Z95" s="22">
        <f>IF(T95=0,0,X95/T95)</f>
        <v>-5.0508818731585463E-2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2"/>
      <c r="B97" s="10" t="s">
        <v>14</v>
      </c>
      <c r="C97" s="10"/>
      <c r="D97" s="4">
        <v>3111.87</v>
      </c>
      <c r="E97" s="4"/>
      <c r="F97" s="12">
        <f>IF(D$12=0,0,D97/D$12)</f>
        <v>0.16173952092540494</v>
      </c>
      <c r="G97" s="4"/>
      <c r="H97" s="4">
        <v>4560</v>
      </c>
      <c r="I97" s="4"/>
      <c r="J97" s="12">
        <f>IF(H$12=0,0,H97/H$12)</f>
        <v>0.18570555894929749</v>
      </c>
      <c r="K97" s="4"/>
      <c r="L97" s="4">
        <f>+D97-H97</f>
        <v>-1448.13</v>
      </c>
      <c r="M97" s="4"/>
      <c r="N97" s="12">
        <f>IF(H97=0,0,L97/H97)</f>
        <v>-0.31757236842105263</v>
      </c>
      <c r="O97" s="10"/>
      <c r="P97" s="4">
        <v>23790.01</v>
      </c>
      <c r="Q97" s="4"/>
      <c r="R97" s="12">
        <f>IF(P$12=0,0,P97/P$12)</f>
        <v>0.10589322477717029</v>
      </c>
      <c r="S97" s="4"/>
      <c r="T97" s="4">
        <v>32208</v>
      </c>
      <c r="U97" s="4"/>
      <c r="V97" s="12">
        <f>IF(T$12=0,0,T97/T$12)</f>
        <v>0.1267268141631222</v>
      </c>
      <c r="W97" s="4"/>
      <c r="X97" s="4">
        <f>+P97-T97</f>
        <v>-8417.9900000000016</v>
      </c>
      <c r="Y97" s="4"/>
      <c r="Z97" s="12">
        <f>IF(T97=0,0,X97/T97)</f>
        <v>-0.26136332588176853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8" t="s">
        <v>4</v>
      </c>
      <c r="C99" s="28"/>
      <c r="D99" s="30">
        <f>+D95-D97</f>
        <v>-3123.4199999999955</v>
      </c>
      <c r="E99" s="14"/>
      <c r="F99" s="32">
        <f>IF(D$12=0,0,D99/D$12)</f>
        <v>-0.16233983246370431</v>
      </c>
      <c r="G99" s="14"/>
      <c r="H99" s="30">
        <f>+H95-H97</f>
        <v>-1388.72670554461</v>
      </c>
      <c r="I99" s="14"/>
      <c r="J99" s="32">
        <f>IF(H$12=0,0,H99/H$12)</f>
        <v>-5.6555760763372431E-2</v>
      </c>
      <c r="K99" s="16"/>
      <c r="L99" s="30">
        <f>D99-H99</f>
        <v>-1734.6932944553855</v>
      </c>
      <c r="M99" s="16"/>
      <c r="N99" s="32">
        <f>IF(H99=0,0,L99/H99)</f>
        <v>1.2491250348462908</v>
      </c>
      <c r="O99" s="29"/>
      <c r="P99" s="30">
        <f>+P95-P97</f>
        <v>45468.660000000018</v>
      </c>
      <c r="Q99" s="14"/>
      <c r="R99" s="32">
        <f>IF(P$12=0,0,P99/P$12)</f>
        <v>0.20238844093368324</v>
      </c>
      <c r="S99" s="14"/>
      <c r="T99" s="30">
        <f>+T95-T97</f>
        <v>40734.93129450464</v>
      </c>
      <c r="U99" s="14"/>
      <c r="V99" s="32">
        <f>IF(T$12=0,0,T99/T$12)</f>
        <v>0.16027720032619974</v>
      </c>
      <c r="W99" s="16"/>
      <c r="X99" s="30">
        <f>P99-T99</f>
        <v>4733.7287054953777</v>
      </c>
      <c r="Y99" s="16"/>
      <c r="Z99" s="32">
        <f>IF(T99=0,0,X99/T99)</f>
        <v>0.11620809352227833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8" t="s">
        <v>5</v>
      </c>
      <c r="C102" s="28"/>
      <c r="D102" s="31">
        <f>SUM(D99:D101)</f>
        <v>-3123.4199999999955</v>
      </c>
      <c r="E102" s="14"/>
      <c r="F102" s="35">
        <f>IF(D$12=0,0,D102/D$12)</f>
        <v>-0.16233983246370431</v>
      </c>
      <c r="G102" s="14"/>
      <c r="H102" s="31">
        <f>SUM(H99:H101)</f>
        <v>-1388.72670554461</v>
      </c>
      <c r="I102" s="14"/>
      <c r="J102" s="35">
        <f>IF(H$12=0,0,H102/H$12)</f>
        <v>-5.6555760763372431E-2</v>
      </c>
      <c r="K102" s="16"/>
      <c r="L102" s="31">
        <f>+D102-H102</f>
        <v>-1734.6932944553855</v>
      </c>
      <c r="M102" s="16"/>
      <c r="N102" s="35">
        <f>IF(H102=0,0,L102/H102)</f>
        <v>1.2491250348462908</v>
      </c>
      <c r="O102" s="29"/>
      <c r="P102" s="31">
        <f>SUM(P99:P101)</f>
        <v>45468.660000000018</v>
      </c>
      <c r="Q102" s="14"/>
      <c r="R102" s="35">
        <f>IF(P$12=0,0,P102/P$12)</f>
        <v>0.20238844093368324</v>
      </c>
      <c r="S102" s="14"/>
      <c r="T102" s="31">
        <f>SUM(T99:T101)</f>
        <v>40734.93129450464</v>
      </c>
      <c r="U102" s="14"/>
      <c r="V102" s="35">
        <f>IF(T$12=0,0,T102/T$12)</f>
        <v>0.16027720032619974</v>
      </c>
      <c r="W102" s="16"/>
      <c r="X102" s="31">
        <f>+P102-T102</f>
        <v>4733.7287054953777</v>
      </c>
      <c r="Y102" s="16"/>
      <c r="Z102" s="35">
        <f>IF(T102=0,0,X102/T102)</f>
        <v>0.11620809352227833</v>
      </c>
    </row>
    <row r="103" spans="1:26" ht="15.75" thickTop="1" x14ac:dyDescent="0.25">
      <c r="A103" s="9"/>
      <c r="C103" s="9"/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56">
        <v>43815.483733136571</v>
      </c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A105" s="9"/>
      <c r="B105" s="62" t="s">
        <v>314</v>
      </c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25">
      <c r="A106" s="9"/>
      <c r="B106" s="58"/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25"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303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14659.949999999997</v>
      </c>
      <c r="E12" s="4"/>
      <c r="F12" s="12"/>
      <c r="G12" s="4"/>
      <c r="H12" s="4">
        <f>SUM(OSRRefH13x_0)</f>
        <v>11841</v>
      </c>
      <c r="I12" s="4"/>
      <c r="J12" s="12"/>
      <c r="K12" s="4"/>
      <c r="L12" s="4">
        <f t="shared" ref="L12:L39" si="0">+D12-H12</f>
        <v>2818.9499999999971</v>
      </c>
      <c r="M12" s="4"/>
      <c r="N12" s="12">
        <f t="shared" ref="N12:N39" si="1">IF(H12=0,0,L12/H12)</f>
        <v>0.23806688624271574</v>
      </c>
      <c r="O12" s="10"/>
      <c r="P12" s="4">
        <f>SUM(OSRRefP13x_0)</f>
        <v>2877055.3899999997</v>
      </c>
      <c r="Q12" s="4"/>
      <c r="R12" s="12"/>
      <c r="S12" s="4"/>
      <c r="T12" s="4">
        <f>SUM(OSRRefT13x_0)</f>
        <v>3112350</v>
      </c>
      <c r="U12" s="4"/>
      <c r="V12" s="12"/>
      <c r="W12" s="4"/>
      <c r="X12" s="4">
        <f t="shared" ref="X12:X39" si="2">+P12-T12</f>
        <v>-235294.61000000034</v>
      </c>
      <c r="Y12" s="4"/>
      <c r="Z12" s="12">
        <f t="shared" ref="Z12:Z39" si="3">IF(T12=0,0,X12/T12)</f>
        <v>-7.5600305235593787E-2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--8184.69</f>
        <v>8184.69</v>
      </c>
      <c r="E13" s="2"/>
      <c r="F13" s="19"/>
      <c r="G13" s="2"/>
      <c r="H13" s="2"/>
      <c r="I13" s="2"/>
      <c r="J13" s="19"/>
      <c r="K13" s="2"/>
      <c r="L13" s="2">
        <f t="shared" si="0"/>
        <v>8184.69</v>
      </c>
      <c r="M13" s="2"/>
      <c r="N13" s="19">
        <f t="shared" si="1"/>
        <v>0</v>
      </c>
      <c r="O13" s="11"/>
      <c r="P13" s="2">
        <f>--1503344.43</f>
        <v>1503344.43</v>
      </c>
      <c r="Q13" s="2"/>
      <c r="R13" s="19"/>
      <c r="S13" s="2"/>
      <c r="T13" s="2"/>
      <c r="U13" s="2"/>
      <c r="V13" s="19"/>
      <c r="W13" s="2"/>
      <c r="X13" s="2">
        <f t="shared" si="2"/>
        <v>1503344.43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--4182.93</f>
        <v>4182.93</v>
      </c>
      <c r="E14" s="2"/>
      <c r="F14" s="19"/>
      <c r="G14" s="2"/>
      <c r="H14" s="2"/>
      <c r="I14" s="2"/>
      <c r="J14" s="19"/>
      <c r="K14" s="2"/>
      <c r="L14" s="2">
        <f t="shared" si="0"/>
        <v>4182.93</v>
      </c>
      <c r="M14" s="2"/>
      <c r="N14" s="19">
        <f t="shared" si="1"/>
        <v>0</v>
      </c>
      <c r="O14" s="11"/>
      <c r="P14" s="2">
        <f>--670479.29</f>
        <v>670479.29</v>
      </c>
      <c r="Q14" s="2"/>
      <c r="R14" s="19"/>
      <c r="S14" s="2"/>
      <c r="T14" s="2"/>
      <c r="U14" s="2"/>
      <c r="V14" s="19"/>
      <c r="W14" s="2"/>
      <c r="X14" s="2">
        <f t="shared" si="2"/>
        <v>670479.29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--15844.66</f>
        <v>15844.66</v>
      </c>
      <c r="Q15" s="2"/>
      <c r="R15" s="19"/>
      <c r="S15" s="2"/>
      <c r="T15" s="2"/>
      <c r="U15" s="2"/>
      <c r="V15" s="19"/>
      <c r="W15" s="2"/>
      <c r="X15" s="2">
        <f t="shared" si="2"/>
        <v>15844.66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--119.4</f>
        <v>119.4</v>
      </c>
      <c r="E16" s="2"/>
      <c r="F16" s="19"/>
      <c r="G16" s="2"/>
      <c r="H16" s="2"/>
      <c r="I16" s="2"/>
      <c r="J16" s="19"/>
      <c r="K16" s="2"/>
      <c r="L16" s="2">
        <f t="shared" si="0"/>
        <v>119.4</v>
      </c>
      <c r="M16" s="2"/>
      <c r="N16" s="19">
        <f t="shared" si="1"/>
        <v>0</v>
      </c>
      <c r="O16" s="11"/>
      <c r="P16" s="2">
        <f>--30279.88</f>
        <v>30279.88</v>
      </c>
      <c r="Q16" s="2"/>
      <c r="R16" s="19"/>
      <c r="S16" s="2"/>
      <c r="T16" s="2"/>
      <c r="U16" s="2"/>
      <c r="V16" s="19"/>
      <c r="W16" s="2"/>
      <c r="X16" s="2">
        <f t="shared" si="2"/>
        <v>30279.88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--9.6</f>
        <v>9.6</v>
      </c>
      <c r="Q17" s="2"/>
      <c r="R17" s="19"/>
      <c r="S17" s="2"/>
      <c r="T17" s="2"/>
      <c r="U17" s="2"/>
      <c r="V17" s="19"/>
      <c r="W17" s="2"/>
      <c r="X17" s="2">
        <f t="shared" si="2"/>
        <v>9.6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--285.33</f>
        <v>285.33</v>
      </c>
      <c r="E18" s="2"/>
      <c r="F18" s="19"/>
      <c r="G18" s="2"/>
      <c r="H18" s="2"/>
      <c r="I18" s="2"/>
      <c r="J18" s="19"/>
      <c r="K18" s="2"/>
      <c r="L18" s="2">
        <f t="shared" si="0"/>
        <v>285.33</v>
      </c>
      <c r="M18" s="2"/>
      <c r="N18" s="19">
        <f t="shared" si="1"/>
        <v>0</v>
      </c>
      <c r="O18" s="11"/>
      <c r="P18" s="2">
        <f>--1112.72</f>
        <v>1112.72</v>
      </c>
      <c r="Q18" s="2"/>
      <c r="R18" s="19"/>
      <c r="S18" s="2"/>
      <c r="T18" s="2"/>
      <c r="U18" s="2"/>
      <c r="V18" s="19"/>
      <c r="W18" s="2"/>
      <c r="X18" s="2">
        <f t="shared" si="2"/>
        <v>1112.72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--189.13</f>
        <v>189.13</v>
      </c>
      <c r="E19" s="2"/>
      <c r="F19" s="19"/>
      <c r="G19" s="2"/>
      <c r="H19" s="2"/>
      <c r="I19" s="2"/>
      <c r="J19" s="19"/>
      <c r="K19" s="2"/>
      <c r="L19" s="2">
        <f t="shared" si="0"/>
        <v>189.13</v>
      </c>
      <c r="M19" s="2"/>
      <c r="N19" s="19">
        <f t="shared" si="1"/>
        <v>0</v>
      </c>
      <c r="O19" s="11"/>
      <c r="P19" s="2">
        <f>--883.35</f>
        <v>883.35</v>
      </c>
      <c r="Q19" s="2"/>
      <c r="R19" s="19"/>
      <c r="S19" s="2"/>
      <c r="T19" s="2"/>
      <c r="U19" s="2"/>
      <c r="V19" s="19"/>
      <c r="W19" s="2"/>
      <c r="X19" s="2">
        <f t="shared" si="2"/>
        <v>883.35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--277.82</f>
        <v>277.82</v>
      </c>
      <c r="E20" s="2"/>
      <c r="F20" s="19"/>
      <c r="G20" s="2"/>
      <c r="H20" s="2"/>
      <c r="I20" s="2"/>
      <c r="J20" s="19"/>
      <c r="K20" s="2"/>
      <c r="L20" s="2">
        <f t="shared" si="0"/>
        <v>277.82</v>
      </c>
      <c r="M20" s="2"/>
      <c r="N20" s="19">
        <f t="shared" si="1"/>
        <v>0</v>
      </c>
      <c r="O20" s="11"/>
      <c r="P20" s="2">
        <f>--2732.65</f>
        <v>2732.65</v>
      </c>
      <c r="Q20" s="2"/>
      <c r="R20" s="19"/>
      <c r="S20" s="2"/>
      <c r="T20" s="2"/>
      <c r="U20" s="2"/>
      <c r="V20" s="19"/>
      <c r="W20" s="2"/>
      <c r="X20" s="2">
        <f t="shared" si="2"/>
        <v>2732.65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--458.89</f>
        <v>458.89</v>
      </c>
      <c r="E21" s="2"/>
      <c r="F21" s="19"/>
      <c r="G21" s="2"/>
      <c r="H21" s="2">
        <v>11841</v>
      </c>
      <c r="I21" s="2"/>
      <c r="J21" s="19"/>
      <c r="K21" s="2"/>
      <c r="L21" s="2">
        <f t="shared" si="0"/>
        <v>-11382.11</v>
      </c>
      <c r="M21" s="2"/>
      <c r="N21" s="19">
        <f t="shared" si="1"/>
        <v>-0.9612456718182586</v>
      </c>
      <c r="O21" s="11"/>
      <c r="P21" s="2">
        <f>--335840.56</f>
        <v>335840.56</v>
      </c>
      <c r="Q21" s="2"/>
      <c r="R21" s="19"/>
      <c r="S21" s="2"/>
      <c r="T21" s="2">
        <v>3112350</v>
      </c>
      <c r="U21" s="2"/>
      <c r="V21" s="19"/>
      <c r="W21" s="2"/>
      <c r="X21" s="2">
        <f t="shared" si="2"/>
        <v>-2776509.44</v>
      </c>
      <c r="Y21" s="2"/>
      <c r="Z21" s="19">
        <f t="shared" si="3"/>
        <v>-0.89209421819525436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--349.66</f>
        <v>349.66</v>
      </c>
      <c r="E22" s="2"/>
      <c r="F22" s="19"/>
      <c r="G22" s="2"/>
      <c r="H22" s="2"/>
      <c r="I22" s="2"/>
      <c r="J22" s="19"/>
      <c r="K22" s="2"/>
      <c r="L22" s="2">
        <f t="shared" si="0"/>
        <v>349.66</v>
      </c>
      <c r="M22" s="2"/>
      <c r="N22" s="19">
        <f t="shared" si="1"/>
        <v>0</v>
      </c>
      <c r="O22" s="11"/>
      <c r="P22" s="2">
        <f>--92680.75</f>
        <v>92680.75</v>
      </c>
      <c r="Q22" s="2"/>
      <c r="R22" s="19"/>
      <c r="S22" s="2"/>
      <c r="T22" s="2"/>
      <c r="U22" s="2"/>
      <c r="V22" s="19"/>
      <c r="W22" s="2"/>
      <c r="X22" s="2">
        <f t="shared" si="2"/>
        <v>92680.75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--584.52</f>
        <v>584.52</v>
      </c>
      <c r="E23" s="2"/>
      <c r="F23" s="19"/>
      <c r="G23" s="2"/>
      <c r="H23" s="2"/>
      <c r="I23" s="2"/>
      <c r="J23" s="19"/>
      <c r="K23" s="2"/>
      <c r="L23" s="2">
        <f t="shared" si="0"/>
        <v>584.52</v>
      </c>
      <c r="M23" s="2"/>
      <c r="N23" s="19">
        <f t="shared" si="1"/>
        <v>0</v>
      </c>
      <c r="O23" s="11"/>
      <c r="P23" s="2">
        <f>--37606.84</f>
        <v>37606.839999999997</v>
      </c>
      <c r="Q23" s="2"/>
      <c r="R23" s="19"/>
      <c r="S23" s="2"/>
      <c r="T23" s="2"/>
      <c r="U23" s="2"/>
      <c r="V23" s="19"/>
      <c r="W23" s="2"/>
      <c r="X23" s="2">
        <f t="shared" si="2"/>
        <v>37606.839999999997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--329.98</f>
        <v>329.98</v>
      </c>
      <c r="Q24" s="2"/>
      <c r="R24" s="19"/>
      <c r="S24" s="2"/>
      <c r="T24" s="2"/>
      <c r="U24" s="2"/>
      <c r="V24" s="19"/>
      <c r="W24" s="2"/>
      <c r="X24" s="2">
        <f t="shared" si="2"/>
        <v>329.98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--206.24</f>
        <v>206.24</v>
      </c>
      <c r="E25" s="2"/>
      <c r="F25" s="19"/>
      <c r="G25" s="2"/>
      <c r="H25" s="2"/>
      <c r="I25" s="2"/>
      <c r="J25" s="19"/>
      <c r="K25" s="2"/>
      <c r="L25" s="2">
        <f t="shared" si="0"/>
        <v>206.24</v>
      </c>
      <c r="M25" s="2"/>
      <c r="N25" s="19">
        <f t="shared" si="1"/>
        <v>0</v>
      </c>
      <c r="O25" s="11"/>
      <c r="P25" s="2">
        <f>--320699.09</f>
        <v>320699.09000000003</v>
      </c>
      <c r="Q25" s="2"/>
      <c r="R25" s="19"/>
      <c r="S25" s="2"/>
      <c r="T25" s="2"/>
      <c r="U25" s="2"/>
      <c r="V25" s="19"/>
      <c r="W25" s="2"/>
      <c r="X25" s="2">
        <f t="shared" si="2"/>
        <v>320699.09000000003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--492.72</f>
        <v>492.72</v>
      </c>
      <c r="E26" s="2"/>
      <c r="F26" s="19"/>
      <c r="G26" s="2"/>
      <c r="H26" s="2"/>
      <c r="I26" s="2"/>
      <c r="J26" s="19"/>
      <c r="K26" s="2"/>
      <c r="L26" s="2">
        <f t="shared" si="0"/>
        <v>492.72</v>
      </c>
      <c r="M26" s="2"/>
      <c r="N26" s="19">
        <f t="shared" si="1"/>
        <v>0</v>
      </c>
      <c r="O26" s="11"/>
      <c r="P26" s="2">
        <f>--7592.19</f>
        <v>7592.19</v>
      </c>
      <c r="Q26" s="2"/>
      <c r="R26" s="19"/>
      <c r="S26" s="2"/>
      <c r="T26" s="2"/>
      <c r="U26" s="2"/>
      <c r="V26" s="19"/>
      <c r="W26" s="2"/>
      <c r="X26" s="2">
        <f t="shared" si="2"/>
        <v>7592.19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--1146.72</f>
        <v>1146.72</v>
      </c>
      <c r="Q27" s="2"/>
      <c r="R27" s="19"/>
      <c r="S27" s="2"/>
      <c r="T27" s="2"/>
      <c r="U27" s="2"/>
      <c r="V27" s="19"/>
      <c r="W27" s="2"/>
      <c r="X27" s="2">
        <f t="shared" si="2"/>
        <v>1146.72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--14.04</f>
        <v>14.04</v>
      </c>
      <c r="E28" s="2"/>
      <c r="F28" s="19"/>
      <c r="G28" s="2"/>
      <c r="H28" s="2"/>
      <c r="I28" s="2"/>
      <c r="J28" s="19"/>
      <c r="K28" s="2"/>
      <c r="L28" s="2">
        <f t="shared" si="0"/>
        <v>14.04</v>
      </c>
      <c r="M28" s="2"/>
      <c r="N28" s="19">
        <f t="shared" si="1"/>
        <v>0</v>
      </c>
      <c r="O28" s="11"/>
      <c r="P28" s="2">
        <f>--34.96</f>
        <v>34.96</v>
      </c>
      <c r="Q28" s="2"/>
      <c r="R28" s="19"/>
      <c r="S28" s="2"/>
      <c r="T28" s="2"/>
      <c r="U28" s="2"/>
      <c r="V28" s="19"/>
      <c r="W28" s="2"/>
      <c r="X28" s="2">
        <f t="shared" si="2"/>
        <v>34.96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-314.9</f>
        <v>-314.89999999999998</v>
      </c>
      <c r="E29" s="2"/>
      <c r="F29" s="19"/>
      <c r="G29" s="2"/>
      <c r="H29" s="2"/>
      <c r="I29" s="2"/>
      <c r="J29" s="19"/>
      <c r="K29" s="2"/>
      <c r="L29" s="2">
        <f t="shared" si="0"/>
        <v>-314.89999999999998</v>
      </c>
      <c r="M29" s="2"/>
      <c r="N29" s="19">
        <f t="shared" si="1"/>
        <v>0</v>
      </c>
      <c r="O29" s="11"/>
      <c r="P29" s="2">
        <f>-78098.57</f>
        <v>-78098.570000000007</v>
      </c>
      <c r="Q29" s="2"/>
      <c r="R29" s="19"/>
      <c r="S29" s="2"/>
      <c r="T29" s="2"/>
      <c r="U29" s="2"/>
      <c r="V29" s="19"/>
      <c r="W29" s="2"/>
      <c r="X29" s="2">
        <f t="shared" si="2"/>
        <v>-78098.570000000007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-113.2</f>
        <v>-113.2</v>
      </c>
      <c r="E30" s="2"/>
      <c r="F30" s="19"/>
      <c r="G30" s="2"/>
      <c r="H30" s="2"/>
      <c r="I30" s="2"/>
      <c r="J30" s="19"/>
      <c r="K30" s="2"/>
      <c r="L30" s="2">
        <f t="shared" si="0"/>
        <v>-113.2</v>
      </c>
      <c r="M30" s="2"/>
      <c r="N30" s="19">
        <f t="shared" si="1"/>
        <v>0</v>
      </c>
      <c r="O30" s="11"/>
      <c r="P30" s="2">
        <f>-27042.2</f>
        <v>-27042.2</v>
      </c>
      <c r="Q30" s="2"/>
      <c r="R30" s="19"/>
      <c r="S30" s="2"/>
      <c r="T30" s="2"/>
      <c r="U30" s="2"/>
      <c r="V30" s="19"/>
      <c r="W30" s="2"/>
      <c r="X30" s="2">
        <f t="shared" si="2"/>
        <v>-27042.2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/>
      <c r="U31" s="2"/>
      <c r="V31" s="19"/>
      <c r="W31" s="2"/>
      <c r="X31" s="2">
        <f t="shared" si="2"/>
        <v>-144.99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>-119.4</f>
        <v>-119.4</v>
      </c>
      <c r="E32" s="2"/>
      <c r="F32" s="19"/>
      <c r="G32" s="2"/>
      <c r="H32" s="2"/>
      <c r="I32" s="2"/>
      <c r="J32" s="19"/>
      <c r="K32" s="2"/>
      <c r="L32" s="2">
        <f t="shared" si="0"/>
        <v>-119.4</v>
      </c>
      <c r="M32" s="2"/>
      <c r="N32" s="19">
        <f t="shared" si="1"/>
        <v>0</v>
      </c>
      <c r="O32" s="11"/>
      <c r="P32" s="2">
        <f>-11369.46</f>
        <v>-11369.46</v>
      </c>
      <c r="Q32" s="2"/>
      <c r="R32" s="19"/>
      <c r="S32" s="2"/>
      <c r="T32" s="2"/>
      <c r="U32" s="2"/>
      <c r="V32" s="19"/>
      <c r="W32" s="2"/>
      <c r="X32" s="2">
        <f t="shared" si="2"/>
        <v>-11369.46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>-67.34</f>
        <v>-67.34</v>
      </c>
      <c r="E33" s="2"/>
      <c r="F33" s="19"/>
      <c r="G33" s="2"/>
      <c r="H33" s="2"/>
      <c r="I33" s="2"/>
      <c r="J33" s="19"/>
      <c r="K33" s="2"/>
      <c r="L33" s="2">
        <f t="shared" si="0"/>
        <v>-67.34</v>
      </c>
      <c r="M33" s="2"/>
      <c r="N33" s="19">
        <f t="shared" si="1"/>
        <v>0</v>
      </c>
      <c r="O33" s="11"/>
      <c r="P33" s="2">
        <f>-102.71</f>
        <v>-102.71</v>
      </c>
      <c r="Q33" s="2"/>
      <c r="R33" s="19"/>
      <c r="S33" s="2"/>
      <c r="T33" s="2"/>
      <c r="U33" s="2"/>
      <c r="V33" s="19"/>
      <c r="W33" s="2"/>
      <c r="X33" s="2">
        <f t="shared" si="2"/>
        <v>-102.71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"4218", " - ", "SALES RETURN TAXABLE-STUDY GUI")</f>
        <v xml:space="preserve">          4218 - SALES RETURN TAXABLE-STUDY GUI</v>
      </c>
      <c r="C34" s="11"/>
      <c r="D34" s="2">
        <f t="shared" ref="D34:D37" si="4">0</f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-32.75</f>
        <v>-32.75</v>
      </c>
      <c r="Q34" s="2"/>
      <c r="R34" s="19"/>
      <c r="S34" s="2"/>
      <c r="T34" s="2"/>
      <c r="U34" s="2"/>
      <c r="V34" s="19"/>
      <c r="W34" s="2"/>
      <c r="X34" s="2">
        <f t="shared" si="2"/>
        <v>-32.75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"4301", " - ", "SALES RETURN NON TAXABLE-NEW T")</f>
        <v xml:space="preserve">          4301 - SALES RETURN NON TAXABLE-NEW T</v>
      </c>
      <c r="C35" s="11"/>
      <c r="D35" s="2">
        <f t="shared" si="4"/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-12310.98</f>
        <v>-12310.98</v>
      </c>
      <c r="Q35" s="2"/>
      <c r="R35" s="19"/>
      <c r="S35" s="2"/>
      <c r="T35" s="2"/>
      <c r="U35" s="2"/>
      <c r="V35" s="19"/>
      <c r="W35" s="2"/>
      <c r="X35" s="2">
        <f t="shared" si="2"/>
        <v>-12310.98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"4302", " - ", "SALES RETURN NON TAXABLE-TEXT")</f>
        <v xml:space="preserve">          4302 - SALES RETURN NON TAXABLE-TEXT</v>
      </c>
      <c r="C36" s="11"/>
      <c r="D36" s="2">
        <f t="shared" si="4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-683.8</f>
        <v>-683.8</v>
      </c>
      <c r="Q36" s="2"/>
      <c r="R36" s="19"/>
      <c r="S36" s="2"/>
      <c r="T36" s="2"/>
      <c r="U36" s="2"/>
      <c r="V36" s="19"/>
      <c r="W36" s="2"/>
      <c r="X36" s="2">
        <f t="shared" si="2"/>
        <v>-683.8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"4303", " - ", "SALES RETURN NON-TAXABLE-RENTA")</f>
        <v xml:space="preserve">          4303 - SALES RETURN NON-TAXABLE-RENTA</v>
      </c>
      <c r="C37" s="11"/>
      <c r="D37" s="2">
        <f t="shared" si="4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-184.99</f>
        <v>-184.99</v>
      </c>
      <c r="Q37" s="2"/>
      <c r="R37" s="19"/>
      <c r="S37" s="2"/>
      <c r="T37" s="2"/>
      <c r="U37" s="2"/>
      <c r="V37" s="19"/>
      <c r="W37" s="2"/>
      <c r="X37" s="2">
        <f t="shared" si="2"/>
        <v>-184.99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"4304", " - ", "SALES RETURN NON TAXABLE-DIGIT")</f>
        <v xml:space="preserve">          4304 - SALES RETURN NON TAXABLE-DIGIT</v>
      </c>
      <c r="C38" s="11"/>
      <c r="D38" s="2">
        <f>-70.58</f>
        <v>-70.58</v>
      </c>
      <c r="E38" s="2"/>
      <c r="F38" s="19"/>
      <c r="G38" s="2"/>
      <c r="H38" s="2"/>
      <c r="I38" s="2"/>
      <c r="J38" s="19"/>
      <c r="K38" s="2"/>
      <c r="L38" s="2">
        <f t="shared" si="0"/>
        <v>-70.58</v>
      </c>
      <c r="M38" s="2"/>
      <c r="N38" s="19">
        <f t="shared" si="1"/>
        <v>0</v>
      </c>
      <c r="O38" s="11"/>
      <c r="P38" s="2">
        <f>-13203.87</f>
        <v>-13203.87</v>
      </c>
      <c r="Q38" s="2"/>
      <c r="R38" s="19"/>
      <c r="S38" s="2"/>
      <c r="T38" s="2"/>
      <c r="U38" s="2"/>
      <c r="V38" s="19"/>
      <c r="W38" s="2"/>
      <c r="X38" s="2">
        <f t="shared" si="2"/>
        <v>-13203.87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"4311", " - ", "SALES RETURN NON TAXABLE-NO VA")</f>
        <v xml:space="preserve">          4311 - SALES RETURN NON TAXABLE-NO VA</v>
      </c>
      <c r="C39" s="11"/>
      <c r="D39" s="2">
        <f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-387.96</f>
        <v>-387.96</v>
      </c>
      <c r="Q39" s="2"/>
      <c r="R39" s="19"/>
      <c r="S39" s="2"/>
      <c r="T39" s="2"/>
      <c r="U39" s="2"/>
      <c r="V39" s="19"/>
      <c r="W39" s="2"/>
      <c r="X39" s="2">
        <f t="shared" si="2"/>
        <v>-387.96</v>
      </c>
      <c r="Y39" s="2"/>
      <c r="Z39" s="19">
        <f t="shared" si="3"/>
        <v>0</v>
      </c>
    </row>
    <row r="40" spans="1:26" x14ac:dyDescent="0.25">
      <c r="A40" s="9"/>
      <c r="B40" s="10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collapsed="1" x14ac:dyDescent="0.25">
      <c r="A41" s="10"/>
      <c r="B41" s="29" t="s">
        <v>8</v>
      </c>
      <c r="C41" s="10"/>
      <c r="D41" s="4">
        <f>SUM(OSRRefD16x_0)</f>
        <v>20945.880000000008</v>
      </c>
      <c r="E41" s="4"/>
      <c r="F41" s="12">
        <f t="shared" ref="F41:F57" si="5">IF(D$12=0,0,D41/D$12)</f>
        <v>1.4287824992581839</v>
      </c>
      <c r="G41" s="4"/>
      <c r="H41" s="4">
        <f>SUM(OSRRefH16x_0)</f>
        <v>6530.1</v>
      </c>
      <c r="I41" s="4"/>
      <c r="J41" s="12">
        <f t="shared" ref="J41:J57" si="6">IF(H$12=0,0,H41/H$12)</f>
        <v>0.55148213833291115</v>
      </c>
      <c r="K41" s="4"/>
      <c r="L41" s="4">
        <f t="shared" ref="L41:L57" si="7">+D41-H41</f>
        <v>14415.780000000008</v>
      </c>
      <c r="M41" s="4"/>
      <c r="N41" s="12">
        <f t="shared" ref="N41:N57" si="8">IF(H41=0,0,L41/H41)</f>
        <v>2.2075894702990775</v>
      </c>
      <c r="O41" s="10"/>
      <c r="P41" s="4">
        <f>SUM(OSRRefP16x_0)</f>
        <v>2122101.9700000002</v>
      </c>
      <c r="Q41" s="4"/>
      <c r="R41" s="12">
        <f t="shared" ref="R41:R57" si="9">IF(P$12=0,0,P41/P$12)</f>
        <v>0.73759510413874951</v>
      </c>
      <c r="S41" s="4"/>
      <c r="T41" s="4">
        <f>SUM(OSRRefT16x_0)</f>
        <v>2247095.77</v>
      </c>
      <c r="U41" s="4"/>
      <c r="V41" s="12">
        <f t="shared" ref="V41:V57" si="10">IF(T$12=0,0,T41/T$12)</f>
        <v>0.72199327517792022</v>
      </c>
      <c r="W41" s="4"/>
      <c r="X41" s="4">
        <f t="shared" ref="X41:X57" si="11">+P41-T41</f>
        <v>-124993.79999999981</v>
      </c>
      <c r="Y41" s="4"/>
      <c r="Z41" s="12">
        <f t="shared" ref="Z41:Z57" si="12">IF(T41=0,0,X41/T41)</f>
        <v>-5.5624598501202202E-2</v>
      </c>
    </row>
    <row r="42" spans="1:26" s="24" customFormat="1" hidden="1" outlineLevel="1" x14ac:dyDescent="0.25">
      <c r="A42" s="44"/>
      <c r="B42" s="11" t="str">
        <f>CONCATENATE("          ", "5000", " - ", "PURCHASES @ COST")</f>
        <v xml:space="preserve">          5000 - PURCHASES @ COST</v>
      </c>
      <c r="C42" s="11"/>
      <c r="D42" s="2"/>
      <c r="E42" s="2"/>
      <c r="F42" s="19">
        <f t="shared" si="5"/>
        <v>0</v>
      </c>
      <c r="G42" s="2"/>
      <c r="H42" s="2">
        <v>6530.1</v>
      </c>
      <c r="I42" s="2"/>
      <c r="J42" s="19">
        <f t="shared" si="6"/>
        <v>0.55148213833291115</v>
      </c>
      <c r="K42" s="2"/>
      <c r="L42" s="2">
        <f t="shared" si="7"/>
        <v>-6530.1</v>
      </c>
      <c r="M42" s="2"/>
      <c r="N42" s="19">
        <f t="shared" si="8"/>
        <v>-1</v>
      </c>
      <c r="O42" s="11"/>
      <c r="P42" s="2"/>
      <c r="Q42" s="2"/>
      <c r="R42" s="19">
        <f t="shared" si="9"/>
        <v>0</v>
      </c>
      <c r="S42" s="2"/>
      <c r="T42" s="2">
        <v>2247095.77</v>
      </c>
      <c r="U42" s="2"/>
      <c r="V42" s="19">
        <f t="shared" si="10"/>
        <v>0.72199327517792022</v>
      </c>
      <c r="W42" s="2"/>
      <c r="X42" s="2">
        <f t="shared" si="11"/>
        <v>-2247095.77</v>
      </c>
      <c r="Y42" s="2"/>
      <c r="Z42" s="19">
        <f t="shared" si="12"/>
        <v>-1</v>
      </c>
    </row>
    <row r="43" spans="1:26" s="24" customFormat="1" hidden="1" outlineLevel="1" x14ac:dyDescent="0.25">
      <c r="A43" s="44"/>
      <c r="B43" s="11" t="str">
        <f>CONCATENATE("          ", "5001", " - ", "PURCHASES @ COST-NEW TEXT")</f>
        <v xml:space="preserve">          5001 - PURCHASES @ COST-NEW TEXT</v>
      </c>
      <c r="C43" s="11"/>
      <c r="D43" s="2">
        <v>-175297.72999999998</v>
      </c>
      <c r="E43" s="2"/>
      <c r="F43" s="19">
        <f t="shared" si="5"/>
        <v>-11.957593989065447</v>
      </c>
      <c r="G43" s="2"/>
      <c r="H43" s="2"/>
      <c r="I43" s="2"/>
      <c r="J43" s="19">
        <f t="shared" si="6"/>
        <v>0</v>
      </c>
      <c r="K43" s="2"/>
      <c r="L43" s="2">
        <f t="shared" si="7"/>
        <v>-175297.72999999998</v>
      </c>
      <c r="M43" s="2"/>
      <c r="N43" s="19">
        <f t="shared" si="8"/>
        <v>0</v>
      </c>
      <c r="O43" s="11"/>
      <c r="P43" s="2">
        <v>1581850.69</v>
      </c>
      <c r="Q43" s="2"/>
      <c r="R43" s="19">
        <f t="shared" si="9"/>
        <v>0.54981586225213419</v>
      </c>
      <c r="S43" s="2"/>
      <c r="T43" s="2"/>
      <c r="U43" s="2"/>
      <c r="V43" s="19">
        <f t="shared" si="10"/>
        <v>0</v>
      </c>
      <c r="W43" s="2"/>
      <c r="X43" s="2">
        <f t="shared" si="11"/>
        <v>1581850.69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"5002", " - ", "PURCHASES @ COST-USED TEXT")</f>
        <v xml:space="preserve">          5002 - PURCHASES @ COST-USED TEXT</v>
      </c>
      <c r="C44" s="11"/>
      <c r="D44" s="2">
        <v>-155785.26999999999</v>
      </c>
      <c r="E44" s="2"/>
      <c r="F44" s="19">
        <f t="shared" si="5"/>
        <v>-10.626589449486527</v>
      </c>
      <c r="G44" s="2"/>
      <c r="H44" s="2"/>
      <c r="I44" s="2"/>
      <c r="J44" s="19">
        <f t="shared" si="6"/>
        <v>0</v>
      </c>
      <c r="K44" s="2"/>
      <c r="L44" s="2">
        <f t="shared" si="7"/>
        <v>-155785.26999999999</v>
      </c>
      <c r="M44" s="2"/>
      <c r="N44" s="19">
        <f t="shared" si="8"/>
        <v>0</v>
      </c>
      <c r="O44" s="11"/>
      <c r="P44" s="2">
        <v>212247.9</v>
      </c>
      <c r="Q44" s="2"/>
      <c r="R44" s="19">
        <f t="shared" si="9"/>
        <v>7.3772615132029151E-2</v>
      </c>
      <c r="S44" s="2"/>
      <c r="T44" s="2"/>
      <c r="U44" s="2"/>
      <c r="V44" s="19">
        <f t="shared" si="10"/>
        <v>0</v>
      </c>
      <c r="W44" s="2"/>
      <c r="X44" s="2">
        <f t="shared" si="11"/>
        <v>212247.9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"5003", " - ", "PURCHASES @ COST-RENTAL TEXT")</f>
        <v xml:space="preserve">          5003 - PURCHASES @ COST-RENTAL TEXT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-78.400000000000006</v>
      </c>
      <c r="Q45" s="2"/>
      <c r="R45" s="19">
        <f t="shared" si="9"/>
        <v>-2.7250083634990431E-5</v>
      </c>
      <c r="S45" s="2"/>
      <c r="T45" s="2"/>
      <c r="U45" s="2"/>
      <c r="V45" s="19">
        <f t="shared" si="10"/>
        <v>0</v>
      </c>
      <c r="W45" s="2"/>
      <c r="X45" s="2">
        <f t="shared" si="11"/>
        <v>-78.400000000000006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"5004", " - ", "PURCHASES @ COST-DIGITAL TEXT")</f>
        <v xml:space="preserve">          5004 - PURCHASES @ COST-DIGITAL TEXT</v>
      </c>
      <c r="C46" s="11"/>
      <c r="D46" s="2">
        <v>0.94</v>
      </c>
      <c r="E46" s="2"/>
      <c r="F46" s="19">
        <f t="shared" si="5"/>
        <v>6.4120273261504993E-5</v>
      </c>
      <c r="G46" s="2"/>
      <c r="H46" s="2"/>
      <c r="I46" s="2"/>
      <c r="J46" s="19">
        <f t="shared" si="6"/>
        <v>0</v>
      </c>
      <c r="K46" s="2"/>
      <c r="L46" s="2">
        <f t="shared" si="7"/>
        <v>0.94</v>
      </c>
      <c r="M46" s="2"/>
      <c r="N46" s="19">
        <f t="shared" si="8"/>
        <v>0</v>
      </c>
      <c r="O46" s="11"/>
      <c r="P46" s="2">
        <v>322779.97000000003</v>
      </c>
      <c r="Q46" s="2"/>
      <c r="R46" s="19">
        <f t="shared" si="9"/>
        <v>0.11219108645662886</v>
      </c>
      <c r="S46" s="2"/>
      <c r="T46" s="2"/>
      <c r="U46" s="2"/>
      <c r="V46" s="19">
        <f t="shared" si="10"/>
        <v>0</v>
      </c>
      <c r="W46" s="2"/>
      <c r="X46" s="2">
        <f t="shared" si="11"/>
        <v>322779.97000000003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"5011", " - ", "PURCHASES @ COST-NO VALUE TEXT")</f>
        <v xml:space="preserve">          5011 - PURCHASES @ COST-NO VALUE TEXT</v>
      </c>
      <c r="C47" s="11"/>
      <c r="D47" s="2">
        <v>66</v>
      </c>
      <c r="E47" s="2"/>
      <c r="F47" s="19">
        <f t="shared" si="5"/>
        <v>4.5020617396375846E-3</v>
      </c>
      <c r="G47" s="2"/>
      <c r="H47" s="2"/>
      <c r="I47" s="2"/>
      <c r="J47" s="19">
        <f t="shared" si="6"/>
        <v>0</v>
      </c>
      <c r="K47" s="2"/>
      <c r="L47" s="2">
        <f t="shared" si="7"/>
        <v>66</v>
      </c>
      <c r="M47" s="2"/>
      <c r="N47" s="19">
        <f t="shared" si="8"/>
        <v>0</v>
      </c>
      <c r="O47" s="11"/>
      <c r="P47" s="2">
        <v>3741</v>
      </c>
      <c r="Q47" s="2"/>
      <c r="R47" s="19">
        <f t="shared" si="9"/>
        <v>1.3002877918175918E-3</v>
      </c>
      <c r="S47" s="2"/>
      <c r="T47" s="2"/>
      <c r="U47" s="2"/>
      <c r="V47" s="19">
        <f t="shared" si="10"/>
        <v>0</v>
      </c>
      <c r="W47" s="2"/>
      <c r="X47" s="2">
        <f t="shared" si="11"/>
        <v>3741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"5013", " - ", "PURCHASES @ COST-TRADE BOOKS")</f>
        <v xml:space="preserve">          5013 - PURCHASES @ COST-TRADE BOOKS</v>
      </c>
      <c r="C48" s="11"/>
      <c r="D48" s="2">
        <v>10.79</v>
      </c>
      <c r="E48" s="2"/>
      <c r="F48" s="19">
        <f t="shared" si="5"/>
        <v>7.3601888137408392E-4</v>
      </c>
      <c r="G48" s="2"/>
      <c r="H48" s="2"/>
      <c r="I48" s="2"/>
      <c r="J48" s="19">
        <f t="shared" si="6"/>
        <v>0</v>
      </c>
      <c r="K48" s="2"/>
      <c r="L48" s="2">
        <f t="shared" si="7"/>
        <v>10.79</v>
      </c>
      <c r="M48" s="2"/>
      <c r="N48" s="19">
        <f t="shared" si="8"/>
        <v>0</v>
      </c>
      <c r="O48" s="11"/>
      <c r="P48" s="2">
        <v>698.14</v>
      </c>
      <c r="Q48" s="2"/>
      <c r="R48" s="19">
        <f t="shared" si="9"/>
        <v>2.4265782383842117E-4</v>
      </c>
      <c r="S48" s="2"/>
      <c r="T48" s="2"/>
      <c r="U48" s="2"/>
      <c r="V48" s="19">
        <f t="shared" si="10"/>
        <v>0</v>
      </c>
      <c r="W48" s="2"/>
      <c r="X48" s="2">
        <f t="shared" si="11"/>
        <v>698.14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"5014", " - ", "PURCHASES @ COST-REMAINDERS")</f>
        <v xml:space="preserve">          5014 - PURCHASES @ COST-REMAINDERS</v>
      </c>
      <c r="C49" s="11"/>
      <c r="D49" s="2">
        <v>114.84</v>
      </c>
      <c r="E49" s="2"/>
      <c r="F49" s="19">
        <f t="shared" si="5"/>
        <v>7.8335874269693986E-3</v>
      </c>
      <c r="G49" s="2"/>
      <c r="H49" s="2"/>
      <c r="I49" s="2"/>
      <c r="J49" s="19">
        <f t="shared" si="6"/>
        <v>0</v>
      </c>
      <c r="K49" s="2"/>
      <c r="L49" s="2">
        <f t="shared" si="7"/>
        <v>114.84</v>
      </c>
      <c r="M49" s="2"/>
      <c r="N49" s="19">
        <f t="shared" si="8"/>
        <v>0</v>
      </c>
      <c r="O49" s="11"/>
      <c r="P49" s="2">
        <v>442.35</v>
      </c>
      <c r="Q49" s="2"/>
      <c r="R49" s="19">
        <f t="shared" si="9"/>
        <v>1.5375095020329105E-4</v>
      </c>
      <c r="S49" s="2"/>
      <c r="T49" s="2"/>
      <c r="U49" s="2"/>
      <c r="V49" s="19">
        <f t="shared" si="10"/>
        <v>0</v>
      </c>
      <c r="W49" s="2"/>
      <c r="X49" s="2">
        <f t="shared" si="11"/>
        <v>442.35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"5018", " - ", "PURCHASES @ COST-STUDY GUIDES")</f>
        <v xml:space="preserve">          5018 - PURCHASES @ COST-STUDY GUIDES</v>
      </c>
      <c r="C50" s="11"/>
      <c r="D50" s="2"/>
      <c r="E50" s="2"/>
      <c r="F50" s="19">
        <f t="shared" si="5"/>
        <v>0</v>
      </c>
      <c r="G50" s="2"/>
      <c r="H50" s="2"/>
      <c r="I50" s="2"/>
      <c r="J50" s="19">
        <f t="shared" si="6"/>
        <v>0</v>
      </c>
      <c r="K50" s="2"/>
      <c r="L50" s="2">
        <f t="shared" si="7"/>
        <v>0</v>
      </c>
      <c r="M50" s="2"/>
      <c r="N50" s="19">
        <f t="shared" si="8"/>
        <v>0</v>
      </c>
      <c r="O50" s="11"/>
      <c r="P50" s="2">
        <v>802.09</v>
      </c>
      <c r="Q50" s="2"/>
      <c r="R50" s="19">
        <f t="shared" si="9"/>
        <v>2.7878851508660046E-4</v>
      </c>
      <c r="S50" s="2"/>
      <c r="T50" s="2"/>
      <c r="U50" s="2"/>
      <c r="V50" s="19">
        <f t="shared" si="10"/>
        <v>0</v>
      </c>
      <c r="W50" s="2"/>
      <c r="X50" s="2">
        <f t="shared" si="11"/>
        <v>802.09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"5200", " - ", "PURCHASES OFFSET")</f>
        <v xml:space="preserve">          5200 - PURCHASES OFFSET</v>
      </c>
      <c r="C51" s="11"/>
      <c r="D51" s="2">
        <v>330700</v>
      </c>
      <c r="E51" s="2"/>
      <c r="F51" s="19">
        <f t="shared" si="5"/>
        <v>22.558057837850747</v>
      </c>
      <c r="G51" s="2"/>
      <c r="H51" s="2"/>
      <c r="I51" s="2"/>
      <c r="J51" s="19">
        <f t="shared" si="6"/>
        <v>0</v>
      </c>
      <c r="K51" s="2"/>
      <c r="L51" s="2">
        <f t="shared" si="7"/>
        <v>330700</v>
      </c>
      <c r="M51" s="2"/>
      <c r="N51" s="19">
        <f t="shared" si="8"/>
        <v>0</v>
      </c>
      <c r="O51" s="11"/>
      <c r="P51" s="2">
        <v>-1480875</v>
      </c>
      <c r="Q51" s="2"/>
      <c r="R51" s="19">
        <f t="shared" si="9"/>
        <v>-0.51471897452763338</v>
      </c>
      <c r="S51" s="2"/>
      <c r="T51" s="2"/>
      <c r="U51" s="2"/>
      <c r="V51" s="19">
        <f t="shared" si="10"/>
        <v>0</v>
      </c>
      <c r="W51" s="2"/>
      <c r="X51" s="2">
        <f t="shared" si="11"/>
        <v>-1480875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"5300", " - ", "COG$ OFFSET")</f>
        <v xml:space="preserve">          5300 - COG$ OFFSET</v>
      </c>
      <c r="C52" s="11"/>
      <c r="D52" s="2">
        <v>20379</v>
      </c>
      <c r="E52" s="2"/>
      <c r="F52" s="19">
        <f t="shared" si="5"/>
        <v>1.390113881698096</v>
      </c>
      <c r="G52" s="2"/>
      <c r="H52" s="2"/>
      <c r="I52" s="2"/>
      <c r="J52" s="19">
        <f t="shared" si="6"/>
        <v>0</v>
      </c>
      <c r="K52" s="2"/>
      <c r="L52" s="2">
        <f t="shared" si="7"/>
        <v>20379</v>
      </c>
      <c r="M52" s="2"/>
      <c r="N52" s="19">
        <f t="shared" si="8"/>
        <v>0</v>
      </c>
      <c r="O52" s="11"/>
      <c r="P52" s="2">
        <v>1438765</v>
      </c>
      <c r="Q52" s="2"/>
      <c r="R52" s="19">
        <f t="shared" si="9"/>
        <v>0.50008248190174753</v>
      </c>
      <c r="S52" s="2"/>
      <c r="T52" s="2"/>
      <c r="U52" s="2"/>
      <c r="V52" s="19">
        <f t="shared" si="10"/>
        <v>0</v>
      </c>
      <c r="W52" s="2"/>
      <c r="X52" s="2">
        <f t="shared" si="11"/>
        <v>1438765</v>
      </c>
      <c r="Y52" s="2"/>
      <c r="Z52" s="19">
        <f t="shared" si="12"/>
        <v>0</v>
      </c>
    </row>
    <row r="53" spans="1:26" s="24" customFormat="1" hidden="1" outlineLevel="1" x14ac:dyDescent="0.25">
      <c r="A53" s="44"/>
      <c r="B53" s="11" t="str">
        <f>CONCATENATE("          ", "5501", " - ", "FREIGHT-IN-NEW TEXT")</f>
        <v xml:space="preserve">          5501 - FREIGHT-IN-NEW TEXT</v>
      </c>
      <c r="C53" s="11"/>
      <c r="D53" s="2">
        <v>490.07</v>
      </c>
      <c r="E53" s="2"/>
      <c r="F53" s="19">
        <f t="shared" si="5"/>
        <v>3.3429172677942293E-2</v>
      </c>
      <c r="G53" s="2"/>
      <c r="H53" s="2"/>
      <c r="I53" s="2"/>
      <c r="J53" s="19">
        <f t="shared" si="6"/>
        <v>0</v>
      </c>
      <c r="K53" s="2"/>
      <c r="L53" s="2">
        <f t="shared" si="7"/>
        <v>490.07</v>
      </c>
      <c r="M53" s="2"/>
      <c r="N53" s="19">
        <f t="shared" si="8"/>
        <v>0</v>
      </c>
      <c r="O53" s="11"/>
      <c r="P53" s="2">
        <v>34507.550000000003</v>
      </c>
      <c r="Q53" s="2"/>
      <c r="R53" s="19">
        <f t="shared" si="9"/>
        <v>1.1994051320645589E-2</v>
      </c>
      <c r="S53" s="2"/>
      <c r="T53" s="2"/>
      <c r="U53" s="2"/>
      <c r="V53" s="19">
        <f t="shared" si="10"/>
        <v>0</v>
      </c>
      <c r="W53" s="2"/>
      <c r="X53" s="2">
        <f t="shared" si="11"/>
        <v>34507.550000000003</v>
      </c>
      <c r="Y53" s="2"/>
      <c r="Z53" s="19">
        <f t="shared" si="12"/>
        <v>0</v>
      </c>
    </row>
    <row r="54" spans="1:26" s="24" customFormat="1" hidden="1" outlineLevel="1" x14ac:dyDescent="0.25">
      <c r="A54" s="44"/>
      <c r="B54" s="11" t="str">
        <f>CONCATENATE("          ", "5502", " - ", "FREIGHT-IN-USED TEXT")</f>
        <v xml:space="preserve">          5502 - FREIGHT-IN-USED TEXT</v>
      </c>
      <c r="C54" s="11"/>
      <c r="D54" s="2">
        <v>237.65</v>
      </c>
      <c r="E54" s="2"/>
      <c r="F54" s="19">
        <f t="shared" si="5"/>
        <v>1.6210832915528366E-2</v>
      </c>
      <c r="G54" s="2"/>
      <c r="H54" s="2"/>
      <c r="I54" s="2"/>
      <c r="J54" s="19">
        <f t="shared" si="6"/>
        <v>0</v>
      </c>
      <c r="K54" s="2"/>
      <c r="L54" s="2">
        <f t="shared" si="7"/>
        <v>237.65</v>
      </c>
      <c r="M54" s="2"/>
      <c r="N54" s="19">
        <f t="shared" si="8"/>
        <v>0</v>
      </c>
      <c r="O54" s="11"/>
      <c r="P54" s="2">
        <v>7090.12</v>
      </c>
      <c r="Q54" s="2"/>
      <c r="R54" s="19">
        <f t="shared" si="9"/>
        <v>2.4643668747719176E-3</v>
      </c>
      <c r="S54" s="2"/>
      <c r="T54" s="2"/>
      <c r="U54" s="2"/>
      <c r="V54" s="19">
        <f t="shared" si="10"/>
        <v>0</v>
      </c>
      <c r="W54" s="2"/>
      <c r="X54" s="2">
        <f t="shared" si="11"/>
        <v>7090.12</v>
      </c>
      <c r="Y54" s="2"/>
      <c r="Z54" s="19">
        <f t="shared" si="12"/>
        <v>0</v>
      </c>
    </row>
    <row r="55" spans="1:26" s="24" customFormat="1" hidden="1" outlineLevel="1" x14ac:dyDescent="0.25">
      <c r="A55" s="44"/>
      <c r="B55" s="11" t="str">
        <f>CONCATENATE("          ", "5504", " - ", "FREIGHT-IN-DIGITAL TEXT")</f>
        <v xml:space="preserve">          5504 - FREIGHT-IN-DIGITAL TEXT</v>
      </c>
      <c r="C55" s="11"/>
      <c r="D55" s="2">
        <v>5</v>
      </c>
      <c r="E55" s="2"/>
      <c r="F55" s="19">
        <f t="shared" si="5"/>
        <v>3.4106528330587766E-4</v>
      </c>
      <c r="G55" s="2"/>
      <c r="H55" s="2"/>
      <c r="I55" s="2"/>
      <c r="J55" s="19">
        <f t="shared" si="6"/>
        <v>0</v>
      </c>
      <c r="K55" s="2"/>
      <c r="L55" s="2">
        <f t="shared" si="7"/>
        <v>5</v>
      </c>
      <c r="M55" s="2"/>
      <c r="N55" s="19">
        <f t="shared" si="8"/>
        <v>0</v>
      </c>
      <c r="O55" s="11"/>
      <c r="P55" s="2">
        <v>105.97</v>
      </c>
      <c r="Q55" s="2"/>
      <c r="R55" s="19">
        <f t="shared" si="9"/>
        <v>3.683279799489714E-5</v>
      </c>
      <c r="S55" s="2"/>
      <c r="T55" s="2"/>
      <c r="U55" s="2"/>
      <c r="V55" s="19">
        <f t="shared" si="10"/>
        <v>0</v>
      </c>
      <c r="W55" s="2"/>
      <c r="X55" s="2">
        <f t="shared" si="11"/>
        <v>105.97</v>
      </c>
      <c r="Y55" s="2"/>
      <c r="Z55" s="19">
        <f t="shared" si="12"/>
        <v>0</v>
      </c>
    </row>
    <row r="56" spans="1:26" s="24" customFormat="1" hidden="1" outlineLevel="1" x14ac:dyDescent="0.25">
      <c r="A56" s="44"/>
      <c r="B56" s="11" t="str">
        <f>CONCATENATE("          ", "5513", " - ", "FREIGHT-IN-TRADE BOOKS")</f>
        <v xml:space="preserve">          5513 - FREIGHT-IN-TRADE BOOKS</v>
      </c>
      <c r="C56" s="11"/>
      <c r="D56" s="2">
        <v>12.33</v>
      </c>
      <c r="E56" s="2"/>
      <c r="F56" s="19">
        <f t="shared" si="5"/>
        <v>8.4106698863229432E-4</v>
      </c>
      <c r="G56" s="2"/>
      <c r="H56" s="2"/>
      <c r="I56" s="2"/>
      <c r="J56" s="19">
        <f t="shared" si="6"/>
        <v>0</v>
      </c>
      <c r="K56" s="2"/>
      <c r="L56" s="2">
        <f t="shared" si="7"/>
        <v>12.33</v>
      </c>
      <c r="M56" s="2"/>
      <c r="N56" s="19">
        <f t="shared" si="8"/>
        <v>0</v>
      </c>
      <c r="O56" s="11"/>
      <c r="P56" s="2">
        <v>12.33</v>
      </c>
      <c r="Q56" s="2"/>
      <c r="R56" s="19">
        <f t="shared" si="9"/>
        <v>4.2856317757580613E-6</v>
      </c>
      <c r="S56" s="2"/>
      <c r="T56" s="2"/>
      <c r="U56" s="2"/>
      <c r="V56" s="19">
        <f t="shared" si="10"/>
        <v>0</v>
      </c>
      <c r="W56" s="2"/>
      <c r="X56" s="2">
        <f t="shared" si="11"/>
        <v>12.33</v>
      </c>
      <c r="Y56" s="2"/>
      <c r="Z56" s="19">
        <f t="shared" si="12"/>
        <v>0</v>
      </c>
    </row>
    <row r="57" spans="1:26" s="24" customFormat="1" hidden="1" outlineLevel="1" x14ac:dyDescent="0.25">
      <c r="A57" s="44"/>
      <c r="B57" s="11" t="str">
        <f>CONCATENATE("          ", "5518", " - ", "FREIGHT-IN-STUDY GUIDES")</f>
        <v xml:space="preserve">          5518 - FREIGHT-IN-STUDY GUIDES</v>
      </c>
      <c r="C57" s="11"/>
      <c r="D57" s="2">
        <v>12.26</v>
      </c>
      <c r="E57" s="2"/>
      <c r="F57" s="19">
        <f t="shared" si="5"/>
        <v>8.3629207466601196E-4</v>
      </c>
      <c r="G57" s="2"/>
      <c r="H57" s="2"/>
      <c r="I57" s="2"/>
      <c r="J57" s="19">
        <f t="shared" si="6"/>
        <v>0</v>
      </c>
      <c r="K57" s="2"/>
      <c r="L57" s="2">
        <f t="shared" si="7"/>
        <v>12.26</v>
      </c>
      <c r="M57" s="2"/>
      <c r="N57" s="19">
        <f t="shared" si="8"/>
        <v>0</v>
      </c>
      <c r="O57" s="11"/>
      <c r="P57" s="2">
        <v>12.26</v>
      </c>
      <c r="Q57" s="2"/>
      <c r="R57" s="19">
        <f t="shared" si="9"/>
        <v>4.2613013439411058E-6</v>
      </c>
      <c r="S57" s="2"/>
      <c r="T57" s="2"/>
      <c r="U57" s="2"/>
      <c r="V57" s="19">
        <f t="shared" si="10"/>
        <v>0</v>
      </c>
      <c r="W57" s="2"/>
      <c r="X57" s="2">
        <f t="shared" si="11"/>
        <v>12.26</v>
      </c>
      <c r="Y57" s="2"/>
      <c r="Z57" s="19">
        <f t="shared" si="12"/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10"/>
      <c r="B59" s="28" t="s">
        <v>6</v>
      </c>
      <c r="C59" s="28"/>
      <c r="D59" s="20">
        <f>D12-D41</f>
        <v>-6285.9300000000112</v>
      </c>
      <c r="E59" s="14"/>
      <c r="F59" s="22">
        <f>IF(D$12=0,0,D59/D$12)</f>
        <v>-0.42878249925818385</v>
      </c>
      <c r="G59" s="14"/>
      <c r="H59" s="20">
        <f>H12-H41</f>
        <v>5310.9</v>
      </c>
      <c r="I59" s="14"/>
      <c r="J59" s="22">
        <f>IF(H$12=0,0,H59/H$12)</f>
        <v>0.4485178616670889</v>
      </c>
      <c r="K59" s="16"/>
      <c r="L59" s="20">
        <f>+D59-H59</f>
        <v>-11596.830000000011</v>
      </c>
      <c r="M59" s="16"/>
      <c r="N59" s="22">
        <f>IF(H59=0,0,L59/H59)</f>
        <v>-2.1835903519177564</v>
      </c>
      <c r="O59" s="29"/>
      <c r="P59" s="20">
        <f>P12-P41</f>
        <v>754953.41999999946</v>
      </c>
      <c r="Q59" s="14"/>
      <c r="R59" s="22">
        <f>IF(P$12=0,0,P59/P$12)</f>
        <v>0.26240489586125054</v>
      </c>
      <c r="S59" s="14"/>
      <c r="T59" s="20">
        <f>T12-T41</f>
        <v>865254.23</v>
      </c>
      <c r="U59" s="14"/>
      <c r="V59" s="22">
        <f>IF(T$12=0,0,T59/T$12)</f>
        <v>0.27800672482207978</v>
      </c>
      <c r="W59" s="16"/>
      <c r="X59" s="20">
        <f>+P59-T59</f>
        <v>-110300.81000000052</v>
      </c>
      <c r="Y59" s="16"/>
      <c r="Z59" s="22">
        <f>IF(T59=0,0,X59/T59)</f>
        <v>-0.12747792056445714</v>
      </c>
    </row>
    <row r="60" spans="1:26" x14ac:dyDescent="0.25">
      <c r="A60" s="9"/>
      <c r="B60" s="10"/>
      <c r="C60" s="9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9" t="s">
        <v>9</v>
      </c>
      <c r="C61" s="10"/>
      <c r="D61" s="21">
        <f>SUM(OSRRefD22x_0)</f>
        <v>48723.32</v>
      </c>
      <c r="E61" s="21"/>
      <c r="F61" s="33">
        <f t="shared" ref="F61:F72" si="13">IF(D$12=0,0,D61/D$12)</f>
        <v>3.3235665878805869</v>
      </c>
      <c r="G61" s="21"/>
      <c r="H61" s="21">
        <f>SUM(OSRRefH22x_0)</f>
        <v>60603.547288297872</v>
      </c>
      <c r="I61" s="21"/>
      <c r="J61" s="33">
        <f t="shared" ref="J61:J72" si="14">IF(H$12=0,0,H61/H$12)</f>
        <v>5.118110572443026</v>
      </c>
      <c r="K61" s="4"/>
      <c r="L61" s="21">
        <f t="shared" ref="L61:L72" si="15">+D61-H61</f>
        <v>-11880.227288297872</v>
      </c>
      <c r="M61" s="4"/>
      <c r="N61" s="33">
        <f t="shared" ref="N61:N72" si="16">IF(H61=0,0,L61/H61)</f>
        <v>-0.19603187964860042</v>
      </c>
      <c r="O61" s="10"/>
      <c r="P61" s="21">
        <f>SUM(OSRRefP22x_0)</f>
        <v>209249.05</v>
      </c>
      <c r="Q61" s="21"/>
      <c r="R61" s="33">
        <f t="shared" ref="R61:R72" si="17">IF(P$12=0,0,P61/P$12)</f>
        <v>7.273028205411089E-2</v>
      </c>
      <c r="S61" s="21"/>
      <c r="T61" s="21">
        <f>SUM(OSRRefT22x_0)</f>
        <v>279460.71495863813</v>
      </c>
      <c r="U61" s="21"/>
      <c r="V61" s="33">
        <f t="shared" ref="V61:V72" si="18">IF(T$12=0,0,T61/T$12)</f>
        <v>8.979090235951552E-2</v>
      </c>
      <c r="W61" s="4"/>
      <c r="X61" s="21">
        <f t="shared" ref="X61:X72" si="19">+P61-T61</f>
        <v>-70211.664958638139</v>
      </c>
      <c r="Y61" s="4"/>
      <c r="Z61" s="33">
        <f t="shared" ref="Z61:Z72" si="20">IF(T61=0,0,X61/T61)</f>
        <v>-0.25123983873379085</v>
      </c>
    </row>
    <row r="62" spans="1:26" s="26" customFormat="1" outlineLevel="1" collapsed="1" x14ac:dyDescent="0.25">
      <c r="A62" s="27"/>
      <c r="B62" s="13" t="str">
        <f>CONCATENATE("     ","*Benefits                                         ")</f>
        <v xml:space="preserve">     *Benefits                                         </v>
      </c>
      <c r="C62" s="13"/>
      <c r="D62" s="1">
        <f>SUM(OSRRefD22_0x_0)</f>
        <v>8764.2699999999986</v>
      </c>
      <c r="E62" s="1"/>
      <c r="F62" s="5">
        <f t="shared" si="13"/>
        <v>0.59783764610384071</v>
      </c>
      <c r="G62" s="1"/>
      <c r="H62" s="1">
        <f>SUM(OSRRefH22_0x_0)</f>
        <v>11945.600072574771</v>
      </c>
      <c r="I62" s="1"/>
      <c r="J62" s="5">
        <f t="shared" si="14"/>
        <v>1.0088337194979116</v>
      </c>
      <c r="K62" s="1"/>
      <c r="L62" s="1">
        <f t="shared" si="15"/>
        <v>-3181.3300725747722</v>
      </c>
      <c r="M62" s="1"/>
      <c r="N62" s="5">
        <f t="shared" si="16"/>
        <v>-0.26631814670228315</v>
      </c>
      <c r="O62" s="13"/>
      <c r="P62" s="1">
        <f>SUM(OSRRefP22_0x_0)</f>
        <v>51347.56</v>
      </c>
      <c r="Q62" s="1"/>
      <c r="R62" s="5">
        <f t="shared" si="17"/>
        <v>1.7847261536386341E-2</v>
      </c>
      <c r="S62" s="1"/>
      <c r="T62" s="1">
        <f>SUM(OSRRefT22_0x_0)</f>
        <v>64606.225272161224</v>
      </c>
      <c r="U62" s="1"/>
      <c r="V62" s="5">
        <f t="shared" si="18"/>
        <v>2.0758020554295379E-2</v>
      </c>
      <c r="W62" s="1"/>
      <c r="X62" s="1">
        <f t="shared" si="19"/>
        <v>-13258.665272161226</v>
      </c>
      <c r="Y62" s="1"/>
      <c r="Z62" s="5">
        <f t="shared" si="20"/>
        <v>-0.20522271988972518</v>
      </c>
    </row>
    <row r="63" spans="1:26" s="24" customFormat="1" hidden="1" outlineLevel="2" x14ac:dyDescent="0.25">
      <c r="A63" s="25"/>
      <c r="B63" s="11" t="str">
        <f>CONCATENATE("          ", "6111", " - ", "F.I.C.A.")</f>
        <v xml:space="preserve">          6111 - F.I.C.A.</v>
      </c>
      <c r="C63" s="11"/>
      <c r="D63" s="6">
        <v>1472.33</v>
      </c>
      <c r="E63" s="2"/>
      <c r="F63" s="7">
        <f t="shared" si="13"/>
        <v>0.10043212971394856</v>
      </c>
      <c r="G63" s="2"/>
      <c r="H63" s="6">
        <v>1602.9579046486201</v>
      </c>
      <c r="I63" s="2"/>
      <c r="J63" s="7">
        <f t="shared" si="14"/>
        <v>0.13537352458817836</v>
      </c>
      <c r="K63" s="2"/>
      <c r="L63" s="6">
        <f t="shared" si="15"/>
        <v>-130.62790464862019</v>
      </c>
      <c r="M63" s="2"/>
      <c r="N63" s="7">
        <f t="shared" si="16"/>
        <v>-8.1491787320051148E-2</v>
      </c>
      <c r="O63" s="11"/>
      <c r="P63" s="6">
        <v>9075.3799999999992</v>
      </c>
      <c r="Q63" s="2"/>
      <c r="R63" s="7">
        <f t="shared" si="17"/>
        <v>3.1543987757566253E-3</v>
      </c>
      <c r="S63" s="2"/>
      <c r="T63" s="6">
        <v>9430.9957005674005</v>
      </c>
      <c r="U63" s="2"/>
      <c r="V63" s="7">
        <f t="shared" si="18"/>
        <v>3.0301848123017658E-3</v>
      </c>
      <c r="W63" s="2"/>
      <c r="X63" s="6">
        <f t="shared" si="19"/>
        <v>-355.61570056740129</v>
      </c>
      <c r="Y63" s="2"/>
      <c r="Z63" s="7">
        <f t="shared" si="20"/>
        <v>-3.7707121480927648E-2</v>
      </c>
    </row>
    <row r="64" spans="1:26" s="24" customFormat="1" hidden="1" outlineLevel="2" x14ac:dyDescent="0.25">
      <c r="A64" s="25"/>
      <c r="B64" s="11" t="str">
        <f>CONCATENATE("          ", "6112", " - ", "COMPENSATION INSURANCE")</f>
        <v xml:space="preserve">          6112 - COMPENSATION INSURANCE</v>
      </c>
      <c r="C64" s="11"/>
      <c r="D64" s="6">
        <v>74.48</v>
      </c>
      <c r="E64" s="2"/>
      <c r="F64" s="7">
        <f t="shared" si="13"/>
        <v>5.0805084601243536E-3</v>
      </c>
      <c r="G64" s="2"/>
      <c r="H64" s="6">
        <v>518.84219950769204</v>
      </c>
      <c r="I64" s="2"/>
      <c r="J64" s="7">
        <f t="shared" si="14"/>
        <v>4.3817430918646399E-2</v>
      </c>
      <c r="K64" s="2"/>
      <c r="L64" s="6">
        <f t="shared" si="15"/>
        <v>-444.36219950769203</v>
      </c>
      <c r="M64" s="2"/>
      <c r="N64" s="7">
        <f t="shared" si="16"/>
        <v>-0.85644961016919785</v>
      </c>
      <c r="O64" s="11"/>
      <c r="P64" s="6">
        <v>268.06</v>
      </c>
      <c r="Q64" s="2"/>
      <c r="R64" s="7">
        <f t="shared" si="17"/>
        <v>9.3171650755045085E-5</v>
      </c>
      <c r="S64" s="2"/>
      <c r="T64" s="6">
        <v>3081.0294172923059</v>
      </c>
      <c r="U64" s="2"/>
      <c r="V64" s="7">
        <f t="shared" si="18"/>
        <v>9.8993667720285506E-4</v>
      </c>
      <c r="W64" s="2"/>
      <c r="X64" s="6">
        <f t="shared" si="19"/>
        <v>-2812.9694172923059</v>
      </c>
      <c r="Y64" s="2"/>
      <c r="Z64" s="7">
        <f t="shared" si="20"/>
        <v>-0.91299661129637033</v>
      </c>
    </row>
    <row r="65" spans="1:26" s="24" customFormat="1" hidden="1" outlineLevel="2" x14ac:dyDescent="0.25">
      <c r="A65" s="25"/>
      <c r="B65" s="11" t="str">
        <f>CONCATENATE("          ", "6113", " - ", "GROUP INSURANCE")</f>
        <v xml:space="preserve">          6113 - GROUP INSURANCE</v>
      </c>
      <c r="C65" s="11"/>
      <c r="D65" s="6">
        <v>4168.57</v>
      </c>
      <c r="E65" s="2"/>
      <c r="F65" s="7">
        <f t="shared" si="13"/>
        <v>0.28435090160607646</v>
      </c>
      <c r="G65" s="2"/>
      <c r="H65" s="6">
        <v>5311.7692307692296</v>
      </c>
      <c r="I65" s="2"/>
      <c r="J65" s="7">
        <f t="shared" si="14"/>
        <v>0.4485912702279562</v>
      </c>
      <c r="K65" s="2"/>
      <c r="L65" s="6">
        <f t="shared" si="15"/>
        <v>-1143.1992307692299</v>
      </c>
      <c r="M65" s="2"/>
      <c r="N65" s="7">
        <f t="shared" si="16"/>
        <v>-0.21522004836864425</v>
      </c>
      <c r="O65" s="11"/>
      <c r="P65" s="6">
        <v>20842.849999999999</v>
      </c>
      <c r="Q65" s="2"/>
      <c r="R65" s="7">
        <f t="shared" si="17"/>
        <v>7.2445077256576562E-3</v>
      </c>
      <c r="S65" s="2"/>
      <c r="T65" s="6">
        <v>27502.23076923077</v>
      </c>
      <c r="U65" s="2"/>
      <c r="V65" s="7">
        <f t="shared" si="18"/>
        <v>8.8364839331150965E-3</v>
      </c>
      <c r="W65" s="2"/>
      <c r="X65" s="6">
        <f t="shared" si="19"/>
        <v>-6659.380769230771</v>
      </c>
      <c r="Y65" s="2"/>
      <c r="Z65" s="7">
        <f t="shared" si="20"/>
        <v>-0.24213965860112052</v>
      </c>
    </row>
    <row r="66" spans="1:26" s="24" customFormat="1" hidden="1" outlineLevel="2" x14ac:dyDescent="0.25">
      <c r="A66" s="25"/>
      <c r="B66" s="11" t="str">
        <f>CONCATENATE("          ", "6114", " - ", "STATE UNEMPLOYMENT INSURANCE")</f>
        <v xml:space="preserve">          6114 - STATE UNEMPLOYMENT INSURANCE</v>
      </c>
      <c r="C66" s="11"/>
      <c r="D66" s="6">
        <v>56.95</v>
      </c>
      <c r="E66" s="2"/>
      <c r="F66" s="7">
        <f t="shared" si="13"/>
        <v>3.8847335768539466E-3</v>
      </c>
      <c r="G66" s="2"/>
      <c r="H66" s="6">
        <v>70.999458880000006</v>
      </c>
      <c r="I66" s="2"/>
      <c r="J66" s="7">
        <f t="shared" si="14"/>
        <v>5.9960694941305634E-3</v>
      </c>
      <c r="K66" s="2"/>
      <c r="L66" s="6">
        <f t="shared" si="15"/>
        <v>-14.049458880000003</v>
      </c>
      <c r="M66" s="2"/>
      <c r="N66" s="7">
        <f t="shared" si="16"/>
        <v>-0.19788121066874251</v>
      </c>
      <c r="O66" s="11"/>
      <c r="P66" s="6">
        <v>303.44</v>
      </c>
      <c r="Q66" s="2"/>
      <c r="R66" s="7">
        <f t="shared" si="17"/>
        <v>1.0546894615052929E-4</v>
      </c>
      <c r="S66" s="2"/>
      <c r="T66" s="6">
        <v>421.61455183999999</v>
      </c>
      <c r="U66" s="2"/>
      <c r="V66" s="7">
        <f t="shared" si="18"/>
        <v>1.3546501898565393E-4</v>
      </c>
      <c r="W66" s="2"/>
      <c r="X66" s="6">
        <f t="shared" si="19"/>
        <v>-118.17455183999999</v>
      </c>
      <c r="Y66" s="2"/>
      <c r="Z66" s="7">
        <f t="shared" si="20"/>
        <v>-0.28029049596192895</v>
      </c>
    </row>
    <row r="67" spans="1:26" s="24" customFormat="1" hidden="1" outlineLevel="2" x14ac:dyDescent="0.25">
      <c r="A67" s="25"/>
      <c r="B67" s="11" t="str">
        <f>CONCATENATE("          ", "6115", " - ", "P.E.R.S.")</f>
        <v xml:space="preserve">          6115 - P.E.R.S.</v>
      </c>
      <c r="C67" s="11"/>
      <c r="D67" s="6">
        <v>1325.86</v>
      </c>
      <c r="E67" s="2"/>
      <c r="F67" s="7">
        <f t="shared" si="13"/>
        <v>9.0440963304786182E-2</v>
      </c>
      <c r="G67" s="2"/>
      <c r="H67" s="6">
        <v>1235.9586478769202</v>
      </c>
      <c r="I67" s="2"/>
      <c r="J67" s="7">
        <f t="shared" si="14"/>
        <v>0.10437958347073052</v>
      </c>
      <c r="K67" s="2"/>
      <c r="L67" s="6">
        <f t="shared" si="15"/>
        <v>89.901352123079732</v>
      </c>
      <c r="M67" s="2"/>
      <c r="N67" s="7">
        <f t="shared" si="16"/>
        <v>7.273815533999349E-2</v>
      </c>
      <c r="O67" s="11"/>
      <c r="P67" s="6">
        <v>7106.54</v>
      </c>
      <c r="Q67" s="2"/>
      <c r="R67" s="7">
        <f t="shared" si="17"/>
        <v>2.4700740989209808E-3</v>
      </c>
      <c r="S67" s="2"/>
      <c r="T67" s="6">
        <v>6797.7725633230602</v>
      </c>
      <c r="U67" s="2"/>
      <c r="V67" s="7">
        <f t="shared" si="18"/>
        <v>2.1841285727257731E-3</v>
      </c>
      <c r="W67" s="2"/>
      <c r="X67" s="6">
        <f t="shared" si="19"/>
        <v>308.76743667693972</v>
      </c>
      <c r="Y67" s="2"/>
      <c r="Z67" s="7">
        <f t="shared" si="20"/>
        <v>4.542185455613422E-2</v>
      </c>
    </row>
    <row r="68" spans="1:26" s="24" customFormat="1" hidden="1" outlineLevel="2" x14ac:dyDescent="0.25">
      <c r="A68" s="25"/>
      <c r="B68" s="11" t="str">
        <f>CONCATENATE("          ", "6116", " - ", "EDUCATIONAL BENEFITS")</f>
        <v xml:space="preserve">          6116 - EDUCATIONAL BENEFITS</v>
      </c>
      <c r="C68" s="11"/>
      <c r="D68" s="6"/>
      <c r="E68" s="2"/>
      <c r="F68" s="7">
        <f t="shared" si="13"/>
        <v>0</v>
      </c>
      <c r="G68" s="2"/>
      <c r="H68" s="6">
        <v>0</v>
      </c>
      <c r="I68" s="2"/>
      <c r="J68" s="7">
        <f t="shared" si="14"/>
        <v>0</v>
      </c>
      <c r="K68" s="2"/>
      <c r="L68" s="6">
        <f t="shared" si="15"/>
        <v>0</v>
      </c>
      <c r="M68" s="2"/>
      <c r="N68" s="7">
        <f t="shared" si="16"/>
        <v>0</v>
      </c>
      <c r="O68" s="11"/>
      <c r="P68" s="6"/>
      <c r="Q68" s="2"/>
      <c r="R68" s="7">
        <f t="shared" si="17"/>
        <v>0</v>
      </c>
      <c r="S68" s="2"/>
      <c r="T68" s="6">
        <v>0</v>
      </c>
      <c r="U68" s="2"/>
      <c r="V68" s="7">
        <f t="shared" si="18"/>
        <v>0</v>
      </c>
      <c r="W68" s="2"/>
      <c r="X68" s="6">
        <f t="shared" si="19"/>
        <v>0</v>
      </c>
      <c r="Y68" s="2"/>
      <c r="Z68" s="7">
        <f t="shared" si="20"/>
        <v>0</v>
      </c>
    </row>
    <row r="69" spans="1:26" s="24" customFormat="1" hidden="1" outlineLevel="2" x14ac:dyDescent="0.25">
      <c r="A69" s="25"/>
      <c r="B69" s="11" t="str">
        <f>CONCATENATE("          ", "6117", " - ", "RETIREMENT STAFF HOURLY")</f>
        <v xml:space="preserve">          6117 - RETIREMENT STAFF HOURLY</v>
      </c>
      <c r="C69" s="11"/>
      <c r="D69" s="6">
        <v>93.57</v>
      </c>
      <c r="E69" s="2"/>
      <c r="F69" s="7">
        <f t="shared" si="13"/>
        <v>6.3826957117861941E-3</v>
      </c>
      <c r="G69" s="2"/>
      <c r="H69" s="6"/>
      <c r="I69" s="2"/>
      <c r="J69" s="7">
        <f t="shared" si="14"/>
        <v>0</v>
      </c>
      <c r="K69" s="2"/>
      <c r="L69" s="6">
        <f t="shared" si="15"/>
        <v>93.57</v>
      </c>
      <c r="M69" s="2"/>
      <c r="N69" s="7">
        <f t="shared" si="16"/>
        <v>0</v>
      </c>
      <c r="O69" s="11"/>
      <c r="P69" s="6">
        <v>646.20000000000005</v>
      </c>
      <c r="Q69" s="2"/>
      <c r="R69" s="7">
        <f t="shared" si="17"/>
        <v>2.2460464343024002E-4</v>
      </c>
      <c r="S69" s="2"/>
      <c r="T69" s="6"/>
      <c r="U69" s="2"/>
      <c r="V69" s="7">
        <f t="shared" si="18"/>
        <v>0</v>
      </c>
      <c r="W69" s="2"/>
      <c r="X69" s="6">
        <f t="shared" si="19"/>
        <v>646.20000000000005</v>
      </c>
      <c r="Y69" s="2"/>
      <c r="Z69" s="7">
        <f t="shared" si="20"/>
        <v>0</v>
      </c>
    </row>
    <row r="70" spans="1:26" s="24" customFormat="1" hidden="1" outlineLevel="2" x14ac:dyDescent="0.25">
      <c r="A70" s="25"/>
      <c r="B70" s="11" t="str">
        <f>CONCATENATE("          ", "6118", " - ", "VACATION")</f>
        <v xml:space="preserve">          6118 - VACATION</v>
      </c>
      <c r="C70" s="11"/>
      <c r="D70" s="6">
        <v>204.7</v>
      </c>
      <c r="E70" s="2"/>
      <c r="F70" s="7">
        <f t="shared" si="13"/>
        <v>1.3963212698542631E-2</v>
      </c>
      <c r="G70" s="2"/>
      <c r="H70" s="6">
        <v>1427.9603583999999</v>
      </c>
      <c r="I70" s="2"/>
      <c r="J70" s="7">
        <f t="shared" si="14"/>
        <v>0.12059457464741152</v>
      </c>
      <c r="K70" s="2"/>
      <c r="L70" s="6">
        <f t="shared" si="15"/>
        <v>-1223.2603583999999</v>
      </c>
      <c r="M70" s="2"/>
      <c r="N70" s="7">
        <f t="shared" si="16"/>
        <v>-0.85664868159970342</v>
      </c>
      <c r="O70" s="11"/>
      <c r="P70" s="6">
        <v>4841.92</v>
      </c>
      <c r="Q70" s="2"/>
      <c r="R70" s="7">
        <f t="shared" si="17"/>
        <v>1.6829429203307764E-3</v>
      </c>
      <c r="S70" s="2"/>
      <c r="T70" s="6">
        <v>7853.7819712</v>
      </c>
      <c r="U70" s="2"/>
      <c r="V70" s="7">
        <f t="shared" si="18"/>
        <v>2.5234250554082927E-3</v>
      </c>
      <c r="W70" s="2"/>
      <c r="X70" s="6">
        <f t="shared" si="19"/>
        <v>-3011.8619712</v>
      </c>
      <c r="Y70" s="2"/>
      <c r="Z70" s="7">
        <f t="shared" si="20"/>
        <v>-0.38349192557732914</v>
      </c>
    </row>
    <row r="71" spans="1:26" s="24" customFormat="1" hidden="1" outlineLevel="2" x14ac:dyDescent="0.25">
      <c r="A71" s="25"/>
      <c r="B71" s="11" t="str">
        <f>CONCATENATE("          ", "6119", " - ", "SICK LEAVE")</f>
        <v xml:space="preserve">          6119 - SICK LEAVE</v>
      </c>
      <c r="C71" s="11"/>
      <c r="D71" s="6">
        <v>801.74</v>
      </c>
      <c r="E71" s="2"/>
      <c r="F71" s="7">
        <f t="shared" si="13"/>
        <v>5.4689136047530867E-2</v>
      </c>
      <c r="G71" s="2"/>
      <c r="H71" s="6">
        <v>1027.11227249231</v>
      </c>
      <c r="I71" s="2"/>
      <c r="J71" s="7">
        <f t="shared" si="14"/>
        <v>8.6742021154658386E-2</v>
      </c>
      <c r="K71" s="2"/>
      <c r="L71" s="6">
        <f t="shared" si="15"/>
        <v>-225.37227249231</v>
      </c>
      <c r="M71" s="2"/>
      <c r="N71" s="7">
        <f t="shared" si="16"/>
        <v>-0.21942321061497916</v>
      </c>
      <c r="O71" s="11"/>
      <c r="P71" s="6">
        <v>5318.37</v>
      </c>
      <c r="Q71" s="2"/>
      <c r="R71" s="7">
        <f t="shared" si="17"/>
        <v>1.8485462666048987E-3</v>
      </c>
      <c r="S71" s="2"/>
      <c r="T71" s="6">
        <v>5768.8002987076907</v>
      </c>
      <c r="U71" s="2"/>
      <c r="V71" s="7">
        <f t="shared" si="18"/>
        <v>1.8535191410695103E-3</v>
      </c>
      <c r="W71" s="2"/>
      <c r="X71" s="6">
        <f t="shared" si="19"/>
        <v>-450.43029870769078</v>
      </c>
      <c r="Y71" s="2"/>
      <c r="Z71" s="7">
        <f t="shared" si="20"/>
        <v>-7.8080411070668335E-2</v>
      </c>
    </row>
    <row r="72" spans="1:26" s="24" customFormat="1" hidden="1" outlineLevel="2" x14ac:dyDescent="0.25">
      <c r="A72" s="25"/>
      <c r="B72" s="11" t="str">
        <f>CONCATENATE("          ", "6156", " - ", "EMPLOYEE MEALS")</f>
        <v xml:space="preserve">          6156 - EMPLOYEE MEALS</v>
      </c>
      <c r="C72" s="11"/>
      <c r="D72" s="6">
        <v>566.07000000000005</v>
      </c>
      <c r="E72" s="2"/>
      <c r="F72" s="7">
        <f t="shared" si="13"/>
        <v>3.8613364984191635E-2</v>
      </c>
      <c r="G72" s="2"/>
      <c r="H72" s="6">
        <v>750</v>
      </c>
      <c r="I72" s="2"/>
      <c r="J72" s="7">
        <f t="shared" si="14"/>
        <v>6.333924499619964E-2</v>
      </c>
      <c r="K72" s="2"/>
      <c r="L72" s="6">
        <f t="shared" si="15"/>
        <v>-183.92999999999995</v>
      </c>
      <c r="M72" s="2"/>
      <c r="N72" s="7">
        <f t="shared" si="16"/>
        <v>-0.24523999999999993</v>
      </c>
      <c r="O72" s="11"/>
      <c r="P72" s="6">
        <v>2944.8</v>
      </c>
      <c r="Q72" s="2"/>
      <c r="R72" s="7">
        <f t="shared" si="17"/>
        <v>1.0235465087795896E-3</v>
      </c>
      <c r="S72" s="2"/>
      <c r="T72" s="6">
        <v>3750</v>
      </c>
      <c r="U72" s="2"/>
      <c r="V72" s="7">
        <f t="shared" si="18"/>
        <v>1.2048773434864331E-3</v>
      </c>
      <c r="W72" s="2"/>
      <c r="X72" s="6">
        <f t="shared" si="19"/>
        <v>-805.19999999999982</v>
      </c>
      <c r="Y72" s="2"/>
      <c r="Z72" s="7">
        <f t="shared" si="20"/>
        <v>-0.21471999999999994</v>
      </c>
    </row>
    <row r="73" spans="1:26" s="26" customFormat="1" outlineLevel="1" collapsed="1" x14ac:dyDescent="0.25">
      <c r="A73" s="27"/>
      <c r="B73" s="13" t="str">
        <f>CONCATENATE("     ","*Payroll                                          ")</f>
        <v xml:space="preserve">     *Payroll                                          </v>
      </c>
      <c r="C73" s="13"/>
      <c r="D73" s="1">
        <f>SUM(OSRRefD22_1x_0)</f>
        <v>22494.690000000002</v>
      </c>
      <c r="E73" s="1"/>
      <c r="F73" s="5">
        <f t="shared" ref="F73:F83" si="21">IF(D$12=0,0,D73/D$12)</f>
        <v>1.5344315635455787</v>
      </c>
      <c r="G73" s="1"/>
      <c r="H73" s="1">
        <f>SUM(OSRRefH22_1x_0)</f>
        <v>24992.947215723099</v>
      </c>
      <c r="I73" s="1"/>
      <c r="J73" s="5">
        <f t="shared" ref="J73:J83" si="22">IF(H$12=0,0,H73/H$12)</f>
        <v>2.1107125424983617</v>
      </c>
      <c r="K73" s="1"/>
      <c r="L73" s="1">
        <f t="shared" ref="L73:L83" si="23">+D73-H73</f>
        <v>-2498.257215723097</v>
      </c>
      <c r="M73" s="1"/>
      <c r="N73" s="5">
        <f t="shared" ref="N73:N83" si="24">IF(H73=0,0,L73/H73)</f>
        <v>-9.9958488055039776E-2</v>
      </c>
      <c r="O73" s="13"/>
      <c r="P73" s="1">
        <f>SUM(OSRRefP22_1x_0)</f>
        <v>118955.95999999999</v>
      </c>
      <c r="Q73" s="1"/>
      <c r="R73" s="5">
        <f t="shared" ref="R73:R83" si="25">IF(P$12=0,0,P73/P$12)</f>
        <v>4.1346426771435921E-2</v>
      </c>
      <c r="S73" s="1"/>
      <c r="T73" s="1">
        <f>SUM(OSRRefT22_1x_0)</f>
        <v>149429.48968647691</v>
      </c>
      <c r="U73" s="1"/>
      <c r="V73" s="5">
        <f t="shared" ref="V73:V83" si="26">IF(T$12=0,0,T73/T$12)</f>
        <v>4.8011788419193506E-2</v>
      </c>
      <c r="W73" s="1"/>
      <c r="X73" s="1">
        <f t="shared" ref="X73:X83" si="27">+P73-T73</f>
        <v>-30473.529686476919</v>
      </c>
      <c r="Y73" s="1"/>
      <c r="Z73" s="5">
        <f t="shared" ref="Z73:Z83" si="28">IF(T73=0,0,X73/T73)</f>
        <v>-0.20393250188041509</v>
      </c>
    </row>
    <row r="74" spans="1:26" s="24" customFormat="1" hidden="1" outlineLevel="2" x14ac:dyDescent="0.25">
      <c r="A74" s="25"/>
      <c r="B74" s="11" t="str">
        <f>CONCATENATE("          ", "6001", " - ", "ADMINISTRATIVE SALARIES")</f>
        <v xml:space="preserve">          6001 - ADMINISTRATIVE SALARIES</v>
      </c>
      <c r="C74" s="11"/>
      <c r="D74" s="6"/>
      <c r="E74" s="2"/>
      <c r="F74" s="7">
        <f t="shared" si="21"/>
        <v>0</v>
      </c>
      <c r="G74" s="2"/>
      <c r="H74" s="6">
        <v>0</v>
      </c>
      <c r="I74" s="2"/>
      <c r="J74" s="7">
        <f t="shared" si="22"/>
        <v>0</v>
      </c>
      <c r="K74" s="2"/>
      <c r="L74" s="6">
        <f t="shared" si="23"/>
        <v>0</v>
      </c>
      <c r="M74" s="2"/>
      <c r="N74" s="7">
        <f t="shared" si="24"/>
        <v>0</v>
      </c>
      <c r="O74" s="11"/>
      <c r="P74" s="6"/>
      <c r="Q74" s="2"/>
      <c r="R74" s="7">
        <f t="shared" si="25"/>
        <v>0</v>
      </c>
      <c r="S74" s="2"/>
      <c r="T74" s="6">
        <v>0</v>
      </c>
      <c r="U74" s="2"/>
      <c r="V74" s="7">
        <f t="shared" si="26"/>
        <v>0</v>
      </c>
      <c r="W74" s="2"/>
      <c r="X74" s="6">
        <f t="shared" si="27"/>
        <v>0</v>
      </c>
      <c r="Y74" s="2"/>
      <c r="Z74" s="7">
        <f t="shared" si="28"/>
        <v>0</v>
      </c>
    </row>
    <row r="75" spans="1:26" s="24" customFormat="1" hidden="1" outlineLevel="2" x14ac:dyDescent="0.25">
      <c r="A75" s="25"/>
      <c r="B75" s="11" t="str">
        <f>CONCATENATE("          ", "6002", " - ", "STAFF SALARIES")</f>
        <v xml:space="preserve">          6002 - STAFF SALARIES</v>
      </c>
      <c r="C75" s="11"/>
      <c r="D75" s="6">
        <v>13756.3</v>
      </c>
      <c r="E75" s="2"/>
      <c r="F75" s="7">
        <f t="shared" si="21"/>
        <v>0.93835927134812891</v>
      </c>
      <c r="G75" s="2"/>
      <c r="H75" s="6">
        <v>12765.0123437231</v>
      </c>
      <c r="I75" s="2"/>
      <c r="J75" s="7">
        <f t="shared" si="22"/>
        <v>1.0780349922914534</v>
      </c>
      <c r="K75" s="2"/>
      <c r="L75" s="6">
        <f t="shared" si="23"/>
        <v>991.28765627689972</v>
      </c>
      <c r="M75" s="2"/>
      <c r="N75" s="7">
        <f t="shared" si="24"/>
        <v>7.7656615566403478E-2</v>
      </c>
      <c r="O75" s="11"/>
      <c r="P75" s="6">
        <v>74645.83</v>
      </c>
      <c r="Q75" s="2"/>
      <c r="R75" s="7">
        <f t="shared" si="25"/>
        <v>2.5945218246215276E-2</v>
      </c>
      <c r="S75" s="2"/>
      <c r="T75" s="6">
        <v>70207.567890476901</v>
      </c>
      <c r="U75" s="2"/>
      <c r="V75" s="7">
        <f t="shared" si="26"/>
        <v>2.2557735438005655E-2</v>
      </c>
      <c r="W75" s="2"/>
      <c r="X75" s="6">
        <f t="shared" si="27"/>
        <v>4438.2621095231007</v>
      </c>
      <c r="Y75" s="2"/>
      <c r="Z75" s="7">
        <f t="shared" si="28"/>
        <v>6.3216291959390256E-2</v>
      </c>
    </row>
    <row r="76" spans="1:26" s="24" customFormat="1" hidden="1" outlineLevel="2" x14ac:dyDescent="0.25">
      <c r="A76" s="25"/>
      <c r="B76" s="11" t="str">
        <f>CONCATENATE("          ", "6003", " - ", "STAFF HOURLY-9 MONTH")</f>
        <v xml:space="preserve">          6003 - STAFF HOURLY-9 MONTH</v>
      </c>
      <c r="C76" s="11"/>
      <c r="D76" s="6"/>
      <c r="E76" s="2"/>
      <c r="F76" s="7">
        <f t="shared" si="21"/>
        <v>0</v>
      </c>
      <c r="G76" s="2"/>
      <c r="H76" s="6">
        <v>0</v>
      </c>
      <c r="I76" s="2"/>
      <c r="J76" s="7">
        <f t="shared" si="22"/>
        <v>0</v>
      </c>
      <c r="K76" s="2"/>
      <c r="L76" s="6">
        <f t="shared" si="23"/>
        <v>0</v>
      </c>
      <c r="M76" s="2"/>
      <c r="N76" s="7">
        <f t="shared" si="24"/>
        <v>0</v>
      </c>
      <c r="O76" s="11"/>
      <c r="P76" s="6"/>
      <c r="Q76" s="2"/>
      <c r="R76" s="7">
        <f t="shared" si="25"/>
        <v>0</v>
      </c>
      <c r="S76" s="2"/>
      <c r="T76" s="6">
        <v>0</v>
      </c>
      <c r="U76" s="2"/>
      <c r="V76" s="7">
        <f t="shared" si="26"/>
        <v>0</v>
      </c>
      <c r="W76" s="2"/>
      <c r="X76" s="6">
        <f t="shared" si="27"/>
        <v>0</v>
      </c>
      <c r="Y76" s="2"/>
      <c r="Z76" s="7">
        <f t="shared" si="28"/>
        <v>0</v>
      </c>
    </row>
    <row r="77" spans="1:26" s="24" customFormat="1" hidden="1" outlineLevel="2" x14ac:dyDescent="0.25">
      <c r="A77" s="25"/>
      <c r="B77" s="11" t="str">
        <f>CONCATENATE("          ", "6004", " - ", "STAFF HOURLY")</f>
        <v xml:space="preserve">          6004 - STAFF HOURLY</v>
      </c>
      <c r="C77" s="11"/>
      <c r="D77" s="6">
        <v>3123.86</v>
      </c>
      <c r="E77" s="2"/>
      <c r="F77" s="7">
        <f t="shared" si="21"/>
        <v>0.21308803918157979</v>
      </c>
      <c r="G77" s="2"/>
      <c r="H77" s="6">
        <v>5865.9348719999998</v>
      </c>
      <c r="I77" s="2"/>
      <c r="J77" s="7">
        <f t="shared" si="22"/>
        <v>0.49539184798581198</v>
      </c>
      <c r="K77" s="2"/>
      <c r="L77" s="6">
        <f t="shared" si="23"/>
        <v>-2742.0748719999997</v>
      </c>
      <c r="M77" s="2"/>
      <c r="N77" s="7">
        <f t="shared" si="24"/>
        <v>-0.46745743548719026</v>
      </c>
      <c r="O77" s="11"/>
      <c r="P77" s="6">
        <v>15313.030000000002</v>
      </c>
      <c r="Q77" s="2"/>
      <c r="R77" s="7">
        <f t="shared" si="25"/>
        <v>5.322466176085683E-3</v>
      </c>
      <c r="S77" s="2"/>
      <c r="T77" s="6">
        <v>32262.641796000004</v>
      </c>
      <c r="U77" s="2"/>
      <c r="V77" s="7">
        <f t="shared" si="26"/>
        <v>1.036600697093836E-2</v>
      </c>
      <c r="W77" s="2"/>
      <c r="X77" s="6">
        <f t="shared" si="27"/>
        <v>-16949.611796000001</v>
      </c>
      <c r="Y77" s="2"/>
      <c r="Z77" s="7">
        <f t="shared" si="28"/>
        <v>-0.52536341887853255</v>
      </c>
    </row>
    <row r="78" spans="1:26" s="24" customFormat="1" hidden="1" outlineLevel="2" x14ac:dyDescent="0.25">
      <c r="A78" s="25"/>
      <c r="B78" s="11" t="str">
        <f>CONCATENATE("          ", "6005", " - ", "TEMPORARY WAGES-HOURLY")</f>
        <v xml:space="preserve">          6005 - TEMPORARY WAGES-HOURLY</v>
      </c>
      <c r="C78" s="11"/>
      <c r="D78" s="6">
        <v>2577.02</v>
      </c>
      <c r="E78" s="2"/>
      <c r="F78" s="7">
        <f t="shared" si="21"/>
        <v>0.17578641127698255</v>
      </c>
      <c r="G78" s="2"/>
      <c r="H78" s="6">
        <v>2792</v>
      </c>
      <c r="I78" s="2"/>
      <c r="J78" s="7">
        <f t="shared" si="22"/>
        <v>0.23579089603918588</v>
      </c>
      <c r="K78" s="2"/>
      <c r="L78" s="6">
        <f t="shared" si="23"/>
        <v>-214.98000000000002</v>
      </c>
      <c r="M78" s="2"/>
      <c r="N78" s="7">
        <f t="shared" si="24"/>
        <v>-7.6998567335243559E-2</v>
      </c>
      <c r="O78" s="11"/>
      <c r="P78" s="6">
        <v>10271.120000000001</v>
      </c>
      <c r="Q78" s="2"/>
      <c r="R78" s="7">
        <f t="shared" si="25"/>
        <v>3.5700112120538637E-3</v>
      </c>
      <c r="S78" s="2"/>
      <c r="T78" s="6">
        <v>16305.28</v>
      </c>
      <c r="U78" s="2"/>
      <c r="V78" s="7">
        <f t="shared" si="26"/>
        <v>5.2388966536539919E-3</v>
      </c>
      <c r="W78" s="2"/>
      <c r="X78" s="6">
        <f t="shared" si="27"/>
        <v>-6034.16</v>
      </c>
      <c r="Y78" s="2"/>
      <c r="Z78" s="7">
        <f t="shared" si="28"/>
        <v>-0.37007398830317539</v>
      </c>
    </row>
    <row r="79" spans="1:26" s="24" customFormat="1" hidden="1" outlineLevel="2" x14ac:dyDescent="0.25">
      <c r="A79" s="25"/>
      <c r="B79" s="11" t="str">
        <f>CONCATENATE("          ", "6006", " - ", "TEMPORARY PART TIME")</f>
        <v xml:space="preserve">          6006 - TEMPORARY PART TIME</v>
      </c>
      <c r="C79" s="11"/>
      <c r="D79" s="6"/>
      <c r="E79" s="2"/>
      <c r="F79" s="7">
        <f t="shared" si="21"/>
        <v>0</v>
      </c>
      <c r="G79" s="2"/>
      <c r="H79" s="6">
        <v>0</v>
      </c>
      <c r="I79" s="2"/>
      <c r="J79" s="7">
        <f t="shared" si="22"/>
        <v>0</v>
      </c>
      <c r="K79" s="2"/>
      <c r="L79" s="6">
        <f t="shared" si="23"/>
        <v>0</v>
      </c>
      <c r="M79" s="2"/>
      <c r="N79" s="7">
        <f t="shared" si="24"/>
        <v>0</v>
      </c>
      <c r="O79" s="11"/>
      <c r="P79" s="6"/>
      <c r="Q79" s="2"/>
      <c r="R79" s="7">
        <f t="shared" si="25"/>
        <v>0</v>
      </c>
      <c r="S79" s="2"/>
      <c r="T79" s="6">
        <v>0</v>
      </c>
      <c r="U79" s="2"/>
      <c r="V79" s="7">
        <f t="shared" si="26"/>
        <v>0</v>
      </c>
      <c r="W79" s="2"/>
      <c r="X79" s="6">
        <f t="shared" si="27"/>
        <v>0</v>
      </c>
      <c r="Y79" s="2"/>
      <c r="Z79" s="7">
        <f t="shared" si="28"/>
        <v>0</v>
      </c>
    </row>
    <row r="80" spans="1:26" s="24" customFormat="1" hidden="1" outlineLevel="2" x14ac:dyDescent="0.25">
      <c r="A80" s="25"/>
      <c r="B80" s="11" t="str">
        <f>CONCATENATE("          ", "6007", " - ", "STUDENT HOURLY")</f>
        <v xml:space="preserve">          6007 - STUDENT HOURLY</v>
      </c>
      <c r="C80" s="11"/>
      <c r="D80" s="6">
        <v>3037.51</v>
      </c>
      <c r="E80" s="2"/>
      <c r="F80" s="7">
        <f t="shared" si="21"/>
        <v>0.20719784173888731</v>
      </c>
      <c r="G80" s="2"/>
      <c r="H80" s="6">
        <v>0</v>
      </c>
      <c r="I80" s="2"/>
      <c r="J80" s="7">
        <f t="shared" si="22"/>
        <v>0</v>
      </c>
      <c r="K80" s="2"/>
      <c r="L80" s="6">
        <f t="shared" si="23"/>
        <v>3037.51</v>
      </c>
      <c r="M80" s="2"/>
      <c r="N80" s="7">
        <f t="shared" si="24"/>
        <v>0</v>
      </c>
      <c r="O80" s="11"/>
      <c r="P80" s="6">
        <v>18725.98</v>
      </c>
      <c r="Q80" s="2"/>
      <c r="R80" s="7">
        <f t="shared" si="25"/>
        <v>6.5087311370810976E-3</v>
      </c>
      <c r="S80" s="2"/>
      <c r="T80" s="6">
        <v>8032.5</v>
      </c>
      <c r="U80" s="2"/>
      <c r="V80" s="7">
        <f t="shared" si="26"/>
        <v>2.5808472697479395E-3</v>
      </c>
      <c r="W80" s="2"/>
      <c r="X80" s="6">
        <f t="shared" si="27"/>
        <v>10693.48</v>
      </c>
      <c r="Y80" s="2"/>
      <c r="Z80" s="7">
        <f t="shared" si="28"/>
        <v>1.3312766884531591</v>
      </c>
    </row>
    <row r="81" spans="1:26" s="24" customFormat="1" hidden="1" outlineLevel="2" x14ac:dyDescent="0.25">
      <c r="A81" s="25"/>
      <c r="B81" s="11" t="str">
        <f>CONCATENATE("          ", "6008", " - ", "STUDENT HOURLY-FICA EXEMPT")</f>
        <v xml:space="preserve">          6008 - STUDENT HOURLY-FICA EXEMPT</v>
      </c>
      <c r="C81" s="11"/>
      <c r="D81" s="6"/>
      <c r="E81" s="2"/>
      <c r="F81" s="7">
        <f t="shared" si="21"/>
        <v>0</v>
      </c>
      <c r="G81" s="2"/>
      <c r="H81" s="6">
        <v>3570</v>
      </c>
      <c r="I81" s="2"/>
      <c r="J81" s="7">
        <f t="shared" si="22"/>
        <v>0.30149480618191032</v>
      </c>
      <c r="K81" s="2"/>
      <c r="L81" s="6">
        <f t="shared" si="23"/>
        <v>-3570</v>
      </c>
      <c r="M81" s="2"/>
      <c r="N81" s="7">
        <f t="shared" si="24"/>
        <v>-1</v>
      </c>
      <c r="O81" s="11"/>
      <c r="P81" s="6"/>
      <c r="Q81" s="2"/>
      <c r="R81" s="7">
        <f t="shared" si="25"/>
        <v>0</v>
      </c>
      <c r="S81" s="2"/>
      <c r="T81" s="6">
        <v>22621.5</v>
      </c>
      <c r="U81" s="2"/>
      <c r="V81" s="7">
        <f t="shared" si="26"/>
        <v>7.2683020868475586E-3</v>
      </c>
      <c r="W81" s="2"/>
      <c r="X81" s="6">
        <f t="shared" si="27"/>
        <v>-22621.5</v>
      </c>
      <c r="Y81" s="2"/>
      <c r="Z81" s="7">
        <f t="shared" si="28"/>
        <v>-1</v>
      </c>
    </row>
    <row r="82" spans="1:26" s="24" customFormat="1" hidden="1" outlineLevel="2" x14ac:dyDescent="0.25">
      <c r="A82" s="25"/>
      <c r="B82" s="11" t="str">
        <f>CONCATENATE("          ", "6009", " - ", "TEMPORARY-SEASONAL")</f>
        <v xml:space="preserve">          6009 - TEMPORARY-SEASONAL</v>
      </c>
      <c r="C82" s="11"/>
      <c r="D82" s="6"/>
      <c r="E82" s="2"/>
      <c r="F82" s="7">
        <f t="shared" si="21"/>
        <v>0</v>
      </c>
      <c r="G82" s="2"/>
      <c r="H82" s="6">
        <v>0</v>
      </c>
      <c r="I82" s="2"/>
      <c r="J82" s="7">
        <f t="shared" si="22"/>
        <v>0</v>
      </c>
      <c r="K82" s="2"/>
      <c r="L82" s="6">
        <f t="shared" si="23"/>
        <v>0</v>
      </c>
      <c r="M82" s="2"/>
      <c r="N82" s="7">
        <f t="shared" si="24"/>
        <v>0</v>
      </c>
      <c r="O82" s="11"/>
      <c r="P82" s="6"/>
      <c r="Q82" s="2"/>
      <c r="R82" s="7">
        <f t="shared" si="25"/>
        <v>0</v>
      </c>
      <c r="S82" s="2"/>
      <c r="T82" s="6">
        <v>0</v>
      </c>
      <c r="U82" s="2"/>
      <c r="V82" s="7">
        <f t="shared" si="26"/>
        <v>0</v>
      </c>
      <c r="W82" s="2"/>
      <c r="X82" s="6">
        <f t="shared" si="27"/>
        <v>0</v>
      </c>
      <c r="Y82" s="2"/>
      <c r="Z82" s="7">
        <f t="shared" si="28"/>
        <v>0</v>
      </c>
    </row>
    <row r="83" spans="1:26" s="24" customFormat="1" hidden="1" outlineLevel="2" x14ac:dyDescent="0.25">
      <c r="A83" s="25"/>
      <c r="B83" s="11" t="str">
        <f>CONCATENATE("          ", "6010", " - ", "GRATUITY")</f>
        <v xml:space="preserve">          6010 - GRATUITY</v>
      </c>
      <c r="C83" s="11"/>
      <c r="D83" s="6"/>
      <c r="E83" s="2"/>
      <c r="F83" s="7">
        <f t="shared" si="21"/>
        <v>0</v>
      </c>
      <c r="G83" s="2"/>
      <c r="H83" s="6">
        <v>0</v>
      </c>
      <c r="I83" s="2"/>
      <c r="J83" s="7">
        <f t="shared" si="22"/>
        <v>0</v>
      </c>
      <c r="K83" s="2"/>
      <c r="L83" s="6">
        <f t="shared" si="23"/>
        <v>0</v>
      </c>
      <c r="M83" s="2"/>
      <c r="N83" s="7">
        <f t="shared" si="24"/>
        <v>0</v>
      </c>
      <c r="O83" s="11"/>
      <c r="P83" s="6"/>
      <c r="Q83" s="2"/>
      <c r="R83" s="7">
        <f t="shared" si="25"/>
        <v>0</v>
      </c>
      <c r="S83" s="2"/>
      <c r="T83" s="6">
        <v>0</v>
      </c>
      <c r="U83" s="2"/>
      <c r="V83" s="7">
        <f t="shared" si="26"/>
        <v>0</v>
      </c>
      <c r="W83" s="2"/>
      <c r="X83" s="6">
        <f t="shared" si="27"/>
        <v>0</v>
      </c>
      <c r="Y83" s="2"/>
      <c r="Z83" s="7">
        <f t="shared" si="28"/>
        <v>0</v>
      </c>
    </row>
    <row r="84" spans="1:26" s="26" customFormat="1" outlineLevel="1" collapsed="1" x14ac:dyDescent="0.25">
      <c r="A84" s="27"/>
      <c r="B84" s="13" t="str">
        <f>CONCATENATE("     ","Advertising/Promo                                 ")</f>
        <v xml:space="preserve">     Advertising/Promo                                 </v>
      </c>
      <c r="C84" s="13"/>
      <c r="D84" s="1">
        <f>SUM(OSRRefD22_2x_0)</f>
        <v>72.069999999999993</v>
      </c>
      <c r="E84" s="1"/>
      <c r="F84" s="5">
        <f t="shared" ref="F84:F88" si="29">IF(D$12=0,0,D84/D$12)</f>
        <v>4.9161149935709201E-3</v>
      </c>
      <c r="G84" s="1"/>
      <c r="H84" s="1">
        <f>SUM(OSRRefH22_2x_0)</f>
        <v>200</v>
      </c>
      <c r="I84" s="1"/>
      <c r="J84" s="5">
        <f t="shared" ref="J84:J88" si="30">IF(H$12=0,0,H84/H$12)</f>
        <v>1.6890465332319905E-2</v>
      </c>
      <c r="K84" s="1"/>
      <c r="L84" s="1">
        <f t="shared" ref="L84:L88" si="31">+D84-H84</f>
        <v>-127.93</v>
      </c>
      <c r="M84" s="1"/>
      <c r="N84" s="5">
        <f t="shared" ref="N84:N88" si="32">IF(H84=0,0,L84/H84)</f>
        <v>-0.63965000000000005</v>
      </c>
      <c r="O84" s="13"/>
      <c r="P84" s="1">
        <f>SUM(OSRRefP22_2x_0)</f>
        <v>3208.09</v>
      </c>
      <c r="Q84" s="1"/>
      <c r="R84" s="5">
        <f t="shared" ref="R84:R88" si="33">IF(P$12=0,0,P84/P$12)</f>
        <v>1.1150602143951078E-3</v>
      </c>
      <c r="S84" s="1"/>
      <c r="T84" s="1">
        <f>SUM(OSRRefT22_2x_0)</f>
        <v>2400</v>
      </c>
      <c r="U84" s="1"/>
      <c r="V84" s="5">
        <f t="shared" ref="V84:V88" si="34">IF(T$12=0,0,T84/T$12)</f>
        <v>7.7112149983131722E-4</v>
      </c>
      <c r="W84" s="1"/>
      <c r="X84" s="1">
        <f t="shared" ref="X84:X88" si="35">+P84-T84</f>
        <v>808.09000000000015</v>
      </c>
      <c r="Y84" s="1"/>
      <c r="Z84" s="5">
        <f t="shared" ref="Z84:Z88" si="36">IF(T84=0,0,X84/T84)</f>
        <v>0.33670416666666675</v>
      </c>
    </row>
    <row r="85" spans="1:26" s="24" customFormat="1" hidden="1" outlineLevel="2" x14ac:dyDescent="0.25">
      <c r="A85" s="25"/>
      <c r="B85" s="11" t="str">
        <f>CONCATENATE("          ", "6362", " - ", "ADVERTISING EXPENSE")</f>
        <v xml:space="preserve">          6362 - ADVERTISING EXPENSE</v>
      </c>
      <c r="C85" s="11"/>
      <c r="D85" s="6">
        <v>72.069999999999993</v>
      </c>
      <c r="E85" s="2"/>
      <c r="F85" s="7">
        <f t="shared" si="29"/>
        <v>4.9161149935709201E-3</v>
      </c>
      <c r="G85" s="2"/>
      <c r="H85" s="6">
        <v>200</v>
      </c>
      <c r="I85" s="2"/>
      <c r="J85" s="7">
        <f t="shared" si="30"/>
        <v>1.6890465332319905E-2</v>
      </c>
      <c r="K85" s="2"/>
      <c r="L85" s="6">
        <f t="shared" si="31"/>
        <v>-127.93</v>
      </c>
      <c r="M85" s="2"/>
      <c r="N85" s="7">
        <f t="shared" si="32"/>
        <v>-0.63965000000000005</v>
      </c>
      <c r="O85" s="11"/>
      <c r="P85" s="6">
        <v>3208.09</v>
      </c>
      <c r="Q85" s="2"/>
      <c r="R85" s="7">
        <f t="shared" si="33"/>
        <v>1.1150602143951078E-3</v>
      </c>
      <c r="S85" s="2"/>
      <c r="T85" s="6">
        <v>2400</v>
      </c>
      <c r="U85" s="2"/>
      <c r="V85" s="7">
        <f t="shared" si="34"/>
        <v>7.7112149983131722E-4</v>
      </c>
      <c r="W85" s="2"/>
      <c r="X85" s="6">
        <f t="shared" si="35"/>
        <v>808.09000000000015</v>
      </c>
      <c r="Y85" s="2"/>
      <c r="Z85" s="7">
        <f t="shared" si="36"/>
        <v>0.33670416666666675</v>
      </c>
    </row>
    <row r="86" spans="1:26" s="26" customFormat="1" outlineLevel="1" collapsed="1" x14ac:dyDescent="0.25">
      <c r="A86" s="27"/>
      <c r="B86" s="13" t="str">
        <f>CONCATENATE("     ","Discounts and Markdowns                           ")</f>
        <v xml:space="preserve">     Discounts and Markdowns                           </v>
      </c>
      <c r="C86" s="13"/>
      <c r="D86" s="1">
        <f>SUM(OSRRefD22_3x_0)</f>
        <v>242.82</v>
      </c>
      <c r="E86" s="1"/>
      <c r="F86" s="5">
        <f t="shared" si="29"/>
        <v>1.6563494418466641E-2</v>
      </c>
      <c r="G86" s="1"/>
      <c r="H86" s="1">
        <f>SUM(OSRRefH22_3x_0)</f>
        <v>1925</v>
      </c>
      <c r="I86" s="1"/>
      <c r="J86" s="5">
        <f t="shared" si="30"/>
        <v>0.16257072882357909</v>
      </c>
      <c r="K86" s="1"/>
      <c r="L86" s="1">
        <f t="shared" si="31"/>
        <v>-1682.18</v>
      </c>
      <c r="M86" s="1"/>
      <c r="N86" s="5">
        <f t="shared" si="32"/>
        <v>-0.87385974025974034</v>
      </c>
      <c r="O86" s="13"/>
      <c r="P86" s="1">
        <f>SUM(OSRRefP22_3x_0)</f>
        <v>-2513.23</v>
      </c>
      <c r="Q86" s="1"/>
      <c r="R86" s="5">
        <f t="shared" si="33"/>
        <v>-8.7354244507610969E-4</v>
      </c>
      <c r="S86" s="1"/>
      <c r="T86" s="1">
        <f>SUM(OSRRefT22_3x_0)</f>
        <v>13225</v>
      </c>
      <c r="U86" s="1"/>
      <c r="V86" s="5">
        <f t="shared" si="34"/>
        <v>4.2492007646954873E-3</v>
      </c>
      <c r="W86" s="1"/>
      <c r="X86" s="1">
        <f t="shared" si="35"/>
        <v>-15738.23</v>
      </c>
      <c r="Y86" s="1"/>
      <c r="Z86" s="5">
        <f t="shared" si="36"/>
        <v>-1.1900362948960301</v>
      </c>
    </row>
    <row r="87" spans="1:26" s="24" customFormat="1" hidden="1" outlineLevel="2" x14ac:dyDescent="0.25">
      <c r="A87" s="25"/>
      <c r="B87" s="11" t="str">
        <f>CONCATENATE("          ", "6382", " - ", "DISCOUNTS/MARK DOWNS")</f>
        <v xml:space="preserve">          6382 - DISCOUNTS/MARK DOWNS</v>
      </c>
      <c r="C87" s="11"/>
      <c r="D87" s="6">
        <v>242.82</v>
      </c>
      <c r="E87" s="2"/>
      <c r="F87" s="7">
        <f t="shared" si="29"/>
        <v>1.6563494418466641E-2</v>
      </c>
      <c r="G87" s="2"/>
      <c r="H87" s="6">
        <v>1925</v>
      </c>
      <c r="I87" s="2"/>
      <c r="J87" s="7">
        <f t="shared" si="30"/>
        <v>0.16257072882357909</v>
      </c>
      <c r="K87" s="2"/>
      <c r="L87" s="6">
        <f t="shared" si="31"/>
        <v>-1682.18</v>
      </c>
      <c r="M87" s="2"/>
      <c r="N87" s="7">
        <f t="shared" si="32"/>
        <v>-0.87385974025974034</v>
      </c>
      <c r="O87" s="11"/>
      <c r="P87" s="6">
        <v>-2079.6</v>
      </c>
      <c r="Q87" s="2"/>
      <c r="R87" s="7">
        <f t="shared" si="33"/>
        <v>-7.2282237152201652E-4</v>
      </c>
      <c r="S87" s="2"/>
      <c r="T87" s="6">
        <v>13225</v>
      </c>
      <c r="U87" s="2"/>
      <c r="V87" s="7">
        <f t="shared" si="34"/>
        <v>4.2492007646954873E-3</v>
      </c>
      <c r="W87" s="2"/>
      <c r="X87" s="6">
        <f t="shared" si="35"/>
        <v>-15304.6</v>
      </c>
      <c r="Y87" s="2"/>
      <c r="Z87" s="7">
        <f t="shared" si="36"/>
        <v>-1.1572476370510398</v>
      </c>
    </row>
    <row r="88" spans="1:26" s="24" customFormat="1" hidden="1" outlineLevel="2" x14ac:dyDescent="0.25">
      <c r="A88" s="25"/>
      <c r="B88" s="11" t="str">
        <f>CONCATENATE("          ", "9175", " - ", "EARNED DISCOUNTS")</f>
        <v xml:space="preserve">          9175 - EARNED DISCOUNTS</v>
      </c>
      <c r="C88" s="11"/>
      <c r="D88" s="6"/>
      <c r="E88" s="2"/>
      <c r="F88" s="7">
        <f t="shared" si="29"/>
        <v>0</v>
      </c>
      <c r="G88" s="2"/>
      <c r="H88" s="6"/>
      <c r="I88" s="2"/>
      <c r="J88" s="7">
        <f t="shared" si="30"/>
        <v>0</v>
      </c>
      <c r="K88" s="2"/>
      <c r="L88" s="6">
        <f t="shared" si="31"/>
        <v>0</v>
      </c>
      <c r="M88" s="2"/>
      <c r="N88" s="7">
        <f t="shared" si="32"/>
        <v>0</v>
      </c>
      <c r="O88" s="11"/>
      <c r="P88" s="6">
        <v>-433.63</v>
      </c>
      <c r="Q88" s="2"/>
      <c r="R88" s="7">
        <f t="shared" si="33"/>
        <v>-1.5072007355409312E-4</v>
      </c>
      <c r="S88" s="2"/>
      <c r="T88" s="6"/>
      <c r="U88" s="2"/>
      <c r="V88" s="7">
        <f t="shared" si="34"/>
        <v>0</v>
      </c>
      <c r="W88" s="2"/>
      <c r="X88" s="6">
        <f t="shared" si="35"/>
        <v>-433.63</v>
      </c>
      <c r="Y88" s="2"/>
      <c r="Z88" s="7">
        <f t="shared" si="36"/>
        <v>0</v>
      </c>
    </row>
    <row r="89" spans="1:26" s="26" customFormat="1" outlineLevel="1" collapsed="1" x14ac:dyDescent="0.25">
      <c r="A89" s="27"/>
      <c r="B89" s="13" t="str">
        <f>CONCATENATE("     ","Employees' Appreciation                           ")</f>
        <v xml:space="preserve">     Employees' Appreciation                           </v>
      </c>
      <c r="C89" s="13"/>
      <c r="D89" s="1">
        <f>SUM(OSRRefD22_4x_0)</f>
        <v>37.880000000000003</v>
      </c>
      <c r="E89" s="1"/>
      <c r="F89" s="5">
        <f t="shared" ref="F89:F95" si="37">IF(D$12=0,0,D89/D$12)</f>
        <v>2.583910586325329E-3</v>
      </c>
      <c r="G89" s="1"/>
      <c r="H89" s="1">
        <f>SUM(OSRRefH22_4x_0)</f>
        <v>100</v>
      </c>
      <c r="I89" s="1"/>
      <c r="J89" s="5">
        <f t="shared" ref="J89:J95" si="38">IF(H$12=0,0,H89/H$12)</f>
        <v>8.4452326661599523E-3</v>
      </c>
      <c r="K89" s="1"/>
      <c r="L89" s="1">
        <f t="shared" ref="L89:L95" si="39">+D89-H89</f>
        <v>-62.12</v>
      </c>
      <c r="M89" s="1"/>
      <c r="N89" s="5">
        <f t="shared" ref="N89:N95" si="40">IF(H89=0,0,L89/H89)</f>
        <v>-0.62119999999999997</v>
      </c>
      <c r="O89" s="13"/>
      <c r="P89" s="1">
        <f>SUM(OSRRefP22_4x_0)</f>
        <v>37.880000000000003</v>
      </c>
      <c r="Q89" s="1"/>
      <c r="R89" s="5">
        <f t="shared" ref="R89:R95" si="41">IF(P$12=0,0,P89/P$12)</f>
        <v>1.3166239388946907E-5</v>
      </c>
      <c r="S89" s="1"/>
      <c r="T89" s="1">
        <f>SUM(OSRRefT22_4x_0)</f>
        <v>500</v>
      </c>
      <c r="U89" s="1"/>
      <c r="V89" s="5">
        <f t="shared" ref="V89:V95" si="42">IF(T$12=0,0,T89/T$12)</f>
        <v>1.6065031246485775E-4</v>
      </c>
      <c r="W89" s="1"/>
      <c r="X89" s="1">
        <f t="shared" ref="X89:X95" si="43">+P89-T89</f>
        <v>-462.12</v>
      </c>
      <c r="Y89" s="1"/>
      <c r="Z89" s="5">
        <f t="shared" ref="Z89:Z95" si="44">IF(T89=0,0,X89/T89)</f>
        <v>-0.92424000000000006</v>
      </c>
    </row>
    <row r="90" spans="1:26" s="24" customFormat="1" hidden="1" outlineLevel="2" x14ac:dyDescent="0.25">
      <c r="A90" s="25"/>
      <c r="B90" s="11" t="str">
        <f>CONCATENATE("          ", "6277", " - ", "EMPLOYEE APPRECIATION")</f>
        <v xml:space="preserve">          6277 - EMPLOYEE APPRECIATION</v>
      </c>
      <c r="C90" s="11"/>
      <c r="D90" s="6">
        <v>37.880000000000003</v>
      </c>
      <c r="E90" s="2"/>
      <c r="F90" s="7">
        <f t="shared" si="37"/>
        <v>2.583910586325329E-3</v>
      </c>
      <c r="G90" s="2"/>
      <c r="H90" s="6">
        <v>100</v>
      </c>
      <c r="I90" s="2"/>
      <c r="J90" s="7">
        <f t="shared" si="38"/>
        <v>8.4452326661599523E-3</v>
      </c>
      <c r="K90" s="2"/>
      <c r="L90" s="6">
        <f t="shared" si="39"/>
        <v>-62.12</v>
      </c>
      <c r="M90" s="2"/>
      <c r="N90" s="7">
        <f t="shared" si="40"/>
        <v>-0.62119999999999997</v>
      </c>
      <c r="O90" s="11"/>
      <c r="P90" s="6">
        <v>37.880000000000003</v>
      </c>
      <c r="Q90" s="2"/>
      <c r="R90" s="7">
        <f t="shared" si="41"/>
        <v>1.3166239388946907E-5</v>
      </c>
      <c r="S90" s="2"/>
      <c r="T90" s="6">
        <v>500</v>
      </c>
      <c r="U90" s="2"/>
      <c r="V90" s="7">
        <f t="shared" si="42"/>
        <v>1.6065031246485775E-4</v>
      </c>
      <c r="W90" s="2"/>
      <c r="X90" s="6">
        <f t="shared" si="43"/>
        <v>-462.12</v>
      </c>
      <c r="Y90" s="2"/>
      <c r="Z90" s="7">
        <f t="shared" si="44"/>
        <v>-0.92424000000000006</v>
      </c>
    </row>
    <row r="91" spans="1:26" s="26" customFormat="1" outlineLevel="1" collapsed="1" x14ac:dyDescent="0.25">
      <c r="A91" s="27"/>
      <c r="B91" s="13" t="str">
        <f>CONCATENATE("     ","Equipment Rental                                  ")</f>
        <v xml:space="preserve">     Equipment Rental                                  </v>
      </c>
      <c r="C91" s="13"/>
      <c r="D91" s="1">
        <f>SUM(OSRRefD22_5x_0)</f>
        <v>91.26</v>
      </c>
      <c r="E91" s="1"/>
      <c r="F91" s="5">
        <f t="shared" si="37"/>
        <v>6.2251235508988794E-3</v>
      </c>
      <c r="G91" s="1"/>
      <c r="H91" s="1">
        <f>SUM(OSRRefH22_5x_0)</f>
        <v>100</v>
      </c>
      <c r="I91" s="1"/>
      <c r="J91" s="5">
        <f t="shared" si="38"/>
        <v>8.4452326661599523E-3</v>
      </c>
      <c r="K91" s="1"/>
      <c r="L91" s="1">
        <f t="shared" si="39"/>
        <v>-8.7399999999999949</v>
      </c>
      <c r="M91" s="1"/>
      <c r="N91" s="5">
        <f t="shared" si="40"/>
        <v>-8.739999999999995E-2</v>
      </c>
      <c r="O91" s="13"/>
      <c r="P91" s="1">
        <f>SUM(OSRRefP22_5x_0)</f>
        <v>547.55999999999995</v>
      </c>
      <c r="Q91" s="1"/>
      <c r="R91" s="5">
        <f t="shared" si="41"/>
        <v>1.9031958922417549E-4</v>
      </c>
      <c r="S91" s="1"/>
      <c r="T91" s="1">
        <f>SUM(OSRRefT22_5x_0)</f>
        <v>500</v>
      </c>
      <c r="U91" s="1"/>
      <c r="V91" s="5">
        <f t="shared" si="42"/>
        <v>1.6065031246485775E-4</v>
      </c>
      <c r="W91" s="1"/>
      <c r="X91" s="1">
        <f t="shared" si="43"/>
        <v>47.559999999999945</v>
      </c>
      <c r="Y91" s="1"/>
      <c r="Z91" s="5">
        <f t="shared" si="44"/>
        <v>9.5119999999999885E-2</v>
      </c>
    </row>
    <row r="92" spans="1:26" s="24" customFormat="1" hidden="1" outlineLevel="2" x14ac:dyDescent="0.25">
      <c r="A92" s="25"/>
      <c r="B92" s="11" t="str">
        <f>CONCATENATE("          ", "6351", " - ", "EQUIPMENT RENTAL")</f>
        <v xml:space="preserve">          6351 - EQUIPMENT RENTAL</v>
      </c>
      <c r="C92" s="11"/>
      <c r="D92" s="6">
        <v>91.26</v>
      </c>
      <c r="E92" s="2"/>
      <c r="F92" s="7">
        <f t="shared" si="37"/>
        <v>6.2251235508988794E-3</v>
      </c>
      <c r="G92" s="2"/>
      <c r="H92" s="6">
        <v>100</v>
      </c>
      <c r="I92" s="2"/>
      <c r="J92" s="7">
        <f t="shared" si="38"/>
        <v>8.4452326661599523E-3</v>
      </c>
      <c r="K92" s="2"/>
      <c r="L92" s="6">
        <f t="shared" si="39"/>
        <v>-8.7399999999999949</v>
      </c>
      <c r="M92" s="2"/>
      <c r="N92" s="7">
        <f t="shared" si="40"/>
        <v>-8.739999999999995E-2</v>
      </c>
      <c r="O92" s="11"/>
      <c r="P92" s="6">
        <v>547.55999999999995</v>
      </c>
      <c r="Q92" s="2"/>
      <c r="R92" s="7">
        <f t="shared" si="41"/>
        <v>1.9031958922417549E-4</v>
      </c>
      <c r="S92" s="2"/>
      <c r="T92" s="6">
        <v>500</v>
      </c>
      <c r="U92" s="2"/>
      <c r="V92" s="7">
        <f t="shared" si="42"/>
        <v>1.6065031246485775E-4</v>
      </c>
      <c r="W92" s="2"/>
      <c r="X92" s="6">
        <f t="shared" si="43"/>
        <v>47.559999999999945</v>
      </c>
      <c r="Y92" s="2"/>
      <c r="Z92" s="7">
        <f t="shared" si="44"/>
        <v>9.5119999999999885E-2</v>
      </c>
    </row>
    <row r="93" spans="1:26" s="26" customFormat="1" outlineLevel="1" collapsed="1" x14ac:dyDescent="0.25">
      <c r="A93" s="27"/>
      <c r="B93" s="13" t="str">
        <f>CONCATENATE("     ","Freight out/Postage                               ")</f>
        <v xml:space="preserve">     Freight out/Postage                               </v>
      </c>
      <c r="C93" s="13"/>
      <c r="D93" s="1">
        <f>SUM(OSRRefD22_6x_0)</f>
        <v>5255.62</v>
      </c>
      <c r="E93" s="1"/>
      <c r="F93" s="5">
        <f t="shared" si="37"/>
        <v>0.35850190484960731</v>
      </c>
      <c r="G93" s="1"/>
      <c r="H93" s="1">
        <f>SUM(OSRRefH22_6x_0)</f>
        <v>3000</v>
      </c>
      <c r="I93" s="1"/>
      <c r="J93" s="5">
        <f t="shared" si="38"/>
        <v>0.25335697998479856</v>
      </c>
      <c r="K93" s="1"/>
      <c r="L93" s="1">
        <f t="shared" si="39"/>
        <v>2255.62</v>
      </c>
      <c r="M93" s="1"/>
      <c r="N93" s="5">
        <f t="shared" si="40"/>
        <v>0.75187333333333328</v>
      </c>
      <c r="O93" s="13"/>
      <c r="P93" s="1">
        <f>SUM(OSRRefP22_6x_0)</f>
        <v>9370.7900000000009</v>
      </c>
      <c r="Q93" s="1"/>
      <c r="R93" s="5">
        <f t="shared" si="41"/>
        <v>3.2570766738001531E-3</v>
      </c>
      <c r="S93" s="1"/>
      <c r="T93" s="1">
        <f>SUM(OSRRefT22_6x_0)</f>
        <v>12300</v>
      </c>
      <c r="U93" s="1"/>
      <c r="V93" s="5">
        <f t="shared" si="42"/>
        <v>3.9519976866355007E-3</v>
      </c>
      <c r="W93" s="1"/>
      <c r="X93" s="1">
        <f t="shared" si="43"/>
        <v>-2929.2099999999991</v>
      </c>
      <c r="Y93" s="1"/>
      <c r="Z93" s="5">
        <f t="shared" si="44"/>
        <v>-0.23814715447154464</v>
      </c>
    </row>
    <row r="94" spans="1:26" s="24" customFormat="1" hidden="1" outlineLevel="2" x14ac:dyDescent="0.25">
      <c r="A94" s="25"/>
      <c r="B94" s="11" t="str">
        <f>CONCATENATE("          ", "6305", " - ", "FREIGHT OUT")</f>
        <v xml:space="preserve">          6305 - FREIGHT OUT</v>
      </c>
      <c r="C94" s="11"/>
      <c r="D94" s="6">
        <v>5255.62</v>
      </c>
      <c r="E94" s="2"/>
      <c r="F94" s="7">
        <f t="shared" si="37"/>
        <v>0.35850190484960731</v>
      </c>
      <c r="G94" s="2"/>
      <c r="H94" s="6">
        <v>3000</v>
      </c>
      <c r="I94" s="2"/>
      <c r="J94" s="7">
        <f t="shared" si="38"/>
        <v>0.25335697998479856</v>
      </c>
      <c r="K94" s="2"/>
      <c r="L94" s="6">
        <f t="shared" si="39"/>
        <v>2255.62</v>
      </c>
      <c r="M94" s="2"/>
      <c r="N94" s="7">
        <f t="shared" si="40"/>
        <v>0.75187333333333328</v>
      </c>
      <c r="O94" s="11"/>
      <c r="P94" s="6">
        <v>9370.2900000000009</v>
      </c>
      <c r="Q94" s="2"/>
      <c r="R94" s="7">
        <f t="shared" si="41"/>
        <v>3.2569028850014605E-3</v>
      </c>
      <c r="S94" s="2"/>
      <c r="T94" s="6">
        <v>12300</v>
      </c>
      <c r="U94" s="2"/>
      <c r="V94" s="7">
        <f t="shared" si="42"/>
        <v>3.9519976866355007E-3</v>
      </c>
      <c r="W94" s="2"/>
      <c r="X94" s="6">
        <f t="shared" si="43"/>
        <v>-2929.7099999999991</v>
      </c>
      <c r="Y94" s="2"/>
      <c r="Z94" s="7">
        <f t="shared" si="44"/>
        <v>-0.23818780487804872</v>
      </c>
    </row>
    <row r="95" spans="1:26" s="24" customFormat="1" hidden="1" outlineLevel="2" x14ac:dyDescent="0.25">
      <c r="A95" s="25"/>
      <c r="B95" s="11" t="str">
        <f>CONCATENATE("          ", "6307", " - ", "POSTAGE")</f>
        <v xml:space="preserve">          6307 - POSTAGE</v>
      </c>
      <c r="C95" s="11"/>
      <c r="D95" s="6"/>
      <c r="E95" s="2"/>
      <c r="F95" s="7">
        <f t="shared" si="37"/>
        <v>0</v>
      </c>
      <c r="G95" s="2"/>
      <c r="H95" s="6"/>
      <c r="I95" s="2"/>
      <c r="J95" s="7">
        <f t="shared" si="38"/>
        <v>0</v>
      </c>
      <c r="K95" s="2"/>
      <c r="L95" s="6">
        <f t="shared" si="39"/>
        <v>0</v>
      </c>
      <c r="M95" s="2"/>
      <c r="N95" s="7">
        <f t="shared" si="40"/>
        <v>0</v>
      </c>
      <c r="O95" s="11"/>
      <c r="P95" s="6">
        <v>0.5</v>
      </c>
      <c r="Q95" s="2"/>
      <c r="R95" s="7">
        <f t="shared" si="41"/>
        <v>1.73788798692541E-7</v>
      </c>
      <c r="S95" s="2"/>
      <c r="T95" s="6"/>
      <c r="U95" s="2"/>
      <c r="V95" s="7">
        <f t="shared" si="42"/>
        <v>0</v>
      </c>
      <c r="W95" s="2"/>
      <c r="X95" s="6">
        <f t="shared" si="43"/>
        <v>0.5</v>
      </c>
      <c r="Y95" s="2"/>
      <c r="Z95" s="7">
        <f t="shared" si="44"/>
        <v>0</v>
      </c>
    </row>
    <row r="96" spans="1:26" s="26" customFormat="1" outlineLevel="1" collapsed="1" x14ac:dyDescent="0.25">
      <c r="A96" s="27"/>
      <c r="B96" s="13" t="str">
        <f>CONCATENATE("     ","General                                           ")</f>
        <v xml:space="preserve">     General                                           </v>
      </c>
      <c r="C96" s="13"/>
      <c r="D96" s="1">
        <f>SUM(OSRRefD22_7x_0)</f>
        <v>9645.06</v>
      </c>
      <c r="E96" s="1"/>
      <c r="F96" s="5">
        <f t="shared" ref="F96:F102" si="45">IF(D$12=0,0,D96/D$12)</f>
        <v>0.65791902428043758</v>
      </c>
      <c r="G96" s="1"/>
      <c r="H96" s="1">
        <f>SUM(OSRRefH22_7x_0)</f>
        <v>13000</v>
      </c>
      <c r="I96" s="1"/>
      <c r="J96" s="5">
        <f t="shared" ref="J96:J102" si="46">IF(H$12=0,0,H96/H$12)</f>
        <v>1.0978802466007938</v>
      </c>
      <c r="K96" s="1"/>
      <c r="L96" s="1">
        <f t="shared" ref="L96:L102" si="47">+D96-H96</f>
        <v>-3354.9400000000005</v>
      </c>
      <c r="M96" s="1"/>
      <c r="N96" s="5">
        <f t="shared" ref="N96:N102" si="48">IF(H96=0,0,L96/H96)</f>
        <v>-0.25807230769230771</v>
      </c>
      <c r="O96" s="13"/>
      <c r="P96" s="1">
        <f>SUM(OSRRefP22_7x_0)</f>
        <v>8152.9</v>
      </c>
      <c r="Q96" s="1"/>
      <c r="R96" s="5">
        <f t="shared" ref="R96:R102" si="49">IF(P$12=0,0,P96/P$12)</f>
        <v>2.8337653937208348E-3</v>
      </c>
      <c r="S96" s="1"/>
      <c r="T96" s="1">
        <f>SUM(OSRRefT22_7x_0)</f>
        <v>13000</v>
      </c>
      <c r="U96" s="1"/>
      <c r="V96" s="5">
        <f t="shared" ref="V96:V102" si="50">IF(T$12=0,0,T96/T$12)</f>
        <v>4.1769081240863011E-3</v>
      </c>
      <c r="W96" s="1"/>
      <c r="X96" s="1">
        <f t="shared" ref="X96:X102" si="51">+P96-T96</f>
        <v>-4847.1000000000004</v>
      </c>
      <c r="Y96" s="1"/>
      <c r="Z96" s="5">
        <f t="shared" ref="Z96:Z102" si="52">IF(T96=0,0,X96/T96)</f>
        <v>-0.3728538461538462</v>
      </c>
    </row>
    <row r="97" spans="1:26" s="24" customFormat="1" hidden="1" outlineLevel="2" x14ac:dyDescent="0.25">
      <c r="A97" s="25"/>
      <c r="B97" s="11" t="str">
        <f>CONCATENATE("          ", "6279", " - ", "GENERAL EXPENSE")</f>
        <v xml:space="preserve">          6279 - GENERAL EXPENSE</v>
      </c>
      <c r="C97" s="11"/>
      <c r="D97" s="6">
        <v>9645.06</v>
      </c>
      <c r="E97" s="2"/>
      <c r="F97" s="7">
        <f t="shared" si="45"/>
        <v>0.65791902428043758</v>
      </c>
      <c r="G97" s="2"/>
      <c r="H97" s="6">
        <v>13000</v>
      </c>
      <c r="I97" s="2"/>
      <c r="J97" s="7">
        <f t="shared" si="46"/>
        <v>1.0978802466007938</v>
      </c>
      <c r="K97" s="2"/>
      <c r="L97" s="6">
        <f t="shared" si="47"/>
        <v>-3354.9400000000005</v>
      </c>
      <c r="M97" s="2"/>
      <c r="N97" s="7">
        <f t="shared" si="48"/>
        <v>-0.25807230769230771</v>
      </c>
      <c r="O97" s="11"/>
      <c r="P97" s="6">
        <v>8152.9</v>
      </c>
      <c r="Q97" s="2"/>
      <c r="R97" s="7">
        <f t="shared" si="49"/>
        <v>2.8337653937208348E-3</v>
      </c>
      <c r="S97" s="2"/>
      <c r="T97" s="6">
        <v>13000</v>
      </c>
      <c r="U97" s="2"/>
      <c r="V97" s="7">
        <f t="shared" si="50"/>
        <v>4.1769081240863011E-3</v>
      </c>
      <c r="W97" s="2"/>
      <c r="X97" s="6">
        <f t="shared" si="51"/>
        <v>-4847.1000000000004</v>
      </c>
      <c r="Y97" s="2"/>
      <c r="Z97" s="7">
        <f t="shared" si="52"/>
        <v>-0.3728538461538462</v>
      </c>
    </row>
    <row r="98" spans="1:26" s="26" customFormat="1" outlineLevel="1" collapsed="1" x14ac:dyDescent="0.25">
      <c r="A98" s="27"/>
      <c r="B98" s="13" t="str">
        <f>CONCATENATE("     ","Inventory Adjustment                              ")</f>
        <v xml:space="preserve">     Inventory Adjustment                              </v>
      </c>
      <c r="C98" s="13"/>
      <c r="D98" s="1">
        <f>SUM(OSRRefD22_8x_0)</f>
        <v>1000</v>
      </c>
      <c r="E98" s="1"/>
      <c r="F98" s="5">
        <f t="shared" si="45"/>
        <v>6.8213056661175525E-2</v>
      </c>
      <c r="G98" s="1"/>
      <c r="H98" s="1">
        <f>SUM(OSRRefH22_8x_0)</f>
        <v>1000</v>
      </c>
      <c r="I98" s="1"/>
      <c r="J98" s="5">
        <f t="shared" si="46"/>
        <v>8.4452326661599533E-2</v>
      </c>
      <c r="K98" s="1"/>
      <c r="L98" s="1">
        <f t="shared" si="47"/>
        <v>0</v>
      </c>
      <c r="M98" s="1"/>
      <c r="N98" s="5">
        <f t="shared" si="48"/>
        <v>0</v>
      </c>
      <c r="O98" s="13"/>
      <c r="P98" s="1">
        <f>SUM(OSRRefP22_8x_0)</f>
        <v>5000</v>
      </c>
      <c r="Q98" s="1"/>
      <c r="R98" s="5">
        <f t="shared" si="49"/>
        <v>1.7378879869254101E-3</v>
      </c>
      <c r="S98" s="1"/>
      <c r="T98" s="1">
        <f>SUM(OSRRefT22_8x_0)</f>
        <v>5000</v>
      </c>
      <c r="U98" s="1"/>
      <c r="V98" s="5">
        <f t="shared" si="50"/>
        <v>1.6065031246485775E-3</v>
      </c>
      <c r="W98" s="1"/>
      <c r="X98" s="1">
        <f t="shared" si="51"/>
        <v>0</v>
      </c>
      <c r="Y98" s="1"/>
      <c r="Z98" s="5">
        <f t="shared" si="52"/>
        <v>0</v>
      </c>
    </row>
    <row r="99" spans="1:26" s="24" customFormat="1" hidden="1" outlineLevel="2" x14ac:dyDescent="0.25">
      <c r="A99" s="25"/>
      <c r="B99" s="11" t="str">
        <f>CONCATENATE("          ", "6408", " - ", "INVENTORY ADJUSTMENT")</f>
        <v xml:space="preserve">          6408 - INVENTORY ADJUSTMENT</v>
      </c>
      <c r="C99" s="11"/>
      <c r="D99" s="6">
        <v>1000</v>
      </c>
      <c r="E99" s="2"/>
      <c r="F99" s="7">
        <f t="shared" si="45"/>
        <v>6.8213056661175525E-2</v>
      </c>
      <c r="G99" s="2"/>
      <c r="H99" s="6">
        <v>1000</v>
      </c>
      <c r="I99" s="2"/>
      <c r="J99" s="7">
        <f t="shared" si="46"/>
        <v>8.4452326661599533E-2</v>
      </c>
      <c r="K99" s="2"/>
      <c r="L99" s="6">
        <f t="shared" si="47"/>
        <v>0</v>
      </c>
      <c r="M99" s="2"/>
      <c r="N99" s="7">
        <f t="shared" si="48"/>
        <v>0</v>
      </c>
      <c r="O99" s="11"/>
      <c r="P99" s="6">
        <v>5000</v>
      </c>
      <c r="Q99" s="2"/>
      <c r="R99" s="7">
        <f t="shared" si="49"/>
        <v>1.7378879869254101E-3</v>
      </c>
      <c r="S99" s="2"/>
      <c r="T99" s="6">
        <v>5000</v>
      </c>
      <c r="U99" s="2"/>
      <c r="V99" s="7">
        <f t="shared" si="50"/>
        <v>1.6065031246485775E-3</v>
      </c>
      <c r="W99" s="2"/>
      <c r="X99" s="6">
        <f t="shared" si="51"/>
        <v>0</v>
      </c>
      <c r="Y99" s="2"/>
      <c r="Z99" s="7">
        <f t="shared" si="52"/>
        <v>0</v>
      </c>
    </row>
    <row r="100" spans="1:26" s="26" customFormat="1" outlineLevel="1" collapsed="1" x14ac:dyDescent="0.25">
      <c r="A100" s="27"/>
      <c r="B100" s="13" t="str">
        <f>CONCATENATE("     ","Repair and Maintenance                            ")</f>
        <v xml:space="preserve">     Repair and Maintenance                            </v>
      </c>
      <c r="C100" s="13"/>
      <c r="D100" s="1">
        <f>SUM(OSRRefD22_9x_0)</f>
        <v>21.62</v>
      </c>
      <c r="E100" s="1"/>
      <c r="F100" s="5">
        <f t="shared" si="45"/>
        <v>1.474766285014615E-3</v>
      </c>
      <c r="G100" s="1"/>
      <c r="H100" s="1">
        <f>SUM(OSRRefH22_9x_0)</f>
        <v>140</v>
      </c>
      <c r="I100" s="1"/>
      <c r="J100" s="5">
        <f t="shared" si="46"/>
        <v>1.1823325732623935E-2</v>
      </c>
      <c r="K100" s="1"/>
      <c r="L100" s="1">
        <f t="shared" si="47"/>
        <v>-118.38</v>
      </c>
      <c r="M100" s="1"/>
      <c r="N100" s="5">
        <f t="shared" si="48"/>
        <v>-0.84557142857142853</v>
      </c>
      <c r="O100" s="13"/>
      <c r="P100" s="1">
        <f>SUM(OSRRefP22_9x_0)</f>
        <v>119.56</v>
      </c>
      <c r="Q100" s="1"/>
      <c r="R100" s="5">
        <f t="shared" si="49"/>
        <v>4.1556377543360405E-5</v>
      </c>
      <c r="S100" s="1"/>
      <c r="T100" s="1">
        <f>SUM(OSRRefT22_9x_0)</f>
        <v>700</v>
      </c>
      <c r="U100" s="1"/>
      <c r="V100" s="5">
        <f t="shared" si="50"/>
        <v>2.2491043745080083E-4</v>
      </c>
      <c r="W100" s="1"/>
      <c r="X100" s="1">
        <f t="shared" si="51"/>
        <v>-580.44000000000005</v>
      </c>
      <c r="Y100" s="1"/>
      <c r="Z100" s="5">
        <f t="shared" si="52"/>
        <v>-0.82920000000000005</v>
      </c>
    </row>
    <row r="101" spans="1:26" s="24" customFormat="1" hidden="1" outlineLevel="2" x14ac:dyDescent="0.25">
      <c r="A101" s="25"/>
      <c r="B101" s="11" t="str">
        <f>CONCATENATE("          ", "6373", " - ", "MAINTENANCE CONTRACTS")</f>
        <v xml:space="preserve">          6373 - MAINTENANCE CONTRACTS</v>
      </c>
      <c r="C101" s="11"/>
      <c r="D101" s="6">
        <v>21.62</v>
      </c>
      <c r="E101" s="2"/>
      <c r="F101" s="7">
        <f t="shared" si="45"/>
        <v>1.474766285014615E-3</v>
      </c>
      <c r="G101" s="2"/>
      <c r="H101" s="6">
        <v>40</v>
      </c>
      <c r="I101" s="2"/>
      <c r="J101" s="7">
        <f t="shared" si="46"/>
        <v>3.378093066463981E-3</v>
      </c>
      <c r="K101" s="2"/>
      <c r="L101" s="6">
        <f t="shared" si="47"/>
        <v>-18.38</v>
      </c>
      <c r="M101" s="2"/>
      <c r="N101" s="7">
        <f t="shared" si="48"/>
        <v>-0.45949999999999996</v>
      </c>
      <c r="O101" s="11"/>
      <c r="P101" s="6">
        <v>119.56</v>
      </c>
      <c r="Q101" s="2"/>
      <c r="R101" s="7">
        <f t="shared" si="49"/>
        <v>4.1556377543360405E-5</v>
      </c>
      <c r="S101" s="2"/>
      <c r="T101" s="6">
        <v>200</v>
      </c>
      <c r="U101" s="2"/>
      <c r="V101" s="7">
        <f t="shared" si="50"/>
        <v>6.4260124985943102E-5</v>
      </c>
      <c r="W101" s="2"/>
      <c r="X101" s="6">
        <f t="shared" si="51"/>
        <v>-80.44</v>
      </c>
      <c r="Y101" s="2"/>
      <c r="Z101" s="7">
        <f t="shared" si="52"/>
        <v>-0.4022</v>
      </c>
    </row>
    <row r="102" spans="1:26" s="24" customFormat="1" hidden="1" outlineLevel="2" x14ac:dyDescent="0.25">
      <c r="A102" s="25"/>
      <c r="B102" s="11" t="str">
        <f>CONCATENATE("          ", "6375", " - ", "OUTSIDE REPAIRS &amp; MAINTENANCE")</f>
        <v xml:space="preserve">          6375 - OUTSIDE REPAIRS &amp; MAINTENANCE</v>
      </c>
      <c r="C102" s="11"/>
      <c r="D102" s="6"/>
      <c r="E102" s="2"/>
      <c r="F102" s="7">
        <f t="shared" si="45"/>
        <v>0</v>
      </c>
      <c r="G102" s="2"/>
      <c r="H102" s="6">
        <v>100</v>
      </c>
      <c r="I102" s="2"/>
      <c r="J102" s="7">
        <f t="shared" si="46"/>
        <v>8.4452326661599523E-3</v>
      </c>
      <c r="K102" s="2"/>
      <c r="L102" s="6">
        <f t="shared" si="47"/>
        <v>-100</v>
      </c>
      <c r="M102" s="2"/>
      <c r="N102" s="7">
        <f t="shared" si="48"/>
        <v>-1</v>
      </c>
      <c r="O102" s="11"/>
      <c r="P102" s="6"/>
      <c r="Q102" s="2"/>
      <c r="R102" s="7">
        <f t="shared" si="49"/>
        <v>0</v>
      </c>
      <c r="S102" s="2"/>
      <c r="T102" s="6">
        <v>500</v>
      </c>
      <c r="U102" s="2"/>
      <c r="V102" s="7">
        <f t="shared" si="50"/>
        <v>1.6065031246485775E-4</v>
      </c>
      <c r="W102" s="2"/>
      <c r="X102" s="6">
        <f t="shared" si="51"/>
        <v>-500</v>
      </c>
      <c r="Y102" s="2"/>
      <c r="Z102" s="7">
        <f t="shared" si="52"/>
        <v>-1</v>
      </c>
    </row>
    <row r="103" spans="1:26" s="26" customFormat="1" outlineLevel="1" collapsed="1" x14ac:dyDescent="0.25">
      <c r="A103" s="27"/>
      <c r="B103" s="13" t="str">
        <f>CONCATENATE("     ","Subscriptions &amp; Dues                              ")</f>
        <v xml:space="preserve">     Subscriptions &amp; Dues                              </v>
      </c>
      <c r="C103" s="13"/>
      <c r="D103" s="1">
        <f>SUM(OSRRefD22_10x_0)</f>
        <v>250</v>
      </c>
      <c r="E103" s="1"/>
      <c r="F103" s="5">
        <f t="shared" ref="F103:F108" si="53">IF(D$12=0,0,D103/D$12)</f>
        <v>1.7053264165293881E-2</v>
      </c>
      <c r="G103" s="1"/>
      <c r="H103" s="1">
        <f>SUM(OSRRefH22_10x_0)</f>
        <v>2500</v>
      </c>
      <c r="I103" s="1"/>
      <c r="J103" s="5">
        <f t="shared" ref="J103:J108" si="54">IF(H$12=0,0,H103/H$12)</f>
        <v>0.21113081665399883</v>
      </c>
      <c r="K103" s="1"/>
      <c r="L103" s="1">
        <f t="shared" ref="L103:L108" si="55">+D103-H103</f>
        <v>-2250</v>
      </c>
      <c r="M103" s="1"/>
      <c r="N103" s="5">
        <f t="shared" ref="N103:N108" si="56">IF(H103=0,0,L103/H103)</f>
        <v>-0.9</v>
      </c>
      <c r="O103" s="13"/>
      <c r="P103" s="1">
        <f>SUM(OSRRefP22_10x_0)</f>
        <v>1307.4000000000001</v>
      </c>
      <c r="Q103" s="1"/>
      <c r="R103" s="5">
        <f t="shared" ref="R103:R108" si="57">IF(P$12=0,0,P103/P$12)</f>
        <v>4.5442295082125626E-4</v>
      </c>
      <c r="S103" s="1"/>
      <c r="T103" s="1">
        <f>SUM(OSRRefT22_10x_0)</f>
        <v>4000</v>
      </c>
      <c r="U103" s="1"/>
      <c r="V103" s="5">
        <f t="shared" ref="V103:V108" si="58">IF(T$12=0,0,T103/T$12)</f>
        <v>1.285202499718862E-3</v>
      </c>
      <c r="W103" s="1"/>
      <c r="X103" s="1">
        <f t="shared" ref="X103:X108" si="59">+P103-T103</f>
        <v>-2692.6</v>
      </c>
      <c r="Y103" s="1"/>
      <c r="Z103" s="5">
        <f t="shared" ref="Z103:Z108" si="60">IF(T103=0,0,X103/T103)</f>
        <v>-0.67315000000000003</v>
      </c>
    </row>
    <row r="104" spans="1:26" s="24" customFormat="1" hidden="1" outlineLevel="2" x14ac:dyDescent="0.25">
      <c r="A104" s="25"/>
      <c r="B104" s="11" t="str">
        <f>CONCATENATE("          ", "6258", " - ", "MEMBERSHIP DUES")</f>
        <v xml:space="preserve">          6258 - MEMBERSHIP DUES</v>
      </c>
      <c r="C104" s="11"/>
      <c r="D104" s="6">
        <v>250</v>
      </c>
      <c r="E104" s="2"/>
      <c r="F104" s="7">
        <f t="shared" si="53"/>
        <v>1.7053264165293881E-2</v>
      </c>
      <c r="G104" s="2"/>
      <c r="H104" s="6">
        <v>2500</v>
      </c>
      <c r="I104" s="2"/>
      <c r="J104" s="7">
        <f t="shared" si="54"/>
        <v>0.21113081665399883</v>
      </c>
      <c r="K104" s="2"/>
      <c r="L104" s="6">
        <f t="shared" si="55"/>
        <v>-2250</v>
      </c>
      <c r="M104" s="2"/>
      <c r="N104" s="7">
        <f t="shared" si="56"/>
        <v>-0.9</v>
      </c>
      <c r="O104" s="11"/>
      <c r="P104" s="6">
        <v>1307.4000000000001</v>
      </c>
      <c r="Q104" s="2"/>
      <c r="R104" s="7">
        <f t="shared" si="57"/>
        <v>4.5442295082125626E-4</v>
      </c>
      <c r="S104" s="2"/>
      <c r="T104" s="6">
        <v>4000</v>
      </c>
      <c r="U104" s="2"/>
      <c r="V104" s="7">
        <f t="shared" si="58"/>
        <v>1.285202499718862E-3</v>
      </c>
      <c r="W104" s="2"/>
      <c r="X104" s="6">
        <f t="shared" si="59"/>
        <v>-2692.6</v>
      </c>
      <c r="Y104" s="2"/>
      <c r="Z104" s="7">
        <f t="shared" si="60"/>
        <v>-0.67315000000000003</v>
      </c>
    </row>
    <row r="105" spans="1:26" s="26" customFormat="1" outlineLevel="1" collapsed="1" x14ac:dyDescent="0.25">
      <c r="A105" s="27"/>
      <c r="B105" s="13" t="str">
        <f>CONCATENATE("     ","Supplies                                          ")</f>
        <v xml:space="preserve">     Supplies                                          </v>
      </c>
      <c r="C105" s="13"/>
      <c r="D105" s="1">
        <f>SUM(OSRRefD22_11x_0)</f>
        <v>78.040000000000006</v>
      </c>
      <c r="E105" s="1"/>
      <c r="F105" s="5">
        <f t="shared" si="53"/>
        <v>5.3233469418381384E-3</v>
      </c>
      <c r="G105" s="1"/>
      <c r="H105" s="1">
        <f>SUM(OSRRefH22_11x_0)</f>
        <v>600</v>
      </c>
      <c r="I105" s="1"/>
      <c r="J105" s="5">
        <f t="shared" si="54"/>
        <v>5.0671395996959717E-2</v>
      </c>
      <c r="K105" s="1"/>
      <c r="L105" s="1">
        <f t="shared" si="55"/>
        <v>-521.96</v>
      </c>
      <c r="M105" s="1"/>
      <c r="N105" s="5">
        <f t="shared" si="56"/>
        <v>-0.86993333333333345</v>
      </c>
      <c r="O105" s="13"/>
      <c r="P105" s="1">
        <f>SUM(OSRRefP22_11x_0)</f>
        <v>9214.59</v>
      </c>
      <c r="Q105" s="1"/>
      <c r="R105" s="5">
        <f t="shared" si="57"/>
        <v>3.2027850530886031E-3</v>
      </c>
      <c r="S105" s="1"/>
      <c r="T105" s="1">
        <f>SUM(OSRRefT22_11x_0)</f>
        <v>7550</v>
      </c>
      <c r="U105" s="1"/>
      <c r="V105" s="5">
        <f t="shared" si="58"/>
        <v>2.4258197182193521E-3</v>
      </c>
      <c r="W105" s="1"/>
      <c r="X105" s="1">
        <f t="shared" si="59"/>
        <v>1664.5900000000001</v>
      </c>
      <c r="Y105" s="1"/>
      <c r="Z105" s="5">
        <f t="shared" si="60"/>
        <v>0.22047549668874175</v>
      </c>
    </row>
    <row r="106" spans="1:26" s="24" customFormat="1" hidden="1" outlineLevel="2" x14ac:dyDescent="0.25">
      <c r="A106" s="25"/>
      <c r="B106" s="11" t="str">
        <f>CONCATENATE("          ", "6241", " - ", "OFFICE EXPENSE")</f>
        <v xml:space="preserve">          6241 - OFFICE EXPENSE</v>
      </c>
      <c r="C106" s="11"/>
      <c r="D106" s="6">
        <v>78.040000000000006</v>
      </c>
      <c r="E106" s="2"/>
      <c r="F106" s="7">
        <f t="shared" si="53"/>
        <v>5.3233469418381384E-3</v>
      </c>
      <c r="G106" s="2"/>
      <c r="H106" s="6">
        <v>300</v>
      </c>
      <c r="I106" s="2"/>
      <c r="J106" s="7">
        <f t="shared" si="54"/>
        <v>2.5335697998479859E-2</v>
      </c>
      <c r="K106" s="2"/>
      <c r="L106" s="6">
        <f t="shared" si="55"/>
        <v>-221.95999999999998</v>
      </c>
      <c r="M106" s="2"/>
      <c r="N106" s="7">
        <f t="shared" si="56"/>
        <v>-0.73986666666666656</v>
      </c>
      <c r="O106" s="11"/>
      <c r="P106" s="6">
        <v>3375.47</v>
      </c>
      <c r="Q106" s="2"/>
      <c r="R106" s="7">
        <f t="shared" si="57"/>
        <v>1.1732377526454227E-3</v>
      </c>
      <c r="S106" s="2"/>
      <c r="T106" s="6">
        <v>1650</v>
      </c>
      <c r="U106" s="2"/>
      <c r="V106" s="7">
        <f t="shared" si="58"/>
        <v>5.3014603113403058E-4</v>
      </c>
      <c r="W106" s="2"/>
      <c r="X106" s="6">
        <f t="shared" si="59"/>
        <v>1725.4699999999998</v>
      </c>
      <c r="Y106" s="2"/>
      <c r="Z106" s="7">
        <f t="shared" si="60"/>
        <v>1.0457393939393937</v>
      </c>
    </row>
    <row r="107" spans="1:26" s="24" customFormat="1" hidden="1" outlineLevel="2" x14ac:dyDescent="0.25">
      <c r="A107" s="25"/>
      <c r="B107" s="11" t="str">
        <f>CONCATENATE("          ", "6245", " - ", "PRINTING")</f>
        <v xml:space="preserve">          6245 - PRINTING</v>
      </c>
      <c r="C107" s="11"/>
      <c r="D107" s="6"/>
      <c r="E107" s="2"/>
      <c r="F107" s="7">
        <f t="shared" si="53"/>
        <v>0</v>
      </c>
      <c r="G107" s="2"/>
      <c r="H107" s="6">
        <v>100</v>
      </c>
      <c r="I107" s="2"/>
      <c r="J107" s="7">
        <f t="shared" si="54"/>
        <v>8.4452326661599523E-3</v>
      </c>
      <c r="K107" s="2"/>
      <c r="L107" s="6">
        <f t="shared" si="55"/>
        <v>-100</v>
      </c>
      <c r="M107" s="2"/>
      <c r="N107" s="7">
        <f t="shared" si="56"/>
        <v>-1</v>
      </c>
      <c r="O107" s="11"/>
      <c r="P107" s="6">
        <v>4978.08</v>
      </c>
      <c r="Q107" s="2"/>
      <c r="R107" s="7">
        <f t="shared" si="57"/>
        <v>1.7302690859907291E-3</v>
      </c>
      <c r="S107" s="2"/>
      <c r="T107" s="6">
        <v>900</v>
      </c>
      <c r="U107" s="2"/>
      <c r="V107" s="7">
        <f t="shared" si="58"/>
        <v>2.8917056243674393E-4</v>
      </c>
      <c r="W107" s="2"/>
      <c r="X107" s="6">
        <f t="shared" si="59"/>
        <v>4078.08</v>
      </c>
      <c r="Y107" s="2"/>
      <c r="Z107" s="7">
        <f t="shared" si="60"/>
        <v>4.5312000000000001</v>
      </c>
    </row>
    <row r="108" spans="1:26" s="24" customFormat="1" hidden="1" outlineLevel="2" x14ac:dyDescent="0.25">
      <c r="A108" s="25"/>
      <c r="B108" s="11" t="str">
        <f>CONCATENATE("          ", "6247", " - ", "STORE SUPPLIES")</f>
        <v xml:space="preserve">          6247 - STORE SUPPLIES</v>
      </c>
      <c r="C108" s="11"/>
      <c r="D108" s="6"/>
      <c r="E108" s="2"/>
      <c r="F108" s="7">
        <f t="shared" si="53"/>
        <v>0</v>
      </c>
      <c r="G108" s="2"/>
      <c r="H108" s="6">
        <v>200</v>
      </c>
      <c r="I108" s="2"/>
      <c r="J108" s="7">
        <f t="shared" si="54"/>
        <v>1.6890465332319905E-2</v>
      </c>
      <c r="K108" s="2"/>
      <c r="L108" s="6">
        <f t="shared" si="55"/>
        <v>-200</v>
      </c>
      <c r="M108" s="2"/>
      <c r="N108" s="7">
        <f t="shared" si="56"/>
        <v>-1</v>
      </c>
      <c r="O108" s="11"/>
      <c r="P108" s="6">
        <v>861.04</v>
      </c>
      <c r="Q108" s="2"/>
      <c r="R108" s="7">
        <f t="shared" si="57"/>
        <v>2.9927821445245101E-4</v>
      </c>
      <c r="S108" s="2"/>
      <c r="T108" s="6">
        <v>5000</v>
      </c>
      <c r="U108" s="2"/>
      <c r="V108" s="7">
        <f t="shared" si="58"/>
        <v>1.6065031246485775E-3</v>
      </c>
      <c r="W108" s="2"/>
      <c r="X108" s="6">
        <f t="shared" si="59"/>
        <v>-4138.96</v>
      </c>
      <c r="Y108" s="2"/>
      <c r="Z108" s="7">
        <f t="shared" si="60"/>
        <v>-0.82779199999999997</v>
      </c>
    </row>
    <row r="109" spans="1:26" s="26" customFormat="1" outlineLevel="1" collapsed="1" x14ac:dyDescent="0.25">
      <c r="A109" s="27"/>
      <c r="B109" s="13" t="str">
        <f>CONCATENATE("     ","Telephone/Data Lines                              ")</f>
        <v xml:space="preserve">     Telephone/Data Lines                              </v>
      </c>
      <c r="C109" s="13"/>
      <c r="D109" s="1">
        <f>SUM(OSRRefD22_12x_0)</f>
        <v>769.99</v>
      </c>
      <c r="E109" s="1"/>
      <c r="F109" s="5">
        <f t="shared" ref="F109:F111" si="61">IF(D$12=0,0,D109/D$12)</f>
        <v>5.2523371498538543E-2</v>
      </c>
      <c r="G109" s="1"/>
      <c r="H109" s="1">
        <f>SUM(OSRRefH22_12x_0)</f>
        <v>600</v>
      </c>
      <c r="I109" s="1"/>
      <c r="J109" s="5">
        <f t="shared" ref="J109:J111" si="62">IF(H$12=0,0,H109/H$12)</f>
        <v>5.0671395996959717E-2</v>
      </c>
      <c r="K109" s="1"/>
      <c r="L109" s="1">
        <f t="shared" ref="L109:L111" si="63">+D109-H109</f>
        <v>169.99</v>
      </c>
      <c r="M109" s="1"/>
      <c r="N109" s="5">
        <f t="shared" ref="N109:N111" si="64">IF(H109=0,0,L109/H109)</f>
        <v>0.28331666666666666</v>
      </c>
      <c r="O109" s="13"/>
      <c r="P109" s="1">
        <f>SUM(OSRRefP22_12x_0)</f>
        <v>3868.59</v>
      </c>
      <c r="Q109" s="1"/>
      <c r="R109" s="5">
        <f t="shared" ref="R109:R111" si="65">IF(P$12=0,0,P109/P$12)</f>
        <v>1.3446352174679545E-3</v>
      </c>
      <c r="S109" s="1"/>
      <c r="T109" s="1">
        <f>SUM(OSRRefT22_12x_0)</f>
        <v>4500</v>
      </c>
      <c r="U109" s="1"/>
      <c r="V109" s="5">
        <f t="shared" ref="V109:V111" si="66">IF(T$12=0,0,T109/T$12)</f>
        <v>1.4458528121837197E-3</v>
      </c>
      <c r="W109" s="1"/>
      <c r="X109" s="1">
        <f t="shared" ref="X109:X111" si="67">+P109-T109</f>
        <v>-631.40999999999985</v>
      </c>
      <c r="Y109" s="1"/>
      <c r="Z109" s="5">
        <f t="shared" ref="Z109:Z111" si="68">IF(T109=0,0,X109/T109)</f>
        <v>-0.14031333333333329</v>
      </c>
    </row>
    <row r="110" spans="1:26" s="24" customFormat="1" hidden="1" outlineLevel="2" x14ac:dyDescent="0.25">
      <c r="A110" s="25"/>
      <c r="B110" s="11" t="str">
        <f>CONCATENATE("          ", "6303", " - ", "DATA PHONE LINES")</f>
        <v xml:space="preserve">          6303 - DATA PHONE LINES</v>
      </c>
      <c r="C110" s="11"/>
      <c r="D110" s="6">
        <v>295</v>
      </c>
      <c r="E110" s="2"/>
      <c r="F110" s="7">
        <f t="shared" si="61"/>
        <v>2.0122851715046783E-2</v>
      </c>
      <c r="G110" s="2"/>
      <c r="H110" s="6">
        <v>300</v>
      </c>
      <c r="I110" s="2"/>
      <c r="J110" s="7">
        <f t="shared" si="62"/>
        <v>2.5335697998479859E-2</v>
      </c>
      <c r="K110" s="2"/>
      <c r="L110" s="6">
        <f t="shared" si="63"/>
        <v>-5</v>
      </c>
      <c r="M110" s="2"/>
      <c r="N110" s="7">
        <f t="shared" si="64"/>
        <v>-1.6666666666666666E-2</v>
      </c>
      <c r="O110" s="11"/>
      <c r="P110" s="6">
        <v>1475</v>
      </c>
      <c r="Q110" s="2"/>
      <c r="R110" s="7">
        <f t="shared" si="65"/>
        <v>5.1267695614299594E-4</v>
      </c>
      <c r="S110" s="2"/>
      <c r="T110" s="6">
        <v>1500</v>
      </c>
      <c r="U110" s="2"/>
      <c r="V110" s="7">
        <f t="shared" si="66"/>
        <v>4.8195093739457324E-4</v>
      </c>
      <c r="W110" s="2"/>
      <c r="X110" s="6">
        <f t="shared" si="67"/>
        <v>-25</v>
      </c>
      <c r="Y110" s="2"/>
      <c r="Z110" s="7">
        <f t="shared" si="68"/>
        <v>-1.6666666666666666E-2</v>
      </c>
    </row>
    <row r="111" spans="1:26" s="24" customFormat="1" hidden="1" outlineLevel="2" x14ac:dyDescent="0.25">
      <c r="A111" s="25"/>
      <c r="B111" s="11" t="str">
        <f>CONCATENATE("          ", "6309", " - ", "TELEPHONE")</f>
        <v xml:space="preserve">          6309 - TELEPHONE</v>
      </c>
      <c r="C111" s="11"/>
      <c r="D111" s="6">
        <v>474.99</v>
      </c>
      <c r="E111" s="2"/>
      <c r="F111" s="7">
        <f t="shared" si="61"/>
        <v>3.2400519783491767E-2</v>
      </c>
      <c r="G111" s="2"/>
      <c r="H111" s="6">
        <v>300</v>
      </c>
      <c r="I111" s="2"/>
      <c r="J111" s="7">
        <f t="shared" si="62"/>
        <v>2.5335697998479859E-2</v>
      </c>
      <c r="K111" s="2"/>
      <c r="L111" s="6">
        <f t="shared" si="63"/>
        <v>174.99</v>
      </c>
      <c r="M111" s="2"/>
      <c r="N111" s="7">
        <f t="shared" si="64"/>
        <v>0.58330000000000004</v>
      </c>
      <c r="O111" s="11"/>
      <c r="P111" s="6">
        <v>2393.59</v>
      </c>
      <c r="Q111" s="2"/>
      <c r="R111" s="7">
        <f t="shared" si="65"/>
        <v>8.3195826132495846E-4</v>
      </c>
      <c r="S111" s="2"/>
      <c r="T111" s="6">
        <v>3000</v>
      </c>
      <c r="U111" s="2"/>
      <c r="V111" s="7">
        <f t="shared" si="66"/>
        <v>9.6390187478914648E-4</v>
      </c>
      <c r="W111" s="2"/>
      <c r="X111" s="6">
        <f t="shared" si="67"/>
        <v>-606.40999999999985</v>
      </c>
      <c r="Y111" s="2"/>
      <c r="Z111" s="7">
        <f t="shared" si="68"/>
        <v>-0.20213666666666663</v>
      </c>
    </row>
    <row r="112" spans="1:26" s="26" customFormat="1" outlineLevel="1" collapsed="1" x14ac:dyDescent="0.25">
      <c r="A112" s="27"/>
      <c r="B112" s="13" t="str">
        <f>CONCATENATE("     ","Training                                          ")</f>
        <v xml:space="preserve">     Training                                          </v>
      </c>
      <c r="C112" s="13"/>
      <c r="D112" s="1">
        <f>SUM(OSRRefD22_13x_0)</f>
        <v>0</v>
      </c>
      <c r="E112" s="1"/>
      <c r="F112" s="5">
        <f t="shared" ref="F112:F116" si="69">IF(D$12=0,0,D112/D$12)</f>
        <v>0</v>
      </c>
      <c r="G112" s="1"/>
      <c r="H112" s="1">
        <f>SUM(OSRRefH22_13x_0)</f>
        <v>500</v>
      </c>
      <c r="I112" s="1"/>
      <c r="J112" s="5">
        <f t="shared" ref="J112:J116" si="70">IF(H$12=0,0,H112/H$12)</f>
        <v>4.2226163330799767E-2</v>
      </c>
      <c r="K112" s="1"/>
      <c r="L112" s="1">
        <f t="shared" ref="L112:L116" si="71">+D112-H112</f>
        <v>-500</v>
      </c>
      <c r="M112" s="1"/>
      <c r="N112" s="5">
        <f t="shared" ref="N112:N116" si="72">IF(H112=0,0,L112/H112)</f>
        <v>-1</v>
      </c>
      <c r="O112" s="13"/>
      <c r="P112" s="1">
        <f>SUM(OSRRefP22_13x_0)</f>
        <v>547.47</v>
      </c>
      <c r="Q112" s="1"/>
      <c r="R112" s="5">
        <f t="shared" ref="R112:R116" si="73">IF(P$12=0,0,P112/P$12)</f>
        <v>1.9028830724041087E-4</v>
      </c>
      <c r="S112" s="1"/>
      <c r="T112" s="1">
        <f>SUM(OSRRefT22_13x_0)</f>
        <v>1300</v>
      </c>
      <c r="U112" s="1"/>
      <c r="V112" s="5">
        <f t="shared" ref="V112:V116" si="74">IF(T$12=0,0,T112/T$12)</f>
        <v>4.1769081240863014E-4</v>
      </c>
      <c r="W112" s="1"/>
      <c r="X112" s="1">
        <f t="shared" ref="X112:X116" si="75">+P112-T112</f>
        <v>-752.53</v>
      </c>
      <c r="Y112" s="1"/>
      <c r="Z112" s="5">
        <f t="shared" ref="Z112:Z116" si="76">IF(T112=0,0,X112/T112)</f>
        <v>-0.5788692307692308</v>
      </c>
    </row>
    <row r="113" spans="1:26" s="24" customFormat="1" hidden="1" outlineLevel="2" x14ac:dyDescent="0.25">
      <c r="A113" s="25"/>
      <c r="B113" s="11" t="str">
        <f>CONCATENATE("          ", "6376", " - ", "TRAINING")</f>
        <v xml:space="preserve">          6376 - TRAINING</v>
      </c>
      <c r="C113" s="11"/>
      <c r="D113" s="6"/>
      <c r="E113" s="2"/>
      <c r="F113" s="7">
        <f t="shared" si="69"/>
        <v>0</v>
      </c>
      <c r="G113" s="2"/>
      <c r="H113" s="6">
        <v>500</v>
      </c>
      <c r="I113" s="2"/>
      <c r="J113" s="7">
        <f t="shared" si="70"/>
        <v>4.2226163330799767E-2</v>
      </c>
      <c r="K113" s="2"/>
      <c r="L113" s="6">
        <f t="shared" si="71"/>
        <v>-500</v>
      </c>
      <c r="M113" s="2"/>
      <c r="N113" s="7">
        <f t="shared" si="72"/>
        <v>-1</v>
      </c>
      <c r="O113" s="11"/>
      <c r="P113" s="6">
        <v>547.47</v>
      </c>
      <c r="Q113" s="2"/>
      <c r="R113" s="7">
        <f t="shared" si="73"/>
        <v>1.9028830724041087E-4</v>
      </c>
      <c r="S113" s="2"/>
      <c r="T113" s="6">
        <v>1300</v>
      </c>
      <c r="U113" s="2"/>
      <c r="V113" s="7">
        <f t="shared" si="74"/>
        <v>4.1769081240863014E-4</v>
      </c>
      <c r="W113" s="2"/>
      <c r="X113" s="6">
        <f t="shared" si="75"/>
        <v>-752.53</v>
      </c>
      <c r="Y113" s="2"/>
      <c r="Z113" s="7">
        <f t="shared" si="76"/>
        <v>-0.5788692307692308</v>
      </c>
    </row>
    <row r="114" spans="1:26" s="26" customFormat="1" outlineLevel="1" collapsed="1" x14ac:dyDescent="0.25">
      <c r="A114" s="27"/>
      <c r="B114" s="13" t="str">
        <f>CONCATENATE("     ","Travel                                            ")</f>
        <v xml:space="preserve">     Travel                                            </v>
      </c>
      <c r="C114" s="13"/>
      <c r="D114" s="1">
        <f>SUM(OSRRefD22_14x_0)</f>
        <v>0</v>
      </c>
      <c r="E114" s="1"/>
      <c r="F114" s="5">
        <f t="shared" si="69"/>
        <v>0</v>
      </c>
      <c r="G114" s="1"/>
      <c r="H114" s="1">
        <f>SUM(OSRRefH22_14x_0)</f>
        <v>0</v>
      </c>
      <c r="I114" s="1"/>
      <c r="J114" s="5">
        <f t="shared" si="70"/>
        <v>0</v>
      </c>
      <c r="K114" s="1"/>
      <c r="L114" s="1">
        <f t="shared" si="71"/>
        <v>0</v>
      </c>
      <c r="M114" s="1"/>
      <c r="N114" s="5">
        <f t="shared" si="72"/>
        <v>0</v>
      </c>
      <c r="O114" s="13"/>
      <c r="P114" s="1">
        <f>SUM(OSRRefP22_14x_0)</f>
        <v>83.93</v>
      </c>
      <c r="Q114" s="1"/>
      <c r="R114" s="5">
        <f t="shared" si="73"/>
        <v>2.9172187748529937E-5</v>
      </c>
      <c r="S114" s="1"/>
      <c r="T114" s="1">
        <f>SUM(OSRRefT22_14x_0)</f>
        <v>450</v>
      </c>
      <c r="U114" s="1"/>
      <c r="V114" s="5">
        <f t="shared" si="74"/>
        <v>1.4458528121837197E-4</v>
      </c>
      <c r="W114" s="1"/>
      <c r="X114" s="1">
        <f t="shared" si="75"/>
        <v>-366.07</v>
      </c>
      <c r="Y114" s="1"/>
      <c r="Z114" s="5">
        <f t="shared" si="76"/>
        <v>-0.81348888888888893</v>
      </c>
    </row>
    <row r="115" spans="1:26" s="24" customFormat="1" hidden="1" outlineLevel="2" x14ac:dyDescent="0.25">
      <c r="A115" s="25"/>
      <c r="B115" s="11" t="str">
        <f>CONCATENATE("          ", "6292", " - ", "TRAVEL/CONFERENCE")</f>
        <v xml:space="preserve">          6292 - TRAVEL/CONFERENCE</v>
      </c>
      <c r="C115" s="11"/>
      <c r="D115" s="6"/>
      <c r="E115" s="2"/>
      <c r="F115" s="7">
        <f t="shared" si="69"/>
        <v>0</v>
      </c>
      <c r="G115" s="2"/>
      <c r="H115" s="6"/>
      <c r="I115" s="2"/>
      <c r="J115" s="7">
        <f t="shared" si="70"/>
        <v>0</v>
      </c>
      <c r="K115" s="2"/>
      <c r="L115" s="6">
        <f t="shared" si="71"/>
        <v>0</v>
      </c>
      <c r="M115" s="2"/>
      <c r="N115" s="7">
        <f t="shared" si="72"/>
        <v>0</v>
      </c>
      <c r="O115" s="11"/>
      <c r="P115" s="6">
        <v>83.93</v>
      </c>
      <c r="Q115" s="2"/>
      <c r="R115" s="7">
        <f t="shared" si="73"/>
        <v>2.9172187748529937E-5</v>
      </c>
      <c r="S115" s="2"/>
      <c r="T115" s="6"/>
      <c r="U115" s="2"/>
      <c r="V115" s="7">
        <f t="shared" si="74"/>
        <v>0</v>
      </c>
      <c r="W115" s="2"/>
      <c r="X115" s="6">
        <f t="shared" si="75"/>
        <v>83.93</v>
      </c>
      <c r="Y115" s="2"/>
      <c r="Z115" s="7">
        <f t="shared" si="76"/>
        <v>0</v>
      </c>
    </row>
    <row r="116" spans="1:26" s="24" customFormat="1" hidden="1" outlineLevel="2" x14ac:dyDescent="0.25">
      <c r="A116" s="25"/>
      <c r="B116" s="11" t="str">
        <f>CONCATENATE("          ", "6298", " - ", "VEHICLE MILEAGE")</f>
        <v xml:space="preserve">          6298 - VEHICLE MILEAGE</v>
      </c>
      <c r="C116" s="11"/>
      <c r="D116" s="6"/>
      <c r="E116" s="2"/>
      <c r="F116" s="7">
        <f t="shared" si="69"/>
        <v>0</v>
      </c>
      <c r="G116" s="2"/>
      <c r="H116" s="6"/>
      <c r="I116" s="2"/>
      <c r="J116" s="7">
        <f t="shared" si="70"/>
        <v>0</v>
      </c>
      <c r="K116" s="2"/>
      <c r="L116" s="6">
        <f t="shared" si="71"/>
        <v>0</v>
      </c>
      <c r="M116" s="2"/>
      <c r="N116" s="7">
        <f t="shared" si="72"/>
        <v>0</v>
      </c>
      <c r="O116" s="11"/>
      <c r="P116" s="6"/>
      <c r="Q116" s="2"/>
      <c r="R116" s="7">
        <f t="shared" si="73"/>
        <v>0</v>
      </c>
      <c r="S116" s="2"/>
      <c r="T116" s="6">
        <v>450</v>
      </c>
      <c r="U116" s="2"/>
      <c r="V116" s="7">
        <f t="shared" si="74"/>
        <v>1.4458528121837197E-4</v>
      </c>
      <c r="W116" s="2"/>
      <c r="X116" s="6">
        <f t="shared" si="75"/>
        <v>-450</v>
      </c>
      <c r="Y116" s="2"/>
      <c r="Z116" s="7">
        <f t="shared" si="76"/>
        <v>-1</v>
      </c>
    </row>
    <row r="117" spans="1:26" s="59" customFormat="1" x14ac:dyDescent="0.25">
      <c r="A117" s="36"/>
      <c r="B117" s="36"/>
      <c r="C117" s="36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6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collapsed="1" x14ac:dyDescent="0.25">
      <c r="A118" s="10"/>
      <c r="B118" s="29" t="s">
        <v>0</v>
      </c>
      <c r="C118" s="10"/>
      <c r="D118" s="4">
        <f>SUM(OSRRefD25x_0)</f>
        <v>197.54</v>
      </c>
      <c r="E118" s="4"/>
      <c r="F118" s="12">
        <f t="shared" ref="F118:F122" si="77">IF(D$12=0,0,D118/D$12)</f>
        <v>1.3474807212848614E-2</v>
      </c>
      <c r="G118" s="4"/>
      <c r="H118" s="4">
        <f>SUM(OSRRefH25x_0)</f>
        <v>1000</v>
      </c>
      <c r="I118" s="4"/>
      <c r="J118" s="12">
        <f t="shared" ref="J118:J122" si="78">IF(H$12=0,0,H118/H$12)</f>
        <v>8.4452326661599533E-2</v>
      </c>
      <c r="K118" s="4"/>
      <c r="L118" s="4">
        <f t="shared" ref="L118:L122" si="79">+D118-H118</f>
        <v>-802.46</v>
      </c>
      <c r="M118" s="4"/>
      <c r="N118" s="12">
        <f t="shared" ref="N118:N122" si="80">IF(H118=0,0,L118/H118)</f>
        <v>-0.80246000000000006</v>
      </c>
      <c r="O118" s="10"/>
      <c r="P118" s="4">
        <f>SUM(OSRRefP25x_0)</f>
        <v>142441.94</v>
      </c>
      <c r="Q118" s="4"/>
      <c r="R118" s="12">
        <f t="shared" ref="R118:R122" si="81">IF(P$12=0,0,P118/P$12)</f>
        <v>4.9509627272070013E-2</v>
      </c>
      <c r="S118" s="4"/>
      <c r="T118" s="4">
        <f>SUM(OSRRefT25x_0)</f>
        <v>84600</v>
      </c>
      <c r="U118" s="4"/>
      <c r="V118" s="12">
        <f t="shared" ref="V118:V122" si="82">IF(T$12=0,0,T118/T$12)</f>
        <v>2.7182032869053931E-2</v>
      </c>
      <c r="W118" s="4"/>
      <c r="X118" s="4">
        <f t="shared" ref="X118:X122" si="83">+P118-T118</f>
        <v>57841.94</v>
      </c>
      <c r="Y118" s="4"/>
      <c r="Z118" s="12">
        <f t="shared" ref="Z118:Z122" si="84">IF(T118=0,0,X118/T118)</f>
        <v>0.68371087470449177</v>
      </c>
    </row>
    <row r="119" spans="1:26" s="24" customFormat="1" hidden="1" outlineLevel="1" x14ac:dyDescent="0.25">
      <c r="A119" s="44"/>
      <c r="B119" s="11" t="str">
        <f>CONCATENATE("          ", "9150", " - ", "MISC. INCOME")</f>
        <v xml:space="preserve">          9150 - MISC. INCOME</v>
      </c>
      <c r="C119" s="11"/>
      <c r="D119" s="2">
        <f>--43.32</f>
        <v>43.32</v>
      </c>
      <c r="E119" s="2"/>
      <c r="F119" s="19">
        <f t="shared" si="77"/>
        <v>2.9549896145621237E-3</v>
      </c>
      <c r="G119" s="2"/>
      <c r="H119" s="2"/>
      <c r="I119" s="2"/>
      <c r="J119" s="19">
        <f t="shared" si="78"/>
        <v>0</v>
      </c>
      <c r="K119" s="2"/>
      <c r="L119" s="2">
        <f t="shared" si="79"/>
        <v>43.32</v>
      </c>
      <c r="M119" s="2"/>
      <c r="N119" s="19">
        <f t="shared" si="80"/>
        <v>0</v>
      </c>
      <c r="O119" s="11"/>
      <c r="P119" s="2">
        <f>--53917.42</f>
        <v>53917.42</v>
      </c>
      <c r="Q119" s="2"/>
      <c r="R119" s="19">
        <f t="shared" si="81"/>
        <v>1.8740487300802369E-2</v>
      </c>
      <c r="S119" s="2"/>
      <c r="T119" s="2"/>
      <c r="U119" s="2"/>
      <c r="V119" s="19">
        <f t="shared" si="82"/>
        <v>0</v>
      </c>
      <c r="W119" s="2"/>
      <c r="X119" s="2">
        <f t="shared" si="83"/>
        <v>53917.42</v>
      </c>
      <c r="Y119" s="2"/>
      <c r="Z119" s="19">
        <f t="shared" si="84"/>
        <v>0</v>
      </c>
    </row>
    <row r="120" spans="1:26" s="24" customFormat="1" hidden="1" outlineLevel="1" x14ac:dyDescent="0.25">
      <c r="A120" s="44"/>
      <c r="B120" s="11" t="str">
        <f>CONCATENATE("          ", "9151", " - ", "MISC. INCOME")</f>
        <v xml:space="preserve">          9151 - MISC. INCOME</v>
      </c>
      <c r="C120" s="11"/>
      <c r="D120" s="2">
        <f>0</f>
        <v>0</v>
      </c>
      <c r="E120" s="2"/>
      <c r="F120" s="19">
        <f t="shared" si="77"/>
        <v>0</v>
      </c>
      <c r="G120" s="2"/>
      <c r="H120" s="2"/>
      <c r="I120" s="2"/>
      <c r="J120" s="19">
        <f t="shared" si="78"/>
        <v>0</v>
      </c>
      <c r="K120" s="2"/>
      <c r="L120" s="2">
        <f t="shared" si="79"/>
        <v>0</v>
      </c>
      <c r="M120" s="2"/>
      <c r="N120" s="19">
        <f t="shared" si="80"/>
        <v>0</v>
      </c>
      <c r="O120" s="11"/>
      <c r="P120" s="2">
        <f>--87676.2</f>
        <v>87676.2</v>
      </c>
      <c r="Q120" s="2"/>
      <c r="R120" s="19">
        <f t="shared" si="81"/>
        <v>3.0474282943853927E-2</v>
      </c>
      <c r="S120" s="2"/>
      <c r="T120" s="2"/>
      <c r="U120" s="2"/>
      <c r="V120" s="19">
        <f t="shared" si="82"/>
        <v>0</v>
      </c>
      <c r="W120" s="2"/>
      <c r="X120" s="2">
        <f t="shared" si="83"/>
        <v>87676.2</v>
      </c>
      <c r="Y120" s="2"/>
      <c r="Z120" s="19">
        <f t="shared" si="84"/>
        <v>0</v>
      </c>
    </row>
    <row r="121" spans="1:26" s="24" customFormat="1" hidden="1" outlineLevel="1" x14ac:dyDescent="0.25">
      <c r="A121" s="44"/>
      <c r="B121" s="11" t="str">
        <f>CONCATENATE("          ", "9152", " - ", "MISC. INCOME")</f>
        <v xml:space="preserve">          9152 - MISC. INCOME</v>
      </c>
      <c r="C121" s="11"/>
      <c r="D121" s="2">
        <f>--154.22</f>
        <v>154.22</v>
      </c>
      <c r="E121" s="2"/>
      <c r="F121" s="19">
        <f t="shared" si="77"/>
        <v>1.0519817598286491E-2</v>
      </c>
      <c r="G121" s="2"/>
      <c r="H121" s="2"/>
      <c r="I121" s="2"/>
      <c r="J121" s="19">
        <f t="shared" si="78"/>
        <v>0</v>
      </c>
      <c r="K121" s="2"/>
      <c r="L121" s="2">
        <f t="shared" si="79"/>
        <v>154.22</v>
      </c>
      <c r="M121" s="2"/>
      <c r="N121" s="19">
        <f t="shared" si="80"/>
        <v>0</v>
      </c>
      <c r="O121" s="11"/>
      <c r="P121" s="2">
        <f>--848.32</f>
        <v>848.32</v>
      </c>
      <c r="Q121" s="2"/>
      <c r="R121" s="19">
        <f t="shared" si="81"/>
        <v>2.9485702741371278E-4</v>
      </c>
      <c r="S121" s="2"/>
      <c r="T121" s="2"/>
      <c r="U121" s="2"/>
      <c r="V121" s="19">
        <f t="shared" si="82"/>
        <v>0</v>
      </c>
      <c r="W121" s="2"/>
      <c r="X121" s="2">
        <f t="shared" si="83"/>
        <v>848.32</v>
      </c>
      <c r="Y121" s="2"/>
      <c r="Z121" s="19">
        <f t="shared" si="84"/>
        <v>0</v>
      </c>
    </row>
    <row r="122" spans="1:26" s="24" customFormat="1" hidden="1" outlineLevel="1" x14ac:dyDescent="0.25">
      <c r="A122" s="44"/>
      <c r="B122" s="11" t="str">
        <f>CONCATENATE("          ", "9160", " - ", "MISC. INCOME")</f>
        <v xml:space="preserve">          9160 - MISC. INCOME</v>
      </c>
      <c r="C122" s="11"/>
      <c r="D122" s="2">
        <f>0</f>
        <v>0</v>
      </c>
      <c r="E122" s="2"/>
      <c r="F122" s="19">
        <f t="shared" si="77"/>
        <v>0</v>
      </c>
      <c r="G122" s="2"/>
      <c r="H122" s="2">
        <v>1000</v>
      </c>
      <c r="I122" s="2"/>
      <c r="J122" s="19">
        <f t="shared" si="78"/>
        <v>8.4452326661599533E-2</v>
      </c>
      <c r="K122" s="2"/>
      <c r="L122" s="2">
        <f t="shared" si="79"/>
        <v>-1000</v>
      </c>
      <c r="M122" s="2"/>
      <c r="N122" s="19">
        <f t="shared" si="80"/>
        <v>-1</v>
      </c>
      <c r="O122" s="11"/>
      <c r="P122" s="2">
        <f>0</f>
        <v>0</v>
      </c>
      <c r="Q122" s="2"/>
      <c r="R122" s="19">
        <f t="shared" si="81"/>
        <v>0</v>
      </c>
      <c r="S122" s="2"/>
      <c r="T122" s="2">
        <v>84600</v>
      </c>
      <c r="U122" s="2"/>
      <c r="V122" s="19">
        <f t="shared" si="82"/>
        <v>2.7182032869053931E-2</v>
      </c>
      <c r="W122" s="2"/>
      <c r="X122" s="2">
        <f t="shared" si="83"/>
        <v>-84600</v>
      </c>
      <c r="Y122" s="2"/>
      <c r="Z122" s="19">
        <f t="shared" si="84"/>
        <v>-1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10"/>
      <c r="B124" s="28" t="s">
        <v>3</v>
      </c>
      <c r="C124" s="28"/>
      <c r="D124" s="20">
        <f>+D59-D61+D118</f>
        <v>-54811.710000000014</v>
      </c>
      <c r="E124" s="14"/>
      <c r="F124" s="22">
        <f>IF(D$12=0,0,D124/D$12)</f>
        <v>-3.7388742799259225</v>
      </c>
      <c r="G124" s="14"/>
      <c r="H124" s="20">
        <f>+H59-H61+H118</f>
        <v>-54292.647288297871</v>
      </c>
      <c r="I124" s="14"/>
      <c r="J124" s="22">
        <f>IF(H$12=0,0,H124/H$12)</f>
        <v>-4.5851403841143377</v>
      </c>
      <c r="K124" s="16"/>
      <c r="L124" s="20">
        <f>+D124-H124</f>
        <v>-519.06271170214313</v>
      </c>
      <c r="M124" s="16"/>
      <c r="N124" s="22">
        <f>IF(H124=0,0,L124/H124)</f>
        <v>9.5604605342945008E-3</v>
      </c>
      <c r="O124" s="29"/>
      <c r="P124" s="20">
        <f>+P59-P61+P118</f>
        <v>688146.30999999936</v>
      </c>
      <c r="Q124" s="14"/>
      <c r="R124" s="22">
        <f>IF(P$12=0,0,P124/P$12)</f>
        <v>0.2391842410792096</v>
      </c>
      <c r="S124" s="14"/>
      <c r="T124" s="20">
        <f>+T59-T61+T118</f>
        <v>670393.5150413618</v>
      </c>
      <c r="U124" s="14"/>
      <c r="V124" s="22">
        <f>IF(T$12=0,0,T124/T$12)</f>
        <v>0.21539785533161818</v>
      </c>
      <c r="W124" s="16"/>
      <c r="X124" s="20">
        <f>+P124-T124</f>
        <v>17752.794958637562</v>
      </c>
      <c r="Y124" s="16"/>
      <c r="Z124" s="22">
        <f>IF(T124=0,0,X124/T124)</f>
        <v>2.6481155560614655E-2</v>
      </c>
    </row>
    <row r="125" spans="1:26" x14ac:dyDescent="0.25">
      <c r="A125" s="9"/>
      <c r="B125" s="10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52"/>
      <c r="B126" s="10" t="s">
        <v>14</v>
      </c>
      <c r="C126" s="10"/>
      <c r="D126" s="4">
        <v>16524.670000000002</v>
      </c>
      <c r="E126" s="4"/>
      <c r="F126" s="12">
        <f>IF(D$12=0,0,D126/D$12)</f>
        <v>1.1271982510172276</v>
      </c>
      <c r="G126" s="4"/>
      <c r="H126" s="4">
        <v>21060</v>
      </c>
      <c r="I126" s="4"/>
      <c r="J126" s="12">
        <f>IF(H$12=0,0,H126/H$12)</f>
        <v>1.7785659994932861</v>
      </c>
      <c r="K126" s="4"/>
      <c r="L126" s="4">
        <f>+D126-H126</f>
        <v>-4535.3299999999981</v>
      </c>
      <c r="M126" s="4"/>
      <c r="N126" s="12">
        <f>IF(H126=0,0,L126/H126)</f>
        <v>-0.21535280151946809</v>
      </c>
      <c r="O126" s="10"/>
      <c r="P126" s="4">
        <v>304660.7</v>
      </c>
      <c r="Q126" s="4"/>
      <c r="R126" s="12">
        <f>IF(P$12=0,0,P126/P$12)</f>
        <v>0.10589323412365725</v>
      </c>
      <c r="S126" s="4"/>
      <c r="T126" s="4">
        <v>394434</v>
      </c>
      <c r="U126" s="4"/>
      <c r="V126" s="12">
        <f>IF(T$12=0,0,T126/T$12)</f>
        <v>0.12673189069352739</v>
      </c>
      <c r="W126" s="4"/>
      <c r="X126" s="4">
        <f>+P126-T126</f>
        <v>-89773.299999999988</v>
      </c>
      <c r="Y126" s="4"/>
      <c r="Z126" s="12">
        <f>IF(T126=0,0,X126/T126)</f>
        <v>-0.22760030828985328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8" t="s">
        <v>4</v>
      </c>
      <c r="C128" s="28"/>
      <c r="D128" s="30">
        <f>+D124-D126</f>
        <v>-71336.380000000019</v>
      </c>
      <c r="E128" s="14"/>
      <c r="F128" s="32">
        <f>IF(D$12=0,0,D128/D$12)</f>
        <v>-4.8660725309431498</v>
      </c>
      <c r="G128" s="14"/>
      <c r="H128" s="30">
        <f>+H124-H126</f>
        <v>-75352.647288297871</v>
      </c>
      <c r="I128" s="14"/>
      <c r="J128" s="32">
        <f>IF(H$12=0,0,H128/H$12)</f>
        <v>-6.3637063836076235</v>
      </c>
      <c r="K128" s="16"/>
      <c r="L128" s="30">
        <f>D128-H128</f>
        <v>4016.2672882978513</v>
      </c>
      <c r="M128" s="16"/>
      <c r="N128" s="32">
        <f>IF(H128=0,0,L128/H128)</f>
        <v>-5.329961763561783E-2</v>
      </c>
      <c r="O128" s="29"/>
      <c r="P128" s="30">
        <f>+P124-P126</f>
        <v>383485.60999999935</v>
      </c>
      <c r="Q128" s="14"/>
      <c r="R128" s="32">
        <f>IF(P$12=0,0,P128/P$12)</f>
        <v>0.13329100695555235</v>
      </c>
      <c r="S128" s="14"/>
      <c r="T128" s="30">
        <f>+T124-T126</f>
        <v>275959.5150413618</v>
      </c>
      <c r="U128" s="14"/>
      <c r="V128" s="32">
        <f>IF(T$12=0,0,T128/T$12)</f>
        <v>8.8665964638090761E-2</v>
      </c>
      <c r="W128" s="16"/>
      <c r="X128" s="30">
        <f>P128-T128</f>
        <v>107526.09495863755</v>
      </c>
      <c r="Y128" s="16"/>
      <c r="Z128" s="32">
        <f>IF(T128=0,0,X128/T128)</f>
        <v>0.38964445542862025</v>
      </c>
    </row>
    <row r="129" spans="1:26" ht="15.75" thickTop="1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8" t="s">
        <v>5</v>
      </c>
      <c r="C131" s="28"/>
      <c r="D131" s="31">
        <f>SUM(D128:D130)</f>
        <v>-71336.380000000019</v>
      </c>
      <c r="E131" s="14"/>
      <c r="F131" s="35">
        <f>IF(D$12=0,0,D131/D$12)</f>
        <v>-4.8660725309431498</v>
      </c>
      <c r="G131" s="14"/>
      <c r="H131" s="31">
        <f>SUM(H128:H130)</f>
        <v>-75352.647288297871</v>
      </c>
      <c r="I131" s="14"/>
      <c r="J131" s="35">
        <f>IF(H$12=0,0,H131/H$12)</f>
        <v>-6.3637063836076235</v>
      </c>
      <c r="K131" s="16"/>
      <c r="L131" s="31">
        <f>+D131-H131</f>
        <v>4016.2672882978513</v>
      </c>
      <c r="M131" s="16"/>
      <c r="N131" s="35">
        <f>IF(H131=0,0,L131/H131)</f>
        <v>-5.329961763561783E-2</v>
      </c>
      <c r="O131" s="29"/>
      <c r="P131" s="31">
        <f>SUM(P128:P130)</f>
        <v>383485.60999999935</v>
      </c>
      <c r="Q131" s="14"/>
      <c r="R131" s="35">
        <f>IF(P$12=0,0,P131/P$12)</f>
        <v>0.13329100695555235</v>
      </c>
      <c r="S131" s="14"/>
      <c r="T131" s="31">
        <f>SUM(T128:T130)</f>
        <v>275959.5150413618</v>
      </c>
      <c r="U131" s="14"/>
      <c r="V131" s="35">
        <f>IF(T$12=0,0,T131/T$12)</f>
        <v>8.8665964638090761E-2</v>
      </c>
      <c r="W131" s="16"/>
      <c r="X131" s="31">
        <f>+P131-T131</f>
        <v>107526.09495863755</v>
      </c>
      <c r="Y131" s="16"/>
      <c r="Z131" s="35">
        <f>IF(T131=0,0,X131/T131)</f>
        <v>0.38964445542862025</v>
      </c>
    </row>
    <row r="132" spans="1:26" ht="15.75" thickTop="1" x14ac:dyDescent="0.25">
      <c r="A132" s="9"/>
      <c r="C132" s="9"/>
      <c r="D132" s="17"/>
      <c r="E132" s="17"/>
      <c r="G132" s="17"/>
      <c r="H132" s="17"/>
      <c r="I132" s="17"/>
      <c r="J132" s="43"/>
      <c r="K132" s="17"/>
      <c r="L132" s="17"/>
      <c r="M132" s="17"/>
      <c r="P132" s="17"/>
      <c r="Q132" s="17"/>
      <c r="R132" s="43"/>
      <c r="S132" s="17"/>
      <c r="T132" s="17"/>
      <c r="U132" s="17"/>
      <c r="V132" s="43"/>
      <c r="W132" s="17"/>
      <c r="X132" s="17"/>
    </row>
    <row r="133" spans="1:26" x14ac:dyDescent="0.25">
      <c r="A133" s="9"/>
      <c r="B133" s="56">
        <v>43815.48325420139</v>
      </c>
      <c r="D133" s="17"/>
      <c r="E133" s="17"/>
      <c r="G133" s="17"/>
      <c r="H133" s="17"/>
      <c r="I133" s="17"/>
      <c r="J133" s="43"/>
      <c r="K133" s="17"/>
      <c r="L133" s="17"/>
      <c r="M133" s="17"/>
      <c r="P133" s="17"/>
      <c r="Q133" s="17"/>
      <c r="R133" s="43"/>
      <c r="S133" s="17"/>
      <c r="T133" s="17"/>
      <c r="U133" s="17"/>
      <c r="V133" s="43"/>
      <c r="W133" s="17"/>
      <c r="X133" s="17"/>
    </row>
    <row r="134" spans="1:26" x14ac:dyDescent="0.25">
      <c r="A134" s="9"/>
      <c r="B134" s="62" t="s">
        <v>314</v>
      </c>
      <c r="D134" s="17"/>
      <c r="E134" s="17"/>
      <c r="G134" s="17"/>
      <c r="H134" s="17"/>
      <c r="I134" s="17"/>
      <c r="J134" s="43"/>
      <c r="K134" s="17"/>
      <c r="L134" s="17"/>
      <c r="M134" s="17"/>
      <c r="P134" s="17"/>
      <c r="Q134" s="17"/>
      <c r="R134" s="43"/>
      <c r="S134" s="17"/>
      <c r="T134" s="17"/>
      <c r="U134" s="17"/>
      <c r="V134" s="43"/>
      <c r="W134" s="17"/>
      <c r="X134" s="17"/>
    </row>
    <row r="135" spans="1:26" x14ac:dyDescent="0.25">
      <c r="A135" s="9"/>
      <c r="B135" s="58"/>
      <c r="D135" s="17"/>
      <c r="E135" s="17"/>
      <c r="G135" s="17"/>
      <c r="H135" s="17"/>
      <c r="I135" s="17"/>
      <c r="J135" s="43"/>
      <c r="K135" s="17"/>
      <c r="L135" s="17"/>
      <c r="M135" s="17"/>
      <c r="P135" s="17"/>
      <c r="Q135" s="17"/>
      <c r="R135" s="43"/>
      <c r="S135" s="17"/>
      <c r="T135" s="17"/>
      <c r="U135" s="17"/>
      <c r="V135" s="43"/>
      <c r="W135" s="17"/>
      <c r="X135" s="17"/>
    </row>
    <row r="136" spans="1:26" x14ac:dyDescent="0.25">
      <c r="D136" s="17"/>
      <c r="E136" s="17"/>
      <c r="G136" s="17"/>
      <c r="H136" s="17"/>
      <c r="I136" s="17"/>
      <c r="J136" s="43"/>
      <c r="K136" s="17"/>
      <c r="L136" s="17"/>
      <c r="M136" s="17"/>
      <c r="P136" s="17"/>
      <c r="Q136" s="17"/>
      <c r="R136" s="43"/>
      <c r="S136" s="17"/>
      <c r="T136" s="17"/>
      <c r="U136" s="17"/>
      <c r="V136" s="43"/>
      <c r="W136" s="17"/>
      <c r="X136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","311", " - ", "Textbooks")</f>
        <v>Department 311 - Textbooks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13126.559999999998</v>
      </c>
      <c r="E12" s="4"/>
      <c r="F12" s="12"/>
      <c r="G12" s="4"/>
      <c r="H12" s="4">
        <f>SUM(OSRRefH13x_0)</f>
        <v>10422</v>
      </c>
      <c r="I12" s="4"/>
      <c r="J12" s="12"/>
      <c r="K12" s="4"/>
      <c r="L12" s="4">
        <f t="shared" ref="L12:L39" si="0">+D12-H12</f>
        <v>2704.5599999999977</v>
      </c>
      <c r="M12" s="4"/>
      <c r="N12" s="12">
        <f t="shared" ref="N12:N39" si="1">IF(H12=0,0,L12/H12)</f>
        <v>0.2595048934945306</v>
      </c>
      <c r="O12" s="10"/>
      <c r="P12" s="4">
        <f>SUM(OSRRefP13x_0)</f>
        <v>1974236.3099999998</v>
      </c>
      <c r="Q12" s="4"/>
      <c r="R12" s="12"/>
      <c r="S12" s="4"/>
      <c r="T12" s="4">
        <f>SUM(OSRRefT13x_0)</f>
        <v>2053931.0000000002</v>
      </c>
      <c r="U12" s="4"/>
      <c r="V12" s="12"/>
      <c r="W12" s="4"/>
      <c r="X12" s="4">
        <f t="shared" ref="X12:X39" si="2">+P12-T12</f>
        <v>-79694.69000000041</v>
      </c>
      <c r="Y12" s="4"/>
      <c r="Z12" s="12">
        <f t="shared" ref="Z12:Z39" si="3">IF(T12=0,0,X12/T12)</f>
        <v>-3.8801055147422381E-2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--7536.29</f>
        <v>7536.29</v>
      </c>
      <c r="E13" s="2"/>
      <c r="F13" s="19"/>
      <c r="G13" s="2"/>
      <c r="H13" s="2"/>
      <c r="I13" s="2"/>
      <c r="J13" s="19"/>
      <c r="K13" s="2"/>
      <c r="L13" s="2">
        <f t="shared" si="0"/>
        <v>7536.29</v>
      </c>
      <c r="M13" s="2"/>
      <c r="N13" s="19">
        <f t="shared" si="1"/>
        <v>0</v>
      </c>
      <c r="O13" s="11"/>
      <c r="P13" s="2">
        <f>--1246325.72</f>
        <v>1246325.72</v>
      </c>
      <c r="Q13" s="2"/>
      <c r="R13" s="19"/>
      <c r="S13" s="2"/>
      <c r="T13" s="2"/>
      <c r="U13" s="2"/>
      <c r="V13" s="19"/>
      <c r="W13" s="2"/>
      <c r="X13" s="2">
        <f t="shared" si="2"/>
        <v>1246325.72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--3756.83</f>
        <v>3756.83</v>
      </c>
      <c r="E14" s="2"/>
      <c r="F14" s="19"/>
      <c r="G14" s="2"/>
      <c r="H14" s="2"/>
      <c r="I14" s="2"/>
      <c r="J14" s="19"/>
      <c r="K14" s="2"/>
      <c r="L14" s="2">
        <f t="shared" si="0"/>
        <v>3756.83</v>
      </c>
      <c r="M14" s="2"/>
      <c r="N14" s="19">
        <f t="shared" si="1"/>
        <v>0</v>
      </c>
      <c r="O14" s="11"/>
      <c r="P14" s="2">
        <f>--360519.48</f>
        <v>360519.48</v>
      </c>
      <c r="Q14" s="2"/>
      <c r="R14" s="19"/>
      <c r="S14" s="2"/>
      <c r="T14" s="2"/>
      <c r="U14" s="2"/>
      <c r="V14" s="19"/>
      <c r="W14" s="2"/>
      <c r="X14" s="2">
        <f t="shared" si="2"/>
        <v>360519.48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"4003", " - ", "TAXABLE SALES-RENTAL TEXT")</f>
        <v xml:space="preserve">          4003 - TAXABLE SALES-RENTAL TEXT</v>
      </c>
      <c r="C15" s="11"/>
      <c r="D15" s="2">
        <f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--15844.66</f>
        <v>15844.66</v>
      </c>
      <c r="Q15" s="2"/>
      <c r="R15" s="19"/>
      <c r="S15" s="2"/>
      <c r="T15" s="2"/>
      <c r="U15" s="2"/>
      <c r="V15" s="19"/>
      <c r="W15" s="2"/>
      <c r="X15" s="2">
        <f t="shared" si="2"/>
        <v>15844.66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"4004", " - ", "TAXABLE SALES-DIGITAL TEXT")</f>
        <v xml:space="preserve">          4004 - TAXABLE SALES-DIGITAL TEXT</v>
      </c>
      <c r="C16" s="11"/>
      <c r="D16" s="2">
        <f>--119.4</f>
        <v>119.4</v>
      </c>
      <c r="E16" s="2"/>
      <c r="F16" s="19"/>
      <c r="G16" s="2"/>
      <c r="H16" s="2"/>
      <c r="I16" s="2"/>
      <c r="J16" s="19"/>
      <c r="K16" s="2"/>
      <c r="L16" s="2">
        <f t="shared" si="0"/>
        <v>119.4</v>
      </c>
      <c r="M16" s="2"/>
      <c r="N16" s="19">
        <f t="shared" si="1"/>
        <v>0</v>
      </c>
      <c r="O16" s="11"/>
      <c r="P16" s="2">
        <f>--30279.88</f>
        <v>30279.88</v>
      </c>
      <c r="Q16" s="2"/>
      <c r="R16" s="19"/>
      <c r="S16" s="2"/>
      <c r="T16" s="2"/>
      <c r="U16" s="2"/>
      <c r="V16" s="19"/>
      <c r="W16" s="2"/>
      <c r="X16" s="2">
        <f t="shared" si="2"/>
        <v>30279.88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"4011", " - ", "TAXABLE SALES-NO VALUE TEXT")</f>
        <v xml:space="preserve">          4011 - TAXABLE SALES-NO VALUE TEXT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--9.6</f>
        <v>9.6</v>
      </c>
      <c r="Q17" s="2"/>
      <c r="R17" s="19"/>
      <c r="S17" s="2"/>
      <c r="T17" s="2"/>
      <c r="U17" s="2"/>
      <c r="V17" s="19"/>
      <c r="W17" s="2"/>
      <c r="X17" s="2">
        <f t="shared" si="2"/>
        <v>9.6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--285.33</f>
        <v>285.33</v>
      </c>
      <c r="E18" s="2"/>
      <c r="F18" s="19"/>
      <c r="G18" s="2"/>
      <c r="H18" s="2"/>
      <c r="I18" s="2"/>
      <c r="J18" s="19"/>
      <c r="K18" s="2"/>
      <c r="L18" s="2">
        <f t="shared" si="0"/>
        <v>285.33</v>
      </c>
      <c r="M18" s="2"/>
      <c r="N18" s="19">
        <f t="shared" si="1"/>
        <v>0</v>
      </c>
      <c r="O18" s="11"/>
      <c r="P18" s="2">
        <f>--1112.72</f>
        <v>1112.72</v>
      </c>
      <c r="Q18" s="2"/>
      <c r="R18" s="19"/>
      <c r="S18" s="2"/>
      <c r="T18" s="2"/>
      <c r="U18" s="2"/>
      <c r="V18" s="19"/>
      <c r="W18" s="2"/>
      <c r="X18" s="2">
        <f t="shared" si="2"/>
        <v>1112.72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--189.13</f>
        <v>189.13</v>
      </c>
      <c r="E19" s="2"/>
      <c r="F19" s="19"/>
      <c r="G19" s="2"/>
      <c r="H19" s="2"/>
      <c r="I19" s="2"/>
      <c r="J19" s="19"/>
      <c r="K19" s="2"/>
      <c r="L19" s="2">
        <f t="shared" si="0"/>
        <v>189.13</v>
      </c>
      <c r="M19" s="2"/>
      <c r="N19" s="19">
        <f t="shared" si="1"/>
        <v>0</v>
      </c>
      <c r="O19" s="11"/>
      <c r="P19" s="2">
        <f>--883.35</f>
        <v>883.35</v>
      </c>
      <c r="Q19" s="2"/>
      <c r="R19" s="19"/>
      <c r="S19" s="2"/>
      <c r="T19" s="2"/>
      <c r="U19" s="2"/>
      <c r="V19" s="19"/>
      <c r="W19" s="2"/>
      <c r="X19" s="2">
        <f t="shared" si="2"/>
        <v>883.35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--277.82</f>
        <v>277.82</v>
      </c>
      <c r="E20" s="2"/>
      <c r="F20" s="19"/>
      <c r="G20" s="2"/>
      <c r="H20" s="2"/>
      <c r="I20" s="2"/>
      <c r="J20" s="19"/>
      <c r="K20" s="2"/>
      <c r="L20" s="2">
        <f t="shared" si="0"/>
        <v>277.82</v>
      </c>
      <c r="M20" s="2"/>
      <c r="N20" s="19">
        <f t="shared" si="1"/>
        <v>0</v>
      </c>
      <c r="O20" s="11"/>
      <c r="P20" s="2">
        <f>--2732.65</f>
        <v>2732.65</v>
      </c>
      <c r="Q20" s="2"/>
      <c r="R20" s="19"/>
      <c r="S20" s="2"/>
      <c r="T20" s="2"/>
      <c r="U20" s="2"/>
      <c r="V20" s="19"/>
      <c r="W20" s="2"/>
      <c r="X20" s="2">
        <f t="shared" si="2"/>
        <v>2732.65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10422</v>
      </c>
      <c r="I21" s="2"/>
      <c r="J21" s="19"/>
      <c r="K21" s="2"/>
      <c r="L21" s="2">
        <f t="shared" si="0"/>
        <v>-10422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2053931.0000000002</v>
      </c>
      <c r="U21" s="2"/>
      <c r="V21" s="19"/>
      <c r="W21" s="2"/>
      <c r="X21" s="2">
        <f t="shared" si="2"/>
        <v>-2053931.0000000002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--349.66</f>
        <v>349.66</v>
      </c>
      <c r="E22" s="2"/>
      <c r="F22" s="19"/>
      <c r="G22" s="2"/>
      <c r="H22" s="2"/>
      <c r="I22" s="2"/>
      <c r="J22" s="19"/>
      <c r="K22" s="2"/>
      <c r="L22" s="2">
        <f t="shared" si="0"/>
        <v>349.66</v>
      </c>
      <c r="M22" s="2"/>
      <c r="N22" s="19">
        <f t="shared" si="1"/>
        <v>0</v>
      </c>
      <c r="O22" s="11"/>
      <c r="P22" s="2">
        <f>--92680.75</f>
        <v>92680.75</v>
      </c>
      <c r="Q22" s="2"/>
      <c r="R22" s="19"/>
      <c r="S22" s="2"/>
      <c r="T22" s="2"/>
      <c r="U22" s="2"/>
      <c r="V22" s="19"/>
      <c r="W22" s="2"/>
      <c r="X22" s="2">
        <f t="shared" si="2"/>
        <v>92680.75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--584.52</f>
        <v>584.52</v>
      </c>
      <c r="E23" s="2"/>
      <c r="F23" s="19"/>
      <c r="G23" s="2"/>
      <c r="H23" s="2"/>
      <c r="I23" s="2"/>
      <c r="J23" s="19"/>
      <c r="K23" s="2"/>
      <c r="L23" s="2">
        <f t="shared" si="0"/>
        <v>584.52</v>
      </c>
      <c r="M23" s="2"/>
      <c r="N23" s="19">
        <f t="shared" si="1"/>
        <v>0</v>
      </c>
      <c r="O23" s="11"/>
      <c r="P23" s="2">
        <f>--37606.84</f>
        <v>37606.839999999997</v>
      </c>
      <c r="Q23" s="2"/>
      <c r="R23" s="19"/>
      <c r="S23" s="2"/>
      <c r="T23" s="2"/>
      <c r="U23" s="2"/>
      <c r="V23" s="19"/>
      <c r="W23" s="2"/>
      <c r="X23" s="2">
        <f t="shared" si="2"/>
        <v>37606.839999999997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--329.98</f>
        <v>329.98</v>
      </c>
      <c r="Q24" s="2"/>
      <c r="R24" s="19"/>
      <c r="S24" s="2"/>
      <c r="T24" s="2"/>
      <c r="U24" s="2"/>
      <c r="V24" s="19"/>
      <c r="W24" s="2"/>
      <c r="X24" s="2">
        <f t="shared" si="2"/>
        <v>329.98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--206.24</f>
        <v>206.24</v>
      </c>
      <c r="E25" s="2"/>
      <c r="F25" s="19"/>
      <c r="G25" s="2"/>
      <c r="H25" s="2"/>
      <c r="I25" s="2"/>
      <c r="J25" s="19"/>
      <c r="K25" s="2"/>
      <c r="L25" s="2">
        <f t="shared" si="0"/>
        <v>206.24</v>
      </c>
      <c r="M25" s="2"/>
      <c r="N25" s="19">
        <f t="shared" si="1"/>
        <v>0</v>
      </c>
      <c r="O25" s="11"/>
      <c r="P25" s="2">
        <f>--320699.09</f>
        <v>320699.09000000003</v>
      </c>
      <c r="Q25" s="2"/>
      <c r="R25" s="19"/>
      <c r="S25" s="2"/>
      <c r="T25" s="2"/>
      <c r="U25" s="2"/>
      <c r="V25" s="19"/>
      <c r="W25" s="2"/>
      <c r="X25" s="2">
        <f t="shared" si="2"/>
        <v>320699.09000000003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>--492.72</f>
        <v>492.72</v>
      </c>
      <c r="E26" s="2"/>
      <c r="F26" s="19"/>
      <c r="G26" s="2"/>
      <c r="H26" s="2"/>
      <c r="I26" s="2"/>
      <c r="J26" s="19"/>
      <c r="K26" s="2"/>
      <c r="L26" s="2">
        <f t="shared" si="0"/>
        <v>492.72</v>
      </c>
      <c r="M26" s="2"/>
      <c r="N26" s="19">
        <f t="shared" si="1"/>
        <v>0</v>
      </c>
      <c r="O26" s="11"/>
      <c r="P26" s="2">
        <f>--7592.19</f>
        <v>7592.19</v>
      </c>
      <c r="Q26" s="2"/>
      <c r="R26" s="19"/>
      <c r="S26" s="2"/>
      <c r="T26" s="2"/>
      <c r="U26" s="2"/>
      <c r="V26" s="19"/>
      <c r="W26" s="2"/>
      <c r="X26" s="2">
        <f t="shared" si="2"/>
        <v>7592.19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>0</f>
        <v>0</v>
      </c>
      <c r="E27" s="2"/>
      <c r="F27" s="19"/>
      <c r="G27" s="2"/>
      <c r="H27" s="2"/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--1146.72</f>
        <v>1146.72</v>
      </c>
      <c r="Q27" s="2"/>
      <c r="R27" s="19"/>
      <c r="S27" s="2"/>
      <c r="T27" s="2"/>
      <c r="U27" s="2"/>
      <c r="V27" s="19"/>
      <c r="W27" s="2"/>
      <c r="X27" s="2">
        <f t="shared" si="2"/>
        <v>1146.72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--14.04</f>
        <v>14.04</v>
      </c>
      <c r="E28" s="2"/>
      <c r="F28" s="19"/>
      <c r="G28" s="2"/>
      <c r="H28" s="2"/>
      <c r="I28" s="2"/>
      <c r="J28" s="19"/>
      <c r="K28" s="2"/>
      <c r="L28" s="2">
        <f t="shared" si="0"/>
        <v>14.04</v>
      </c>
      <c r="M28" s="2"/>
      <c r="N28" s="19">
        <f t="shared" si="1"/>
        <v>0</v>
      </c>
      <c r="O28" s="11"/>
      <c r="P28" s="2">
        <f>--34.96</f>
        <v>34.96</v>
      </c>
      <c r="Q28" s="2"/>
      <c r="R28" s="19"/>
      <c r="S28" s="2"/>
      <c r="T28" s="2"/>
      <c r="U28" s="2"/>
      <c r="V28" s="19"/>
      <c r="W28" s="2"/>
      <c r="X28" s="2">
        <f t="shared" si="2"/>
        <v>34.96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-314.9</f>
        <v>-314.89999999999998</v>
      </c>
      <c r="E29" s="2"/>
      <c r="F29" s="19"/>
      <c r="G29" s="2"/>
      <c r="H29" s="2"/>
      <c r="I29" s="2"/>
      <c r="J29" s="19"/>
      <c r="K29" s="2"/>
      <c r="L29" s="2">
        <f t="shared" si="0"/>
        <v>-314.89999999999998</v>
      </c>
      <c r="M29" s="2"/>
      <c r="N29" s="19">
        <f t="shared" si="1"/>
        <v>0</v>
      </c>
      <c r="O29" s="11"/>
      <c r="P29" s="2">
        <f>-78098.57</f>
        <v>-78098.570000000007</v>
      </c>
      <c r="Q29" s="2"/>
      <c r="R29" s="19"/>
      <c r="S29" s="2"/>
      <c r="T29" s="2"/>
      <c r="U29" s="2"/>
      <c r="V29" s="19"/>
      <c r="W29" s="2"/>
      <c r="X29" s="2">
        <f t="shared" si="2"/>
        <v>-78098.570000000007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-113.2</f>
        <v>-113.2</v>
      </c>
      <c r="E30" s="2"/>
      <c r="F30" s="19"/>
      <c r="G30" s="2"/>
      <c r="H30" s="2"/>
      <c r="I30" s="2"/>
      <c r="J30" s="19"/>
      <c r="K30" s="2"/>
      <c r="L30" s="2">
        <f t="shared" si="0"/>
        <v>-113.2</v>
      </c>
      <c r="M30" s="2"/>
      <c r="N30" s="19">
        <f t="shared" si="1"/>
        <v>0</v>
      </c>
      <c r="O30" s="11"/>
      <c r="P30" s="2">
        <f>-27042.2</f>
        <v>-27042.2</v>
      </c>
      <c r="Q30" s="2"/>
      <c r="R30" s="19"/>
      <c r="S30" s="2"/>
      <c r="T30" s="2"/>
      <c r="U30" s="2"/>
      <c r="V30" s="19"/>
      <c r="W30" s="2"/>
      <c r="X30" s="2">
        <f t="shared" si="2"/>
        <v>-27042.2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-144.99</f>
        <v>-144.99</v>
      </c>
      <c r="Q31" s="2"/>
      <c r="R31" s="19"/>
      <c r="S31" s="2"/>
      <c r="T31" s="2"/>
      <c r="U31" s="2"/>
      <c r="V31" s="19"/>
      <c r="W31" s="2"/>
      <c r="X31" s="2">
        <f t="shared" si="2"/>
        <v>-144.99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>-119.4</f>
        <v>-119.4</v>
      </c>
      <c r="E32" s="2"/>
      <c r="F32" s="19"/>
      <c r="G32" s="2"/>
      <c r="H32" s="2"/>
      <c r="I32" s="2"/>
      <c r="J32" s="19"/>
      <c r="K32" s="2"/>
      <c r="L32" s="2">
        <f t="shared" si="0"/>
        <v>-119.4</v>
      </c>
      <c r="M32" s="2"/>
      <c r="N32" s="19">
        <f t="shared" si="1"/>
        <v>0</v>
      </c>
      <c r="O32" s="11"/>
      <c r="P32" s="2">
        <f>-11369.46</f>
        <v>-11369.46</v>
      </c>
      <c r="Q32" s="2"/>
      <c r="R32" s="19"/>
      <c r="S32" s="2"/>
      <c r="T32" s="2"/>
      <c r="U32" s="2"/>
      <c r="V32" s="19"/>
      <c r="W32" s="2"/>
      <c r="X32" s="2">
        <f t="shared" si="2"/>
        <v>-11369.46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"4213", " - ", "NON-TAXABLE SALES-TRADE BOOKS")</f>
        <v xml:space="preserve">          4213 - NON-TAXABLE SALES-TRADE BOOKS</v>
      </c>
      <c r="C33" s="11"/>
      <c r="D33" s="2">
        <f>-67.34</f>
        <v>-67.34</v>
      </c>
      <c r="E33" s="2"/>
      <c r="F33" s="19"/>
      <c r="G33" s="2"/>
      <c r="H33" s="2"/>
      <c r="I33" s="2"/>
      <c r="J33" s="19"/>
      <c r="K33" s="2"/>
      <c r="L33" s="2">
        <f t="shared" si="0"/>
        <v>-67.34</v>
      </c>
      <c r="M33" s="2"/>
      <c r="N33" s="19">
        <f t="shared" si="1"/>
        <v>0</v>
      </c>
      <c r="O33" s="11"/>
      <c r="P33" s="2">
        <f>-102.71</f>
        <v>-102.71</v>
      </c>
      <c r="Q33" s="2"/>
      <c r="R33" s="19"/>
      <c r="S33" s="2"/>
      <c r="T33" s="2"/>
      <c r="U33" s="2"/>
      <c r="V33" s="19"/>
      <c r="W33" s="2"/>
      <c r="X33" s="2">
        <f t="shared" si="2"/>
        <v>-102.71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"4218", " - ", "SALES RETURN TAXABLE-STUDY GUI")</f>
        <v xml:space="preserve">          4218 - SALES RETURN TAXABLE-STUDY GUI</v>
      </c>
      <c r="C34" s="11"/>
      <c r="D34" s="2">
        <f t="shared" ref="D34:D37" si="4">0</f>
        <v>0</v>
      </c>
      <c r="E34" s="2"/>
      <c r="F34" s="19"/>
      <c r="G34" s="2"/>
      <c r="H34" s="2"/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-32.75</f>
        <v>-32.75</v>
      </c>
      <c r="Q34" s="2"/>
      <c r="R34" s="19"/>
      <c r="S34" s="2"/>
      <c r="T34" s="2"/>
      <c r="U34" s="2"/>
      <c r="V34" s="19"/>
      <c r="W34" s="2"/>
      <c r="X34" s="2">
        <f t="shared" si="2"/>
        <v>-32.75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"4301", " - ", "SALES RETURN NON TAXABLE-NEW T")</f>
        <v xml:space="preserve">          4301 - SALES RETURN NON TAXABLE-NEW T</v>
      </c>
      <c r="C35" s="11"/>
      <c r="D35" s="2">
        <f t="shared" si="4"/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-12310.98</f>
        <v>-12310.98</v>
      </c>
      <c r="Q35" s="2"/>
      <c r="R35" s="19"/>
      <c r="S35" s="2"/>
      <c r="T35" s="2"/>
      <c r="U35" s="2"/>
      <c r="V35" s="19"/>
      <c r="W35" s="2"/>
      <c r="X35" s="2">
        <f t="shared" si="2"/>
        <v>-12310.98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"4302", " - ", "SALES RETURN NON TAXABLE-TEXT")</f>
        <v xml:space="preserve">          4302 - SALES RETURN NON TAXABLE-TEXT</v>
      </c>
      <c r="C36" s="11"/>
      <c r="D36" s="2">
        <f t="shared" si="4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-683.8</f>
        <v>-683.8</v>
      </c>
      <c r="Q36" s="2"/>
      <c r="R36" s="19"/>
      <c r="S36" s="2"/>
      <c r="T36" s="2"/>
      <c r="U36" s="2"/>
      <c r="V36" s="19"/>
      <c r="W36" s="2"/>
      <c r="X36" s="2">
        <f t="shared" si="2"/>
        <v>-683.8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"4303", " - ", "SALES RETURN NON-TAXABLE-RENTA")</f>
        <v xml:space="preserve">          4303 - SALES RETURN NON-TAXABLE-RENTA</v>
      </c>
      <c r="C37" s="11"/>
      <c r="D37" s="2">
        <f t="shared" si="4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-184.99</f>
        <v>-184.99</v>
      </c>
      <c r="Q37" s="2"/>
      <c r="R37" s="19"/>
      <c r="S37" s="2"/>
      <c r="T37" s="2"/>
      <c r="U37" s="2"/>
      <c r="V37" s="19"/>
      <c r="W37" s="2"/>
      <c r="X37" s="2">
        <f t="shared" si="2"/>
        <v>-184.99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"4304", " - ", "SALES RETURN NON TAXABLE-DIGIT")</f>
        <v xml:space="preserve">          4304 - SALES RETURN NON TAXABLE-DIGIT</v>
      </c>
      <c r="C38" s="11"/>
      <c r="D38" s="2">
        <f>-70.58</f>
        <v>-70.58</v>
      </c>
      <c r="E38" s="2"/>
      <c r="F38" s="19"/>
      <c r="G38" s="2"/>
      <c r="H38" s="2"/>
      <c r="I38" s="2"/>
      <c r="J38" s="19"/>
      <c r="K38" s="2"/>
      <c r="L38" s="2">
        <f t="shared" si="0"/>
        <v>-70.58</v>
      </c>
      <c r="M38" s="2"/>
      <c r="N38" s="19">
        <f t="shared" si="1"/>
        <v>0</v>
      </c>
      <c r="O38" s="11"/>
      <c r="P38" s="2">
        <f>-13203.87</f>
        <v>-13203.87</v>
      </c>
      <c r="Q38" s="2"/>
      <c r="R38" s="19"/>
      <c r="S38" s="2"/>
      <c r="T38" s="2"/>
      <c r="U38" s="2"/>
      <c r="V38" s="19"/>
      <c r="W38" s="2"/>
      <c r="X38" s="2">
        <f t="shared" si="2"/>
        <v>-13203.87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"4311", " - ", "SALES RETURN NON TAXABLE-NO VA")</f>
        <v xml:space="preserve">          4311 - SALES RETURN NON TAXABLE-NO VA</v>
      </c>
      <c r="C39" s="11"/>
      <c r="D39" s="2">
        <f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-387.96</f>
        <v>-387.96</v>
      </c>
      <c r="Q39" s="2"/>
      <c r="R39" s="19"/>
      <c r="S39" s="2"/>
      <c r="T39" s="2"/>
      <c r="U39" s="2"/>
      <c r="V39" s="19"/>
      <c r="W39" s="2"/>
      <c r="X39" s="2">
        <f t="shared" si="2"/>
        <v>-387.96</v>
      </c>
      <c r="Y39" s="2"/>
      <c r="Z39" s="19">
        <f t="shared" si="3"/>
        <v>0</v>
      </c>
    </row>
    <row r="40" spans="1:26" x14ac:dyDescent="0.25">
      <c r="A40" s="9"/>
      <c r="B40" s="10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collapsed="1" x14ac:dyDescent="0.25">
      <c r="A41" s="10"/>
      <c r="B41" s="29" t="s">
        <v>8</v>
      </c>
      <c r="C41" s="10"/>
      <c r="D41" s="4">
        <f>SUM(OSRRefD16x_0)</f>
        <v>20378.790000000041</v>
      </c>
      <c r="E41" s="4"/>
      <c r="F41" s="12">
        <f t="shared" ref="F41:F57" si="5">IF(D$12=0,0,D41/D$12)</f>
        <v>1.5524851903316668</v>
      </c>
      <c r="G41" s="4"/>
      <c r="H41" s="4">
        <f>SUM(OSRRefH16x_0)</f>
        <v>7517</v>
      </c>
      <c r="I41" s="4"/>
      <c r="J41" s="12">
        <f t="shared" ref="J41:J57" si="6">IF(H$12=0,0,H41/H$12)</f>
        <v>0.72126271349069282</v>
      </c>
      <c r="K41" s="4"/>
      <c r="L41" s="4">
        <f t="shared" ref="L41:L57" si="7">+D41-H41</f>
        <v>12861.790000000041</v>
      </c>
      <c r="M41" s="4"/>
      <c r="N41" s="12">
        <f t="shared" ref="N41:N57" si="8">IF(H41=0,0,L41/H41)</f>
        <v>1.7110270054543091</v>
      </c>
      <c r="O41" s="10"/>
      <c r="P41" s="4">
        <f>SUM(OSRRefP16x_0)</f>
        <v>1438761.61</v>
      </c>
      <c r="Q41" s="4"/>
      <c r="R41" s="12">
        <f t="shared" ref="R41:R57" si="9">IF(P$12=0,0,P41/P$12)</f>
        <v>0.72876869030941904</v>
      </c>
      <c r="S41" s="4"/>
      <c r="T41" s="4">
        <f>SUM(OSRRefT16x_0)</f>
        <v>1477656</v>
      </c>
      <c r="U41" s="4"/>
      <c r="V41" s="12">
        <f t="shared" ref="V41:V57" si="10">IF(T$12=0,0,T41/T$12)</f>
        <v>0.7194282573270474</v>
      </c>
      <c r="W41" s="4"/>
      <c r="X41" s="4">
        <f t="shared" ref="X41:X57" si="11">+P41-T41</f>
        <v>-38894.389999999898</v>
      </c>
      <c r="Y41" s="4"/>
      <c r="Z41" s="12">
        <f t="shared" ref="Z41:Z57" si="12">IF(T41=0,0,X41/T41)</f>
        <v>-2.6321681094923242E-2</v>
      </c>
    </row>
    <row r="42" spans="1:26" s="24" customFormat="1" hidden="1" outlineLevel="1" x14ac:dyDescent="0.25">
      <c r="A42" s="44"/>
      <c r="B42" s="11" t="str">
        <f>CONCATENATE("          ", "5000", " - ", "PURCHASES @ COST")</f>
        <v xml:space="preserve">          5000 - PURCHASES @ COST</v>
      </c>
      <c r="C42" s="11"/>
      <c r="D42" s="2"/>
      <c r="E42" s="2"/>
      <c r="F42" s="19">
        <f t="shared" si="5"/>
        <v>0</v>
      </c>
      <c r="G42" s="2"/>
      <c r="H42" s="2">
        <v>7517</v>
      </c>
      <c r="I42" s="2"/>
      <c r="J42" s="19">
        <f t="shared" si="6"/>
        <v>0.72126271349069282</v>
      </c>
      <c r="K42" s="2"/>
      <c r="L42" s="2">
        <f t="shared" si="7"/>
        <v>-7517</v>
      </c>
      <c r="M42" s="2"/>
      <c r="N42" s="19">
        <f t="shared" si="8"/>
        <v>-1</v>
      </c>
      <c r="O42" s="11"/>
      <c r="P42" s="2"/>
      <c r="Q42" s="2"/>
      <c r="R42" s="19">
        <f t="shared" si="9"/>
        <v>0</v>
      </c>
      <c r="S42" s="2"/>
      <c r="T42" s="2">
        <v>1477656</v>
      </c>
      <c r="U42" s="2"/>
      <c r="V42" s="19">
        <f t="shared" si="10"/>
        <v>0.7194282573270474</v>
      </c>
      <c r="W42" s="2"/>
      <c r="X42" s="2">
        <f t="shared" si="11"/>
        <v>-1477656</v>
      </c>
      <c r="Y42" s="2"/>
      <c r="Z42" s="19">
        <f t="shared" si="12"/>
        <v>-1</v>
      </c>
    </row>
    <row r="43" spans="1:26" s="24" customFormat="1" hidden="1" outlineLevel="1" x14ac:dyDescent="0.25">
      <c r="A43" s="44"/>
      <c r="B43" s="11" t="str">
        <f>CONCATENATE("          ", "5001", " - ", "PURCHASES @ COST-NEW TEXT")</f>
        <v xml:space="preserve">          5001 - PURCHASES @ COST-NEW TEXT</v>
      </c>
      <c r="C43" s="11"/>
      <c r="D43" s="2">
        <v>-176066.31999999998</v>
      </c>
      <c r="E43" s="2"/>
      <c r="F43" s="19">
        <f t="shared" si="5"/>
        <v>-13.412982533123683</v>
      </c>
      <c r="G43" s="2"/>
      <c r="H43" s="2"/>
      <c r="I43" s="2"/>
      <c r="J43" s="19">
        <f t="shared" si="6"/>
        <v>0</v>
      </c>
      <c r="K43" s="2"/>
      <c r="L43" s="2">
        <f t="shared" si="7"/>
        <v>-176066.31999999998</v>
      </c>
      <c r="M43" s="2"/>
      <c r="N43" s="19">
        <f t="shared" si="8"/>
        <v>0</v>
      </c>
      <c r="O43" s="11"/>
      <c r="P43" s="2">
        <v>1272781.8299999998</v>
      </c>
      <c r="Q43" s="2"/>
      <c r="R43" s="19">
        <f t="shared" si="9"/>
        <v>0.64469578618985079</v>
      </c>
      <c r="S43" s="2"/>
      <c r="T43" s="2"/>
      <c r="U43" s="2"/>
      <c r="V43" s="19">
        <f t="shared" si="10"/>
        <v>0</v>
      </c>
      <c r="W43" s="2"/>
      <c r="X43" s="2">
        <f t="shared" si="11"/>
        <v>1272781.8299999998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"5002", " - ", "PURCHASES @ COST-USED TEXT")</f>
        <v xml:space="preserve">          5002 - PURCHASES @ COST-USED TEXT</v>
      </c>
      <c r="C44" s="11"/>
      <c r="D44" s="2">
        <v>-155583.76999999999</v>
      </c>
      <c r="E44" s="2"/>
      <c r="F44" s="19">
        <f t="shared" si="5"/>
        <v>-11.852592758498801</v>
      </c>
      <c r="G44" s="2"/>
      <c r="H44" s="2"/>
      <c r="I44" s="2"/>
      <c r="J44" s="19">
        <f t="shared" si="6"/>
        <v>0</v>
      </c>
      <c r="K44" s="2"/>
      <c r="L44" s="2">
        <f t="shared" si="7"/>
        <v>-155583.76999999999</v>
      </c>
      <c r="M44" s="2"/>
      <c r="N44" s="19">
        <f t="shared" si="8"/>
        <v>0</v>
      </c>
      <c r="O44" s="11"/>
      <c r="P44" s="2">
        <v>-162023.6</v>
      </c>
      <c r="Q44" s="2"/>
      <c r="R44" s="19">
        <f t="shared" si="9"/>
        <v>-8.2069000139096834E-2</v>
      </c>
      <c r="S44" s="2"/>
      <c r="T44" s="2"/>
      <c r="U44" s="2"/>
      <c r="V44" s="19">
        <f t="shared" si="10"/>
        <v>0</v>
      </c>
      <c r="W44" s="2"/>
      <c r="X44" s="2">
        <f t="shared" si="11"/>
        <v>-162023.6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"5003", " - ", "PURCHASES @ COST-RENTAL TEXT")</f>
        <v xml:space="preserve">          5003 - PURCHASES @ COST-RENTAL TEXT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-78.400000000000006</v>
      </c>
      <c r="Q45" s="2"/>
      <c r="R45" s="19">
        <f t="shared" si="9"/>
        <v>-3.9711558136624489E-5</v>
      </c>
      <c r="S45" s="2"/>
      <c r="T45" s="2"/>
      <c r="U45" s="2"/>
      <c r="V45" s="19">
        <f t="shared" si="10"/>
        <v>0</v>
      </c>
      <c r="W45" s="2"/>
      <c r="X45" s="2">
        <f t="shared" si="11"/>
        <v>-78.400000000000006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"5004", " - ", "PURCHASES @ COST-DIGITAL TEXT")</f>
        <v xml:space="preserve">          5004 - PURCHASES @ COST-DIGITAL TEXT</v>
      </c>
      <c r="C46" s="11"/>
      <c r="D46" s="2">
        <v>0.94</v>
      </c>
      <c r="E46" s="2"/>
      <c r="F46" s="19">
        <f t="shared" si="5"/>
        <v>7.1610536195316989E-5</v>
      </c>
      <c r="G46" s="2"/>
      <c r="H46" s="2"/>
      <c r="I46" s="2"/>
      <c r="J46" s="19">
        <f t="shared" si="6"/>
        <v>0</v>
      </c>
      <c r="K46" s="2"/>
      <c r="L46" s="2">
        <f t="shared" si="7"/>
        <v>0.94</v>
      </c>
      <c r="M46" s="2"/>
      <c r="N46" s="19">
        <f t="shared" si="8"/>
        <v>0</v>
      </c>
      <c r="O46" s="11"/>
      <c r="P46" s="2">
        <v>322779.97000000003</v>
      </c>
      <c r="Q46" s="2"/>
      <c r="R46" s="19">
        <f t="shared" si="9"/>
        <v>0.16349611663256261</v>
      </c>
      <c r="S46" s="2"/>
      <c r="T46" s="2"/>
      <c r="U46" s="2"/>
      <c r="V46" s="19">
        <f t="shared" si="10"/>
        <v>0</v>
      </c>
      <c r="W46" s="2"/>
      <c r="X46" s="2">
        <f t="shared" si="11"/>
        <v>322779.97000000003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"5011", " - ", "PURCHASES @ COST-NO VALUE TEXT")</f>
        <v xml:space="preserve">          5011 - PURCHASES @ COST-NO VALUE TEXT</v>
      </c>
      <c r="C47" s="11"/>
      <c r="D47" s="2">
        <v>66</v>
      </c>
      <c r="E47" s="2"/>
      <c r="F47" s="19">
        <f t="shared" si="5"/>
        <v>5.0279738179690656E-3</v>
      </c>
      <c r="G47" s="2"/>
      <c r="H47" s="2"/>
      <c r="I47" s="2"/>
      <c r="J47" s="19">
        <f t="shared" si="6"/>
        <v>0</v>
      </c>
      <c r="K47" s="2"/>
      <c r="L47" s="2">
        <f t="shared" si="7"/>
        <v>66</v>
      </c>
      <c r="M47" s="2"/>
      <c r="N47" s="19">
        <f t="shared" si="8"/>
        <v>0</v>
      </c>
      <c r="O47" s="11"/>
      <c r="P47" s="2">
        <v>3741</v>
      </c>
      <c r="Q47" s="2"/>
      <c r="R47" s="19">
        <f t="shared" si="9"/>
        <v>1.894909936085615E-3</v>
      </c>
      <c r="S47" s="2"/>
      <c r="T47" s="2"/>
      <c r="U47" s="2"/>
      <c r="V47" s="19">
        <f t="shared" si="10"/>
        <v>0</v>
      </c>
      <c r="W47" s="2"/>
      <c r="X47" s="2">
        <f t="shared" si="11"/>
        <v>3741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"5013", " - ", "PURCHASES @ COST-TRADE BOOKS")</f>
        <v xml:space="preserve">          5013 - PURCHASES @ COST-TRADE BOOKS</v>
      </c>
      <c r="C48" s="11"/>
      <c r="D48" s="2">
        <v>10.79</v>
      </c>
      <c r="E48" s="2"/>
      <c r="F48" s="19">
        <f t="shared" si="5"/>
        <v>8.2199753781645769E-4</v>
      </c>
      <c r="G48" s="2"/>
      <c r="H48" s="2"/>
      <c r="I48" s="2"/>
      <c r="J48" s="19">
        <f t="shared" si="6"/>
        <v>0</v>
      </c>
      <c r="K48" s="2"/>
      <c r="L48" s="2">
        <f t="shared" si="7"/>
        <v>10.79</v>
      </c>
      <c r="M48" s="2"/>
      <c r="N48" s="19">
        <f t="shared" si="8"/>
        <v>0</v>
      </c>
      <c r="O48" s="11"/>
      <c r="P48" s="2">
        <v>698.14</v>
      </c>
      <c r="Q48" s="2"/>
      <c r="R48" s="19">
        <f t="shared" si="9"/>
        <v>3.536253469069263E-4</v>
      </c>
      <c r="S48" s="2"/>
      <c r="T48" s="2"/>
      <c r="U48" s="2"/>
      <c r="V48" s="19">
        <f t="shared" si="10"/>
        <v>0</v>
      </c>
      <c r="W48" s="2"/>
      <c r="X48" s="2">
        <f t="shared" si="11"/>
        <v>698.14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"5014", " - ", "PURCHASES @ COST-REMAINDERS")</f>
        <v xml:space="preserve">          5014 - PURCHASES @ COST-REMAINDERS</v>
      </c>
      <c r="C49" s="11"/>
      <c r="D49" s="2">
        <v>114.84</v>
      </c>
      <c r="E49" s="2"/>
      <c r="F49" s="19">
        <f t="shared" si="5"/>
        <v>8.7486744432661735E-3</v>
      </c>
      <c r="G49" s="2"/>
      <c r="H49" s="2"/>
      <c r="I49" s="2"/>
      <c r="J49" s="19">
        <f t="shared" si="6"/>
        <v>0</v>
      </c>
      <c r="K49" s="2"/>
      <c r="L49" s="2">
        <f t="shared" si="7"/>
        <v>114.84</v>
      </c>
      <c r="M49" s="2"/>
      <c r="N49" s="19">
        <f t="shared" si="8"/>
        <v>0</v>
      </c>
      <c r="O49" s="11"/>
      <c r="P49" s="2">
        <v>442.35</v>
      </c>
      <c r="Q49" s="2"/>
      <c r="R49" s="19">
        <f t="shared" si="9"/>
        <v>2.2406132323642657E-4</v>
      </c>
      <c r="S49" s="2"/>
      <c r="T49" s="2"/>
      <c r="U49" s="2"/>
      <c r="V49" s="19">
        <f t="shared" si="10"/>
        <v>0</v>
      </c>
      <c r="W49" s="2"/>
      <c r="X49" s="2">
        <f t="shared" si="11"/>
        <v>442.35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"5018", " - ", "PURCHASES @ COST-STUDY GUIDES")</f>
        <v xml:space="preserve">          5018 - PURCHASES @ COST-STUDY GUIDES</v>
      </c>
      <c r="C50" s="11"/>
      <c r="D50" s="2"/>
      <c r="E50" s="2"/>
      <c r="F50" s="19">
        <f t="shared" si="5"/>
        <v>0</v>
      </c>
      <c r="G50" s="2"/>
      <c r="H50" s="2"/>
      <c r="I50" s="2"/>
      <c r="J50" s="19">
        <f t="shared" si="6"/>
        <v>0</v>
      </c>
      <c r="K50" s="2"/>
      <c r="L50" s="2">
        <f t="shared" si="7"/>
        <v>0</v>
      </c>
      <c r="M50" s="2"/>
      <c r="N50" s="19">
        <f t="shared" si="8"/>
        <v>0</v>
      </c>
      <c r="O50" s="11"/>
      <c r="P50" s="2">
        <v>802.09</v>
      </c>
      <c r="Q50" s="2"/>
      <c r="R50" s="19">
        <f t="shared" si="9"/>
        <v>4.0627861818629002E-4</v>
      </c>
      <c r="S50" s="2"/>
      <c r="T50" s="2"/>
      <c r="U50" s="2"/>
      <c r="V50" s="19">
        <f t="shared" si="10"/>
        <v>0</v>
      </c>
      <c r="W50" s="2"/>
      <c r="X50" s="2">
        <f t="shared" si="11"/>
        <v>802.09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"5200", " - ", "PURCHASES OFFSET")</f>
        <v xml:space="preserve">          5200 - PURCHASES OFFSET</v>
      </c>
      <c r="C51" s="11"/>
      <c r="D51" s="2">
        <v>330700</v>
      </c>
      <c r="E51" s="2"/>
      <c r="F51" s="19">
        <f t="shared" si="5"/>
        <v>25.193196084884391</v>
      </c>
      <c r="G51" s="2"/>
      <c r="H51" s="2"/>
      <c r="I51" s="2"/>
      <c r="J51" s="19">
        <f t="shared" si="6"/>
        <v>0</v>
      </c>
      <c r="K51" s="2"/>
      <c r="L51" s="2">
        <f t="shared" si="7"/>
        <v>330700</v>
      </c>
      <c r="M51" s="2"/>
      <c r="N51" s="19">
        <f t="shared" si="8"/>
        <v>0</v>
      </c>
      <c r="O51" s="11"/>
      <c r="P51" s="2">
        <v>-1480875</v>
      </c>
      <c r="Q51" s="2"/>
      <c r="R51" s="19">
        <f t="shared" si="9"/>
        <v>-0.75010017417823716</v>
      </c>
      <c r="S51" s="2"/>
      <c r="T51" s="2"/>
      <c r="U51" s="2"/>
      <c r="V51" s="19">
        <f t="shared" si="10"/>
        <v>0</v>
      </c>
      <c r="W51" s="2"/>
      <c r="X51" s="2">
        <f t="shared" si="11"/>
        <v>-1480875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"5300", " - ", "COG$ OFFSET")</f>
        <v xml:space="preserve">          5300 - COG$ OFFSET</v>
      </c>
      <c r="C52" s="11"/>
      <c r="D52" s="2">
        <v>20379</v>
      </c>
      <c r="E52" s="2"/>
      <c r="F52" s="19">
        <f t="shared" si="5"/>
        <v>1.5525011884301754</v>
      </c>
      <c r="G52" s="2"/>
      <c r="H52" s="2"/>
      <c r="I52" s="2"/>
      <c r="J52" s="19">
        <f t="shared" si="6"/>
        <v>0</v>
      </c>
      <c r="K52" s="2"/>
      <c r="L52" s="2">
        <f t="shared" si="7"/>
        <v>20379</v>
      </c>
      <c r="M52" s="2"/>
      <c r="N52" s="19">
        <f t="shared" si="8"/>
        <v>0</v>
      </c>
      <c r="O52" s="11"/>
      <c r="P52" s="2">
        <v>1438765</v>
      </c>
      <c r="Q52" s="2"/>
      <c r="R52" s="19">
        <f t="shared" si="9"/>
        <v>0.72877040742908838</v>
      </c>
      <c r="S52" s="2"/>
      <c r="T52" s="2"/>
      <c r="U52" s="2"/>
      <c r="V52" s="19">
        <f t="shared" si="10"/>
        <v>0</v>
      </c>
      <c r="W52" s="2"/>
      <c r="X52" s="2">
        <f t="shared" si="11"/>
        <v>1438765</v>
      </c>
      <c r="Y52" s="2"/>
      <c r="Z52" s="19">
        <f t="shared" si="12"/>
        <v>0</v>
      </c>
    </row>
    <row r="53" spans="1:26" s="24" customFormat="1" hidden="1" outlineLevel="1" x14ac:dyDescent="0.25">
      <c r="A53" s="44"/>
      <c r="B53" s="11" t="str">
        <f>CONCATENATE("          ", "5501", " - ", "FREIGHT-IN-NEW TEXT")</f>
        <v xml:space="preserve">          5501 - FREIGHT-IN-NEW TEXT</v>
      </c>
      <c r="C53" s="11"/>
      <c r="D53" s="2">
        <v>490.07</v>
      </c>
      <c r="E53" s="2"/>
      <c r="F53" s="19">
        <f t="shared" si="5"/>
        <v>3.7334229226849994E-2</v>
      </c>
      <c r="G53" s="2"/>
      <c r="H53" s="2"/>
      <c r="I53" s="2"/>
      <c r="J53" s="19">
        <f t="shared" si="6"/>
        <v>0</v>
      </c>
      <c r="K53" s="2"/>
      <c r="L53" s="2">
        <f t="shared" si="7"/>
        <v>490.07</v>
      </c>
      <c r="M53" s="2"/>
      <c r="N53" s="19">
        <f t="shared" si="8"/>
        <v>0</v>
      </c>
      <c r="O53" s="11"/>
      <c r="P53" s="2">
        <v>34507.550000000003</v>
      </c>
      <c r="Q53" s="2"/>
      <c r="R53" s="19">
        <f t="shared" si="9"/>
        <v>1.7478935943590262E-2</v>
      </c>
      <c r="S53" s="2"/>
      <c r="T53" s="2"/>
      <c r="U53" s="2"/>
      <c r="V53" s="19">
        <f t="shared" si="10"/>
        <v>0</v>
      </c>
      <c r="W53" s="2"/>
      <c r="X53" s="2">
        <f t="shared" si="11"/>
        <v>34507.550000000003</v>
      </c>
      <c r="Y53" s="2"/>
      <c r="Z53" s="19">
        <f t="shared" si="12"/>
        <v>0</v>
      </c>
    </row>
    <row r="54" spans="1:26" s="24" customFormat="1" hidden="1" outlineLevel="1" x14ac:dyDescent="0.25">
      <c r="A54" s="44"/>
      <c r="B54" s="11" t="str">
        <f>CONCATENATE("          ", "5502", " - ", "FREIGHT-IN-USED TEXT")</f>
        <v xml:space="preserve">          5502 - FREIGHT-IN-USED TEXT</v>
      </c>
      <c r="C54" s="11"/>
      <c r="D54" s="2">
        <v>237.65</v>
      </c>
      <c r="E54" s="2"/>
      <c r="F54" s="19">
        <f t="shared" si="5"/>
        <v>1.8104514815762855E-2</v>
      </c>
      <c r="G54" s="2"/>
      <c r="H54" s="2"/>
      <c r="I54" s="2"/>
      <c r="J54" s="19">
        <f t="shared" si="6"/>
        <v>0</v>
      </c>
      <c r="K54" s="2"/>
      <c r="L54" s="2">
        <f t="shared" si="7"/>
        <v>237.65</v>
      </c>
      <c r="M54" s="2"/>
      <c r="N54" s="19">
        <f t="shared" si="8"/>
        <v>0</v>
      </c>
      <c r="O54" s="11"/>
      <c r="P54" s="2">
        <v>7090.12</v>
      </c>
      <c r="Q54" s="2"/>
      <c r="R54" s="19">
        <f t="shared" si="9"/>
        <v>3.5913228644852552E-3</v>
      </c>
      <c r="S54" s="2"/>
      <c r="T54" s="2"/>
      <c r="U54" s="2"/>
      <c r="V54" s="19">
        <f t="shared" si="10"/>
        <v>0</v>
      </c>
      <c r="W54" s="2"/>
      <c r="X54" s="2">
        <f t="shared" si="11"/>
        <v>7090.12</v>
      </c>
      <c r="Y54" s="2"/>
      <c r="Z54" s="19">
        <f t="shared" si="12"/>
        <v>0</v>
      </c>
    </row>
    <row r="55" spans="1:26" s="24" customFormat="1" hidden="1" outlineLevel="1" x14ac:dyDescent="0.25">
      <c r="A55" s="44"/>
      <c r="B55" s="11" t="str">
        <f>CONCATENATE("          ", "5504", " - ", "FREIGHT-IN-DIGITAL TEXT")</f>
        <v xml:space="preserve">          5504 - FREIGHT-IN-DIGITAL TEXT</v>
      </c>
      <c r="C55" s="11"/>
      <c r="D55" s="2">
        <v>5</v>
      </c>
      <c r="E55" s="2"/>
      <c r="F55" s="19">
        <f t="shared" si="5"/>
        <v>3.8090710742189889E-4</v>
      </c>
      <c r="G55" s="2"/>
      <c r="H55" s="2"/>
      <c r="I55" s="2"/>
      <c r="J55" s="19">
        <f t="shared" si="6"/>
        <v>0</v>
      </c>
      <c r="K55" s="2"/>
      <c r="L55" s="2">
        <f t="shared" si="7"/>
        <v>5</v>
      </c>
      <c r="M55" s="2"/>
      <c r="N55" s="19">
        <f t="shared" si="8"/>
        <v>0</v>
      </c>
      <c r="O55" s="11"/>
      <c r="P55" s="2">
        <v>105.97</v>
      </c>
      <c r="Q55" s="2"/>
      <c r="R55" s="19">
        <f t="shared" si="9"/>
        <v>5.3676451731353278E-5</v>
      </c>
      <c r="S55" s="2"/>
      <c r="T55" s="2"/>
      <c r="U55" s="2"/>
      <c r="V55" s="19">
        <f t="shared" si="10"/>
        <v>0</v>
      </c>
      <c r="W55" s="2"/>
      <c r="X55" s="2">
        <f t="shared" si="11"/>
        <v>105.97</v>
      </c>
      <c r="Y55" s="2"/>
      <c r="Z55" s="19">
        <f t="shared" si="12"/>
        <v>0</v>
      </c>
    </row>
    <row r="56" spans="1:26" s="24" customFormat="1" hidden="1" outlineLevel="1" x14ac:dyDescent="0.25">
      <c r="A56" s="44"/>
      <c r="B56" s="11" t="str">
        <f>CONCATENATE("          ", "5513", " - ", "FREIGHT-IN-TRADE BOOKS")</f>
        <v xml:space="preserve">          5513 - FREIGHT-IN-TRADE BOOKS</v>
      </c>
      <c r="C56" s="11"/>
      <c r="D56" s="2">
        <v>12.33</v>
      </c>
      <c r="E56" s="2"/>
      <c r="F56" s="19">
        <f t="shared" si="5"/>
        <v>9.3931692690240264E-4</v>
      </c>
      <c r="G56" s="2"/>
      <c r="H56" s="2"/>
      <c r="I56" s="2"/>
      <c r="J56" s="19">
        <f t="shared" si="6"/>
        <v>0</v>
      </c>
      <c r="K56" s="2"/>
      <c r="L56" s="2">
        <f t="shared" si="7"/>
        <v>12.33</v>
      </c>
      <c r="M56" s="2"/>
      <c r="N56" s="19">
        <f t="shared" si="8"/>
        <v>0</v>
      </c>
      <c r="O56" s="11"/>
      <c r="P56" s="2">
        <v>12.33</v>
      </c>
      <c r="Q56" s="2"/>
      <c r="R56" s="19">
        <f t="shared" si="9"/>
        <v>6.2454529569461728E-6</v>
      </c>
      <c r="S56" s="2"/>
      <c r="T56" s="2"/>
      <c r="U56" s="2"/>
      <c r="V56" s="19">
        <f t="shared" si="10"/>
        <v>0</v>
      </c>
      <c r="W56" s="2"/>
      <c r="X56" s="2">
        <f t="shared" si="11"/>
        <v>12.33</v>
      </c>
      <c r="Y56" s="2"/>
      <c r="Z56" s="19">
        <f t="shared" si="12"/>
        <v>0</v>
      </c>
    </row>
    <row r="57" spans="1:26" s="24" customFormat="1" hidden="1" outlineLevel="1" x14ac:dyDescent="0.25">
      <c r="A57" s="44"/>
      <c r="B57" s="11" t="str">
        <f>CONCATENATE("          ", "5518", " - ", "FREIGHT-IN-STUDY GUIDES")</f>
        <v xml:space="preserve">          5518 - FREIGHT-IN-STUDY GUIDES</v>
      </c>
      <c r="C57" s="11"/>
      <c r="D57" s="2">
        <v>12.26</v>
      </c>
      <c r="E57" s="2"/>
      <c r="F57" s="19">
        <f t="shared" si="5"/>
        <v>9.3398422739849598E-4</v>
      </c>
      <c r="G57" s="2"/>
      <c r="H57" s="2"/>
      <c r="I57" s="2"/>
      <c r="J57" s="19">
        <f t="shared" si="6"/>
        <v>0</v>
      </c>
      <c r="K57" s="2"/>
      <c r="L57" s="2">
        <f t="shared" si="7"/>
        <v>12.26</v>
      </c>
      <c r="M57" s="2"/>
      <c r="N57" s="19">
        <f t="shared" si="8"/>
        <v>0</v>
      </c>
      <c r="O57" s="11"/>
      <c r="P57" s="2">
        <v>12.26</v>
      </c>
      <c r="Q57" s="2"/>
      <c r="R57" s="19">
        <f t="shared" si="9"/>
        <v>6.2099962086099006E-6</v>
      </c>
      <c r="S57" s="2"/>
      <c r="T57" s="2"/>
      <c r="U57" s="2"/>
      <c r="V57" s="19">
        <f t="shared" si="10"/>
        <v>0</v>
      </c>
      <c r="W57" s="2"/>
      <c r="X57" s="2">
        <f t="shared" si="11"/>
        <v>12.26</v>
      </c>
      <c r="Y57" s="2"/>
      <c r="Z57" s="19">
        <f t="shared" si="12"/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10"/>
      <c r="B59" s="28" t="s">
        <v>6</v>
      </c>
      <c r="C59" s="28"/>
      <c r="D59" s="20">
        <f>D12-D41</f>
        <v>-7252.2300000000432</v>
      </c>
      <c r="E59" s="14"/>
      <c r="F59" s="22">
        <f>IF(D$12=0,0,D59/D$12)</f>
        <v>-0.55248519033166688</v>
      </c>
      <c r="G59" s="14"/>
      <c r="H59" s="20">
        <f>H12-H41</f>
        <v>2905</v>
      </c>
      <c r="I59" s="14"/>
      <c r="J59" s="22">
        <f>IF(H$12=0,0,H59/H$12)</f>
        <v>0.27873728650930724</v>
      </c>
      <c r="K59" s="16"/>
      <c r="L59" s="20">
        <f>+D59-H59</f>
        <v>-10157.230000000043</v>
      </c>
      <c r="M59" s="16"/>
      <c r="N59" s="22">
        <f>IF(H59=0,0,L59/H59)</f>
        <v>-3.4964647160068996</v>
      </c>
      <c r="O59" s="29"/>
      <c r="P59" s="20">
        <f>P12-P41</f>
        <v>535474.69999999972</v>
      </c>
      <c r="Q59" s="14"/>
      <c r="R59" s="22">
        <f>IF(P$12=0,0,P59/P$12)</f>
        <v>0.27123130969058096</v>
      </c>
      <c r="S59" s="14"/>
      <c r="T59" s="20">
        <f>T12-T41</f>
        <v>576275.00000000023</v>
      </c>
      <c r="U59" s="14"/>
      <c r="V59" s="22">
        <f>IF(T$12=0,0,T59/T$12)</f>
        <v>0.2805717426729526</v>
      </c>
      <c r="W59" s="16"/>
      <c r="X59" s="20">
        <f>+P59-T59</f>
        <v>-40800.300000000512</v>
      </c>
      <c r="Y59" s="16"/>
      <c r="Z59" s="22">
        <f>IF(T59=0,0,X59/T59)</f>
        <v>-7.080005205847989E-2</v>
      </c>
    </row>
    <row r="60" spans="1:26" x14ac:dyDescent="0.25">
      <c r="A60" s="9"/>
      <c r="B60" s="10"/>
      <c r="C60" s="9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9" t="s">
        <v>9</v>
      </c>
      <c r="C61" s="10"/>
      <c r="D61" s="21">
        <f>SUM(OSRRefD22x_0)</f>
        <v>48723.32</v>
      </c>
      <c r="E61" s="21"/>
      <c r="F61" s="33">
        <f t="shared" ref="F61:F72" si="13">IF(D$12=0,0,D61/D$12)</f>
        <v>3.7118117770383106</v>
      </c>
      <c r="G61" s="21"/>
      <c r="H61" s="21">
        <f>SUM(OSRRefH22x_0)</f>
        <v>60603.547288297872</v>
      </c>
      <c r="I61" s="21"/>
      <c r="J61" s="33">
        <f t="shared" ref="J61:J72" si="14">IF(H$12=0,0,H61/H$12)</f>
        <v>5.8149632784780145</v>
      </c>
      <c r="K61" s="4"/>
      <c r="L61" s="21">
        <f t="shared" ref="L61:L72" si="15">+D61-H61</f>
        <v>-11880.227288297872</v>
      </c>
      <c r="M61" s="4"/>
      <c r="N61" s="33">
        <f t="shared" ref="N61:N72" si="16">IF(H61=0,0,L61/H61)</f>
        <v>-0.19603187964860042</v>
      </c>
      <c r="O61" s="10"/>
      <c r="P61" s="21">
        <f>SUM(OSRRefP22x_0)</f>
        <v>209249.05</v>
      </c>
      <c r="Q61" s="21"/>
      <c r="R61" s="33">
        <f t="shared" ref="R61:R72" si="17">IF(P$12=0,0,P61/P$12)</f>
        <v>0.10598987007791383</v>
      </c>
      <c r="S61" s="21"/>
      <c r="T61" s="21">
        <f>SUM(OSRRefT22x_0)</f>
        <v>279460.71495863813</v>
      </c>
      <c r="U61" s="21"/>
      <c r="V61" s="33">
        <f t="shared" ref="V61:V72" si="18">IF(T$12=0,0,T61/T$12)</f>
        <v>0.13606139396047778</v>
      </c>
      <c r="W61" s="4"/>
      <c r="X61" s="21">
        <f t="shared" ref="X61:X72" si="19">+P61-T61</f>
        <v>-70211.664958638139</v>
      </c>
      <c r="Y61" s="4"/>
      <c r="Z61" s="33">
        <f t="shared" ref="Z61:Z72" si="20">IF(T61=0,0,X61/T61)</f>
        <v>-0.25123983873379085</v>
      </c>
    </row>
    <row r="62" spans="1:26" s="26" customFormat="1" outlineLevel="1" collapsed="1" x14ac:dyDescent="0.25">
      <c r="A62" s="27"/>
      <c r="B62" s="13" t="str">
        <f>CONCATENATE("     ","*Benefits                                         ")</f>
        <v xml:space="preserve">     *Benefits                                         </v>
      </c>
      <c r="C62" s="13"/>
      <c r="D62" s="1">
        <f>SUM(OSRRefD22_0x_0)</f>
        <v>8764.2699999999986</v>
      </c>
      <c r="E62" s="1"/>
      <c r="F62" s="5">
        <f t="shared" si="13"/>
        <v>0.66767454687290506</v>
      </c>
      <c r="G62" s="1"/>
      <c r="H62" s="1">
        <f>SUM(OSRRefH22_0x_0)</f>
        <v>11945.600072574771</v>
      </c>
      <c r="I62" s="1"/>
      <c r="J62" s="5">
        <f t="shared" si="14"/>
        <v>1.1461907572994408</v>
      </c>
      <c r="K62" s="1"/>
      <c r="L62" s="1">
        <f t="shared" si="15"/>
        <v>-3181.3300725747722</v>
      </c>
      <c r="M62" s="1"/>
      <c r="N62" s="5">
        <f t="shared" si="16"/>
        <v>-0.26631814670228315</v>
      </c>
      <c r="O62" s="13"/>
      <c r="P62" s="1">
        <f>SUM(OSRRefP22_0x_0)</f>
        <v>51347.56</v>
      </c>
      <c r="Q62" s="1"/>
      <c r="R62" s="5">
        <f t="shared" si="17"/>
        <v>2.6008821608594569E-2</v>
      </c>
      <c r="S62" s="1"/>
      <c r="T62" s="1">
        <f>SUM(OSRRefT22_0x_0)</f>
        <v>64606.225272161224</v>
      </c>
      <c r="U62" s="1"/>
      <c r="V62" s="5">
        <f t="shared" si="18"/>
        <v>3.1454915122348909E-2</v>
      </c>
      <c r="W62" s="1"/>
      <c r="X62" s="1">
        <f t="shared" si="19"/>
        <v>-13258.665272161226</v>
      </c>
      <c r="Y62" s="1"/>
      <c r="Z62" s="5">
        <f t="shared" si="20"/>
        <v>-0.20522271988972518</v>
      </c>
    </row>
    <row r="63" spans="1:26" s="24" customFormat="1" hidden="1" outlineLevel="2" x14ac:dyDescent="0.25">
      <c r="A63" s="25"/>
      <c r="B63" s="11" t="str">
        <f>CONCATENATE("          ", "6111", " - ", "F.I.C.A.")</f>
        <v xml:space="preserve">          6111 - F.I.C.A.</v>
      </c>
      <c r="C63" s="11"/>
      <c r="D63" s="6">
        <v>1472.33</v>
      </c>
      <c r="E63" s="2"/>
      <c r="F63" s="7">
        <f t="shared" si="13"/>
        <v>0.11216419229409687</v>
      </c>
      <c r="G63" s="2"/>
      <c r="H63" s="6">
        <v>1602.9579046486201</v>
      </c>
      <c r="I63" s="2"/>
      <c r="J63" s="7">
        <f t="shared" si="14"/>
        <v>0.15380521057845137</v>
      </c>
      <c r="K63" s="2"/>
      <c r="L63" s="6">
        <f t="shared" si="15"/>
        <v>-130.62790464862019</v>
      </c>
      <c r="M63" s="2"/>
      <c r="N63" s="7">
        <f t="shared" si="16"/>
        <v>-8.1491787320051148E-2</v>
      </c>
      <c r="O63" s="11"/>
      <c r="P63" s="6">
        <v>9075.3799999999992</v>
      </c>
      <c r="Q63" s="2"/>
      <c r="R63" s="7">
        <f t="shared" si="17"/>
        <v>4.596906638800499E-3</v>
      </c>
      <c r="S63" s="2"/>
      <c r="T63" s="6">
        <v>9430.9957005674005</v>
      </c>
      <c r="U63" s="2"/>
      <c r="V63" s="7">
        <f t="shared" si="18"/>
        <v>4.5916808795268193E-3</v>
      </c>
      <c r="W63" s="2"/>
      <c r="X63" s="6">
        <f t="shared" si="19"/>
        <v>-355.61570056740129</v>
      </c>
      <c r="Y63" s="2"/>
      <c r="Z63" s="7">
        <f t="shared" si="20"/>
        <v>-3.7707121480927648E-2</v>
      </c>
    </row>
    <row r="64" spans="1:26" s="24" customFormat="1" hidden="1" outlineLevel="2" x14ac:dyDescent="0.25">
      <c r="A64" s="25"/>
      <c r="B64" s="11" t="str">
        <f>CONCATENATE("          ", "6112", " - ", "COMPENSATION INSURANCE")</f>
        <v xml:space="preserve">          6112 - COMPENSATION INSURANCE</v>
      </c>
      <c r="C64" s="11"/>
      <c r="D64" s="6">
        <v>74.48</v>
      </c>
      <c r="E64" s="2"/>
      <c r="F64" s="7">
        <f t="shared" si="13"/>
        <v>5.6739922721566055E-3</v>
      </c>
      <c r="G64" s="2"/>
      <c r="H64" s="6">
        <v>518.84219950769204</v>
      </c>
      <c r="I64" s="2"/>
      <c r="J64" s="7">
        <f t="shared" si="14"/>
        <v>4.9783362071357903E-2</v>
      </c>
      <c r="K64" s="2"/>
      <c r="L64" s="6">
        <f t="shared" si="15"/>
        <v>-444.36219950769203</v>
      </c>
      <c r="M64" s="2"/>
      <c r="N64" s="7">
        <f t="shared" si="16"/>
        <v>-0.85644961016919785</v>
      </c>
      <c r="O64" s="11"/>
      <c r="P64" s="6">
        <v>268.06</v>
      </c>
      <c r="Q64" s="2"/>
      <c r="R64" s="7">
        <f t="shared" si="17"/>
        <v>1.3577908512887196E-4</v>
      </c>
      <c r="S64" s="2"/>
      <c r="T64" s="6">
        <v>3081.0294172923059</v>
      </c>
      <c r="U64" s="2"/>
      <c r="V64" s="7">
        <f t="shared" si="18"/>
        <v>1.5000647136112681E-3</v>
      </c>
      <c r="W64" s="2"/>
      <c r="X64" s="6">
        <f t="shared" si="19"/>
        <v>-2812.9694172923059</v>
      </c>
      <c r="Y64" s="2"/>
      <c r="Z64" s="7">
        <f t="shared" si="20"/>
        <v>-0.91299661129637033</v>
      </c>
    </row>
    <row r="65" spans="1:26" s="24" customFormat="1" hidden="1" outlineLevel="2" x14ac:dyDescent="0.25">
      <c r="A65" s="25"/>
      <c r="B65" s="11" t="str">
        <f>CONCATENATE("          ", "6113", " - ", "GROUP INSURANCE")</f>
        <v xml:space="preserve">          6113 - GROUP INSURANCE</v>
      </c>
      <c r="C65" s="11"/>
      <c r="D65" s="6">
        <v>4168.57</v>
      </c>
      <c r="E65" s="2"/>
      <c r="F65" s="7">
        <f t="shared" si="13"/>
        <v>0.31756758815714098</v>
      </c>
      <c r="G65" s="2"/>
      <c r="H65" s="6">
        <v>5311.7692307692296</v>
      </c>
      <c r="I65" s="2"/>
      <c r="J65" s="7">
        <f t="shared" si="14"/>
        <v>0.50966889567925822</v>
      </c>
      <c r="K65" s="2"/>
      <c r="L65" s="6">
        <f t="shared" si="15"/>
        <v>-1143.1992307692299</v>
      </c>
      <c r="M65" s="2"/>
      <c r="N65" s="7">
        <f t="shared" si="16"/>
        <v>-0.21522004836864425</v>
      </c>
      <c r="O65" s="11"/>
      <c r="P65" s="6">
        <v>20842.849999999999</v>
      </c>
      <c r="Q65" s="2"/>
      <c r="R65" s="7">
        <f t="shared" si="17"/>
        <v>1.0557424100866629E-2</v>
      </c>
      <c r="S65" s="2"/>
      <c r="T65" s="6">
        <v>27502.23076923077</v>
      </c>
      <c r="U65" s="2"/>
      <c r="V65" s="7">
        <f t="shared" si="18"/>
        <v>1.3390046096597582E-2</v>
      </c>
      <c r="W65" s="2"/>
      <c r="X65" s="6">
        <f t="shared" si="19"/>
        <v>-6659.380769230771</v>
      </c>
      <c r="Y65" s="2"/>
      <c r="Z65" s="7">
        <f t="shared" si="20"/>
        <v>-0.24213965860112052</v>
      </c>
    </row>
    <row r="66" spans="1:26" s="24" customFormat="1" hidden="1" outlineLevel="2" x14ac:dyDescent="0.25">
      <c r="A66" s="25"/>
      <c r="B66" s="11" t="str">
        <f>CONCATENATE("          ", "6114", " - ", "STATE UNEMPLOYMENT INSURANCE")</f>
        <v xml:space="preserve">          6114 - STATE UNEMPLOYMENT INSURANCE</v>
      </c>
      <c r="C66" s="11"/>
      <c r="D66" s="6">
        <v>56.95</v>
      </c>
      <c r="E66" s="2"/>
      <c r="F66" s="7">
        <f t="shared" si="13"/>
        <v>4.3385319535354282E-3</v>
      </c>
      <c r="G66" s="2"/>
      <c r="H66" s="6">
        <v>70.999458880000006</v>
      </c>
      <c r="I66" s="2"/>
      <c r="J66" s="7">
        <f t="shared" si="14"/>
        <v>6.8124600729226638E-3</v>
      </c>
      <c r="K66" s="2"/>
      <c r="L66" s="6">
        <f t="shared" si="15"/>
        <v>-14.049458880000003</v>
      </c>
      <c r="M66" s="2"/>
      <c r="N66" s="7">
        <f t="shared" si="16"/>
        <v>-0.19788121066874251</v>
      </c>
      <c r="O66" s="11"/>
      <c r="P66" s="6">
        <v>303.44</v>
      </c>
      <c r="Q66" s="2"/>
      <c r="R66" s="7">
        <f t="shared" si="17"/>
        <v>1.5369993878797621E-4</v>
      </c>
      <c r="S66" s="2"/>
      <c r="T66" s="6">
        <v>421.61455183999999</v>
      </c>
      <c r="U66" s="2"/>
      <c r="V66" s="7">
        <f t="shared" si="18"/>
        <v>2.0527201344154206E-4</v>
      </c>
      <c r="W66" s="2"/>
      <c r="X66" s="6">
        <f t="shared" si="19"/>
        <v>-118.17455183999999</v>
      </c>
      <c r="Y66" s="2"/>
      <c r="Z66" s="7">
        <f t="shared" si="20"/>
        <v>-0.28029049596192895</v>
      </c>
    </row>
    <row r="67" spans="1:26" s="24" customFormat="1" hidden="1" outlineLevel="2" x14ac:dyDescent="0.25">
      <c r="A67" s="25"/>
      <c r="B67" s="11" t="str">
        <f>CONCATENATE("          ", "6115", " - ", "P.E.R.S.")</f>
        <v xml:space="preserve">          6115 - P.E.R.S.</v>
      </c>
      <c r="C67" s="11"/>
      <c r="D67" s="6">
        <v>1325.86</v>
      </c>
      <c r="E67" s="2"/>
      <c r="F67" s="7">
        <f t="shared" si="13"/>
        <v>0.10100589948927977</v>
      </c>
      <c r="G67" s="2"/>
      <c r="H67" s="6">
        <v>1235.9586478769202</v>
      </c>
      <c r="I67" s="2"/>
      <c r="J67" s="7">
        <f t="shared" si="14"/>
        <v>0.11859131144472464</v>
      </c>
      <c r="K67" s="2"/>
      <c r="L67" s="6">
        <f t="shared" si="15"/>
        <v>89.901352123079732</v>
      </c>
      <c r="M67" s="2"/>
      <c r="N67" s="7">
        <f t="shared" si="16"/>
        <v>7.273815533999349E-2</v>
      </c>
      <c r="O67" s="11"/>
      <c r="P67" s="6">
        <v>7106.54</v>
      </c>
      <c r="Q67" s="2"/>
      <c r="R67" s="7">
        <f t="shared" si="17"/>
        <v>3.5996400045949922E-3</v>
      </c>
      <c r="S67" s="2"/>
      <c r="T67" s="6">
        <v>6797.7725633230602</v>
      </c>
      <c r="U67" s="2"/>
      <c r="V67" s="7">
        <f t="shared" si="18"/>
        <v>3.309640179403816E-3</v>
      </c>
      <c r="W67" s="2"/>
      <c r="X67" s="6">
        <f t="shared" si="19"/>
        <v>308.76743667693972</v>
      </c>
      <c r="Y67" s="2"/>
      <c r="Z67" s="7">
        <f t="shared" si="20"/>
        <v>4.542185455613422E-2</v>
      </c>
    </row>
    <row r="68" spans="1:26" s="24" customFormat="1" hidden="1" outlineLevel="2" x14ac:dyDescent="0.25">
      <c r="A68" s="25"/>
      <c r="B68" s="11" t="str">
        <f>CONCATENATE("          ", "6116", " - ", "EDUCATIONAL BENEFITS")</f>
        <v xml:space="preserve">          6116 - EDUCATIONAL BENEFITS</v>
      </c>
      <c r="C68" s="11"/>
      <c r="D68" s="6"/>
      <c r="E68" s="2"/>
      <c r="F68" s="7">
        <f t="shared" si="13"/>
        <v>0</v>
      </c>
      <c r="G68" s="2"/>
      <c r="H68" s="6">
        <v>0</v>
      </c>
      <c r="I68" s="2"/>
      <c r="J68" s="7">
        <f t="shared" si="14"/>
        <v>0</v>
      </c>
      <c r="K68" s="2"/>
      <c r="L68" s="6">
        <f t="shared" si="15"/>
        <v>0</v>
      </c>
      <c r="M68" s="2"/>
      <c r="N68" s="7">
        <f t="shared" si="16"/>
        <v>0</v>
      </c>
      <c r="O68" s="11"/>
      <c r="P68" s="6"/>
      <c r="Q68" s="2"/>
      <c r="R68" s="7">
        <f t="shared" si="17"/>
        <v>0</v>
      </c>
      <c r="S68" s="2"/>
      <c r="T68" s="6">
        <v>0</v>
      </c>
      <c r="U68" s="2"/>
      <c r="V68" s="7">
        <f t="shared" si="18"/>
        <v>0</v>
      </c>
      <c r="W68" s="2"/>
      <c r="X68" s="6">
        <f t="shared" si="19"/>
        <v>0</v>
      </c>
      <c r="Y68" s="2"/>
      <c r="Z68" s="7">
        <f t="shared" si="20"/>
        <v>0</v>
      </c>
    </row>
    <row r="69" spans="1:26" s="24" customFormat="1" hidden="1" outlineLevel="2" x14ac:dyDescent="0.25">
      <c r="A69" s="25"/>
      <c r="B69" s="11" t="str">
        <f>CONCATENATE("          ", "6117", " - ", "RETIREMENT STAFF HOURLY")</f>
        <v xml:space="preserve">          6117 - RETIREMENT STAFF HOURLY</v>
      </c>
      <c r="C69" s="11"/>
      <c r="D69" s="6">
        <v>93.57</v>
      </c>
      <c r="E69" s="2"/>
      <c r="F69" s="7">
        <f t="shared" si="13"/>
        <v>7.1282956082934154E-3</v>
      </c>
      <c r="G69" s="2"/>
      <c r="H69" s="6"/>
      <c r="I69" s="2"/>
      <c r="J69" s="7">
        <f t="shared" si="14"/>
        <v>0</v>
      </c>
      <c r="K69" s="2"/>
      <c r="L69" s="6">
        <f t="shared" si="15"/>
        <v>93.57</v>
      </c>
      <c r="M69" s="2"/>
      <c r="N69" s="7">
        <f t="shared" si="16"/>
        <v>0</v>
      </c>
      <c r="O69" s="11"/>
      <c r="P69" s="6">
        <v>646.20000000000005</v>
      </c>
      <c r="Q69" s="2"/>
      <c r="R69" s="7">
        <f t="shared" si="17"/>
        <v>3.273164396414126E-4</v>
      </c>
      <c r="S69" s="2"/>
      <c r="T69" s="6"/>
      <c r="U69" s="2"/>
      <c r="V69" s="7">
        <f t="shared" si="18"/>
        <v>0</v>
      </c>
      <c r="W69" s="2"/>
      <c r="X69" s="6">
        <f t="shared" si="19"/>
        <v>646.20000000000005</v>
      </c>
      <c r="Y69" s="2"/>
      <c r="Z69" s="7">
        <f t="shared" si="20"/>
        <v>0</v>
      </c>
    </row>
    <row r="70" spans="1:26" s="24" customFormat="1" hidden="1" outlineLevel="2" x14ac:dyDescent="0.25">
      <c r="A70" s="25"/>
      <c r="B70" s="11" t="str">
        <f>CONCATENATE("          ", "6118", " - ", "VACATION")</f>
        <v xml:space="preserve">          6118 - VACATION</v>
      </c>
      <c r="C70" s="11"/>
      <c r="D70" s="6">
        <v>204.7</v>
      </c>
      <c r="E70" s="2"/>
      <c r="F70" s="7">
        <f t="shared" si="13"/>
        <v>1.5594336977852539E-2</v>
      </c>
      <c r="G70" s="2"/>
      <c r="H70" s="6">
        <v>1427.9603583999999</v>
      </c>
      <c r="I70" s="2"/>
      <c r="J70" s="7">
        <f t="shared" si="14"/>
        <v>0.13701404321627325</v>
      </c>
      <c r="K70" s="2"/>
      <c r="L70" s="6">
        <f t="shared" si="15"/>
        <v>-1223.2603583999999</v>
      </c>
      <c r="M70" s="2"/>
      <c r="N70" s="7">
        <f t="shared" si="16"/>
        <v>-0.85664868159970342</v>
      </c>
      <c r="O70" s="11"/>
      <c r="P70" s="6">
        <v>4841.92</v>
      </c>
      <c r="Q70" s="2"/>
      <c r="R70" s="7">
        <f t="shared" si="17"/>
        <v>2.4525534129194496E-3</v>
      </c>
      <c r="S70" s="2"/>
      <c r="T70" s="6">
        <v>7853.7819712</v>
      </c>
      <c r="U70" s="2"/>
      <c r="V70" s="7">
        <f t="shared" si="18"/>
        <v>3.8237808237959305E-3</v>
      </c>
      <c r="W70" s="2"/>
      <c r="X70" s="6">
        <f t="shared" si="19"/>
        <v>-3011.8619712</v>
      </c>
      <c r="Y70" s="2"/>
      <c r="Z70" s="7">
        <f t="shared" si="20"/>
        <v>-0.38349192557732914</v>
      </c>
    </row>
    <row r="71" spans="1:26" s="24" customFormat="1" hidden="1" outlineLevel="2" x14ac:dyDescent="0.25">
      <c r="A71" s="25"/>
      <c r="B71" s="11" t="str">
        <f>CONCATENATE("          ", "6119", " - ", "SICK LEAVE")</f>
        <v xml:space="preserve">          6119 - SICK LEAVE</v>
      </c>
      <c r="C71" s="11"/>
      <c r="D71" s="6">
        <v>801.74</v>
      </c>
      <c r="E71" s="2"/>
      <c r="F71" s="7">
        <f t="shared" si="13"/>
        <v>6.1077692860886643E-2</v>
      </c>
      <c r="G71" s="2"/>
      <c r="H71" s="6">
        <v>1027.11227249231</v>
      </c>
      <c r="I71" s="2"/>
      <c r="J71" s="7">
        <f t="shared" si="14"/>
        <v>9.8552319371743427E-2</v>
      </c>
      <c r="K71" s="2"/>
      <c r="L71" s="6">
        <f t="shared" si="15"/>
        <v>-225.37227249231</v>
      </c>
      <c r="M71" s="2"/>
      <c r="N71" s="7">
        <f t="shared" si="16"/>
        <v>-0.21942321061497916</v>
      </c>
      <c r="O71" s="11"/>
      <c r="P71" s="6">
        <v>5318.37</v>
      </c>
      <c r="Q71" s="2"/>
      <c r="R71" s="7">
        <f t="shared" si="17"/>
        <v>2.6938872378454029E-3</v>
      </c>
      <c r="S71" s="2"/>
      <c r="T71" s="6">
        <v>5768.8002987076907</v>
      </c>
      <c r="U71" s="2"/>
      <c r="V71" s="7">
        <f t="shared" si="18"/>
        <v>2.8086631433615296E-3</v>
      </c>
      <c r="W71" s="2"/>
      <c r="X71" s="6">
        <f t="shared" si="19"/>
        <v>-450.43029870769078</v>
      </c>
      <c r="Y71" s="2"/>
      <c r="Z71" s="7">
        <f t="shared" si="20"/>
        <v>-7.8080411070668335E-2</v>
      </c>
    </row>
    <row r="72" spans="1:26" s="24" customFormat="1" hidden="1" outlineLevel="2" x14ac:dyDescent="0.25">
      <c r="A72" s="25"/>
      <c r="B72" s="11" t="str">
        <f>CONCATENATE("          ", "6156", " - ", "EMPLOYEE MEALS")</f>
        <v xml:space="preserve">          6156 - EMPLOYEE MEALS</v>
      </c>
      <c r="C72" s="11"/>
      <c r="D72" s="6">
        <v>566.07000000000005</v>
      </c>
      <c r="E72" s="2"/>
      <c r="F72" s="7">
        <f t="shared" si="13"/>
        <v>4.3124017259662861E-2</v>
      </c>
      <c r="G72" s="2"/>
      <c r="H72" s="6">
        <v>750</v>
      </c>
      <c r="I72" s="2"/>
      <c r="J72" s="7">
        <f t="shared" si="14"/>
        <v>7.1963154864709264E-2</v>
      </c>
      <c r="K72" s="2"/>
      <c r="L72" s="6">
        <f t="shared" si="15"/>
        <v>-183.92999999999995</v>
      </c>
      <c r="M72" s="2"/>
      <c r="N72" s="7">
        <f t="shared" si="16"/>
        <v>-0.24523999999999993</v>
      </c>
      <c r="O72" s="11"/>
      <c r="P72" s="6">
        <v>2944.8</v>
      </c>
      <c r="Q72" s="2"/>
      <c r="R72" s="7">
        <f t="shared" si="17"/>
        <v>1.4916147500093342E-3</v>
      </c>
      <c r="S72" s="2"/>
      <c r="T72" s="6">
        <v>3750</v>
      </c>
      <c r="U72" s="2"/>
      <c r="V72" s="7">
        <f t="shared" si="18"/>
        <v>1.8257672726104234E-3</v>
      </c>
      <c r="W72" s="2"/>
      <c r="X72" s="6">
        <f t="shared" si="19"/>
        <v>-805.19999999999982</v>
      </c>
      <c r="Y72" s="2"/>
      <c r="Z72" s="7">
        <f t="shared" si="20"/>
        <v>-0.21471999999999994</v>
      </c>
    </row>
    <row r="73" spans="1:26" s="26" customFormat="1" outlineLevel="1" collapsed="1" x14ac:dyDescent="0.25">
      <c r="A73" s="27"/>
      <c r="B73" s="13" t="str">
        <f>CONCATENATE("     ","*Payroll                                          ")</f>
        <v xml:space="preserve">     *Payroll                                          </v>
      </c>
      <c r="C73" s="13"/>
      <c r="D73" s="1">
        <f>SUM(OSRRefD22_1x_0)</f>
        <v>22494.690000000002</v>
      </c>
      <c r="E73" s="1"/>
      <c r="F73" s="5">
        <f t="shared" ref="F73:F83" si="21">IF(D$12=0,0,D73/D$12)</f>
        <v>1.713677460050463</v>
      </c>
      <c r="G73" s="1"/>
      <c r="H73" s="1">
        <f>SUM(OSRRefH22_1x_0)</f>
        <v>24992.947215723099</v>
      </c>
      <c r="I73" s="1"/>
      <c r="J73" s="5">
        <f t="shared" ref="J73:J83" si="22">IF(H$12=0,0,H73/H$12)</f>
        <v>2.3980951080141142</v>
      </c>
      <c r="K73" s="1"/>
      <c r="L73" s="1">
        <f t="shared" ref="L73:L83" si="23">+D73-H73</f>
        <v>-2498.257215723097</v>
      </c>
      <c r="M73" s="1"/>
      <c r="N73" s="5">
        <f t="shared" ref="N73:N83" si="24">IF(H73=0,0,L73/H73)</f>
        <v>-9.9958488055039776E-2</v>
      </c>
      <c r="O73" s="13"/>
      <c r="P73" s="1">
        <f>SUM(OSRRefP22_1x_0)</f>
        <v>118955.95999999999</v>
      </c>
      <c r="Q73" s="1"/>
      <c r="R73" s="5">
        <f t="shared" ref="R73:R83" si="25">IF(P$12=0,0,P73/P$12)</f>
        <v>6.0254164811708887E-2</v>
      </c>
      <c r="S73" s="1"/>
      <c r="T73" s="1">
        <f>SUM(OSRRefT22_1x_0)</f>
        <v>149429.48968647691</v>
      </c>
      <c r="U73" s="1"/>
      <c r="V73" s="5">
        <f t="shared" ref="V73:V83" si="26">IF(T$12=0,0,T73/T$12)</f>
        <v>7.2752925821985698E-2</v>
      </c>
      <c r="W73" s="1"/>
      <c r="X73" s="1">
        <f t="shared" ref="X73:X83" si="27">+P73-T73</f>
        <v>-30473.529686476919</v>
      </c>
      <c r="Y73" s="1"/>
      <c r="Z73" s="5">
        <f t="shared" ref="Z73:Z83" si="28">IF(T73=0,0,X73/T73)</f>
        <v>-0.20393250188041509</v>
      </c>
    </row>
    <row r="74" spans="1:26" s="24" customFormat="1" hidden="1" outlineLevel="2" x14ac:dyDescent="0.25">
      <c r="A74" s="25"/>
      <c r="B74" s="11" t="str">
        <f>CONCATENATE("          ", "6001", " - ", "ADMINISTRATIVE SALARIES")</f>
        <v xml:space="preserve">          6001 - ADMINISTRATIVE SALARIES</v>
      </c>
      <c r="C74" s="11"/>
      <c r="D74" s="6"/>
      <c r="E74" s="2"/>
      <c r="F74" s="7">
        <f t="shared" si="21"/>
        <v>0</v>
      </c>
      <c r="G74" s="2"/>
      <c r="H74" s="6">
        <v>0</v>
      </c>
      <c r="I74" s="2"/>
      <c r="J74" s="7">
        <f t="shared" si="22"/>
        <v>0</v>
      </c>
      <c r="K74" s="2"/>
      <c r="L74" s="6">
        <f t="shared" si="23"/>
        <v>0</v>
      </c>
      <c r="M74" s="2"/>
      <c r="N74" s="7">
        <f t="shared" si="24"/>
        <v>0</v>
      </c>
      <c r="O74" s="11"/>
      <c r="P74" s="6"/>
      <c r="Q74" s="2"/>
      <c r="R74" s="7">
        <f t="shared" si="25"/>
        <v>0</v>
      </c>
      <c r="S74" s="2"/>
      <c r="T74" s="6">
        <v>0</v>
      </c>
      <c r="U74" s="2"/>
      <c r="V74" s="7">
        <f t="shared" si="26"/>
        <v>0</v>
      </c>
      <c r="W74" s="2"/>
      <c r="X74" s="6">
        <f t="shared" si="27"/>
        <v>0</v>
      </c>
      <c r="Y74" s="2"/>
      <c r="Z74" s="7">
        <f t="shared" si="28"/>
        <v>0</v>
      </c>
    </row>
    <row r="75" spans="1:26" s="24" customFormat="1" hidden="1" outlineLevel="2" x14ac:dyDescent="0.25">
      <c r="A75" s="25"/>
      <c r="B75" s="11" t="str">
        <f>CONCATENATE("          ", "6002", " - ", "STAFF SALARIES")</f>
        <v xml:space="preserve">          6002 - STAFF SALARIES</v>
      </c>
      <c r="C75" s="11"/>
      <c r="D75" s="6">
        <v>13756.3</v>
      </c>
      <c r="E75" s="2"/>
      <c r="F75" s="7">
        <f t="shared" si="21"/>
        <v>1.0479744883655735</v>
      </c>
      <c r="G75" s="2"/>
      <c r="H75" s="6">
        <v>12765.0123437231</v>
      </c>
      <c r="I75" s="2"/>
      <c r="J75" s="7">
        <f t="shared" si="22"/>
        <v>1.2248140801883611</v>
      </c>
      <c r="K75" s="2"/>
      <c r="L75" s="6">
        <f t="shared" si="23"/>
        <v>991.28765627689972</v>
      </c>
      <c r="M75" s="2"/>
      <c r="N75" s="7">
        <f t="shared" si="24"/>
        <v>7.7656615566403478E-2</v>
      </c>
      <c r="O75" s="11"/>
      <c r="P75" s="6">
        <v>74645.83</v>
      </c>
      <c r="Q75" s="2"/>
      <c r="R75" s="7">
        <f t="shared" si="25"/>
        <v>3.7809977266601895E-2</v>
      </c>
      <c r="S75" s="2"/>
      <c r="T75" s="6">
        <v>70207.567890476901</v>
      </c>
      <c r="U75" s="2"/>
      <c r="V75" s="7">
        <f t="shared" si="26"/>
        <v>3.4182047931735238E-2</v>
      </c>
      <c r="W75" s="2"/>
      <c r="X75" s="6">
        <f t="shared" si="27"/>
        <v>4438.2621095231007</v>
      </c>
      <c r="Y75" s="2"/>
      <c r="Z75" s="7">
        <f t="shared" si="28"/>
        <v>6.3216291959390256E-2</v>
      </c>
    </row>
    <row r="76" spans="1:26" s="24" customFormat="1" hidden="1" outlineLevel="2" x14ac:dyDescent="0.25">
      <c r="A76" s="25"/>
      <c r="B76" s="11" t="str">
        <f>CONCATENATE("          ", "6003", " - ", "STAFF HOURLY-9 MONTH")</f>
        <v xml:space="preserve">          6003 - STAFF HOURLY-9 MONTH</v>
      </c>
      <c r="C76" s="11"/>
      <c r="D76" s="6"/>
      <c r="E76" s="2"/>
      <c r="F76" s="7">
        <f t="shared" si="21"/>
        <v>0</v>
      </c>
      <c r="G76" s="2"/>
      <c r="H76" s="6">
        <v>0</v>
      </c>
      <c r="I76" s="2"/>
      <c r="J76" s="7">
        <f t="shared" si="22"/>
        <v>0</v>
      </c>
      <c r="K76" s="2"/>
      <c r="L76" s="6">
        <f t="shared" si="23"/>
        <v>0</v>
      </c>
      <c r="M76" s="2"/>
      <c r="N76" s="7">
        <f t="shared" si="24"/>
        <v>0</v>
      </c>
      <c r="O76" s="11"/>
      <c r="P76" s="6"/>
      <c r="Q76" s="2"/>
      <c r="R76" s="7">
        <f t="shared" si="25"/>
        <v>0</v>
      </c>
      <c r="S76" s="2"/>
      <c r="T76" s="6">
        <v>0</v>
      </c>
      <c r="U76" s="2"/>
      <c r="V76" s="7">
        <f t="shared" si="26"/>
        <v>0</v>
      </c>
      <c r="W76" s="2"/>
      <c r="X76" s="6">
        <f t="shared" si="27"/>
        <v>0</v>
      </c>
      <c r="Y76" s="2"/>
      <c r="Z76" s="7">
        <f t="shared" si="28"/>
        <v>0</v>
      </c>
    </row>
    <row r="77" spans="1:26" s="24" customFormat="1" hidden="1" outlineLevel="2" x14ac:dyDescent="0.25">
      <c r="A77" s="25"/>
      <c r="B77" s="11" t="str">
        <f>CONCATENATE("          ", "6004", " - ", "STAFF HOURLY")</f>
        <v xml:space="preserve">          6004 - STAFF HOURLY</v>
      </c>
      <c r="C77" s="11"/>
      <c r="D77" s="6">
        <v>3123.86</v>
      </c>
      <c r="E77" s="2"/>
      <c r="F77" s="7">
        <f t="shared" si="21"/>
        <v>0.23798009531819461</v>
      </c>
      <c r="G77" s="2"/>
      <c r="H77" s="6">
        <v>5865.9348719999998</v>
      </c>
      <c r="I77" s="2"/>
      <c r="J77" s="7">
        <f t="shared" si="22"/>
        <v>0.56284157282671265</v>
      </c>
      <c r="K77" s="2"/>
      <c r="L77" s="6">
        <f t="shared" si="23"/>
        <v>-2742.0748719999997</v>
      </c>
      <c r="M77" s="2"/>
      <c r="N77" s="7">
        <f t="shared" si="24"/>
        <v>-0.46745743548719026</v>
      </c>
      <c r="O77" s="11"/>
      <c r="P77" s="6">
        <v>15313.030000000002</v>
      </c>
      <c r="Q77" s="2"/>
      <c r="R77" s="7">
        <f t="shared" si="25"/>
        <v>7.7564321567968747E-3</v>
      </c>
      <c r="S77" s="2"/>
      <c r="T77" s="6">
        <v>32262.641796000004</v>
      </c>
      <c r="U77" s="2"/>
      <c r="V77" s="7">
        <f t="shared" si="26"/>
        <v>1.5707753471757329E-2</v>
      </c>
      <c r="W77" s="2"/>
      <c r="X77" s="6">
        <f t="shared" si="27"/>
        <v>-16949.611796000001</v>
      </c>
      <c r="Y77" s="2"/>
      <c r="Z77" s="7">
        <f t="shared" si="28"/>
        <v>-0.52536341887853255</v>
      </c>
    </row>
    <row r="78" spans="1:26" s="24" customFormat="1" hidden="1" outlineLevel="2" x14ac:dyDescent="0.25">
      <c r="A78" s="25"/>
      <c r="B78" s="11" t="str">
        <f>CONCATENATE("          ", "6005", " - ", "TEMPORARY WAGES-HOURLY")</f>
        <v xml:space="preserve">          6005 - TEMPORARY WAGES-HOURLY</v>
      </c>
      <c r="C78" s="11"/>
      <c r="D78" s="6">
        <v>2577.02</v>
      </c>
      <c r="E78" s="2"/>
      <c r="F78" s="7">
        <f t="shared" si="21"/>
        <v>0.19632104679367637</v>
      </c>
      <c r="G78" s="2"/>
      <c r="H78" s="6">
        <v>2792</v>
      </c>
      <c r="I78" s="2"/>
      <c r="J78" s="7">
        <f t="shared" si="22"/>
        <v>0.26789483784302437</v>
      </c>
      <c r="K78" s="2"/>
      <c r="L78" s="6">
        <f t="shared" si="23"/>
        <v>-214.98000000000002</v>
      </c>
      <c r="M78" s="2"/>
      <c r="N78" s="7">
        <f t="shared" si="24"/>
        <v>-7.6998567335243559E-2</v>
      </c>
      <c r="O78" s="11"/>
      <c r="P78" s="6">
        <v>10271.120000000001</v>
      </c>
      <c r="Q78" s="2"/>
      <c r="R78" s="7">
        <f t="shared" si="25"/>
        <v>5.2025788138806957E-3</v>
      </c>
      <c r="S78" s="2"/>
      <c r="T78" s="6">
        <v>16305.28</v>
      </c>
      <c r="U78" s="2"/>
      <c r="V78" s="7">
        <f t="shared" si="26"/>
        <v>7.9385724252664762E-3</v>
      </c>
      <c r="W78" s="2"/>
      <c r="X78" s="6">
        <f t="shared" si="27"/>
        <v>-6034.16</v>
      </c>
      <c r="Y78" s="2"/>
      <c r="Z78" s="7">
        <f t="shared" si="28"/>
        <v>-0.37007398830317539</v>
      </c>
    </row>
    <row r="79" spans="1:26" s="24" customFormat="1" hidden="1" outlineLevel="2" x14ac:dyDescent="0.25">
      <c r="A79" s="25"/>
      <c r="B79" s="11" t="str">
        <f>CONCATENATE("          ", "6006", " - ", "TEMPORARY PART TIME")</f>
        <v xml:space="preserve">          6006 - TEMPORARY PART TIME</v>
      </c>
      <c r="C79" s="11"/>
      <c r="D79" s="6"/>
      <c r="E79" s="2"/>
      <c r="F79" s="7">
        <f t="shared" si="21"/>
        <v>0</v>
      </c>
      <c r="G79" s="2"/>
      <c r="H79" s="6">
        <v>0</v>
      </c>
      <c r="I79" s="2"/>
      <c r="J79" s="7">
        <f t="shared" si="22"/>
        <v>0</v>
      </c>
      <c r="K79" s="2"/>
      <c r="L79" s="6">
        <f t="shared" si="23"/>
        <v>0</v>
      </c>
      <c r="M79" s="2"/>
      <c r="N79" s="7">
        <f t="shared" si="24"/>
        <v>0</v>
      </c>
      <c r="O79" s="11"/>
      <c r="P79" s="6"/>
      <c r="Q79" s="2"/>
      <c r="R79" s="7">
        <f t="shared" si="25"/>
        <v>0</v>
      </c>
      <c r="S79" s="2"/>
      <c r="T79" s="6">
        <v>0</v>
      </c>
      <c r="U79" s="2"/>
      <c r="V79" s="7">
        <f t="shared" si="26"/>
        <v>0</v>
      </c>
      <c r="W79" s="2"/>
      <c r="X79" s="6">
        <f t="shared" si="27"/>
        <v>0</v>
      </c>
      <c r="Y79" s="2"/>
      <c r="Z79" s="7">
        <f t="shared" si="28"/>
        <v>0</v>
      </c>
    </row>
    <row r="80" spans="1:26" s="24" customFormat="1" hidden="1" outlineLevel="2" x14ac:dyDescent="0.25">
      <c r="A80" s="25"/>
      <c r="B80" s="11" t="str">
        <f>CONCATENATE("          ", "6007", " - ", "STUDENT HOURLY")</f>
        <v xml:space="preserve">          6007 - STUDENT HOURLY</v>
      </c>
      <c r="C80" s="11"/>
      <c r="D80" s="6">
        <v>3037.51</v>
      </c>
      <c r="E80" s="2"/>
      <c r="F80" s="7">
        <f t="shared" si="21"/>
        <v>0.23140182957301841</v>
      </c>
      <c r="G80" s="2"/>
      <c r="H80" s="6">
        <v>0</v>
      </c>
      <c r="I80" s="2"/>
      <c r="J80" s="7">
        <f t="shared" si="22"/>
        <v>0</v>
      </c>
      <c r="K80" s="2"/>
      <c r="L80" s="6">
        <f t="shared" si="23"/>
        <v>3037.51</v>
      </c>
      <c r="M80" s="2"/>
      <c r="N80" s="7">
        <f t="shared" si="24"/>
        <v>0</v>
      </c>
      <c r="O80" s="11"/>
      <c r="P80" s="6">
        <v>18725.98</v>
      </c>
      <c r="Q80" s="2"/>
      <c r="R80" s="7">
        <f t="shared" si="25"/>
        <v>9.4851765744294308E-3</v>
      </c>
      <c r="S80" s="2"/>
      <c r="T80" s="6">
        <v>8032.5</v>
      </c>
      <c r="U80" s="2"/>
      <c r="V80" s="7">
        <f t="shared" si="26"/>
        <v>3.9107934979315268E-3</v>
      </c>
      <c r="W80" s="2"/>
      <c r="X80" s="6">
        <f t="shared" si="27"/>
        <v>10693.48</v>
      </c>
      <c r="Y80" s="2"/>
      <c r="Z80" s="7">
        <f t="shared" si="28"/>
        <v>1.3312766884531591</v>
      </c>
    </row>
    <row r="81" spans="1:26" s="24" customFormat="1" hidden="1" outlineLevel="2" x14ac:dyDescent="0.25">
      <c r="A81" s="25"/>
      <c r="B81" s="11" t="str">
        <f>CONCATENATE("          ", "6008", " - ", "STUDENT HOURLY-FICA EXEMPT")</f>
        <v xml:space="preserve">          6008 - STUDENT HOURLY-FICA EXEMPT</v>
      </c>
      <c r="C81" s="11"/>
      <c r="D81" s="6"/>
      <c r="E81" s="2"/>
      <c r="F81" s="7">
        <f t="shared" si="21"/>
        <v>0</v>
      </c>
      <c r="G81" s="2"/>
      <c r="H81" s="6">
        <v>3570</v>
      </c>
      <c r="I81" s="2"/>
      <c r="J81" s="7">
        <f t="shared" si="22"/>
        <v>0.34254461715601614</v>
      </c>
      <c r="K81" s="2"/>
      <c r="L81" s="6">
        <f t="shared" si="23"/>
        <v>-3570</v>
      </c>
      <c r="M81" s="2"/>
      <c r="N81" s="7">
        <f t="shared" si="24"/>
        <v>-1</v>
      </c>
      <c r="O81" s="11"/>
      <c r="P81" s="6"/>
      <c r="Q81" s="2"/>
      <c r="R81" s="7">
        <f t="shared" si="25"/>
        <v>0</v>
      </c>
      <c r="S81" s="2"/>
      <c r="T81" s="6">
        <v>22621.5</v>
      </c>
      <c r="U81" s="2"/>
      <c r="V81" s="7">
        <f t="shared" si="26"/>
        <v>1.1013758495295118E-2</v>
      </c>
      <c r="W81" s="2"/>
      <c r="X81" s="6">
        <f t="shared" si="27"/>
        <v>-22621.5</v>
      </c>
      <c r="Y81" s="2"/>
      <c r="Z81" s="7">
        <f t="shared" si="28"/>
        <v>-1</v>
      </c>
    </row>
    <row r="82" spans="1:26" s="24" customFormat="1" hidden="1" outlineLevel="2" x14ac:dyDescent="0.25">
      <c r="A82" s="25"/>
      <c r="B82" s="11" t="str">
        <f>CONCATENATE("          ", "6009", " - ", "TEMPORARY-SEASONAL")</f>
        <v xml:space="preserve">          6009 - TEMPORARY-SEASONAL</v>
      </c>
      <c r="C82" s="11"/>
      <c r="D82" s="6"/>
      <c r="E82" s="2"/>
      <c r="F82" s="7">
        <f t="shared" si="21"/>
        <v>0</v>
      </c>
      <c r="G82" s="2"/>
      <c r="H82" s="6">
        <v>0</v>
      </c>
      <c r="I82" s="2"/>
      <c r="J82" s="7">
        <f t="shared" si="22"/>
        <v>0</v>
      </c>
      <c r="K82" s="2"/>
      <c r="L82" s="6">
        <f t="shared" si="23"/>
        <v>0</v>
      </c>
      <c r="M82" s="2"/>
      <c r="N82" s="7">
        <f t="shared" si="24"/>
        <v>0</v>
      </c>
      <c r="O82" s="11"/>
      <c r="P82" s="6"/>
      <c r="Q82" s="2"/>
      <c r="R82" s="7">
        <f t="shared" si="25"/>
        <v>0</v>
      </c>
      <c r="S82" s="2"/>
      <c r="T82" s="6">
        <v>0</v>
      </c>
      <c r="U82" s="2"/>
      <c r="V82" s="7">
        <f t="shared" si="26"/>
        <v>0</v>
      </c>
      <c r="W82" s="2"/>
      <c r="X82" s="6">
        <f t="shared" si="27"/>
        <v>0</v>
      </c>
      <c r="Y82" s="2"/>
      <c r="Z82" s="7">
        <f t="shared" si="28"/>
        <v>0</v>
      </c>
    </row>
    <row r="83" spans="1:26" s="24" customFormat="1" hidden="1" outlineLevel="2" x14ac:dyDescent="0.25">
      <c r="A83" s="25"/>
      <c r="B83" s="11" t="str">
        <f>CONCATENATE("          ", "6010", " - ", "GRATUITY")</f>
        <v xml:space="preserve">          6010 - GRATUITY</v>
      </c>
      <c r="C83" s="11"/>
      <c r="D83" s="6"/>
      <c r="E83" s="2"/>
      <c r="F83" s="7">
        <f t="shared" si="21"/>
        <v>0</v>
      </c>
      <c r="G83" s="2"/>
      <c r="H83" s="6">
        <v>0</v>
      </c>
      <c r="I83" s="2"/>
      <c r="J83" s="7">
        <f t="shared" si="22"/>
        <v>0</v>
      </c>
      <c r="K83" s="2"/>
      <c r="L83" s="6">
        <f t="shared" si="23"/>
        <v>0</v>
      </c>
      <c r="M83" s="2"/>
      <c r="N83" s="7">
        <f t="shared" si="24"/>
        <v>0</v>
      </c>
      <c r="O83" s="11"/>
      <c r="P83" s="6"/>
      <c r="Q83" s="2"/>
      <c r="R83" s="7">
        <f t="shared" si="25"/>
        <v>0</v>
      </c>
      <c r="S83" s="2"/>
      <c r="T83" s="6">
        <v>0</v>
      </c>
      <c r="U83" s="2"/>
      <c r="V83" s="7">
        <f t="shared" si="26"/>
        <v>0</v>
      </c>
      <c r="W83" s="2"/>
      <c r="X83" s="6">
        <f t="shared" si="27"/>
        <v>0</v>
      </c>
      <c r="Y83" s="2"/>
      <c r="Z83" s="7">
        <f t="shared" si="28"/>
        <v>0</v>
      </c>
    </row>
    <row r="84" spans="1:26" s="26" customFormat="1" outlineLevel="1" collapsed="1" x14ac:dyDescent="0.25">
      <c r="A84" s="27"/>
      <c r="B84" s="13" t="str">
        <f>CONCATENATE("     ","Advertising/Promo                                 ")</f>
        <v xml:space="preserve">     Advertising/Promo                                 </v>
      </c>
      <c r="C84" s="13"/>
      <c r="D84" s="1">
        <f>SUM(OSRRefD22_2x_0)</f>
        <v>72.069999999999993</v>
      </c>
      <c r="E84" s="1"/>
      <c r="F84" s="5">
        <f t="shared" ref="F84:F88" si="29">IF(D$12=0,0,D84/D$12)</f>
        <v>5.4903950463792497E-3</v>
      </c>
      <c r="G84" s="1"/>
      <c r="H84" s="1">
        <f>SUM(OSRRefH22_2x_0)</f>
        <v>200</v>
      </c>
      <c r="I84" s="1"/>
      <c r="J84" s="5">
        <f t="shared" ref="J84:J88" si="30">IF(H$12=0,0,H84/H$12)</f>
        <v>1.9190174630589137E-2</v>
      </c>
      <c r="K84" s="1"/>
      <c r="L84" s="1">
        <f t="shared" ref="L84:L88" si="31">+D84-H84</f>
        <v>-127.93</v>
      </c>
      <c r="M84" s="1"/>
      <c r="N84" s="5">
        <f t="shared" ref="N84:N88" si="32">IF(H84=0,0,L84/H84)</f>
        <v>-0.63965000000000005</v>
      </c>
      <c r="O84" s="13"/>
      <c r="P84" s="1">
        <f>SUM(OSRRefP22_2x_0)</f>
        <v>3208.09</v>
      </c>
      <c r="Q84" s="1"/>
      <c r="R84" s="5">
        <f t="shared" ref="R84:R88" si="33">IF(P$12=0,0,P84/P$12)</f>
        <v>1.6249777110015774E-3</v>
      </c>
      <c r="S84" s="1"/>
      <c r="T84" s="1">
        <f>SUM(OSRRefT22_2x_0)</f>
        <v>2400</v>
      </c>
      <c r="U84" s="1"/>
      <c r="V84" s="5">
        <f t="shared" ref="V84:V88" si="34">IF(T$12=0,0,T84/T$12)</f>
        <v>1.168491054470671E-3</v>
      </c>
      <c r="W84" s="1"/>
      <c r="X84" s="1">
        <f t="shared" ref="X84:X88" si="35">+P84-T84</f>
        <v>808.09000000000015</v>
      </c>
      <c r="Y84" s="1"/>
      <c r="Z84" s="5">
        <f t="shared" ref="Z84:Z88" si="36">IF(T84=0,0,X84/T84)</f>
        <v>0.33670416666666675</v>
      </c>
    </row>
    <row r="85" spans="1:26" s="24" customFormat="1" hidden="1" outlineLevel="2" x14ac:dyDescent="0.25">
      <c r="A85" s="25"/>
      <c r="B85" s="11" t="str">
        <f>CONCATENATE("          ", "6362", " - ", "ADVERTISING EXPENSE")</f>
        <v xml:space="preserve">          6362 - ADVERTISING EXPENSE</v>
      </c>
      <c r="C85" s="11"/>
      <c r="D85" s="6">
        <v>72.069999999999993</v>
      </c>
      <c r="E85" s="2"/>
      <c r="F85" s="7">
        <f t="shared" si="29"/>
        <v>5.4903950463792497E-3</v>
      </c>
      <c r="G85" s="2"/>
      <c r="H85" s="6">
        <v>200</v>
      </c>
      <c r="I85" s="2"/>
      <c r="J85" s="7">
        <f t="shared" si="30"/>
        <v>1.9190174630589137E-2</v>
      </c>
      <c r="K85" s="2"/>
      <c r="L85" s="6">
        <f t="shared" si="31"/>
        <v>-127.93</v>
      </c>
      <c r="M85" s="2"/>
      <c r="N85" s="7">
        <f t="shared" si="32"/>
        <v>-0.63965000000000005</v>
      </c>
      <c r="O85" s="11"/>
      <c r="P85" s="6">
        <v>3208.09</v>
      </c>
      <c r="Q85" s="2"/>
      <c r="R85" s="7">
        <f t="shared" si="33"/>
        <v>1.6249777110015774E-3</v>
      </c>
      <c r="S85" s="2"/>
      <c r="T85" s="6">
        <v>2400</v>
      </c>
      <c r="U85" s="2"/>
      <c r="V85" s="7">
        <f t="shared" si="34"/>
        <v>1.168491054470671E-3</v>
      </c>
      <c r="W85" s="2"/>
      <c r="X85" s="6">
        <f t="shared" si="35"/>
        <v>808.09000000000015</v>
      </c>
      <c r="Y85" s="2"/>
      <c r="Z85" s="7">
        <f t="shared" si="36"/>
        <v>0.33670416666666675</v>
      </c>
    </row>
    <row r="86" spans="1:26" s="26" customFormat="1" outlineLevel="1" collapsed="1" x14ac:dyDescent="0.25">
      <c r="A86" s="27"/>
      <c r="B86" s="13" t="str">
        <f>CONCATENATE("     ","Discounts and Markdowns                           ")</f>
        <v xml:space="preserve">     Discounts and Markdowns                           </v>
      </c>
      <c r="C86" s="13"/>
      <c r="D86" s="1">
        <f>SUM(OSRRefD22_3x_0)</f>
        <v>242.82</v>
      </c>
      <c r="E86" s="1"/>
      <c r="F86" s="5">
        <f t="shared" si="29"/>
        <v>1.8498372764837095E-2</v>
      </c>
      <c r="G86" s="1"/>
      <c r="H86" s="1">
        <f>SUM(OSRRefH22_3x_0)</f>
        <v>1925</v>
      </c>
      <c r="I86" s="1"/>
      <c r="J86" s="5">
        <f t="shared" si="30"/>
        <v>0.18470543081942045</v>
      </c>
      <c r="K86" s="1"/>
      <c r="L86" s="1">
        <f t="shared" si="31"/>
        <v>-1682.18</v>
      </c>
      <c r="M86" s="1"/>
      <c r="N86" s="5">
        <f t="shared" si="32"/>
        <v>-0.87385974025974034</v>
      </c>
      <c r="O86" s="13"/>
      <c r="P86" s="1">
        <f>SUM(OSRRefP22_3x_0)</f>
        <v>-2513.23</v>
      </c>
      <c r="Q86" s="1"/>
      <c r="R86" s="5">
        <f t="shared" si="33"/>
        <v>-1.2730137660166934E-3</v>
      </c>
      <c r="S86" s="1"/>
      <c r="T86" s="1">
        <f>SUM(OSRRefT22_3x_0)</f>
        <v>13225</v>
      </c>
      <c r="U86" s="1"/>
      <c r="V86" s="5">
        <f t="shared" si="34"/>
        <v>6.4388725814060934E-3</v>
      </c>
      <c r="W86" s="1"/>
      <c r="X86" s="1">
        <f t="shared" si="35"/>
        <v>-15738.23</v>
      </c>
      <c r="Y86" s="1"/>
      <c r="Z86" s="5">
        <f t="shared" si="36"/>
        <v>-1.1900362948960301</v>
      </c>
    </row>
    <row r="87" spans="1:26" s="24" customFormat="1" hidden="1" outlineLevel="2" x14ac:dyDescent="0.25">
      <c r="A87" s="25"/>
      <c r="B87" s="11" t="str">
        <f>CONCATENATE("          ", "6382", " - ", "DISCOUNTS/MARK DOWNS")</f>
        <v xml:space="preserve">          6382 - DISCOUNTS/MARK DOWNS</v>
      </c>
      <c r="C87" s="11"/>
      <c r="D87" s="6">
        <v>242.82</v>
      </c>
      <c r="E87" s="2"/>
      <c r="F87" s="7">
        <f t="shared" si="29"/>
        <v>1.8498372764837095E-2</v>
      </c>
      <c r="G87" s="2"/>
      <c r="H87" s="6">
        <v>1925</v>
      </c>
      <c r="I87" s="2"/>
      <c r="J87" s="7">
        <f t="shared" si="30"/>
        <v>0.18470543081942045</v>
      </c>
      <c r="K87" s="2"/>
      <c r="L87" s="6">
        <f t="shared" si="31"/>
        <v>-1682.18</v>
      </c>
      <c r="M87" s="2"/>
      <c r="N87" s="7">
        <f t="shared" si="32"/>
        <v>-0.87385974025974034</v>
      </c>
      <c r="O87" s="11"/>
      <c r="P87" s="6">
        <v>-2079.6</v>
      </c>
      <c r="Q87" s="2"/>
      <c r="R87" s="7">
        <f t="shared" si="33"/>
        <v>-1.0533693405730138E-3</v>
      </c>
      <c r="S87" s="2"/>
      <c r="T87" s="6">
        <v>13225</v>
      </c>
      <c r="U87" s="2"/>
      <c r="V87" s="7">
        <f t="shared" si="34"/>
        <v>6.4388725814060934E-3</v>
      </c>
      <c r="W87" s="2"/>
      <c r="X87" s="6">
        <f t="shared" si="35"/>
        <v>-15304.6</v>
      </c>
      <c r="Y87" s="2"/>
      <c r="Z87" s="7">
        <f t="shared" si="36"/>
        <v>-1.1572476370510398</v>
      </c>
    </row>
    <row r="88" spans="1:26" s="24" customFormat="1" hidden="1" outlineLevel="2" x14ac:dyDescent="0.25">
      <c r="A88" s="25"/>
      <c r="B88" s="11" t="str">
        <f>CONCATENATE("          ", "9175", " - ", "EARNED DISCOUNTS")</f>
        <v xml:space="preserve">          9175 - EARNED DISCOUNTS</v>
      </c>
      <c r="C88" s="11"/>
      <c r="D88" s="6"/>
      <c r="E88" s="2"/>
      <c r="F88" s="7">
        <f t="shared" si="29"/>
        <v>0</v>
      </c>
      <c r="G88" s="2"/>
      <c r="H88" s="6"/>
      <c r="I88" s="2"/>
      <c r="J88" s="7">
        <f t="shared" si="30"/>
        <v>0</v>
      </c>
      <c r="K88" s="2"/>
      <c r="L88" s="6">
        <f t="shared" si="31"/>
        <v>0</v>
      </c>
      <c r="M88" s="2"/>
      <c r="N88" s="7">
        <f t="shared" si="32"/>
        <v>0</v>
      </c>
      <c r="O88" s="11"/>
      <c r="P88" s="6">
        <v>-433.63</v>
      </c>
      <c r="Q88" s="2"/>
      <c r="R88" s="7">
        <f t="shared" si="33"/>
        <v>-2.1964442544367957E-4</v>
      </c>
      <c r="S88" s="2"/>
      <c r="T88" s="6"/>
      <c r="U88" s="2"/>
      <c r="V88" s="7">
        <f t="shared" si="34"/>
        <v>0</v>
      </c>
      <c r="W88" s="2"/>
      <c r="X88" s="6">
        <f t="shared" si="35"/>
        <v>-433.63</v>
      </c>
      <c r="Y88" s="2"/>
      <c r="Z88" s="7">
        <f t="shared" si="36"/>
        <v>0</v>
      </c>
    </row>
    <row r="89" spans="1:26" s="26" customFormat="1" outlineLevel="1" collapsed="1" x14ac:dyDescent="0.25">
      <c r="A89" s="27"/>
      <c r="B89" s="13" t="str">
        <f>CONCATENATE("     ","Employees' Appreciation                           ")</f>
        <v xml:space="preserve">     Employees' Appreciation                           </v>
      </c>
      <c r="C89" s="13"/>
      <c r="D89" s="1">
        <f>SUM(OSRRefD22_4x_0)</f>
        <v>37.880000000000003</v>
      </c>
      <c r="E89" s="1"/>
      <c r="F89" s="5">
        <f t="shared" ref="F89:F95" si="37">IF(D$12=0,0,D89/D$12)</f>
        <v>2.8857522458283062E-3</v>
      </c>
      <c r="G89" s="1"/>
      <c r="H89" s="1">
        <f>SUM(OSRRefH22_4x_0)</f>
        <v>100</v>
      </c>
      <c r="I89" s="1"/>
      <c r="J89" s="5">
        <f t="shared" ref="J89:J95" si="38">IF(H$12=0,0,H89/H$12)</f>
        <v>9.5950873152945686E-3</v>
      </c>
      <c r="K89" s="1"/>
      <c r="L89" s="1">
        <f t="shared" ref="L89:L95" si="39">+D89-H89</f>
        <v>-62.12</v>
      </c>
      <c r="M89" s="1"/>
      <c r="N89" s="5">
        <f t="shared" ref="N89:N95" si="40">IF(H89=0,0,L89/H89)</f>
        <v>-0.62119999999999997</v>
      </c>
      <c r="O89" s="13"/>
      <c r="P89" s="1">
        <f>SUM(OSRRefP22_4x_0)</f>
        <v>37.880000000000003</v>
      </c>
      <c r="Q89" s="1"/>
      <c r="R89" s="5">
        <f t="shared" ref="R89:R95" si="41">IF(P$12=0,0,P89/P$12)</f>
        <v>1.9187166099685405E-5</v>
      </c>
      <c r="S89" s="1"/>
      <c r="T89" s="1">
        <f>SUM(OSRRefT22_4x_0)</f>
        <v>500</v>
      </c>
      <c r="U89" s="1"/>
      <c r="V89" s="5">
        <f t="shared" ref="V89:V95" si="42">IF(T$12=0,0,T89/T$12)</f>
        <v>2.4343563634805646E-4</v>
      </c>
      <c r="W89" s="1"/>
      <c r="X89" s="1">
        <f t="shared" ref="X89:X95" si="43">+P89-T89</f>
        <v>-462.12</v>
      </c>
      <c r="Y89" s="1"/>
      <c r="Z89" s="5">
        <f t="shared" ref="Z89:Z95" si="44">IF(T89=0,0,X89/T89)</f>
        <v>-0.92424000000000006</v>
      </c>
    </row>
    <row r="90" spans="1:26" s="24" customFormat="1" hidden="1" outlineLevel="2" x14ac:dyDescent="0.25">
      <c r="A90" s="25"/>
      <c r="B90" s="11" t="str">
        <f>CONCATENATE("          ", "6277", " - ", "EMPLOYEE APPRECIATION")</f>
        <v xml:space="preserve">          6277 - EMPLOYEE APPRECIATION</v>
      </c>
      <c r="C90" s="11"/>
      <c r="D90" s="6">
        <v>37.880000000000003</v>
      </c>
      <c r="E90" s="2"/>
      <c r="F90" s="7">
        <f t="shared" si="37"/>
        <v>2.8857522458283062E-3</v>
      </c>
      <c r="G90" s="2"/>
      <c r="H90" s="6">
        <v>100</v>
      </c>
      <c r="I90" s="2"/>
      <c r="J90" s="7">
        <f t="shared" si="38"/>
        <v>9.5950873152945686E-3</v>
      </c>
      <c r="K90" s="2"/>
      <c r="L90" s="6">
        <f t="shared" si="39"/>
        <v>-62.12</v>
      </c>
      <c r="M90" s="2"/>
      <c r="N90" s="7">
        <f t="shared" si="40"/>
        <v>-0.62119999999999997</v>
      </c>
      <c r="O90" s="11"/>
      <c r="P90" s="6">
        <v>37.880000000000003</v>
      </c>
      <c r="Q90" s="2"/>
      <c r="R90" s="7">
        <f t="shared" si="41"/>
        <v>1.9187166099685405E-5</v>
      </c>
      <c r="S90" s="2"/>
      <c r="T90" s="6">
        <v>500</v>
      </c>
      <c r="U90" s="2"/>
      <c r="V90" s="7">
        <f t="shared" si="42"/>
        <v>2.4343563634805646E-4</v>
      </c>
      <c r="W90" s="2"/>
      <c r="X90" s="6">
        <f t="shared" si="43"/>
        <v>-462.12</v>
      </c>
      <c r="Y90" s="2"/>
      <c r="Z90" s="7">
        <f t="shared" si="44"/>
        <v>-0.92424000000000006</v>
      </c>
    </row>
    <row r="91" spans="1:26" s="26" customFormat="1" outlineLevel="1" collapsed="1" x14ac:dyDescent="0.25">
      <c r="A91" s="27"/>
      <c r="B91" s="13" t="str">
        <f>CONCATENATE("     ","Equipment Rental                                  ")</f>
        <v xml:space="preserve">     Equipment Rental                                  </v>
      </c>
      <c r="C91" s="13"/>
      <c r="D91" s="1">
        <f>SUM(OSRRefD22_5x_0)</f>
        <v>91.26</v>
      </c>
      <c r="E91" s="1"/>
      <c r="F91" s="5">
        <f t="shared" si="37"/>
        <v>6.9523165246644985E-3</v>
      </c>
      <c r="G91" s="1"/>
      <c r="H91" s="1">
        <f>SUM(OSRRefH22_5x_0)</f>
        <v>100</v>
      </c>
      <c r="I91" s="1"/>
      <c r="J91" s="5">
        <f t="shared" si="38"/>
        <v>9.5950873152945686E-3</v>
      </c>
      <c r="K91" s="1"/>
      <c r="L91" s="1">
        <f t="shared" si="39"/>
        <v>-8.7399999999999949</v>
      </c>
      <c r="M91" s="1"/>
      <c r="N91" s="5">
        <f t="shared" si="40"/>
        <v>-8.739999999999995E-2</v>
      </c>
      <c r="O91" s="13"/>
      <c r="P91" s="1">
        <f>SUM(OSRRefP22_5x_0)</f>
        <v>547.55999999999995</v>
      </c>
      <c r="Q91" s="1"/>
      <c r="R91" s="5">
        <f t="shared" si="41"/>
        <v>2.7735281598584315E-4</v>
      </c>
      <c r="S91" s="1"/>
      <c r="T91" s="1">
        <f>SUM(OSRRefT22_5x_0)</f>
        <v>500</v>
      </c>
      <c r="U91" s="1"/>
      <c r="V91" s="5">
        <f t="shared" si="42"/>
        <v>2.4343563634805646E-4</v>
      </c>
      <c r="W91" s="1"/>
      <c r="X91" s="1">
        <f t="shared" si="43"/>
        <v>47.559999999999945</v>
      </c>
      <c r="Y91" s="1"/>
      <c r="Z91" s="5">
        <f t="shared" si="44"/>
        <v>9.5119999999999885E-2</v>
      </c>
    </row>
    <row r="92" spans="1:26" s="24" customFormat="1" hidden="1" outlineLevel="2" x14ac:dyDescent="0.25">
      <c r="A92" s="25"/>
      <c r="B92" s="11" t="str">
        <f>CONCATENATE("          ", "6351", " - ", "EQUIPMENT RENTAL")</f>
        <v xml:space="preserve">          6351 - EQUIPMENT RENTAL</v>
      </c>
      <c r="C92" s="11"/>
      <c r="D92" s="6">
        <v>91.26</v>
      </c>
      <c r="E92" s="2"/>
      <c r="F92" s="7">
        <f t="shared" si="37"/>
        <v>6.9523165246644985E-3</v>
      </c>
      <c r="G92" s="2"/>
      <c r="H92" s="6">
        <v>100</v>
      </c>
      <c r="I92" s="2"/>
      <c r="J92" s="7">
        <f t="shared" si="38"/>
        <v>9.5950873152945686E-3</v>
      </c>
      <c r="K92" s="2"/>
      <c r="L92" s="6">
        <f t="shared" si="39"/>
        <v>-8.7399999999999949</v>
      </c>
      <c r="M92" s="2"/>
      <c r="N92" s="7">
        <f t="shared" si="40"/>
        <v>-8.739999999999995E-2</v>
      </c>
      <c r="O92" s="11"/>
      <c r="P92" s="6">
        <v>547.55999999999995</v>
      </c>
      <c r="Q92" s="2"/>
      <c r="R92" s="7">
        <f t="shared" si="41"/>
        <v>2.7735281598584315E-4</v>
      </c>
      <c r="S92" s="2"/>
      <c r="T92" s="6">
        <v>500</v>
      </c>
      <c r="U92" s="2"/>
      <c r="V92" s="7">
        <f t="shared" si="42"/>
        <v>2.4343563634805646E-4</v>
      </c>
      <c r="W92" s="2"/>
      <c r="X92" s="6">
        <f t="shared" si="43"/>
        <v>47.559999999999945</v>
      </c>
      <c r="Y92" s="2"/>
      <c r="Z92" s="7">
        <f t="shared" si="44"/>
        <v>9.5119999999999885E-2</v>
      </c>
    </row>
    <row r="93" spans="1:26" s="26" customFormat="1" outlineLevel="1" collapsed="1" x14ac:dyDescent="0.25">
      <c r="A93" s="27"/>
      <c r="B93" s="13" t="str">
        <f>CONCATENATE("     ","Freight out/Postage                               ")</f>
        <v xml:space="preserve">     Freight out/Postage                               </v>
      </c>
      <c r="C93" s="13"/>
      <c r="D93" s="1">
        <f>SUM(OSRRefD22_6x_0)</f>
        <v>5255.62</v>
      </c>
      <c r="E93" s="1"/>
      <c r="F93" s="5">
        <f t="shared" si="37"/>
        <v>0.40038060238173601</v>
      </c>
      <c r="G93" s="1"/>
      <c r="H93" s="1">
        <f>SUM(OSRRefH22_6x_0)</f>
        <v>3000</v>
      </c>
      <c r="I93" s="1"/>
      <c r="J93" s="5">
        <f t="shared" si="38"/>
        <v>0.28785261945883706</v>
      </c>
      <c r="K93" s="1"/>
      <c r="L93" s="1">
        <f t="shared" si="39"/>
        <v>2255.62</v>
      </c>
      <c r="M93" s="1"/>
      <c r="N93" s="5">
        <f t="shared" si="40"/>
        <v>0.75187333333333328</v>
      </c>
      <c r="O93" s="13"/>
      <c r="P93" s="1">
        <f>SUM(OSRRefP22_6x_0)</f>
        <v>9370.7900000000009</v>
      </c>
      <c r="Q93" s="1"/>
      <c r="R93" s="5">
        <f t="shared" si="41"/>
        <v>4.7465391820293292E-3</v>
      </c>
      <c r="S93" s="1"/>
      <c r="T93" s="1">
        <f>SUM(OSRRefT22_6x_0)</f>
        <v>12300</v>
      </c>
      <c r="U93" s="1"/>
      <c r="V93" s="5">
        <f t="shared" si="42"/>
        <v>5.988516654162189E-3</v>
      </c>
      <c r="W93" s="1"/>
      <c r="X93" s="1">
        <f t="shared" si="43"/>
        <v>-2929.2099999999991</v>
      </c>
      <c r="Y93" s="1"/>
      <c r="Z93" s="5">
        <f t="shared" si="44"/>
        <v>-0.23814715447154464</v>
      </c>
    </row>
    <row r="94" spans="1:26" s="24" customFormat="1" hidden="1" outlineLevel="2" x14ac:dyDescent="0.25">
      <c r="A94" s="25"/>
      <c r="B94" s="11" t="str">
        <f>CONCATENATE("          ", "6305", " - ", "FREIGHT OUT")</f>
        <v xml:space="preserve">          6305 - FREIGHT OUT</v>
      </c>
      <c r="C94" s="11"/>
      <c r="D94" s="6">
        <v>5255.62</v>
      </c>
      <c r="E94" s="2"/>
      <c r="F94" s="7">
        <f t="shared" si="37"/>
        <v>0.40038060238173601</v>
      </c>
      <c r="G94" s="2"/>
      <c r="H94" s="6">
        <v>3000</v>
      </c>
      <c r="I94" s="2"/>
      <c r="J94" s="7">
        <f t="shared" si="38"/>
        <v>0.28785261945883706</v>
      </c>
      <c r="K94" s="2"/>
      <c r="L94" s="6">
        <f t="shared" si="39"/>
        <v>2255.62</v>
      </c>
      <c r="M94" s="2"/>
      <c r="N94" s="7">
        <f t="shared" si="40"/>
        <v>0.75187333333333328</v>
      </c>
      <c r="O94" s="11"/>
      <c r="P94" s="6">
        <v>9370.2900000000009</v>
      </c>
      <c r="Q94" s="2"/>
      <c r="R94" s="7">
        <f t="shared" si="41"/>
        <v>4.7462859195412134E-3</v>
      </c>
      <c r="S94" s="2"/>
      <c r="T94" s="6">
        <v>12300</v>
      </c>
      <c r="U94" s="2"/>
      <c r="V94" s="7">
        <f t="shared" si="42"/>
        <v>5.988516654162189E-3</v>
      </c>
      <c r="W94" s="2"/>
      <c r="X94" s="6">
        <f t="shared" si="43"/>
        <v>-2929.7099999999991</v>
      </c>
      <c r="Y94" s="2"/>
      <c r="Z94" s="7">
        <f t="shared" si="44"/>
        <v>-0.23818780487804872</v>
      </c>
    </row>
    <row r="95" spans="1:26" s="24" customFormat="1" hidden="1" outlineLevel="2" x14ac:dyDescent="0.25">
      <c r="A95" s="25"/>
      <c r="B95" s="11" t="str">
        <f>CONCATENATE("          ", "6307", " - ", "POSTAGE")</f>
        <v xml:space="preserve">          6307 - POSTAGE</v>
      </c>
      <c r="C95" s="11"/>
      <c r="D95" s="6"/>
      <c r="E95" s="2"/>
      <c r="F95" s="7">
        <f t="shared" si="37"/>
        <v>0</v>
      </c>
      <c r="G95" s="2"/>
      <c r="H95" s="6"/>
      <c r="I95" s="2"/>
      <c r="J95" s="7">
        <f t="shared" si="38"/>
        <v>0</v>
      </c>
      <c r="K95" s="2"/>
      <c r="L95" s="6">
        <f t="shared" si="39"/>
        <v>0</v>
      </c>
      <c r="M95" s="2"/>
      <c r="N95" s="7">
        <f t="shared" si="40"/>
        <v>0</v>
      </c>
      <c r="O95" s="11"/>
      <c r="P95" s="6">
        <v>0.5</v>
      </c>
      <c r="Q95" s="2"/>
      <c r="R95" s="7">
        <f t="shared" si="41"/>
        <v>2.5326248811622759E-7</v>
      </c>
      <c r="S95" s="2"/>
      <c r="T95" s="6"/>
      <c r="U95" s="2"/>
      <c r="V95" s="7">
        <f t="shared" si="42"/>
        <v>0</v>
      </c>
      <c r="W95" s="2"/>
      <c r="X95" s="6">
        <f t="shared" si="43"/>
        <v>0.5</v>
      </c>
      <c r="Y95" s="2"/>
      <c r="Z95" s="7">
        <f t="shared" si="44"/>
        <v>0</v>
      </c>
    </row>
    <row r="96" spans="1:26" s="26" customFormat="1" outlineLevel="1" collapsed="1" x14ac:dyDescent="0.25">
      <c r="A96" s="27"/>
      <c r="B96" s="13" t="str">
        <f>CONCATENATE("     ","General                                           ")</f>
        <v xml:space="preserve">     General                                           </v>
      </c>
      <c r="C96" s="13"/>
      <c r="D96" s="1">
        <f>SUM(OSRRefD22_7x_0)</f>
        <v>9645.06</v>
      </c>
      <c r="E96" s="1"/>
      <c r="F96" s="5">
        <f t="shared" ref="F96:F102" si="45">IF(D$12=0,0,D96/D$12)</f>
        <v>0.734774381102132</v>
      </c>
      <c r="G96" s="1"/>
      <c r="H96" s="1">
        <f>SUM(OSRRefH22_7x_0)</f>
        <v>13000</v>
      </c>
      <c r="I96" s="1"/>
      <c r="J96" s="5">
        <f t="shared" ref="J96:J102" si="46">IF(H$12=0,0,H96/H$12)</f>
        <v>1.2473613509882939</v>
      </c>
      <c r="K96" s="1"/>
      <c r="L96" s="1">
        <f t="shared" ref="L96:L102" si="47">+D96-H96</f>
        <v>-3354.9400000000005</v>
      </c>
      <c r="M96" s="1"/>
      <c r="N96" s="5">
        <f t="shared" ref="N96:N102" si="48">IF(H96=0,0,L96/H96)</f>
        <v>-0.25807230769230771</v>
      </c>
      <c r="O96" s="13"/>
      <c r="P96" s="1">
        <f>SUM(OSRRefP22_7x_0)</f>
        <v>8152.9</v>
      </c>
      <c r="Q96" s="1"/>
      <c r="R96" s="5">
        <f t="shared" ref="R96:R102" si="49">IF(P$12=0,0,P96/P$12)</f>
        <v>4.1296474787255837E-3</v>
      </c>
      <c r="S96" s="1"/>
      <c r="T96" s="1">
        <f>SUM(OSRRefT22_7x_0)</f>
        <v>13000</v>
      </c>
      <c r="U96" s="1"/>
      <c r="V96" s="5">
        <f t="shared" ref="V96:V102" si="50">IF(T$12=0,0,T96/T$12)</f>
        <v>6.3293265450494679E-3</v>
      </c>
      <c r="W96" s="1"/>
      <c r="X96" s="1">
        <f t="shared" ref="X96:X102" si="51">+P96-T96</f>
        <v>-4847.1000000000004</v>
      </c>
      <c r="Y96" s="1"/>
      <c r="Z96" s="5">
        <f t="shared" ref="Z96:Z102" si="52">IF(T96=0,0,X96/T96)</f>
        <v>-0.3728538461538462</v>
      </c>
    </row>
    <row r="97" spans="1:26" s="24" customFormat="1" hidden="1" outlineLevel="2" x14ac:dyDescent="0.25">
      <c r="A97" s="25"/>
      <c r="B97" s="11" t="str">
        <f>CONCATENATE("          ", "6279", " - ", "GENERAL EXPENSE")</f>
        <v xml:space="preserve">          6279 - GENERAL EXPENSE</v>
      </c>
      <c r="C97" s="11"/>
      <c r="D97" s="6">
        <v>9645.06</v>
      </c>
      <c r="E97" s="2"/>
      <c r="F97" s="7">
        <f t="shared" si="45"/>
        <v>0.734774381102132</v>
      </c>
      <c r="G97" s="2"/>
      <c r="H97" s="6">
        <v>13000</v>
      </c>
      <c r="I97" s="2"/>
      <c r="J97" s="7">
        <f t="shared" si="46"/>
        <v>1.2473613509882939</v>
      </c>
      <c r="K97" s="2"/>
      <c r="L97" s="6">
        <f t="shared" si="47"/>
        <v>-3354.9400000000005</v>
      </c>
      <c r="M97" s="2"/>
      <c r="N97" s="7">
        <f t="shared" si="48"/>
        <v>-0.25807230769230771</v>
      </c>
      <c r="O97" s="11"/>
      <c r="P97" s="6">
        <v>8152.9</v>
      </c>
      <c r="Q97" s="2"/>
      <c r="R97" s="7">
        <f t="shared" si="49"/>
        <v>4.1296474787255837E-3</v>
      </c>
      <c r="S97" s="2"/>
      <c r="T97" s="6">
        <v>13000</v>
      </c>
      <c r="U97" s="2"/>
      <c r="V97" s="7">
        <f t="shared" si="50"/>
        <v>6.3293265450494679E-3</v>
      </c>
      <c r="W97" s="2"/>
      <c r="X97" s="6">
        <f t="shared" si="51"/>
        <v>-4847.1000000000004</v>
      </c>
      <c r="Y97" s="2"/>
      <c r="Z97" s="7">
        <f t="shared" si="52"/>
        <v>-0.3728538461538462</v>
      </c>
    </row>
    <row r="98" spans="1:26" s="26" customFormat="1" outlineLevel="1" collapsed="1" x14ac:dyDescent="0.25">
      <c r="A98" s="27"/>
      <c r="B98" s="13" t="str">
        <f>CONCATENATE("     ","Inventory Adjustment                              ")</f>
        <v xml:space="preserve">     Inventory Adjustment                              </v>
      </c>
      <c r="C98" s="13"/>
      <c r="D98" s="1">
        <f>SUM(OSRRefD22_8x_0)</f>
        <v>1000</v>
      </c>
      <c r="E98" s="1"/>
      <c r="F98" s="5">
        <f t="shared" si="45"/>
        <v>7.6181421484379772E-2</v>
      </c>
      <c r="G98" s="1"/>
      <c r="H98" s="1">
        <f>SUM(OSRRefH22_8x_0)</f>
        <v>1000</v>
      </c>
      <c r="I98" s="1"/>
      <c r="J98" s="5">
        <f t="shared" si="46"/>
        <v>9.595087315294569E-2</v>
      </c>
      <c r="K98" s="1"/>
      <c r="L98" s="1">
        <f t="shared" si="47"/>
        <v>0</v>
      </c>
      <c r="M98" s="1"/>
      <c r="N98" s="5">
        <f t="shared" si="48"/>
        <v>0</v>
      </c>
      <c r="O98" s="13"/>
      <c r="P98" s="1">
        <f>SUM(OSRRefP22_8x_0)</f>
        <v>5000</v>
      </c>
      <c r="Q98" s="1"/>
      <c r="R98" s="5">
        <f t="shared" si="49"/>
        <v>2.5326248811622762E-3</v>
      </c>
      <c r="S98" s="1"/>
      <c r="T98" s="1">
        <f>SUM(OSRRefT22_8x_0)</f>
        <v>5000</v>
      </c>
      <c r="U98" s="1"/>
      <c r="V98" s="5">
        <f t="shared" si="50"/>
        <v>2.4343563634805646E-3</v>
      </c>
      <c r="W98" s="1"/>
      <c r="X98" s="1">
        <f t="shared" si="51"/>
        <v>0</v>
      </c>
      <c r="Y98" s="1"/>
      <c r="Z98" s="5">
        <f t="shared" si="52"/>
        <v>0</v>
      </c>
    </row>
    <row r="99" spans="1:26" s="24" customFormat="1" hidden="1" outlineLevel="2" x14ac:dyDescent="0.25">
      <c r="A99" s="25"/>
      <c r="B99" s="11" t="str">
        <f>CONCATENATE("          ", "6408", " - ", "INVENTORY ADJUSTMENT")</f>
        <v xml:space="preserve">          6408 - INVENTORY ADJUSTMENT</v>
      </c>
      <c r="C99" s="11"/>
      <c r="D99" s="6">
        <v>1000</v>
      </c>
      <c r="E99" s="2"/>
      <c r="F99" s="7">
        <f t="shared" si="45"/>
        <v>7.6181421484379772E-2</v>
      </c>
      <c r="G99" s="2"/>
      <c r="H99" s="6">
        <v>1000</v>
      </c>
      <c r="I99" s="2"/>
      <c r="J99" s="7">
        <f t="shared" si="46"/>
        <v>9.595087315294569E-2</v>
      </c>
      <c r="K99" s="2"/>
      <c r="L99" s="6">
        <f t="shared" si="47"/>
        <v>0</v>
      </c>
      <c r="M99" s="2"/>
      <c r="N99" s="7">
        <f t="shared" si="48"/>
        <v>0</v>
      </c>
      <c r="O99" s="11"/>
      <c r="P99" s="6">
        <v>5000</v>
      </c>
      <c r="Q99" s="2"/>
      <c r="R99" s="7">
        <f t="shared" si="49"/>
        <v>2.5326248811622762E-3</v>
      </c>
      <c r="S99" s="2"/>
      <c r="T99" s="6">
        <v>5000</v>
      </c>
      <c r="U99" s="2"/>
      <c r="V99" s="7">
        <f t="shared" si="50"/>
        <v>2.4343563634805646E-3</v>
      </c>
      <c r="W99" s="2"/>
      <c r="X99" s="6">
        <f t="shared" si="51"/>
        <v>0</v>
      </c>
      <c r="Y99" s="2"/>
      <c r="Z99" s="7">
        <f t="shared" si="52"/>
        <v>0</v>
      </c>
    </row>
    <row r="100" spans="1:26" s="26" customFormat="1" outlineLevel="1" collapsed="1" x14ac:dyDescent="0.25">
      <c r="A100" s="27"/>
      <c r="B100" s="13" t="str">
        <f>CONCATENATE("     ","Repair and Maintenance                            ")</f>
        <v xml:space="preserve">     Repair and Maintenance                            </v>
      </c>
      <c r="C100" s="13"/>
      <c r="D100" s="1">
        <f>SUM(OSRRefD22_9x_0)</f>
        <v>21.62</v>
      </c>
      <c r="E100" s="1"/>
      <c r="F100" s="5">
        <f t="shared" si="45"/>
        <v>1.6470423324922909E-3</v>
      </c>
      <c r="G100" s="1"/>
      <c r="H100" s="1">
        <f>SUM(OSRRefH22_9x_0)</f>
        <v>140</v>
      </c>
      <c r="I100" s="1"/>
      <c r="J100" s="5">
        <f t="shared" si="46"/>
        <v>1.3433122241412397E-2</v>
      </c>
      <c r="K100" s="1"/>
      <c r="L100" s="1">
        <f t="shared" si="47"/>
        <v>-118.38</v>
      </c>
      <c r="M100" s="1"/>
      <c r="N100" s="5">
        <f t="shared" si="48"/>
        <v>-0.84557142857142853</v>
      </c>
      <c r="O100" s="13"/>
      <c r="P100" s="1">
        <f>SUM(OSRRefP22_9x_0)</f>
        <v>119.56</v>
      </c>
      <c r="Q100" s="1"/>
      <c r="R100" s="5">
        <f t="shared" si="49"/>
        <v>6.056012615835235E-5</v>
      </c>
      <c r="S100" s="1"/>
      <c r="T100" s="1">
        <f>SUM(OSRRefT22_9x_0)</f>
        <v>700</v>
      </c>
      <c r="U100" s="1"/>
      <c r="V100" s="5">
        <f t="shared" si="50"/>
        <v>3.4080989088727906E-4</v>
      </c>
      <c r="W100" s="1"/>
      <c r="X100" s="1">
        <f t="shared" si="51"/>
        <v>-580.44000000000005</v>
      </c>
      <c r="Y100" s="1"/>
      <c r="Z100" s="5">
        <f t="shared" si="52"/>
        <v>-0.82920000000000005</v>
      </c>
    </row>
    <row r="101" spans="1:26" s="24" customFormat="1" hidden="1" outlineLevel="2" x14ac:dyDescent="0.25">
      <c r="A101" s="25"/>
      <c r="B101" s="11" t="str">
        <f>CONCATENATE("          ", "6373", " - ", "MAINTENANCE CONTRACTS")</f>
        <v xml:space="preserve">          6373 - MAINTENANCE CONTRACTS</v>
      </c>
      <c r="C101" s="11"/>
      <c r="D101" s="6">
        <v>21.62</v>
      </c>
      <c r="E101" s="2"/>
      <c r="F101" s="7">
        <f t="shared" si="45"/>
        <v>1.6470423324922909E-3</v>
      </c>
      <c r="G101" s="2"/>
      <c r="H101" s="6">
        <v>40</v>
      </c>
      <c r="I101" s="2"/>
      <c r="J101" s="7">
        <f t="shared" si="46"/>
        <v>3.8380349261178275E-3</v>
      </c>
      <c r="K101" s="2"/>
      <c r="L101" s="6">
        <f t="shared" si="47"/>
        <v>-18.38</v>
      </c>
      <c r="M101" s="2"/>
      <c r="N101" s="7">
        <f t="shared" si="48"/>
        <v>-0.45949999999999996</v>
      </c>
      <c r="O101" s="11"/>
      <c r="P101" s="6">
        <v>119.56</v>
      </c>
      <c r="Q101" s="2"/>
      <c r="R101" s="7">
        <f t="shared" si="49"/>
        <v>6.056012615835235E-5</v>
      </c>
      <c r="S101" s="2"/>
      <c r="T101" s="6">
        <v>200</v>
      </c>
      <c r="U101" s="2"/>
      <c r="V101" s="7">
        <f t="shared" si="50"/>
        <v>9.7374254539222578E-5</v>
      </c>
      <c r="W101" s="2"/>
      <c r="X101" s="6">
        <f t="shared" si="51"/>
        <v>-80.44</v>
      </c>
      <c r="Y101" s="2"/>
      <c r="Z101" s="7">
        <f t="shared" si="52"/>
        <v>-0.4022</v>
      </c>
    </row>
    <row r="102" spans="1:26" s="24" customFormat="1" hidden="1" outlineLevel="2" x14ac:dyDescent="0.25">
      <c r="A102" s="25"/>
      <c r="B102" s="11" t="str">
        <f>CONCATENATE("          ", "6375", " - ", "OUTSIDE REPAIRS &amp; MAINTENANCE")</f>
        <v xml:space="preserve">          6375 - OUTSIDE REPAIRS &amp; MAINTENANCE</v>
      </c>
      <c r="C102" s="11"/>
      <c r="D102" s="6"/>
      <c r="E102" s="2"/>
      <c r="F102" s="7">
        <f t="shared" si="45"/>
        <v>0</v>
      </c>
      <c r="G102" s="2"/>
      <c r="H102" s="6">
        <v>100</v>
      </c>
      <c r="I102" s="2"/>
      <c r="J102" s="7">
        <f t="shared" si="46"/>
        <v>9.5950873152945686E-3</v>
      </c>
      <c r="K102" s="2"/>
      <c r="L102" s="6">
        <f t="shared" si="47"/>
        <v>-100</v>
      </c>
      <c r="M102" s="2"/>
      <c r="N102" s="7">
        <f t="shared" si="48"/>
        <v>-1</v>
      </c>
      <c r="O102" s="11"/>
      <c r="P102" s="6"/>
      <c r="Q102" s="2"/>
      <c r="R102" s="7">
        <f t="shared" si="49"/>
        <v>0</v>
      </c>
      <c r="S102" s="2"/>
      <c r="T102" s="6">
        <v>500</v>
      </c>
      <c r="U102" s="2"/>
      <c r="V102" s="7">
        <f t="shared" si="50"/>
        <v>2.4343563634805646E-4</v>
      </c>
      <c r="W102" s="2"/>
      <c r="X102" s="6">
        <f t="shared" si="51"/>
        <v>-500</v>
      </c>
      <c r="Y102" s="2"/>
      <c r="Z102" s="7">
        <f t="shared" si="52"/>
        <v>-1</v>
      </c>
    </row>
    <row r="103" spans="1:26" s="26" customFormat="1" outlineLevel="1" collapsed="1" x14ac:dyDescent="0.25">
      <c r="A103" s="27"/>
      <c r="B103" s="13" t="str">
        <f>CONCATENATE("     ","Subscriptions &amp; Dues                              ")</f>
        <v xml:space="preserve">     Subscriptions &amp; Dues                              </v>
      </c>
      <c r="C103" s="13"/>
      <c r="D103" s="1">
        <f>SUM(OSRRefD22_10x_0)</f>
        <v>250</v>
      </c>
      <c r="E103" s="1"/>
      <c r="F103" s="5">
        <f t="shared" ref="F103:F108" si="53">IF(D$12=0,0,D103/D$12)</f>
        <v>1.9045355371094943E-2</v>
      </c>
      <c r="G103" s="1"/>
      <c r="H103" s="1">
        <f>SUM(OSRRefH22_10x_0)</f>
        <v>2500</v>
      </c>
      <c r="I103" s="1"/>
      <c r="J103" s="5">
        <f t="shared" ref="J103:J108" si="54">IF(H$12=0,0,H103/H$12)</f>
        <v>0.23987718288236423</v>
      </c>
      <c r="K103" s="1"/>
      <c r="L103" s="1">
        <f t="shared" ref="L103:L108" si="55">+D103-H103</f>
        <v>-2250</v>
      </c>
      <c r="M103" s="1"/>
      <c r="N103" s="5">
        <f t="shared" ref="N103:N108" si="56">IF(H103=0,0,L103/H103)</f>
        <v>-0.9</v>
      </c>
      <c r="O103" s="13"/>
      <c r="P103" s="1">
        <f>SUM(OSRRefP22_10x_0)</f>
        <v>1307.4000000000001</v>
      </c>
      <c r="Q103" s="1"/>
      <c r="R103" s="5">
        <f t="shared" ref="R103:R108" si="57">IF(P$12=0,0,P103/P$12)</f>
        <v>6.6223075392631199E-4</v>
      </c>
      <c r="S103" s="1"/>
      <c r="T103" s="1">
        <f>SUM(OSRRefT22_10x_0)</f>
        <v>4000</v>
      </c>
      <c r="U103" s="1"/>
      <c r="V103" s="5">
        <f t="shared" ref="V103:V108" si="58">IF(T$12=0,0,T103/T$12)</f>
        <v>1.9474850907844517E-3</v>
      </c>
      <c r="W103" s="1"/>
      <c r="X103" s="1">
        <f t="shared" ref="X103:X108" si="59">+P103-T103</f>
        <v>-2692.6</v>
      </c>
      <c r="Y103" s="1"/>
      <c r="Z103" s="5">
        <f t="shared" ref="Z103:Z108" si="60">IF(T103=0,0,X103/T103)</f>
        <v>-0.67315000000000003</v>
      </c>
    </row>
    <row r="104" spans="1:26" s="24" customFormat="1" hidden="1" outlineLevel="2" x14ac:dyDescent="0.25">
      <c r="A104" s="25"/>
      <c r="B104" s="11" t="str">
        <f>CONCATENATE("          ", "6258", " - ", "MEMBERSHIP DUES")</f>
        <v xml:space="preserve">          6258 - MEMBERSHIP DUES</v>
      </c>
      <c r="C104" s="11"/>
      <c r="D104" s="6">
        <v>250</v>
      </c>
      <c r="E104" s="2"/>
      <c r="F104" s="7">
        <f t="shared" si="53"/>
        <v>1.9045355371094943E-2</v>
      </c>
      <c r="G104" s="2"/>
      <c r="H104" s="6">
        <v>2500</v>
      </c>
      <c r="I104" s="2"/>
      <c r="J104" s="7">
        <f t="shared" si="54"/>
        <v>0.23987718288236423</v>
      </c>
      <c r="K104" s="2"/>
      <c r="L104" s="6">
        <f t="shared" si="55"/>
        <v>-2250</v>
      </c>
      <c r="M104" s="2"/>
      <c r="N104" s="7">
        <f t="shared" si="56"/>
        <v>-0.9</v>
      </c>
      <c r="O104" s="11"/>
      <c r="P104" s="6">
        <v>1307.4000000000001</v>
      </c>
      <c r="Q104" s="2"/>
      <c r="R104" s="7">
        <f t="shared" si="57"/>
        <v>6.6223075392631199E-4</v>
      </c>
      <c r="S104" s="2"/>
      <c r="T104" s="6">
        <v>4000</v>
      </c>
      <c r="U104" s="2"/>
      <c r="V104" s="7">
        <f t="shared" si="58"/>
        <v>1.9474850907844517E-3</v>
      </c>
      <c r="W104" s="2"/>
      <c r="X104" s="6">
        <f t="shared" si="59"/>
        <v>-2692.6</v>
      </c>
      <c r="Y104" s="2"/>
      <c r="Z104" s="7">
        <f t="shared" si="60"/>
        <v>-0.67315000000000003</v>
      </c>
    </row>
    <row r="105" spans="1:26" s="26" customFormat="1" outlineLevel="1" collapsed="1" x14ac:dyDescent="0.25">
      <c r="A105" s="27"/>
      <c r="B105" s="13" t="str">
        <f>CONCATENATE("     ","Supplies                                          ")</f>
        <v xml:space="preserve">     Supplies                                          </v>
      </c>
      <c r="C105" s="13"/>
      <c r="D105" s="1">
        <f>SUM(OSRRefD22_11x_0)</f>
        <v>78.040000000000006</v>
      </c>
      <c r="E105" s="1"/>
      <c r="F105" s="5">
        <f t="shared" si="53"/>
        <v>5.9451981326409985E-3</v>
      </c>
      <c r="G105" s="1"/>
      <c r="H105" s="1">
        <f>SUM(OSRRefH22_11x_0)</f>
        <v>600</v>
      </c>
      <c r="I105" s="1"/>
      <c r="J105" s="5">
        <f t="shared" si="54"/>
        <v>5.7570523891767415E-2</v>
      </c>
      <c r="K105" s="1"/>
      <c r="L105" s="1">
        <f t="shared" si="55"/>
        <v>-521.96</v>
      </c>
      <c r="M105" s="1"/>
      <c r="N105" s="5">
        <f t="shared" si="56"/>
        <v>-0.86993333333333345</v>
      </c>
      <c r="O105" s="13"/>
      <c r="P105" s="1">
        <f>SUM(OSRRefP22_11x_0)</f>
        <v>9214.59</v>
      </c>
      <c r="Q105" s="1"/>
      <c r="R105" s="5">
        <f t="shared" si="57"/>
        <v>4.6674199807418193E-3</v>
      </c>
      <c r="S105" s="1"/>
      <c r="T105" s="1">
        <f>SUM(OSRRefT22_11x_0)</f>
        <v>7550</v>
      </c>
      <c r="U105" s="1"/>
      <c r="V105" s="5">
        <f t="shared" si="58"/>
        <v>3.6758781088556524E-3</v>
      </c>
      <c r="W105" s="1"/>
      <c r="X105" s="1">
        <f t="shared" si="59"/>
        <v>1664.5900000000001</v>
      </c>
      <c r="Y105" s="1"/>
      <c r="Z105" s="5">
        <f t="shared" si="60"/>
        <v>0.22047549668874175</v>
      </c>
    </row>
    <row r="106" spans="1:26" s="24" customFormat="1" hidden="1" outlineLevel="2" x14ac:dyDescent="0.25">
      <c r="A106" s="25"/>
      <c r="B106" s="11" t="str">
        <f>CONCATENATE("          ", "6241", " - ", "OFFICE EXPENSE")</f>
        <v xml:space="preserve">          6241 - OFFICE EXPENSE</v>
      </c>
      <c r="C106" s="11"/>
      <c r="D106" s="6">
        <v>78.040000000000006</v>
      </c>
      <c r="E106" s="2"/>
      <c r="F106" s="7">
        <f t="shared" si="53"/>
        <v>5.9451981326409985E-3</v>
      </c>
      <c r="G106" s="2"/>
      <c r="H106" s="6">
        <v>300</v>
      </c>
      <c r="I106" s="2"/>
      <c r="J106" s="7">
        <f t="shared" si="54"/>
        <v>2.8785261945883708E-2</v>
      </c>
      <c r="K106" s="2"/>
      <c r="L106" s="6">
        <f t="shared" si="55"/>
        <v>-221.95999999999998</v>
      </c>
      <c r="M106" s="2"/>
      <c r="N106" s="7">
        <f t="shared" si="56"/>
        <v>-0.73986666666666656</v>
      </c>
      <c r="O106" s="11"/>
      <c r="P106" s="6">
        <v>3375.47</v>
      </c>
      <c r="Q106" s="2"/>
      <c r="R106" s="7">
        <f t="shared" si="57"/>
        <v>1.7097598615233656E-3</v>
      </c>
      <c r="S106" s="2"/>
      <c r="T106" s="6">
        <v>1650</v>
      </c>
      <c r="U106" s="2"/>
      <c r="V106" s="7">
        <f t="shared" si="58"/>
        <v>8.0333759994858625E-4</v>
      </c>
      <c r="W106" s="2"/>
      <c r="X106" s="6">
        <f t="shared" si="59"/>
        <v>1725.4699999999998</v>
      </c>
      <c r="Y106" s="2"/>
      <c r="Z106" s="7">
        <f t="shared" si="60"/>
        <v>1.0457393939393937</v>
      </c>
    </row>
    <row r="107" spans="1:26" s="24" customFormat="1" hidden="1" outlineLevel="2" x14ac:dyDescent="0.25">
      <c r="A107" s="25"/>
      <c r="B107" s="11" t="str">
        <f>CONCATENATE("          ", "6245", " - ", "PRINTING")</f>
        <v xml:space="preserve">          6245 - PRINTING</v>
      </c>
      <c r="C107" s="11"/>
      <c r="D107" s="6"/>
      <c r="E107" s="2"/>
      <c r="F107" s="7">
        <f t="shared" si="53"/>
        <v>0</v>
      </c>
      <c r="G107" s="2"/>
      <c r="H107" s="6">
        <v>100</v>
      </c>
      <c r="I107" s="2"/>
      <c r="J107" s="7">
        <f t="shared" si="54"/>
        <v>9.5950873152945686E-3</v>
      </c>
      <c r="K107" s="2"/>
      <c r="L107" s="6">
        <f t="shared" si="55"/>
        <v>-100</v>
      </c>
      <c r="M107" s="2"/>
      <c r="N107" s="7">
        <f t="shared" si="56"/>
        <v>-1</v>
      </c>
      <c r="O107" s="11"/>
      <c r="P107" s="6">
        <v>4978.08</v>
      </c>
      <c r="Q107" s="2"/>
      <c r="R107" s="7">
        <f t="shared" si="57"/>
        <v>2.5215218536832605E-3</v>
      </c>
      <c r="S107" s="2"/>
      <c r="T107" s="6">
        <v>900</v>
      </c>
      <c r="U107" s="2"/>
      <c r="V107" s="7">
        <f t="shared" si="58"/>
        <v>4.3818414542650162E-4</v>
      </c>
      <c r="W107" s="2"/>
      <c r="X107" s="6">
        <f t="shared" si="59"/>
        <v>4078.08</v>
      </c>
      <c r="Y107" s="2"/>
      <c r="Z107" s="7">
        <f t="shared" si="60"/>
        <v>4.5312000000000001</v>
      </c>
    </row>
    <row r="108" spans="1:26" s="24" customFormat="1" hidden="1" outlineLevel="2" x14ac:dyDescent="0.25">
      <c r="A108" s="25"/>
      <c r="B108" s="11" t="str">
        <f>CONCATENATE("          ", "6247", " - ", "STORE SUPPLIES")</f>
        <v xml:space="preserve">          6247 - STORE SUPPLIES</v>
      </c>
      <c r="C108" s="11"/>
      <c r="D108" s="6"/>
      <c r="E108" s="2"/>
      <c r="F108" s="7">
        <f t="shared" si="53"/>
        <v>0</v>
      </c>
      <c r="G108" s="2"/>
      <c r="H108" s="6">
        <v>200</v>
      </c>
      <c r="I108" s="2"/>
      <c r="J108" s="7">
        <f t="shared" si="54"/>
        <v>1.9190174630589137E-2</v>
      </c>
      <c r="K108" s="2"/>
      <c r="L108" s="6">
        <f t="shared" si="55"/>
        <v>-200</v>
      </c>
      <c r="M108" s="2"/>
      <c r="N108" s="7">
        <f t="shared" si="56"/>
        <v>-1</v>
      </c>
      <c r="O108" s="11"/>
      <c r="P108" s="6">
        <v>861.04</v>
      </c>
      <c r="Q108" s="2"/>
      <c r="R108" s="7">
        <f t="shared" si="57"/>
        <v>4.361382655351932E-4</v>
      </c>
      <c r="S108" s="2"/>
      <c r="T108" s="6">
        <v>5000</v>
      </c>
      <c r="U108" s="2"/>
      <c r="V108" s="7">
        <f t="shared" si="58"/>
        <v>2.4343563634805646E-3</v>
      </c>
      <c r="W108" s="2"/>
      <c r="X108" s="6">
        <f t="shared" si="59"/>
        <v>-4138.96</v>
      </c>
      <c r="Y108" s="2"/>
      <c r="Z108" s="7">
        <f t="shared" si="60"/>
        <v>-0.82779199999999997</v>
      </c>
    </row>
    <row r="109" spans="1:26" s="26" customFormat="1" outlineLevel="1" collapsed="1" x14ac:dyDescent="0.25">
      <c r="A109" s="27"/>
      <c r="B109" s="13" t="str">
        <f>CONCATENATE("     ","Telephone/Data Lines                              ")</f>
        <v xml:space="preserve">     Telephone/Data Lines                              </v>
      </c>
      <c r="C109" s="13"/>
      <c r="D109" s="1">
        <f>SUM(OSRRefD22_12x_0)</f>
        <v>769.99</v>
      </c>
      <c r="E109" s="1"/>
      <c r="F109" s="5">
        <f t="shared" ref="F109:F111" si="61">IF(D$12=0,0,D109/D$12)</f>
        <v>5.8658932728757586E-2</v>
      </c>
      <c r="G109" s="1"/>
      <c r="H109" s="1">
        <f>SUM(OSRRefH22_12x_0)</f>
        <v>600</v>
      </c>
      <c r="I109" s="1"/>
      <c r="J109" s="5">
        <f t="shared" ref="J109:J111" si="62">IF(H$12=0,0,H109/H$12)</f>
        <v>5.7570523891767415E-2</v>
      </c>
      <c r="K109" s="1"/>
      <c r="L109" s="1">
        <f t="shared" ref="L109:L111" si="63">+D109-H109</f>
        <v>169.99</v>
      </c>
      <c r="M109" s="1"/>
      <c r="N109" s="5">
        <f t="shared" ref="N109:N111" si="64">IF(H109=0,0,L109/H109)</f>
        <v>0.28331666666666666</v>
      </c>
      <c r="O109" s="13"/>
      <c r="P109" s="1">
        <f>SUM(OSRRefP22_12x_0)</f>
        <v>3868.59</v>
      </c>
      <c r="Q109" s="1"/>
      <c r="R109" s="5">
        <f t="shared" ref="R109:R111" si="65">IF(P$12=0,0,P109/P$12)</f>
        <v>1.9595374578031139E-3</v>
      </c>
      <c r="S109" s="1"/>
      <c r="T109" s="1">
        <f>SUM(OSRRefT22_12x_0)</f>
        <v>4500</v>
      </c>
      <c r="U109" s="1"/>
      <c r="V109" s="5">
        <f t="shared" ref="V109:V111" si="66">IF(T$12=0,0,T109/T$12)</f>
        <v>2.1909207271325081E-3</v>
      </c>
      <c r="W109" s="1"/>
      <c r="X109" s="1">
        <f t="shared" ref="X109:X111" si="67">+P109-T109</f>
        <v>-631.40999999999985</v>
      </c>
      <c r="Y109" s="1"/>
      <c r="Z109" s="5">
        <f t="shared" ref="Z109:Z111" si="68">IF(T109=0,0,X109/T109)</f>
        <v>-0.14031333333333329</v>
      </c>
    </row>
    <row r="110" spans="1:26" s="24" customFormat="1" hidden="1" outlineLevel="2" x14ac:dyDescent="0.25">
      <c r="A110" s="25"/>
      <c r="B110" s="11" t="str">
        <f>CONCATENATE("          ", "6303", " - ", "DATA PHONE LINES")</f>
        <v xml:space="preserve">          6303 - DATA PHONE LINES</v>
      </c>
      <c r="C110" s="11"/>
      <c r="D110" s="6">
        <v>295</v>
      </c>
      <c r="E110" s="2"/>
      <c r="F110" s="7">
        <f t="shared" si="61"/>
        <v>2.2473519337892035E-2</v>
      </c>
      <c r="G110" s="2"/>
      <c r="H110" s="6">
        <v>300</v>
      </c>
      <c r="I110" s="2"/>
      <c r="J110" s="7">
        <f t="shared" si="62"/>
        <v>2.8785261945883708E-2</v>
      </c>
      <c r="K110" s="2"/>
      <c r="L110" s="6">
        <f t="shared" si="63"/>
        <v>-5</v>
      </c>
      <c r="M110" s="2"/>
      <c r="N110" s="7">
        <f t="shared" si="64"/>
        <v>-1.6666666666666666E-2</v>
      </c>
      <c r="O110" s="11"/>
      <c r="P110" s="6">
        <v>1475</v>
      </c>
      <c r="Q110" s="2"/>
      <c r="R110" s="7">
        <f t="shared" si="65"/>
        <v>7.4712433994287143E-4</v>
      </c>
      <c r="S110" s="2"/>
      <c r="T110" s="6">
        <v>1500</v>
      </c>
      <c r="U110" s="2"/>
      <c r="V110" s="7">
        <f t="shared" si="66"/>
        <v>7.3030690904416938E-4</v>
      </c>
      <c r="W110" s="2"/>
      <c r="X110" s="6">
        <f t="shared" si="67"/>
        <v>-25</v>
      </c>
      <c r="Y110" s="2"/>
      <c r="Z110" s="7">
        <f t="shared" si="68"/>
        <v>-1.6666666666666666E-2</v>
      </c>
    </row>
    <row r="111" spans="1:26" s="24" customFormat="1" hidden="1" outlineLevel="2" x14ac:dyDescent="0.25">
      <c r="A111" s="25"/>
      <c r="B111" s="11" t="str">
        <f>CONCATENATE("          ", "6309", " - ", "TELEPHONE")</f>
        <v xml:space="preserve">          6309 - TELEPHONE</v>
      </c>
      <c r="C111" s="11"/>
      <c r="D111" s="6">
        <v>474.99</v>
      </c>
      <c r="E111" s="2"/>
      <c r="F111" s="7">
        <f t="shared" si="61"/>
        <v>3.6185413390865548E-2</v>
      </c>
      <c r="G111" s="2"/>
      <c r="H111" s="6">
        <v>300</v>
      </c>
      <c r="I111" s="2"/>
      <c r="J111" s="7">
        <f t="shared" si="62"/>
        <v>2.8785261945883708E-2</v>
      </c>
      <c r="K111" s="2"/>
      <c r="L111" s="6">
        <f t="shared" si="63"/>
        <v>174.99</v>
      </c>
      <c r="M111" s="2"/>
      <c r="N111" s="7">
        <f t="shared" si="64"/>
        <v>0.58330000000000004</v>
      </c>
      <c r="O111" s="11"/>
      <c r="P111" s="6">
        <v>2393.59</v>
      </c>
      <c r="Q111" s="2"/>
      <c r="R111" s="7">
        <f t="shared" si="65"/>
        <v>1.2124131178602425E-3</v>
      </c>
      <c r="S111" s="2"/>
      <c r="T111" s="6">
        <v>3000</v>
      </c>
      <c r="U111" s="2"/>
      <c r="V111" s="7">
        <f t="shared" si="66"/>
        <v>1.4606138180883388E-3</v>
      </c>
      <c r="W111" s="2"/>
      <c r="X111" s="6">
        <f t="shared" si="67"/>
        <v>-606.40999999999985</v>
      </c>
      <c r="Y111" s="2"/>
      <c r="Z111" s="7">
        <f t="shared" si="68"/>
        <v>-0.20213666666666663</v>
      </c>
    </row>
    <row r="112" spans="1:26" s="26" customFormat="1" outlineLevel="1" collapsed="1" x14ac:dyDescent="0.25">
      <c r="A112" s="27"/>
      <c r="B112" s="13" t="str">
        <f>CONCATENATE("     ","Training                                          ")</f>
        <v xml:space="preserve">     Training                                          </v>
      </c>
      <c r="C112" s="13"/>
      <c r="D112" s="1">
        <f>SUM(OSRRefD22_13x_0)</f>
        <v>0</v>
      </c>
      <c r="E112" s="1"/>
      <c r="F112" s="5">
        <f t="shared" ref="F112:F116" si="69">IF(D$12=0,0,D112/D$12)</f>
        <v>0</v>
      </c>
      <c r="G112" s="1"/>
      <c r="H112" s="1">
        <f>SUM(OSRRefH22_13x_0)</f>
        <v>500</v>
      </c>
      <c r="I112" s="1"/>
      <c r="J112" s="5">
        <f t="shared" ref="J112:J116" si="70">IF(H$12=0,0,H112/H$12)</f>
        <v>4.7975436576472845E-2</v>
      </c>
      <c r="K112" s="1"/>
      <c r="L112" s="1">
        <f t="shared" ref="L112:L116" si="71">+D112-H112</f>
        <v>-500</v>
      </c>
      <c r="M112" s="1"/>
      <c r="N112" s="5">
        <f t="shared" ref="N112:N116" si="72">IF(H112=0,0,L112/H112)</f>
        <v>-1</v>
      </c>
      <c r="O112" s="13"/>
      <c r="P112" s="1">
        <f>SUM(OSRRefP22_13x_0)</f>
        <v>547.47</v>
      </c>
      <c r="Q112" s="1"/>
      <c r="R112" s="5">
        <f t="shared" ref="R112:R116" si="73">IF(P$12=0,0,P112/P$12)</f>
        <v>2.773072287379823E-4</v>
      </c>
      <c r="S112" s="1"/>
      <c r="T112" s="1">
        <f>SUM(OSRRefT22_13x_0)</f>
        <v>1300</v>
      </c>
      <c r="U112" s="1"/>
      <c r="V112" s="5">
        <f t="shared" ref="V112:V116" si="74">IF(T$12=0,0,T112/T$12)</f>
        <v>6.3293265450494677E-4</v>
      </c>
      <c r="W112" s="1"/>
      <c r="X112" s="1">
        <f t="shared" ref="X112:X116" si="75">+P112-T112</f>
        <v>-752.53</v>
      </c>
      <c r="Y112" s="1"/>
      <c r="Z112" s="5">
        <f t="shared" ref="Z112:Z116" si="76">IF(T112=0,0,X112/T112)</f>
        <v>-0.5788692307692308</v>
      </c>
    </row>
    <row r="113" spans="1:26" s="24" customFormat="1" hidden="1" outlineLevel="2" x14ac:dyDescent="0.25">
      <c r="A113" s="25"/>
      <c r="B113" s="11" t="str">
        <f>CONCATENATE("          ", "6376", " - ", "TRAINING")</f>
        <v xml:space="preserve">          6376 - TRAINING</v>
      </c>
      <c r="C113" s="11"/>
      <c r="D113" s="6"/>
      <c r="E113" s="2"/>
      <c r="F113" s="7">
        <f t="shared" si="69"/>
        <v>0</v>
      </c>
      <c r="G113" s="2"/>
      <c r="H113" s="6">
        <v>500</v>
      </c>
      <c r="I113" s="2"/>
      <c r="J113" s="7">
        <f t="shared" si="70"/>
        <v>4.7975436576472845E-2</v>
      </c>
      <c r="K113" s="2"/>
      <c r="L113" s="6">
        <f t="shared" si="71"/>
        <v>-500</v>
      </c>
      <c r="M113" s="2"/>
      <c r="N113" s="7">
        <f t="shared" si="72"/>
        <v>-1</v>
      </c>
      <c r="O113" s="11"/>
      <c r="P113" s="6">
        <v>547.47</v>
      </c>
      <c r="Q113" s="2"/>
      <c r="R113" s="7">
        <f t="shared" si="73"/>
        <v>2.773072287379823E-4</v>
      </c>
      <c r="S113" s="2"/>
      <c r="T113" s="6">
        <v>1300</v>
      </c>
      <c r="U113" s="2"/>
      <c r="V113" s="7">
        <f t="shared" si="74"/>
        <v>6.3293265450494677E-4</v>
      </c>
      <c r="W113" s="2"/>
      <c r="X113" s="6">
        <f t="shared" si="75"/>
        <v>-752.53</v>
      </c>
      <c r="Y113" s="2"/>
      <c r="Z113" s="7">
        <f t="shared" si="76"/>
        <v>-0.5788692307692308</v>
      </c>
    </row>
    <row r="114" spans="1:26" s="26" customFormat="1" outlineLevel="1" collapsed="1" x14ac:dyDescent="0.25">
      <c r="A114" s="27"/>
      <c r="B114" s="13" t="str">
        <f>CONCATENATE("     ","Travel                                            ")</f>
        <v xml:space="preserve">     Travel                                            </v>
      </c>
      <c r="C114" s="13"/>
      <c r="D114" s="1">
        <f>SUM(OSRRefD22_14x_0)</f>
        <v>0</v>
      </c>
      <c r="E114" s="1"/>
      <c r="F114" s="5">
        <f t="shared" si="69"/>
        <v>0</v>
      </c>
      <c r="G114" s="1"/>
      <c r="H114" s="1">
        <f>SUM(OSRRefH22_14x_0)</f>
        <v>0</v>
      </c>
      <c r="I114" s="1"/>
      <c r="J114" s="5">
        <f t="shared" si="70"/>
        <v>0</v>
      </c>
      <c r="K114" s="1"/>
      <c r="L114" s="1">
        <f t="shared" si="71"/>
        <v>0</v>
      </c>
      <c r="M114" s="1"/>
      <c r="N114" s="5">
        <f t="shared" si="72"/>
        <v>0</v>
      </c>
      <c r="O114" s="13"/>
      <c r="P114" s="1">
        <f>SUM(OSRRefP22_14x_0)</f>
        <v>83.93</v>
      </c>
      <c r="Q114" s="1"/>
      <c r="R114" s="5">
        <f t="shared" si="73"/>
        <v>4.2512641255189969E-5</v>
      </c>
      <c r="S114" s="1"/>
      <c r="T114" s="1">
        <f>SUM(OSRRefT22_14x_0)</f>
        <v>450</v>
      </c>
      <c r="U114" s="1"/>
      <c r="V114" s="5">
        <f t="shared" si="74"/>
        <v>2.1909207271325081E-4</v>
      </c>
      <c r="W114" s="1"/>
      <c r="X114" s="1">
        <f t="shared" si="75"/>
        <v>-366.07</v>
      </c>
      <c r="Y114" s="1"/>
      <c r="Z114" s="5">
        <f t="shared" si="76"/>
        <v>-0.81348888888888893</v>
      </c>
    </row>
    <row r="115" spans="1:26" s="24" customFormat="1" hidden="1" outlineLevel="2" x14ac:dyDescent="0.25">
      <c r="A115" s="25"/>
      <c r="B115" s="11" t="str">
        <f>CONCATENATE("          ", "6292", " - ", "TRAVEL/CONFERENCE")</f>
        <v xml:space="preserve">          6292 - TRAVEL/CONFERENCE</v>
      </c>
      <c r="C115" s="11"/>
      <c r="D115" s="6"/>
      <c r="E115" s="2"/>
      <c r="F115" s="7">
        <f t="shared" si="69"/>
        <v>0</v>
      </c>
      <c r="G115" s="2"/>
      <c r="H115" s="6"/>
      <c r="I115" s="2"/>
      <c r="J115" s="7">
        <f t="shared" si="70"/>
        <v>0</v>
      </c>
      <c r="K115" s="2"/>
      <c r="L115" s="6">
        <f t="shared" si="71"/>
        <v>0</v>
      </c>
      <c r="M115" s="2"/>
      <c r="N115" s="7">
        <f t="shared" si="72"/>
        <v>0</v>
      </c>
      <c r="O115" s="11"/>
      <c r="P115" s="6">
        <v>83.93</v>
      </c>
      <c r="Q115" s="2"/>
      <c r="R115" s="7">
        <f t="shared" si="73"/>
        <v>4.2512641255189969E-5</v>
      </c>
      <c r="S115" s="2"/>
      <c r="T115" s="6"/>
      <c r="U115" s="2"/>
      <c r="V115" s="7">
        <f t="shared" si="74"/>
        <v>0</v>
      </c>
      <c r="W115" s="2"/>
      <c r="X115" s="6">
        <f t="shared" si="75"/>
        <v>83.93</v>
      </c>
      <c r="Y115" s="2"/>
      <c r="Z115" s="7">
        <f t="shared" si="76"/>
        <v>0</v>
      </c>
    </row>
    <row r="116" spans="1:26" s="24" customFormat="1" hidden="1" outlineLevel="2" x14ac:dyDescent="0.25">
      <c r="A116" s="25"/>
      <c r="B116" s="11" t="str">
        <f>CONCATENATE("          ", "6298", " - ", "VEHICLE MILEAGE")</f>
        <v xml:space="preserve">          6298 - VEHICLE MILEAGE</v>
      </c>
      <c r="C116" s="11"/>
      <c r="D116" s="6"/>
      <c r="E116" s="2"/>
      <c r="F116" s="7">
        <f t="shared" si="69"/>
        <v>0</v>
      </c>
      <c r="G116" s="2"/>
      <c r="H116" s="6"/>
      <c r="I116" s="2"/>
      <c r="J116" s="7">
        <f t="shared" si="70"/>
        <v>0</v>
      </c>
      <c r="K116" s="2"/>
      <c r="L116" s="6">
        <f t="shared" si="71"/>
        <v>0</v>
      </c>
      <c r="M116" s="2"/>
      <c r="N116" s="7">
        <f t="shared" si="72"/>
        <v>0</v>
      </c>
      <c r="O116" s="11"/>
      <c r="P116" s="6"/>
      <c r="Q116" s="2"/>
      <c r="R116" s="7">
        <f t="shared" si="73"/>
        <v>0</v>
      </c>
      <c r="S116" s="2"/>
      <c r="T116" s="6">
        <v>450</v>
      </c>
      <c r="U116" s="2"/>
      <c r="V116" s="7">
        <f t="shared" si="74"/>
        <v>2.1909207271325081E-4</v>
      </c>
      <c r="W116" s="2"/>
      <c r="X116" s="6">
        <f t="shared" si="75"/>
        <v>-450</v>
      </c>
      <c r="Y116" s="2"/>
      <c r="Z116" s="7">
        <f t="shared" si="76"/>
        <v>-1</v>
      </c>
    </row>
    <row r="117" spans="1:26" s="59" customFormat="1" x14ac:dyDescent="0.25">
      <c r="A117" s="36"/>
      <c r="B117" s="36"/>
      <c r="C117" s="36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6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collapsed="1" x14ac:dyDescent="0.25">
      <c r="A118" s="10"/>
      <c r="B118" s="29" t="s">
        <v>0</v>
      </c>
      <c r="C118" s="10"/>
      <c r="D118" s="4">
        <f>SUM(OSRRefD25x_0)</f>
        <v>197.54</v>
      </c>
      <c r="E118" s="4"/>
      <c r="F118" s="12">
        <f t="shared" ref="F118:F122" si="77">IF(D$12=0,0,D118/D$12)</f>
        <v>1.504887800002438E-2</v>
      </c>
      <c r="G118" s="4"/>
      <c r="H118" s="4">
        <f>SUM(OSRRefH25x_0)</f>
        <v>1000</v>
      </c>
      <c r="I118" s="4"/>
      <c r="J118" s="12">
        <f t="shared" ref="J118:J122" si="78">IF(H$12=0,0,H118/H$12)</f>
        <v>9.595087315294569E-2</v>
      </c>
      <c r="K118" s="4"/>
      <c r="L118" s="4">
        <f t="shared" ref="L118:L122" si="79">+D118-H118</f>
        <v>-802.46</v>
      </c>
      <c r="M118" s="4"/>
      <c r="N118" s="12">
        <f t="shared" ref="N118:N122" si="80">IF(H118=0,0,L118/H118)</f>
        <v>-0.80246000000000006</v>
      </c>
      <c r="O118" s="10"/>
      <c r="P118" s="4">
        <f>SUM(OSRRefP25x_0)</f>
        <v>142441.94</v>
      </c>
      <c r="Q118" s="4"/>
      <c r="R118" s="12">
        <f t="shared" ref="R118:R122" si="81">IF(P$12=0,0,P118/P$12)</f>
        <v>7.2150400273004817E-2</v>
      </c>
      <c r="S118" s="4"/>
      <c r="T118" s="4">
        <f>SUM(OSRRefT25x_0)</f>
        <v>84600</v>
      </c>
      <c r="U118" s="4"/>
      <c r="V118" s="12">
        <f t="shared" ref="V118:V122" si="82">IF(T$12=0,0,T118/T$12)</f>
        <v>4.118930967009115E-2</v>
      </c>
      <c r="W118" s="4"/>
      <c r="X118" s="4">
        <f t="shared" ref="X118:X122" si="83">+P118-T118</f>
        <v>57841.94</v>
      </c>
      <c r="Y118" s="4"/>
      <c r="Z118" s="12">
        <f t="shared" ref="Z118:Z122" si="84">IF(T118=0,0,X118/T118)</f>
        <v>0.68371087470449177</v>
      </c>
    </row>
    <row r="119" spans="1:26" s="24" customFormat="1" hidden="1" outlineLevel="1" x14ac:dyDescent="0.25">
      <c r="A119" s="44"/>
      <c r="B119" s="11" t="str">
        <f>CONCATENATE("          ", "9150", " - ", "MISC. INCOME")</f>
        <v xml:space="preserve">          9150 - MISC. INCOME</v>
      </c>
      <c r="C119" s="11"/>
      <c r="D119" s="2">
        <f>--43.32</f>
        <v>43.32</v>
      </c>
      <c r="E119" s="2"/>
      <c r="F119" s="19">
        <f t="shared" si="77"/>
        <v>3.300179178703332E-3</v>
      </c>
      <c r="G119" s="2"/>
      <c r="H119" s="2"/>
      <c r="I119" s="2"/>
      <c r="J119" s="19">
        <f t="shared" si="78"/>
        <v>0</v>
      </c>
      <c r="K119" s="2"/>
      <c r="L119" s="2">
        <f t="shared" si="79"/>
        <v>43.32</v>
      </c>
      <c r="M119" s="2"/>
      <c r="N119" s="19">
        <f t="shared" si="80"/>
        <v>0</v>
      </c>
      <c r="O119" s="11"/>
      <c r="P119" s="2">
        <f>--53917.42</f>
        <v>53917.42</v>
      </c>
      <c r="Q119" s="2"/>
      <c r="R119" s="19">
        <f t="shared" si="81"/>
        <v>2.7310519884015304E-2</v>
      </c>
      <c r="S119" s="2"/>
      <c r="T119" s="2"/>
      <c r="U119" s="2"/>
      <c r="V119" s="19">
        <f t="shared" si="82"/>
        <v>0</v>
      </c>
      <c r="W119" s="2"/>
      <c r="X119" s="2">
        <f t="shared" si="83"/>
        <v>53917.42</v>
      </c>
      <c r="Y119" s="2"/>
      <c r="Z119" s="19">
        <f t="shared" si="84"/>
        <v>0</v>
      </c>
    </row>
    <row r="120" spans="1:26" s="24" customFormat="1" hidden="1" outlineLevel="1" x14ac:dyDescent="0.25">
      <c r="A120" s="44"/>
      <c r="B120" s="11" t="str">
        <f>CONCATENATE("          ", "9151", " - ", "MISC. INCOME")</f>
        <v xml:space="preserve">          9151 - MISC. INCOME</v>
      </c>
      <c r="C120" s="11"/>
      <c r="D120" s="2">
        <f>0</f>
        <v>0</v>
      </c>
      <c r="E120" s="2"/>
      <c r="F120" s="19">
        <f t="shared" si="77"/>
        <v>0</v>
      </c>
      <c r="G120" s="2"/>
      <c r="H120" s="2"/>
      <c r="I120" s="2"/>
      <c r="J120" s="19">
        <f t="shared" si="78"/>
        <v>0</v>
      </c>
      <c r="K120" s="2"/>
      <c r="L120" s="2">
        <f t="shared" si="79"/>
        <v>0</v>
      </c>
      <c r="M120" s="2"/>
      <c r="N120" s="19">
        <f t="shared" si="80"/>
        <v>0</v>
      </c>
      <c r="O120" s="11"/>
      <c r="P120" s="2">
        <f>--87676.2</f>
        <v>87676.2</v>
      </c>
      <c r="Q120" s="2"/>
      <c r="R120" s="19">
        <f t="shared" si="81"/>
        <v>4.4410185121151989E-2</v>
      </c>
      <c r="S120" s="2"/>
      <c r="T120" s="2"/>
      <c r="U120" s="2"/>
      <c r="V120" s="19">
        <f t="shared" si="82"/>
        <v>0</v>
      </c>
      <c r="W120" s="2"/>
      <c r="X120" s="2">
        <f t="shared" si="83"/>
        <v>87676.2</v>
      </c>
      <c r="Y120" s="2"/>
      <c r="Z120" s="19">
        <f t="shared" si="84"/>
        <v>0</v>
      </c>
    </row>
    <row r="121" spans="1:26" s="24" customFormat="1" hidden="1" outlineLevel="1" x14ac:dyDescent="0.25">
      <c r="A121" s="44"/>
      <c r="B121" s="11" t="str">
        <f>CONCATENATE("          ", "9152", " - ", "MISC. INCOME")</f>
        <v xml:space="preserve">          9152 - MISC. INCOME</v>
      </c>
      <c r="C121" s="11"/>
      <c r="D121" s="2">
        <f>--154.22</f>
        <v>154.22</v>
      </c>
      <c r="E121" s="2"/>
      <c r="F121" s="19">
        <f t="shared" si="77"/>
        <v>1.1748698821321049E-2</v>
      </c>
      <c r="G121" s="2"/>
      <c r="H121" s="2"/>
      <c r="I121" s="2"/>
      <c r="J121" s="19">
        <f t="shared" si="78"/>
        <v>0</v>
      </c>
      <c r="K121" s="2"/>
      <c r="L121" s="2">
        <f t="shared" si="79"/>
        <v>154.22</v>
      </c>
      <c r="M121" s="2"/>
      <c r="N121" s="19">
        <f t="shared" si="80"/>
        <v>0</v>
      </c>
      <c r="O121" s="11"/>
      <c r="P121" s="2">
        <f>--848.32</f>
        <v>848.32</v>
      </c>
      <c r="Q121" s="2"/>
      <c r="R121" s="19">
        <f t="shared" si="81"/>
        <v>4.2969526783751645E-4</v>
      </c>
      <c r="S121" s="2"/>
      <c r="T121" s="2"/>
      <c r="U121" s="2"/>
      <c r="V121" s="19">
        <f t="shared" si="82"/>
        <v>0</v>
      </c>
      <c r="W121" s="2"/>
      <c r="X121" s="2">
        <f t="shared" si="83"/>
        <v>848.32</v>
      </c>
      <c r="Y121" s="2"/>
      <c r="Z121" s="19">
        <f t="shared" si="84"/>
        <v>0</v>
      </c>
    </row>
    <row r="122" spans="1:26" s="24" customFormat="1" hidden="1" outlineLevel="1" x14ac:dyDescent="0.25">
      <c r="A122" s="44"/>
      <c r="B122" s="11" t="str">
        <f>CONCATENATE("          ", "9160", " - ", "MISC. INCOME")</f>
        <v xml:space="preserve">          9160 - MISC. INCOME</v>
      </c>
      <c r="C122" s="11"/>
      <c r="D122" s="2">
        <f>0</f>
        <v>0</v>
      </c>
      <c r="E122" s="2"/>
      <c r="F122" s="19">
        <f t="shared" si="77"/>
        <v>0</v>
      </c>
      <c r="G122" s="2"/>
      <c r="H122" s="2">
        <v>1000</v>
      </c>
      <c r="I122" s="2"/>
      <c r="J122" s="19">
        <f t="shared" si="78"/>
        <v>9.595087315294569E-2</v>
      </c>
      <c r="K122" s="2"/>
      <c r="L122" s="2">
        <f t="shared" si="79"/>
        <v>-1000</v>
      </c>
      <c r="M122" s="2"/>
      <c r="N122" s="19">
        <f t="shared" si="80"/>
        <v>-1</v>
      </c>
      <c r="O122" s="11"/>
      <c r="P122" s="2">
        <f>0</f>
        <v>0</v>
      </c>
      <c r="Q122" s="2"/>
      <c r="R122" s="19">
        <f t="shared" si="81"/>
        <v>0</v>
      </c>
      <c r="S122" s="2"/>
      <c r="T122" s="2">
        <v>84600</v>
      </c>
      <c r="U122" s="2"/>
      <c r="V122" s="19">
        <f t="shared" si="82"/>
        <v>4.118930967009115E-2</v>
      </c>
      <c r="W122" s="2"/>
      <c r="X122" s="2">
        <f t="shared" si="83"/>
        <v>-84600</v>
      </c>
      <c r="Y122" s="2"/>
      <c r="Z122" s="19">
        <f t="shared" si="84"/>
        <v>-1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10"/>
      <c r="B124" s="28" t="s">
        <v>3</v>
      </c>
      <c r="C124" s="28"/>
      <c r="D124" s="20">
        <f>+D59-D61+D118</f>
        <v>-55778.010000000046</v>
      </c>
      <c r="E124" s="14"/>
      <c r="F124" s="22">
        <f>IF(D$12=0,0,D124/D$12)</f>
        <v>-4.2492480893699538</v>
      </c>
      <c r="G124" s="14"/>
      <c r="H124" s="20">
        <f>+H59-H61+H118</f>
        <v>-56698.547288297872</v>
      </c>
      <c r="I124" s="14"/>
      <c r="J124" s="22">
        <f>IF(H$12=0,0,H124/H$12)</f>
        <v>-5.4402751188157623</v>
      </c>
      <c r="K124" s="16"/>
      <c r="L124" s="20">
        <f>+D124-H124</f>
        <v>920.53728829782631</v>
      </c>
      <c r="M124" s="16"/>
      <c r="N124" s="22">
        <f>IF(H124=0,0,L124/H124)</f>
        <v>-1.6235641516829796E-2</v>
      </c>
      <c r="O124" s="29"/>
      <c r="P124" s="20">
        <f>+P59-P61+P118</f>
        <v>468667.58999999973</v>
      </c>
      <c r="Q124" s="14"/>
      <c r="R124" s="22">
        <f>IF(P$12=0,0,P124/P$12)</f>
        <v>0.23739183988567192</v>
      </c>
      <c r="S124" s="14"/>
      <c r="T124" s="20">
        <f>+T59-T61+T118</f>
        <v>381414.28504136211</v>
      </c>
      <c r="U124" s="14"/>
      <c r="V124" s="22">
        <f>IF(T$12=0,0,T124/T$12)</f>
        <v>0.18569965838256594</v>
      </c>
      <c r="W124" s="16"/>
      <c r="X124" s="20">
        <f>+P124-T124</f>
        <v>87253.304958637629</v>
      </c>
      <c r="Y124" s="16"/>
      <c r="Z124" s="22">
        <f>IF(T124=0,0,X124/T124)</f>
        <v>0.22876255132703152</v>
      </c>
    </row>
    <row r="125" spans="1:26" x14ac:dyDescent="0.25">
      <c r="A125" s="9"/>
      <c r="B125" s="10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52"/>
      <c r="B126" s="10" t="s">
        <v>14</v>
      </c>
      <c r="C126" s="10"/>
      <c r="D126" s="4">
        <v>11647.96</v>
      </c>
      <c r="E126" s="4"/>
      <c r="F126" s="12">
        <f>IF(D$12=0,0,D126/D$12)</f>
        <v>0.88735815019319619</v>
      </c>
      <c r="G126" s="4"/>
      <c r="H126" s="4">
        <v>14212</v>
      </c>
      <c r="I126" s="4"/>
      <c r="J126" s="12">
        <f>IF(H$12=0,0,H126/H$12)</f>
        <v>1.3636538092496642</v>
      </c>
      <c r="K126" s="4"/>
      <c r="L126" s="4">
        <f>+D126-H126</f>
        <v>-2564.0400000000009</v>
      </c>
      <c r="M126" s="4"/>
      <c r="N126" s="12">
        <f>IF(H126=0,0,L126/H126)</f>
        <v>-0.18041373487193926</v>
      </c>
      <c r="O126" s="10"/>
      <c r="P126" s="4">
        <v>209058.27000000002</v>
      </c>
      <c r="Q126" s="4"/>
      <c r="R126" s="12">
        <f>IF(P$12=0,0,P126/P$12)</f>
        <v>0.10589323524294822</v>
      </c>
      <c r="S126" s="4"/>
      <c r="T126" s="4">
        <v>260298.99999999997</v>
      </c>
      <c r="U126" s="4"/>
      <c r="V126" s="12">
        <f>IF(T$12=0,0,T126/T$12)</f>
        <v>0.12673210541152549</v>
      </c>
      <c r="W126" s="4"/>
      <c r="X126" s="4">
        <f>+P126-T126</f>
        <v>-51240.729999999952</v>
      </c>
      <c r="Y126" s="4"/>
      <c r="Z126" s="12">
        <f>IF(T126=0,0,X126/T126)</f>
        <v>-0.1968533494174006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8" t="s">
        <v>4</v>
      </c>
      <c r="C128" s="28"/>
      <c r="D128" s="30">
        <f>+D124-D126</f>
        <v>-67425.970000000045</v>
      </c>
      <c r="E128" s="14"/>
      <c r="F128" s="32">
        <f>IF(D$12=0,0,D128/D$12)</f>
        <v>-5.1366062395631493</v>
      </c>
      <c r="G128" s="14"/>
      <c r="H128" s="30">
        <f>+H124-H126</f>
        <v>-70910.547288297879</v>
      </c>
      <c r="I128" s="14"/>
      <c r="J128" s="32">
        <f>IF(H$12=0,0,H128/H$12)</f>
        <v>-6.8039289280654272</v>
      </c>
      <c r="K128" s="16"/>
      <c r="L128" s="30">
        <f>D128-H128</f>
        <v>3484.5772882978345</v>
      </c>
      <c r="M128" s="16"/>
      <c r="N128" s="32">
        <f>IF(H128=0,0,L128/H128)</f>
        <v>-4.9140465298212165E-2</v>
      </c>
      <c r="O128" s="29"/>
      <c r="P128" s="30">
        <f>+P124-P126</f>
        <v>259609.31999999972</v>
      </c>
      <c r="Q128" s="14"/>
      <c r="R128" s="32">
        <f>IF(P$12=0,0,P128/P$12)</f>
        <v>0.13149860464272373</v>
      </c>
      <c r="S128" s="14"/>
      <c r="T128" s="30">
        <f>+T124-T126</f>
        <v>121115.28504136213</v>
      </c>
      <c r="U128" s="14"/>
      <c r="V128" s="32">
        <f>IF(T$12=0,0,T128/T$12)</f>
        <v>5.896755297104047E-2</v>
      </c>
      <c r="W128" s="16"/>
      <c r="X128" s="30">
        <f>P128-T128</f>
        <v>138494.03495863758</v>
      </c>
      <c r="Y128" s="16"/>
      <c r="Z128" s="32">
        <f>IF(T128=0,0,X128/T128)</f>
        <v>1.1434893202071104</v>
      </c>
    </row>
    <row r="129" spans="1:26" ht="15.75" thickTop="1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8" t="s">
        <v>5</v>
      </c>
      <c r="C131" s="28"/>
      <c r="D131" s="31">
        <f>SUM(D128:D130)</f>
        <v>-67425.970000000045</v>
      </c>
      <c r="E131" s="14"/>
      <c r="F131" s="35">
        <f>IF(D$12=0,0,D131/D$12)</f>
        <v>-5.1366062395631493</v>
      </c>
      <c r="G131" s="14"/>
      <c r="H131" s="31">
        <f>SUM(H128:H130)</f>
        <v>-70910.547288297879</v>
      </c>
      <c r="I131" s="14"/>
      <c r="J131" s="35">
        <f>IF(H$12=0,0,H131/H$12)</f>
        <v>-6.8039289280654272</v>
      </c>
      <c r="K131" s="16"/>
      <c r="L131" s="31">
        <f>+D131-H131</f>
        <v>3484.5772882978345</v>
      </c>
      <c r="M131" s="16"/>
      <c r="N131" s="35">
        <f>IF(H131=0,0,L131/H131)</f>
        <v>-4.9140465298212165E-2</v>
      </c>
      <c r="O131" s="29"/>
      <c r="P131" s="31">
        <f>SUM(P128:P130)</f>
        <v>259609.31999999972</v>
      </c>
      <c r="Q131" s="14"/>
      <c r="R131" s="35">
        <f>IF(P$12=0,0,P131/P$12)</f>
        <v>0.13149860464272373</v>
      </c>
      <c r="S131" s="14"/>
      <c r="T131" s="31">
        <f>SUM(T128:T130)</f>
        <v>121115.28504136213</v>
      </c>
      <c r="U131" s="14"/>
      <c r="V131" s="35">
        <f>IF(T$12=0,0,T131/T$12)</f>
        <v>5.896755297104047E-2</v>
      </c>
      <c r="W131" s="16"/>
      <c r="X131" s="31">
        <f>+P131-T131</f>
        <v>138494.03495863758</v>
      </c>
      <c r="Y131" s="16"/>
      <c r="Z131" s="35">
        <f>IF(T131=0,0,X131/T131)</f>
        <v>1.1434893202071104</v>
      </c>
    </row>
    <row r="132" spans="1:26" ht="15.75" thickTop="1" x14ac:dyDescent="0.25">
      <c r="A132" s="9"/>
      <c r="C132" s="9"/>
      <c r="D132" s="17"/>
      <c r="E132" s="17"/>
      <c r="G132" s="17"/>
      <c r="H132" s="17"/>
      <c r="I132" s="17"/>
      <c r="J132" s="43"/>
      <c r="K132" s="17"/>
      <c r="L132" s="17"/>
      <c r="M132" s="17"/>
      <c r="P132" s="17"/>
      <c r="Q132" s="17"/>
      <c r="R132" s="43"/>
      <c r="S132" s="17"/>
      <c r="T132" s="17"/>
      <c r="U132" s="17"/>
      <c r="V132" s="43"/>
      <c r="W132" s="17"/>
      <c r="X132" s="17"/>
    </row>
    <row r="133" spans="1:26" x14ac:dyDescent="0.25">
      <c r="A133" s="9"/>
      <c r="B133" s="56">
        <v>43815.483687731481</v>
      </c>
      <c r="D133" s="17"/>
      <c r="E133" s="17"/>
      <c r="G133" s="17"/>
      <c r="H133" s="17"/>
      <c r="I133" s="17"/>
      <c r="J133" s="43"/>
      <c r="K133" s="17"/>
      <c r="L133" s="17"/>
      <c r="M133" s="17"/>
      <c r="P133" s="17"/>
      <c r="Q133" s="17"/>
      <c r="R133" s="43"/>
      <c r="S133" s="17"/>
      <c r="T133" s="17"/>
      <c r="U133" s="17"/>
      <c r="V133" s="43"/>
      <c r="W133" s="17"/>
      <c r="X133" s="17"/>
    </row>
    <row r="134" spans="1:26" x14ac:dyDescent="0.25">
      <c r="A134" s="9"/>
      <c r="B134" s="62" t="s">
        <v>314</v>
      </c>
      <c r="D134" s="17"/>
      <c r="E134" s="17"/>
      <c r="G134" s="17"/>
      <c r="H134" s="17"/>
      <c r="I134" s="17"/>
      <c r="J134" s="43"/>
      <c r="K134" s="17"/>
      <c r="L134" s="17"/>
      <c r="M134" s="17"/>
      <c r="P134" s="17"/>
      <c r="Q134" s="17"/>
      <c r="R134" s="43"/>
      <c r="S134" s="17"/>
      <c r="T134" s="17"/>
      <c r="U134" s="17"/>
      <c r="V134" s="43"/>
      <c r="W134" s="17"/>
      <c r="X134" s="17"/>
    </row>
    <row r="135" spans="1:26" x14ac:dyDescent="0.25">
      <c r="A135" s="9"/>
      <c r="B135" s="58"/>
      <c r="D135" s="17"/>
      <c r="E135" s="17"/>
      <c r="G135" s="17"/>
      <c r="H135" s="17"/>
      <c r="I135" s="17"/>
      <c r="J135" s="43"/>
      <c r="K135" s="17"/>
      <c r="L135" s="17"/>
      <c r="M135" s="17"/>
      <c r="P135" s="17"/>
      <c r="Q135" s="17"/>
      <c r="R135" s="43"/>
      <c r="S135" s="17"/>
      <c r="T135" s="17"/>
      <c r="U135" s="17"/>
      <c r="V135" s="43"/>
      <c r="W135" s="17"/>
      <c r="X135" s="17"/>
    </row>
    <row r="136" spans="1:26" x14ac:dyDescent="0.25">
      <c r="D136" s="17"/>
      <c r="E136" s="17"/>
      <c r="G136" s="17"/>
      <c r="H136" s="17"/>
      <c r="I136" s="17"/>
      <c r="J136" s="43"/>
      <c r="K136" s="17"/>
      <c r="L136" s="17"/>
      <c r="M136" s="17"/>
      <c r="P136" s="17"/>
      <c r="Q136" s="17"/>
      <c r="R136" s="43"/>
      <c r="S136" s="17"/>
      <c r="T136" s="17"/>
      <c r="U136" s="17"/>
      <c r="V136" s="43"/>
      <c r="W136" s="17"/>
      <c r="X136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","324", " - ", "Textbook Rental")</f>
        <v>Department 324 - Textbook Rental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1533.3899999999999</v>
      </c>
      <c r="E12" s="4"/>
      <c r="F12" s="12"/>
      <c r="G12" s="4"/>
      <c r="H12" s="4">
        <f>SUM(OSRRefH13x_0)</f>
        <v>1419</v>
      </c>
      <c r="I12" s="4"/>
      <c r="J12" s="12"/>
      <c r="K12" s="4"/>
      <c r="L12" s="4">
        <f t="shared" ref="L12:L15" si="0">+D12-H12</f>
        <v>114.38999999999987</v>
      </c>
      <c r="M12" s="4"/>
      <c r="N12" s="12">
        <f t="shared" ref="N12:N15" si="1">IF(H12=0,0,L12/H12)</f>
        <v>8.061310782241006E-2</v>
      </c>
      <c r="O12" s="10"/>
      <c r="P12" s="4">
        <f>SUM(OSRRefP13x_0)</f>
        <v>902819.08000000007</v>
      </c>
      <c r="Q12" s="4"/>
      <c r="R12" s="12"/>
      <c r="S12" s="4"/>
      <c r="T12" s="4">
        <f>SUM(OSRRefT13x_0)</f>
        <v>1058419</v>
      </c>
      <c r="U12" s="4"/>
      <c r="V12" s="12"/>
      <c r="W12" s="4"/>
      <c r="X12" s="4">
        <f t="shared" ref="X12:X15" si="2">+P12-T12</f>
        <v>-155599.91999999993</v>
      </c>
      <c r="Y12" s="4"/>
      <c r="Z12" s="12">
        <f t="shared" ref="Z12:Z15" si="3">IF(T12=0,0,X12/T12)</f>
        <v>-0.14701164661632107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--648.4</f>
        <v>648.4</v>
      </c>
      <c r="E13" s="2"/>
      <c r="F13" s="19"/>
      <c r="G13" s="2"/>
      <c r="H13" s="2"/>
      <c r="I13" s="2"/>
      <c r="J13" s="19"/>
      <c r="K13" s="2"/>
      <c r="L13" s="2">
        <f t="shared" si="0"/>
        <v>648.4</v>
      </c>
      <c r="M13" s="2"/>
      <c r="N13" s="19">
        <f t="shared" si="1"/>
        <v>0</v>
      </c>
      <c r="O13" s="11"/>
      <c r="P13" s="2">
        <f>--257018.71</f>
        <v>257018.71</v>
      </c>
      <c r="Q13" s="2"/>
      <c r="R13" s="19"/>
      <c r="S13" s="2"/>
      <c r="T13" s="2"/>
      <c r="U13" s="2"/>
      <c r="V13" s="19"/>
      <c r="W13" s="2"/>
      <c r="X13" s="2">
        <f t="shared" si="2"/>
        <v>257018.71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--426.1</f>
        <v>426.1</v>
      </c>
      <c r="E14" s="2"/>
      <c r="F14" s="19"/>
      <c r="G14" s="2"/>
      <c r="H14" s="2"/>
      <c r="I14" s="2"/>
      <c r="J14" s="19"/>
      <c r="K14" s="2"/>
      <c r="L14" s="2">
        <f t="shared" si="0"/>
        <v>426.1</v>
      </c>
      <c r="M14" s="2"/>
      <c r="N14" s="19">
        <f t="shared" si="1"/>
        <v>0</v>
      </c>
      <c r="O14" s="11"/>
      <c r="P14" s="2">
        <f>--309959.81</f>
        <v>309959.81</v>
      </c>
      <c r="Q14" s="2"/>
      <c r="R14" s="19"/>
      <c r="S14" s="2"/>
      <c r="T14" s="2"/>
      <c r="U14" s="2"/>
      <c r="V14" s="19"/>
      <c r="W14" s="2"/>
      <c r="X14" s="2">
        <f t="shared" si="2"/>
        <v>309959.81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--458.89</f>
        <v>458.89</v>
      </c>
      <c r="E15" s="2"/>
      <c r="F15" s="19"/>
      <c r="G15" s="2"/>
      <c r="H15" s="2">
        <v>1419</v>
      </c>
      <c r="I15" s="2"/>
      <c r="J15" s="19"/>
      <c r="K15" s="2"/>
      <c r="L15" s="2">
        <f t="shared" si="0"/>
        <v>-960.11</v>
      </c>
      <c r="M15" s="2"/>
      <c r="N15" s="19">
        <f t="shared" si="1"/>
        <v>-0.67661028893587039</v>
      </c>
      <c r="O15" s="11"/>
      <c r="P15" s="2">
        <f>--335840.56</f>
        <v>335840.56</v>
      </c>
      <c r="Q15" s="2"/>
      <c r="R15" s="19"/>
      <c r="S15" s="2"/>
      <c r="T15" s="2">
        <v>1058419</v>
      </c>
      <c r="U15" s="2"/>
      <c r="V15" s="19"/>
      <c r="W15" s="2"/>
      <c r="X15" s="2">
        <f t="shared" si="2"/>
        <v>-722578.44</v>
      </c>
      <c r="Y15" s="2"/>
      <c r="Z15" s="19">
        <f t="shared" si="3"/>
        <v>-0.68269602114096584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567.09</v>
      </c>
      <c r="E17" s="4"/>
      <c r="F17" s="12">
        <f t="shared" ref="F17:F20" si="4">IF(D$12=0,0,D17/D$12)</f>
        <v>0.36982763680472686</v>
      </c>
      <c r="G17" s="4"/>
      <c r="H17" s="4">
        <f>SUM(OSRRefH16x_0)</f>
        <v>-986.9</v>
      </c>
      <c r="I17" s="4"/>
      <c r="J17" s="12">
        <f t="shared" ref="J17:J20" si="5">IF(H$12=0,0,H17/H$12)</f>
        <v>-0.69548978153629315</v>
      </c>
      <c r="K17" s="4"/>
      <c r="L17" s="4">
        <f t="shared" ref="L17:L20" si="6">+D17-H17</f>
        <v>1553.99</v>
      </c>
      <c r="M17" s="4"/>
      <c r="N17" s="12">
        <f t="shared" ref="N17:N20" si="7">IF(H17=0,0,L17/H17)</f>
        <v>-1.5746174891073057</v>
      </c>
      <c r="O17" s="10"/>
      <c r="P17" s="4">
        <f>SUM(OSRRefP16x_0)</f>
        <v>683340.3600000001</v>
      </c>
      <c r="Q17" s="4"/>
      <c r="R17" s="12">
        <f t="shared" ref="R17:R20" si="8">IF(P$12=0,0,P17/P$12)</f>
        <v>0.75689623218862412</v>
      </c>
      <c r="S17" s="4"/>
      <c r="T17" s="4">
        <f>SUM(OSRRefT16x_0)</f>
        <v>769439.77</v>
      </c>
      <c r="U17" s="4"/>
      <c r="V17" s="12">
        <f t="shared" ref="V17:V20" si="9">IF(T$12=0,0,T17/T$12)</f>
        <v>0.72697085936665917</v>
      </c>
      <c r="W17" s="4"/>
      <c r="X17" s="4">
        <f t="shared" ref="X17:X20" si="10">+P17-T17</f>
        <v>-86099.409999999916</v>
      </c>
      <c r="Y17" s="4"/>
      <c r="Z17" s="12">
        <f t="shared" ref="Z17:Z20" si="11">IF(T17=0,0,X17/T17)</f>
        <v>-0.11189882997599658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-986.9</v>
      </c>
      <c r="I18" s="2"/>
      <c r="J18" s="19">
        <f t="shared" si="5"/>
        <v>-0.69548978153629315</v>
      </c>
      <c r="K18" s="2"/>
      <c r="L18" s="2">
        <f t="shared" si="6"/>
        <v>986.9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769439.77</v>
      </c>
      <c r="U18" s="2"/>
      <c r="V18" s="19">
        <f t="shared" si="9"/>
        <v>0.72697085936665917</v>
      </c>
      <c r="W18" s="2"/>
      <c r="X18" s="2">
        <f t="shared" si="10"/>
        <v>-769439.77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"5001", " - ", "PURCHASES @ COST-NEW TEXT")</f>
        <v xml:space="preserve">          5001 - PURCHASES @ COST-NEW TEXT</v>
      </c>
      <c r="C19" s="11"/>
      <c r="D19" s="2">
        <v>768.59</v>
      </c>
      <c r="E19" s="2"/>
      <c r="F19" s="19">
        <f t="shared" si="4"/>
        <v>0.50123582389346488</v>
      </c>
      <c r="G19" s="2"/>
      <c r="H19" s="2"/>
      <c r="I19" s="2"/>
      <c r="J19" s="19">
        <f t="shared" si="5"/>
        <v>0</v>
      </c>
      <c r="K19" s="2"/>
      <c r="L19" s="2">
        <f t="shared" si="6"/>
        <v>768.59</v>
      </c>
      <c r="M19" s="2"/>
      <c r="N19" s="19">
        <f t="shared" si="7"/>
        <v>0</v>
      </c>
      <c r="O19" s="11"/>
      <c r="P19" s="2">
        <v>309068.86000000004</v>
      </c>
      <c r="Q19" s="2"/>
      <c r="R19" s="19">
        <f t="shared" si="8"/>
        <v>0.34233753677425605</v>
      </c>
      <c r="S19" s="2"/>
      <c r="T19" s="2"/>
      <c r="U19" s="2"/>
      <c r="V19" s="19">
        <f t="shared" si="9"/>
        <v>0</v>
      </c>
      <c r="W19" s="2"/>
      <c r="X19" s="2">
        <f t="shared" si="10"/>
        <v>309068.86000000004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"5002", " - ", "PURCHASES @ COST-USED TEXT")</f>
        <v xml:space="preserve">          5002 - PURCHASES @ COST-USED TEXT</v>
      </c>
      <c r="C20" s="11"/>
      <c r="D20" s="2">
        <v>-201.5</v>
      </c>
      <c r="E20" s="2"/>
      <c r="F20" s="19">
        <f t="shared" si="4"/>
        <v>-0.13140818708873803</v>
      </c>
      <c r="G20" s="2"/>
      <c r="H20" s="2"/>
      <c r="I20" s="2"/>
      <c r="J20" s="19">
        <f t="shared" si="5"/>
        <v>0</v>
      </c>
      <c r="K20" s="2"/>
      <c r="L20" s="2">
        <f t="shared" si="6"/>
        <v>-201.5</v>
      </c>
      <c r="M20" s="2"/>
      <c r="N20" s="19">
        <f t="shared" si="7"/>
        <v>0</v>
      </c>
      <c r="O20" s="11"/>
      <c r="P20" s="2">
        <v>374271.5</v>
      </c>
      <c r="Q20" s="2"/>
      <c r="R20" s="19">
        <f t="shared" si="8"/>
        <v>0.41455869541436802</v>
      </c>
      <c r="S20" s="2"/>
      <c r="T20" s="2"/>
      <c r="U20" s="2"/>
      <c r="V20" s="19">
        <f t="shared" si="9"/>
        <v>0</v>
      </c>
      <c r="W20" s="2"/>
      <c r="X20" s="2">
        <f t="shared" si="10"/>
        <v>374271.5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0">
        <f>D12-D17</f>
        <v>966.29999999999984</v>
      </c>
      <c r="E22" s="14"/>
      <c r="F22" s="22">
        <f>IF(D$12=0,0,D22/D$12)</f>
        <v>0.63017236319527314</v>
      </c>
      <c r="G22" s="14"/>
      <c r="H22" s="20">
        <f>H12-H17</f>
        <v>2405.9</v>
      </c>
      <c r="I22" s="14"/>
      <c r="J22" s="22">
        <f>IF(H$12=0,0,H22/H$12)</f>
        <v>1.6954897815362933</v>
      </c>
      <c r="K22" s="16"/>
      <c r="L22" s="20">
        <f>+D22-H22</f>
        <v>-1439.6000000000004</v>
      </c>
      <c r="M22" s="16"/>
      <c r="N22" s="22">
        <f>IF(H22=0,0,L22/H22)</f>
        <v>-0.59836235920029934</v>
      </c>
      <c r="O22" s="29"/>
      <c r="P22" s="20">
        <f>P12-P17</f>
        <v>219478.71999999997</v>
      </c>
      <c r="Q22" s="14"/>
      <c r="R22" s="22">
        <f>IF(P$12=0,0,P22/P$12)</f>
        <v>0.24310376781137585</v>
      </c>
      <c r="S22" s="14"/>
      <c r="T22" s="20">
        <f>T12-T17</f>
        <v>288979.23</v>
      </c>
      <c r="U22" s="14"/>
      <c r="V22" s="22">
        <f>IF(T$12=0,0,T22/T$12)</f>
        <v>0.27302914063334083</v>
      </c>
      <c r="W22" s="16"/>
      <c r="X22" s="20">
        <f>+P22-T22</f>
        <v>-69500.510000000009</v>
      </c>
      <c r="Y22" s="16"/>
      <c r="Z22" s="22">
        <f>IF(T22=0,0,X22/T22)</f>
        <v>-0.24050347839877631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SUM(0)</f>
        <v>0</v>
      </c>
      <c r="E24" s="21"/>
      <c r="F24" s="33">
        <f>IF(D$12=0,0,D24/D$12)</f>
        <v>0</v>
      </c>
      <c r="G24" s="21"/>
      <c r="H24" s="21">
        <f>SUM(0)</f>
        <v>0</v>
      </c>
      <c r="I24" s="21"/>
      <c r="J24" s="33">
        <f>IF(H$12=0,0,H24/H$12)</f>
        <v>0</v>
      </c>
      <c r="K24" s="4"/>
      <c r="L24" s="21">
        <f>+D24-H24</f>
        <v>0</v>
      </c>
      <c r="M24" s="4"/>
      <c r="N24" s="33">
        <f>IF(H24=0,0,L24/H24)</f>
        <v>0</v>
      </c>
      <c r="O24" s="10"/>
      <c r="P24" s="21">
        <f>SUM(0)</f>
        <v>0</v>
      </c>
      <c r="Q24" s="21"/>
      <c r="R24" s="33">
        <f>IF(P$12=0,0,P24/P$12)</f>
        <v>0</v>
      </c>
      <c r="S24" s="21"/>
      <c r="T24" s="21">
        <f>SUM(0)</f>
        <v>0</v>
      </c>
      <c r="U24" s="21"/>
      <c r="V24" s="33">
        <f>IF(T$12=0,0,T24/T$12)</f>
        <v>0</v>
      </c>
      <c r="W24" s="4"/>
      <c r="X24" s="21">
        <f>+P24-T24</f>
        <v>0</v>
      </c>
      <c r="Y24" s="4"/>
      <c r="Z24" s="33">
        <f>IF(T24=0,0,X24/T24)</f>
        <v>0</v>
      </c>
    </row>
    <row r="25" spans="1:26" s="59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9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8" t="s">
        <v>3</v>
      </c>
      <c r="C28" s="28"/>
      <c r="D28" s="20">
        <f>+D22-D24+D26</f>
        <v>966.29999999999984</v>
      </c>
      <c r="E28" s="14"/>
      <c r="F28" s="22">
        <f>IF(D$12=0,0,D28/D$12)</f>
        <v>0.63017236319527314</v>
      </c>
      <c r="G28" s="14"/>
      <c r="H28" s="20">
        <f>+H22-H24+H26</f>
        <v>2405.9</v>
      </c>
      <c r="I28" s="14"/>
      <c r="J28" s="22">
        <f>IF(H$12=0,0,H28/H$12)</f>
        <v>1.6954897815362933</v>
      </c>
      <c r="K28" s="16"/>
      <c r="L28" s="20">
        <f>+D28-H28</f>
        <v>-1439.6000000000004</v>
      </c>
      <c r="M28" s="16"/>
      <c r="N28" s="22">
        <f>IF(H28=0,0,L28/H28)</f>
        <v>-0.59836235920029934</v>
      </c>
      <c r="O28" s="29"/>
      <c r="P28" s="20">
        <f>+P22-P24+P26</f>
        <v>219478.71999999997</v>
      </c>
      <c r="Q28" s="14"/>
      <c r="R28" s="22">
        <f>IF(P$12=0,0,P28/P$12)</f>
        <v>0.24310376781137585</v>
      </c>
      <c r="S28" s="14"/>
      <c r="T28" s="20">
        <f>+T22-T24+T26</f>
        <v>288979.23</v>
      </c>
      <c r="U28" s="14"/>
      <c r="V28" s="22">
        <f>IF(T$12=0,0,T28/T$12)</f>
        <v>0.27302914063334083</v>
      </c>
      <c r="W28" s="16"/>
      <c r="X28" s="20">
        <f>+P28-T28</f>
        <v>-69500.510000000009</v>
      </c>
      <c r="Y28" s="16"/>
      <c r="Z28" s="22">
        <f>IF(T28=0,0,X28/T28)</f>
        <v>-0.24050347839877631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14</v>
      </c>
      <c r="C30" s="10"/>
      <c r="D30" s="4">
        <v>4876.71</v>
      </c>
      <c r="E30" s="4"/>
      <c r="F30" s="12">
        <f>IF(D$12=0,0,D30/D$12)</f>
        <v>3.180345508970321</v>
      </c>
      <c r="G30" s="4"/>
      <c r="H30" s="4">
        <v>6848</v>
      </c>
      <c r="I30" s="4"/>
      <c r="J30" s="12">
        <f>IF(H$12=0,0,H30/H$12)</f>
        <v>4.8259337561663145</v>
      </c>
      <c r="K30" s="4"/>
      <c r="L30" s="4">
        <f>+D30-H30</f>
        <v>-1971.29</v>
      </c>
      <c r="M30" s="4"/>
      <c r="N30" s="12">
        <f>IF(H30=0,0,L30/H30)</f>
        <v>-0.28786360981308412</v>
      </c>
      <c r="O30" s="10"/>
      <c r="P30" s="4">
        <v>95602.43</v>
      </c>
      <c r="Q30" s="4"/>
      <c r="R30" s="12">
        <f>IF(P$12=0,0,P30/P$12)</f>
        <v>0.10589323167605184</v>
      </c>
      <c r="S30" s="4"/>
      <c r="T30" s="4">
        <v>134135</v>
      </c>
      <c r="U30" s="4"/>
      <c r="V30" s="12">
        <f>IF(T$12=0,0,T30/T$12)</f>
        <v>0.12673147401926838</v>
      </c>
      <c r="W30" s="4"/>
      <c r="X30" s="4">
        <f>+P30-T30</f>
        <v>-38532.570000000007</v>
      </c>
      <c r="Y30" s="4"/>
      <c r="Z30" s="12">
        <f>IF(T30=0,0,X30/T30)</f>
        <v>-0.28726708167145043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8" t="s">
        <v>4</v>
      </c>
      <c r="C32" s="28"/>
      <c r="D32" s="30">
        <f>+D28-D30</f>
        <v>-3910.4100000000003</v>
      </c>
      <c r="E32" s="14"/>
      <c r="F32" s="32">
        <f>IF(D$12=0,0,D32/D$12)</f>
        <v>-2.5501731457750481</v>
      </c>
      <c r="G32" s="14"/>
      <c r="H32" s="30">
        <f>+H28-H30</f>
        <v>-4442.1000000000004</v>
      </c>
      <c r="I32" s="14"/>
      <c r="J32" s="32">
        <f>IF(H$12=0,0,H32/H$12)</f>
        <v>-3.1304439746300212</v>
      </c>
      <c r="K32" s="16"/>
      <c r="L32" s="30">
        <f>D32-H32</f>
        <v>531.69000000000005</v>
      </c>
      <c r="M32" s="16"/>
      <c r="N32" s="32">
        <f>IF(H32=0,0,L32/H32)</f>
        <v>-0.11969338826230837</v>
      </c>
      <c r="O32" s="29"/>
      <c r="P32" s="30">
        <f>+P28-P30</f>
        <v>123876.28999999998</v>
      </c>
      <c r="Q32" s="14"/>
      <c r="R32" s="32">
        <f>IF(P$12=0,0,P32/P$12)</f>
        <v>0.137210536135324</v>
      </c>
      <c r="S32" s="14"/>
      <c r="T32" s="30">
        <f>+T28-T30</f>
        <v>154844.22999999998</v>
      </c>
      <c r="U32" s="14"/>
      <c r="V32" s="32">
        <f>IF(T$12=0,0,T32/T$12)</f>
        <v>0.14629766661407248</v>
      </c>
      <c r="W32" s="16"/>
      <c r="X32" s="30">
        <f>P32-T32</f>
        <v>-30967.940000000002</v>
      </c>
      <c r="Y32" s="16"/>
      <c r="Z32" s="32">
        <f>IF(T32=0,0,X32/T32)</f>
        <v>-0.19999414895860185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8" t="s">
        <v>5</v>
      </c>
      <c r="C35" s="28"/>
      <c r="D35" s="31">
        <f>SUM(D32:D34)</f>
        <v>-3910.4100000000003</v>
      </c>
      <c r="E35" s="14"/>
      <c r="F35" s="35">
        <f>IF(D$12=0,0,D35/D$12)</f>
        <v>-2.5501731457750481</v>
      </c>
      <c r="G35" s="14"/>
      <c r="H35" s="31">
        <f>SUM(H32:H34)</f>
        <v>-4442.1000000000004</v>
      </c>
      <c r="I35" s="14"/>
      <c r="J35" s="35">
        <f>IF(H$12=0,0,H35/H$12)</f>
        <v>-3.1304439746300212</v>
      </c>
      <c r="K35" s="16"/>
      <c r="L35" s="31">
        <f>+D35-H35</f>
        <v>531.69000000000005</v>
      </c>
      <c r="M35" s="16"/>
      <c r="N35" s="35">
        <f>IF(H35=0,0,L35/H35)</f>
        <v>-0.11969338826230837</v>
      </c>
      <c r="O35" s="29"/>
      <c r="P35" s="31">
        <f>SUM(P32:P34)</f>
        <v>123876.28999999998</v>
      </c>
      <c r="Q35" s="14"/>
      <c r="R35" s="35">
        <f>IF(P$12=0,0,P35/P$12)</f>
        <v>0.137210536135324</v>
      </c>
      <c r="S35" s="14"/>
      <c r="T35" s="31">
        <f>SUM(T32:T34)</f>
        <v>154844.22999999998</v>
      </c>
      <c r="U35" s="14"/>
      <c r="V35" s="35">
        <f>IF(T$12=0,0,T35/T$12)</f>
        <v>0.14629766661407248</v>
      </c>
      <c r="W35" s="16"/>
      <c r="X35" s="31">
        <f>+P35-T35</f>
        <v>-30967.940000000002</v>
      </c>
      <c r="Y35" s="16"/>
      <c r="Z35" s="35">
        <f>IF(T35=0,0,X35/T35)</f>
        <v>-0.19999414895860185</v>
      </c>
    </row>
    <row r="36" spans="1:26" ht="15.75" thickTop="1" x14ac:dyDescent="0.25">
      <c r="A36" s="9"/>
      <c r="C36" s="9"/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  <row r="37" spans="1:26" x14ac:dyDescent="0.25">
      <c r="A37" s="9"/>
      <c r="B37" s="56">
        <v>43815.483862002315</v>
      </c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62" t="s">
        <v>314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8"/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6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304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329390.36</v>
      </c>
      <c r="E12" s="4"/>
      <c r="F12" s="12"/>
      <c r="G12" s="4"/>
      <c r="H12" s="4">
        <f>SUM(OSRRefH13x_0)</f>
        <v>265895.56144000002</v>
      </c>
      <c r="I12" s="4"/>
      <c r="J12" s="12"/>
      <c r="K12" s="4"/>
      <c r="L12" s="4">
        <f t="shared" ref="L12:L40" si="0">+D12-H12</f>
        <v>63494.798559999967</v>
      </c>
      <c r="M12" s="4"/>
      <c r="N12" s="12">
        <f t="shared" ref="N12:N40" si="1">IF(H12=0,0,L12/H12)</f>
        <v>0.23879600778641702</v>
      </c>
      <c r="O12" s="10"/>
      <c r="P12" s="4">
        <f>SUM(OSRRefP13x_0)</f>
        <v>1451786.3200000003</v>
      </c>
      <c r="Q12" s="4"/>
      <c r="R12" s="12"/>
      <c r="S12" s="4"/>
      <c r="T12" s="4">
        <f>SUM(OSRRefT13x_0)</f>
        <v>1346855.4453</v>
      </c>
      <c r="U12" s="4"/>
      <c r="V12" s="12"/>
      <c r="W12" s="4"/>
      <c r="X12" s="4">
        <f t="shared" ref="X12:X40" si="2">+P12-T12</f>
        <v>104930.87470000028</v>
      </c>
      <c r="Y12" s="4"/>
      <c r="Z12" s="12">
        <f t="shared" ref="Z12:Z40" si="3">IF(T12=0,0,X12/T12)</f>
        <v>7.7908045043859814E-2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265895.56144000002</v>
      </c>
      <c r="I13" s="2"/>
      <c r="J13" s="19"/>
      <c r="K13" s="2"/>
      <c r="L13" s="2">
        <f t="shared" si="0"/>
        <v>-265895.56144000002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1346855.4453</v>
      </c>
      <c r="U13" s="2"/>
      <c r="V13" s="19"/>
      <c r="W13" s="2"/>
      <c r="X13" s="2">
        <f t="shared" si="2"/>
        <v>-1346855.4453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--22.91</f>
        <v>22.91</v>
      </c>
      <c r="E14" s="2"/>
      <c r="F14" s="19"/>
      <c r="G14" s="2"/>
      <c r="H14" s="2"/>
      <c r="I14" s="2"/>
      <c r="J14" s="19"/>
      <c r="K14" s="2"/>
      <c r="L14" s="2">
        <f t="shared" si="0"/>
        <v>22.91</v>
      </c>
      <c r="M14" s="2"/>
      <c r="N14" s="19">
        <f t="shared" si="1"/>
        <v>0</v>
      </c>
      <c r="O14" s="11"/>
      <c r="P14" s="2">
        <f>--123.19</f>
        <v>123.19</v>
      </c>
      <c r="Q14" s="2"/>
      <c r="R14" s="19"/>
      <c r="S14" s="2"/>
      <c r="T14" s="2"/>
      <c r="U14" s="2"/>
      <c r="V14" s="19"/>
      <c r="W14" s="2"/>
      <c r="X14" s="2">
        <f t="shared" si="2"/>
        <v>123.19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--47.91</f>
        <v>47.91</v>
      </c>
      <c r="Q15" s="2"/>
      <c r="R15" s="19"/>
      <c r="S15" s="2"/>
      <c r="T15" s="2"/>
      <c r="U15" s="2"/>
      <c r="V15" s="19"/>
      <c r="W15" s="2"/>
      <c r="X15" s="2">
        <f t="shared" si="2"/>
        <v>47.91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"4040", " - ", "TAXABLE SALES-LOGO CLOTHING")</f>
        <v xml:space="preserve">          4040 - TAXABLE SALES-LOGO CLOTHING</v>
      </c>
      <c r="C16" s="11"/>
      <c r="D16" s="2">
        <f>--249896.49</f>
        <v>249896.49</v>
      </c>
      <c r="E16" s="2"/>
      <c r="F16" s="19"/>
      <c r="G16" s="2"/>
      <c r="H16" s="2"/>
      <c r="I16" s="2"/>
      <c r="J16" s="19"/>
      <c r="K16" s="2"/>
      <c r="L16" s="2">
        <f t="shared" si="0"/>
        <v>249896.49</v>
      </c>
      <c r="M16" s="2"/>
      <c r="N16" s="19">
        <f t="shared" si="1"/>
        <v>0</v>
      </c>
      <c r="O16" s="11"/>
      <c r="P16" s="2">
        <f>--1098136.94</f>
        <v>1098136.94</v>
      </c>
      <c r="Q16" s="2"/>
      <c r="R16" s="19"/>
      <c r="S16" s="2"/>
      <c r="T16" s="2"/>
      <c r="U16" s="2"/>
      <c r="V16" s="19"/>
      <c r="W16" s="2"/>
      <c r="X16" s="2">
        <f t="shared" si="2"/>
        <v>1098136.94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"4041", " - ", "TAXABLE SALES-LOGO GIFTS")</f>
        <v xml:space="preserve">          4041 - TAXABLE SALES-LOGO GIFTS</v>
      </c>
      <c r="C17" s="11"/>
      <c r="D17" s="2">
        <f>--29139.65</f>
        <v>29139.65</v>
      </c>
      <c r="E17" s="2"/>
      <c r="F17" s="19"/>
      <c r="G17" s="2"/>
      <c r="H17" s="2"/>
      <c r="I17" s="2"/>
      <c r="J17" s="19"/>
      <c r="K17" s="2"/>
      <c r="L17" s="2">
        <f t="shared" si="0"/>
        <v>29139.65</v>
      </c>
      <c r="M17" s="2"/>
      <c r="N17" s="19">
        <f t="shared" si="1"/>
        <v>0</v>
      </c>
      <c r="O17" s="11"/>
      <c r="P17" s="2">
        <f>--161179.3</f>
        <v>161179.29999999999</v>
      </c>
      <c r="Q17" s="2"/>
      <c r="R17" s="19"/>
      <c r="S17" s="2"/>
      <c r="T17" s="2"/>
      <c r="U17" s="2"/>
      <c r="V17" s="19"/>
      <c r="W17" s="2"/>
      <c r="X17" s="2">
        <f t="shared" si="2"/>
        <v>161179.29999999999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"4042", " - ", "TAXABLE SALES-EVERYDAY GIFTS")</f>
        <v xml:space="preserve">          4042 - TAXABLE SALES-EVERYDAY GIFTS</v>
      </c>
      <c r="C18" s="11"/>
      <c r="D18" s="2">
        <f>--22690.4</f>
        <v>22690.400000000001</v>
      </c>
      <c r="E18" s="2"/>
      <c r="F18" s="19"/>
      <c r="G18" s="2"/>
      <c r="H18" s="2"/>
      <c r="I18" s="2"/>
      <c r="J18" s="19"/>
      <c r="K18" s="2"/>
      <c r="L18" s="2">
        <f t="shared" si="0"/>
        <v>22690.400000000001</v>
      </c>
      <c r="M18" s="2"/>
      <c r="N18" s="19">
        <f t="shared" si="1"/>
        <v>0</v>
      </c>
      <c r="O18" s="11"/>
      <c r="P18" s="2">
        <f>--115082.55</f>
        <v>115082.55</v>
      </c>
      <c r="Q18" s="2"/>
      <c r="R18" s="19"/>
      <c r="S18" s="2"/>
      <c r="T18" s="2"/>
      <c r="U18" s="2"/>
      <c r="V18" s="19"/>
      <c r="W18" s="2"/>
      <c r="X18" s="2">
        <f t="shared" si="2"/>
        <v>115082.55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"4043", " - ", "TAXABLE SALES-CARDS")</f>
        <v xml:space="preserve">          4043 - TAXABLE SALES-CARDS</v>
      </c>
      <c r="C19" s="11"/>
      <c r="D19" s="2">
        <f>--4298.47</f>
        <v>4298.47</v>
      </c>
      <c r="E19" s="2"/>
      <c r="F19" s="19"/>
      <c r="G19" s="2"/>
      <c r="H19" s="2"/>
      <c r="I19" s="2"/>
      <c r="J19" s="19"/>
      <c r="K19" s="2"/>
      <c r="L19" s="2">
        <f t="shared" si="0"/>
        <v>4298.47</v>
      </c>
      <c r="M19" s="2"/>
      <c r="N19" s="19">
        <f t="shared" si="1"/>
        <v>0</v>
      </c>
      <c r="O19" s="11"/>
      <c r="P19" s="2">
        <f>--4721.04</f>
        <v>4721.04</v>
      </c>
      <c r="Q19" s="2"/>
      <c r="R19" s="19"/>
      <c r="S19" s="2"/>
      <c r="T19" s="2"/>
      <c r="U19" s="2"/>
      <c r="V19" s="19"/>
      <c r="W19" s="2"/>
      <c r="X19" s="2">
        <f t="shared" si="2"/>
        <v>4721.04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"4044", " - ", "TAXABLE SALES-ACCESSORIES")</f>
        <v xml:space="preserve">          4044 - TAXABLE SALES-ACCESSORIES</v>
      </c>
      <c r="C20" s="11"/>
      <c r="D20" s="2">
        <f>--8230.63</f>
        <v>8230.6299999999992</v>
      </c>
      <c r="E20" s="2"/>
      <c r="F20" s="19"/>
      <c r="G20" s="2"/>
      <c r="H20" s="2"/>
      <c r="I20" s="2"/>
      <c r="J20" s="19"/>
      <c r="K20" s="2"/>
      <c r="L20" s="2">
        <f t="shared" si="0"/>
        <v>8230.6299999999992</v>
      </c>
      <c r="M20" s="2"/>
      <c r="N20" s="19">
        <f t="shared" si="1"/>
        <v>0</v>
      </c>
      <c r="O20" s="11"/>
      <c r="P20" s="2">
        <f>--41297.78</f>
        <v>41297.78</v>
      </c>
      <c r="Q20" s="2"/>
      <c r="R20" s="19"/>
      <c r="S20" s="2"/>
      <c r="T20" s="2"/>
      <c r="U20" s="2"/>
      <c r="V20" s="19"/>
      <c r="W20" s="2"/>
      <c r="X20" s="2">
        <f t="shared" si="2"/>
        <v>41297.78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"4045", " - ", "TAXABLE SALES-SPECIAL ORDERS")</f>
        <v xml:space="preserve">          4045 - TAXABLE SALES-SPECIAL ORDERS</v>
      </c>
      <c r="C21" s="11"/>
      <c r="D21" s="2">
        <f>--18665.34</f>
        <v>18665.34</v>
      </c>
      <c r="E21" s="2"/>
      <c r="F21" s="19"/>
      <c r="G21" s="2"/>
      <c r="H21" s="2"/>
      <c r="I21" s="2"/>
      <c r="J21" s="19"/>
      <c r="K21" s="2"/>
      <c r="L21" s="2">
        <f t="shared" si="0"/>
        <v>18665.34</v>
      </c>
      <c r="M21" s="2"/>
      <c r="N21" s="19">
        <f t="shared" si="1"/>
        <v>0</v>
      </c>
      <c r="O21" s="11"/>
      <c r="P21" s="2">
        <f>--54518.44</f>
        <v>54518.44</v>
      </c>
      <c r="Q21" s="2"/>
      <c r="R21" s="19"/>
      <c r="S21" s="2"/>
      <c r="T21" s="2"/>
      <c r="U21" s="2"/>
      <c r="V21" s="19"/>
      <c r="W21" s="2"/>
      <c r="X21" s="2">
        <f t="shared" si="2"/>
        <v>54518.44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"4092", " - ", "TAXABLE SALES-GRAD MERCH")</f>
        <v xml:space="preserve">          4092 - TAXABLE SALES-GRAD MERCH</v>
      </c>
      <c r="C22" s="11"/>
      <c r="D22" s="2">
        <f>0</f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-39.95</f>
        <v>-39.950000000000003</v>
      </c>
      <c r="Q22" s="2"/>
      <c r="R22" s="19"/>
      <c r="S22" s="2"/>
      <c r="T22" s="2"/>
      <c r="U22" s="2"/>
      <c r="V22" s="19"/>
      <c r="W22" s="2"/>
      <c r="X22" s="2">
        <f t="shared" si="2"/>
        <v>-39.950000000000003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"4095", " - ", "TAXABLE SALES-CUSTOMER SERVICE")</f>
        <v xml:space="preserve">          4095 - TAXABLE SALES-CUSTOMER SERVICE</v>
      </c>
      <c r="C23" s="11"/>
      <c r="D23" s="2">
        <f>--0.99</f>
        <v>0.99</v>
      </c>
      <c r="E23" s="2"/>
      <c r="F23" s="19"/>
      <c r="G23" s="2"/>
      <c r="H23" s="2"/>
      <c r="I23" s="2"/>
      <c r="J23" s="19"/>
      <c r="K23" s="2"/>
      <c r="L23" s="2">
        <f t="shared" si="0"/>
        <v>0.99</v>
      </c>
      <c r="M23" s="2"/>
      <c r="N23" s="19">
        <f t="shared" si="1"/>
        <v>0</v>
      </c>
      <c r="O23" s="11"/>
      <c r="P23" s="2">
        <f>--27.72</f>
        <v>27.72</v>
      </c>
      <c r="Q23" s="2"/>
      <c r="R23" s="19"/>
      <c r="S23" s="2"/>
      <c r="T23" s="2"/>
      <c r="U23" s="2"/>
      <c r="V23" s="19"/>
      <c r="W23" s="2"/>
      <c r="X23" s="2">
        <f t="shared" si="2"/>
        <v>27.72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"4137", " - ", "NON-TAXABLE SALES-WATER")</f>
        <v xml:space="preserve">          4137 - NON-TAXABLE SALES-WATER</v>
      </c>
      <c r="C24" s="11"/>
      <c r="D24" s="2">
        <f>--1.5</f>
        <v>1.5</v>
      </c>
      <c r="E24" s="2"/>
      <c r="F24" s="19"/>
      <c r="G24" s="2"/>
      <c r="H24" s="2"/>
      <c r="I24" s="2"/>
      <c r="J24" s="19"/>
      <c r="K24" s="2"/>
      <c r="L24" s="2">
        <f t="shared" si="0"/>
        <v>1.5</v>
      </c>
      <c r="M24" s="2"/>
      <c r="N24" s="19">
        <f t="shared" si="1"/>
        <v>0</v>
      </c>
      <c r="O24" s="11"/>
      <c r="P24" s="2">
        <f>--87</f>
        <v>87</v>
      </c>
      <c r="Q24" s="2"/>
      <c r="R24" s="19"/>
      <c r="S24" s="2"/>
      <c r="T24" s="2"/>
      <c r="U24" s="2"/>
      <c r="V24" s="19"/>
      <c r="W24" s="2"/>
      <c r="X24" s="2">
        <f t="shared" si="2"/>
        <v>87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"4140", " - ", "NON-TAXABLE SALES-LOGO CLOTHIN")</f>
        <v xml:space="preserve">          4140 - NON-TAXABLE SALES-LOGO CLOTHIN</v>
      </c>
      <c r="C25" s="11"/>
      <c r="D25" s="2">
        <f>--7373.27</f>
        <v>7373.27</v>
      </c>
      <c r="E25" s="2"/>
      <c r="F25" s="19"/>
      <c r="G25" s="2"/>
      <c r="H25" s="2"/>
      <c r="I25" s="2"/>
      <c r="J25" s="19"/>
      <c r="K25" s="2"/>
      <c r="L25" s="2">
        <f t="shared" si="0"/>
        <v>7373.27</v>
      </c>
      <c r="M25" s="2"/>
      <c r="N25" s="19">
        <f t="shared" si="1"/>
        <v>0</v>
      </c>
      <c r="O25" s="11"/>
      <c r="P25" s="2">
        <f>--20008.79</f>
        <v>20008.79</v>
      </c>
      <c r="Q25" s="2"/>
      <c r="R25" s="19"/>
      <c r="S25" s="2"/>
      <c r="T25" s="2"/>
      <c r="U25" s="2"/>
      <c r="V25" s="19"/>
      <c r="W25" s="2"/>
      <c r="X25" s="2">
        <f t="shared" si="2"/>
        <v>20008.79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"4141", " - ", "NON-TAXABLE SALES-LOGO GIFTS")</f>
        <v xml:space="preserve">          4141 - NON-TAXABLE SALES-LOGO GIFTS</v>
      </c>
      <c r="C26" s="11"/>
      <c r="D26" s="2">
        <f>--434.35</f>
        <v>434.35</v>
      </c>
      <c r="E26" s="2"/>
      <c r="F26" s="19"/>
      <c r="G26" s="2"/>
      <c r="H26" s="2"/>
      <c r="I26" s="2"/>
      <c r="J26" s="19"/>
      <c r="K26" s="2"/>
      <c r="L26" s="2">
        <f t="shared" si="0"/>
        <v>434.35</v>
      </c>
      <c r="M26" s="2"/>
      <c r="N26" s="19">
        <f t="shared" si="1"/>
        <v>0</v>
      </c>
      <c r="O26" s="11"/>
      <c r="P26" s="2">
        <f>--1677.53</f>
        <v>1677.53</v>
      </c>
      <c r="Q26" s="2"/>
      <c r="R26" s="19"/>
      <c r="S26" s="2"/>
      <c r="T26" s="2"/>
      <c r="U26" s="2"/>
      <c r="V26" s="19"/>
      <c r="W26" s="2"/>
      <c r="X26" s="2">
        <f t="shared" si="2"/>
        <v>1677.53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"4142", " - ", "NON-TAXABLE SALES-EVERYDAY GIF")</f>
        <v xml:space="preserve">          4142 - NON-TAXABLE SALES-EVERYDAY GIF</v>
      </c>
      <c r="C27" s="11"/>
      <c r="D27" s="2">
        <f>--844.52</f>
        <v>844.52</v>
      </c>
      <c r="E27" s="2"/>
      <c r="F27" s="19"/>
      <c r="G27" s="2"/>
      <c r="H27" s="2"/>
      <c r="I27" s="2"/>
      <c r="J27" s="19"/>
      <c r="K27" s="2"/>
      <c r="L27" s="2">
        <f t="shared" si="0"/>
        <v>844.52</v>
      </c>
      <c r="M27" s="2"/>
      <c r="N27" s="19">
        <f t="shared" si="1"/>
        <v>0</v>
      </c>
      <c r="O27" s="11"/>
      <c r="P27" s="2">
        <f>--2415.83</f>
        <v>2415.83</v>
      </c>
      <c r="Q27" s="2"/>
      <c r="R27" s="19"/>
      <c r="S27" s="2"/>
      <c r="T27" s="2"/>
      <c r="U27" s="2"/>
      <c r="V27" s="19"/>
      <c r="W27" s="2"/>
      <c r="X27" s="2">
        <f t="shared" si="2"/>
        <v>2415.83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"4144", " - ", "NON-TAXABLE SALES-ACCESSORIES")</f>
        <v xml:space="preserve">          4144 - NON-TAXABLE SALES-ACCESSORIES</v>
      </c>
      <c r="C28" s="11"/>
      <c r="D28" s="2">
        <f>--29.95</f>
        <v>29.95</v>
      </c>
      <c r="E28" s="2"/>
      <c r="F28" s="19"/>
      <c r="G28" s="2"/>
      <c r="H28" s="2"/>
      <c r="I28" s="2"/>
      <c r="J28" s="19"/>
      <c r="K28" s="2"/>
      <c r="L28" s="2">
        <f t="shared" si="0"/>
        <v>29.95</v>
      </c>
      <c r="M28" s="2"/>
      <c r="N28" s="19">
        <f t="shared" si="1"/>
        <v>0</v>
      </c>
      <c r="O28" s="11"/>
      <c r="P28" s="2">
        <f>--241.56</f>
        <v>241.56</v>
      </c>
      <c r="Q28" s="2"/>
      <c r="R28" s="19"/>
      <c r="S28" s="2"/>
      <c r="T28" s="2"/>
      <c r="U28" s="2"/>
      <c r="V28" s="19"/>
      <c r="W28" s="2"/>
      <c r="X28" s="2">
        <f t="shared" si="2"/>
        <v>241.56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"4145", " - ", "NON-TAXABLE SALES-SPECIAL ORDE")</f>
        <v xml:space="preserve">          4145 - NON-TAXABLE SALES-SPECIAL ORDE</v>
      </c>
      <c r="C29" s="11"/>
      <c r="D29" s="2">
        <f>--50</f>
        <v>50</v>
      </c>
      <c r="E29" s="2"/>
      <c r="F29" s="19"/>
      <c r="G29" s="2"/>
      <c r="H29" s="2"/>
      <c r="I29" s="2"/>
      <c r="J29" s="19"/>
      <c r="K29" s="2"/>
      <c r="L29" s="2">
        <f t="shared" si="0"/>
        <v>50</v>
      </c>
      <c r="M29" s="2"/>
      <c r="N29" s="19">
        <f t="shared" si="1"/>
        <v>0</v>
      </c>
      <c r="O29" s="11"/>
      <c r="P29" s="2">
        <f>--140</f>
        <v>140</v>
      </c>
      <c r="Q29" s="2"/>
      <c r="R29" s="19"/>
      <c r="S29" s="2"/>
      <c r="T29" s="2"/>
      <c r="U29" s="2"/>
      <c r="V29" s="19"/>
      <c r="W29" s="2"/>
      <c r="X29" s="2">
        <f t="shared" si="2"/>
        <v>140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"4226", " - ", "SALES RETURN TAXABLE-WRITING I")</f>
        <v xml:space="preserve">          4226 - SALES RETURN TAXABLE-WRITING I</v>
      </c>
      <c r="C30" s="11"/>
      <c r="D30" s="2">
        <f>0</f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-134.8</f>
        <v>-134.80000000000001</v>
      </c>
      <c r="Q30" s="2"/>
      <c r="R30" s="19"/>
      <c r="S30" s="2"/>
      <c r="T30" s="2"/>
      <c r="U30" s="2"/>
      <c r="V30" s="19"/>
      <c r="W30" s="2"/>
      <c r="X30" s="2">
        <f t="shared" si="2"/>
        <v>-134.80000000000001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"4240", " - ", "SALES RETURN TAXABLE-LOGO CLOT")</f>
        <v xml:space="preserve">          4240 - SALES RETURN TAXABLE-LOGO CLOT</v>
      </c>
      <c r="C31" s="11"/>
      <c r="D31" s="2">
        <f>-10814.23</f>
        <v>-10814.23</v>
      </c>
      <c r="E31" s="2"/>
      <c r="F31" s="19"/>
      <c r="G31" s="2"/>
      <c r="H31" s="2"/>
      <c r="I31" s="2"/>
      <c r="J31" s="19"/>
      <c r="K31" s="2"/>
      <c r="L31" s="2">
        <f t="shared" si="0"/>
        <v>-10814.23</v>
      </c>
      <c r="M31" s="2"/>
      <c r="N31" s="19">
        <f t="shared" si="1"/>
        <v>0</v>
      </c>
      <c r="O31" s="11"/>
      <c r="P31" s="2">
        <f>-41109.03</f>
        <v>-41109.03</v>
      </c>
      <c r="Q31" s="2"/>
      <c r="R31" s="19"/>
      <c r="S31" s="2"/>
      <c r="T31" s="2"/>
      <c r="U31" s="2"/>
      <c r="V31" s="19"/>
      <c r="W31" s="2"/>
      <c r="X31" s="2">
        <f t="shared" si="2"/>
        <v>-41109.03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"4241", " - ", "SALES RETURN TAXABLE-LOGO GIFT")</f>
        <v xml:space="preserve">          4241 - SALES RETURN TAXABLE-LOGO GIFT</v>
      </c>
      <c r="C32" s="11"/>
      <c r="D32" s="2">
        <f>-491.64</f>
        <v>-491.64</v>
      </c>
      <c r="E32" s="2"/>
      <c r="F32" s="19"/>
      <c r="G32" s="2"/>
      <c r="H32" s="2"/>
      <c r="I32" s="2"/>
      <c r="J32" s="19"/>
      <c r="K32" s="2"/>
      <c r="L32" s="2">
        <f t="shared" si="0"/>
        <v>-491.64</v>
      </c>
      <c r="M32" s="2"/>
      <c r="N32" s="19">
        <f t="shared" si="1"/>
        <v>0</v>
      </c>
      <c r="O32" s="11"/>
      <c r="P32" s="2">
        <f>-2574.84</f>
        <v>-2574.84</v>
      </c>
      <c r="Q32" s="2"/>
      <c r="R32" s="19"/>
      <c r="S32" s="2"/>
      <c r="T32" s="2"/>
      <c r="U32" s="2"/>
      <c r="V32" s="19"/>
      <c r="W32" s="2"/>
      <c r="X32" s="2">
        <f t="shared" si="2"/>
        <v>-2574.84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"4242", " - ", "SALES RETURN TAXABLE-EVERYDAY")</f>
        <v xml:space="preserve">          4242 - SALES RETURN TAXABLE-EVERYDAY</v>
      </c>
      <c r="C33" s="11"/>
      <c r="D33" s="2">
        <f>-532.3</f>
        <v>-532.29999999999995</v>
      </c>
      <c r="E33" s="2"/>
      <c r="F33" s="19"/>
      <c r="G33" s="2"/>
      <c r="H33" s="2"/>
      <c r="I33" s="2"/>
      <c r="J33" s="19"/>
      <c r="K33" s="2"/>
      <c r="L33" s="2">
        <f t="shared" si="0"/>
        <v>-532.29999999999995</v>
      </c>
      <c r="M33" s="2"/>
      <c r="N33" s="19">
        <f t="shared" si="1"/>
        <v>0</v>
      </c>
      <c r="O33" s="11"/>
      <c r="P33" s="2">
        <f>-1675.67</f>
        <v>-1675.67</v>
      </c>
      <c r="Q33" s="2"/>
      <c r="R33" s="19"/>
      <c r="S33" s="2"/>
      <c r="T33" s="2"/>
      <c r="U33" s="2"/>
      <c r="V33" s="19"/>
      <c r="W33" s="2"/>
      <c r="X33" s="2">
        <f t="shared" si="2"/>
        <v>-1675.67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"4243", " - ", "SALES RETURN TAXABLE-CARDS")</f>
        <v xml:space="preserve">          4243 - SALES RETURN TAXABLE-CARDS</v>
      </c>
      <c r="C34" s="11"/>
      <c r="D34" s="2">
        <f>-316.34</f>
        <v>-316.33999999999997</v>
      </c>
      <c r="E34" s="2"/>
      <c r="F34" s="19"/>
      <c r="G34" s="2"/>
      <c r="H34" s="2"/>
      <c r="I34" s="2"/>
      <c r="J34" s="19"/>
      <c r="K34" s="2"/>
      <c r="L34" s="2">
        <f t="shared" si="0"/>
        <v>-316.33999999999997</v>
      </c>
      <c r="M34" s="2"/>
      <c r="N34" s="19">
        <f t="shared" si="1"/>
        <v>0</v>
      </c>
      <c r="O34" s="11"/>
      <c r="P34" s="2">
        <f>-320.84</f>
        <v>-320.83999999999997</v>
      </c>
      <c r="Q34" s="2"/>
      <c r="R34" s="19"/>
      <c r="S34" s="2"/>
      <c r="T34" s="2"/>
      <c r="U34" s="2"/>
      <c r="V34" s="19"/>
      <c r="W34" s="2"/>
      <c r="X34" s="2">
        <f t="shared" si="2"/>
        <v>-320.83999999999997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"4244", " - ", "SALES RETURN TAXABLE-ACCESSORI")</f>
        <v xml:space="preserve">          4244 - SALES RETURN TAXABLE-ACCESSORI</v>
      </c>
      <c r="C35" s="11"/>
      <c r="D35" s="2">
        <f>-96.7</f>
        <v>-96.7</v>
      </c>
      <c r="E35" s="2"/>
      <c r="F35" s="19"/>
      <c r="G35" s="2"/>
      <c r="H35" s="2"/>
      <c r="I35" s="2"/>
      <c r="J35" s="19"/>
      <c r="K35" s="2"/>
      <c r="L35" s="2">
        <f t="shared" si="0"/>
        <v>-96.7</v>
      </c>
      <c r="M35" s="2"/>
      <c r="N35" s="19">
        <f t="shared" si="1"/>
        <v>0</v>
      </c>
      <c r="O35" s="11"/>
      <c r="P35" s="2">
        <f>-1529.06</f>
        <v>-1529.06</v>
      </c>
      <c r="Q35" s="2"/>
      <c r="R35" s="19"/>
      <c r="S35" s="2"/>
      <c r="T35" s="2"/>
      <c r="U35" s="2"/>
      <c r="V35" s="19"/>
      <c r="W35" s="2"/>
      <c r="X35" s="2">
        <f t="shared" si="2"/>
        <v>-1529.06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"4245", " - ", "SALES RETURN TAXABLE-SPECIAL O")</f>
        <v xml:space="preserve">          4245 - SALES RETURN TAXABLE-SPECIAL O</v>
      </c>
      <c r="C36" s="11"/>
      <c r="D36" s="2">
        <f t="shared" ref="D36:D37" si="4">0</f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-91.96</f>
        <v>-91.96</v>
      </c>
      <c r="Q36" s="2"/>
      <c r="R36" s="19"/>
      <c r="S36" s="2"/>
      <c r="T36" s="2"/>
      <c r="U36" s="2"/>
      <c r="V36" s="19"/>
      <c r="W36" s="2"/>
      <c r="X36" s="2">
        <f t="shared" si="2"/>
        <v>-91.96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"4295", " - ", "SALES RETURN TAXABLE-CUSTOMER")</f>
        <v xml:space="preserve">          4295 - SALES RETURN TAXABLE-CUSTOMER</v>
      </c>
      <c r="C37" s="11"/>
      <c r="D37" s="2">
        <f t="shared" si="4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--0.99</f>
        <v>0.99</v>
      </c>
      <c r="Q37" s="2"/>
      <c r="R37" s="19"/>
      <c r="S37" s="2"/>
      <c r="T37" s="2"/>
      <c r="U37" s="2"/>
      <c r="V37" s="19"/>
      <c r="W37" s="2"/>
      <c r="X37" s="2">
        <f t="shared" si="2"/>
        <v>0.99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"4340", " - ", "SALES RETURN NON TAXABLE-LOGO")</f>
        <v xml:space="preserve">          4340 - SALES RETURN NON TAXABLE-LOGO</v>
      </c>
      <c r="C38" s="11"/>
      <c r="D38" s="2">
        <f>-29.95</f>
        <v>-29.95</v>
      </c>
      <c r="E38" s="2"/>
      <c r="F38" s="19"/>
      <c r="G38" s="2"/>
      <c r="H38" s="2"/>
      <c r="I38" s="2"/>
      <c r="J38" s="19"/>
      <c r="K38" s="2"/>
      <c r="L38" s="2">
        <f t="shared" si="0"/>
        <v>-29.95</v>
      </c>
      <c r="M38" s="2"/>
      <c r="N38" s="19">
        <f t="shared" si="1"/>
        <v>0</v>
      </c>
      <c r="O38" s="11"/>
      <c r="P38" s="2">
        <f>-323.4</f>
        <v>-323.39999999999998</v>
      </c>
      <c r="Q38" s="2"/>
      <c r="R38" s="19"/>
      <c r="S38" s="2"/>
      <c r="T38" s="2"/>
      <c r="U38" s="2"/>
      <c r="V38" s="19"/>
      <c r="W38" s="2"/>
      <c r="X38" s="2">
        <f t="shared" si="2"/>
        <v>-323.39999999999998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"4341", " - ", "SALES RETURN NON TAXABLE-LOGO")</f>
        <v xml:space="preserve">          4341 - SALES RETURN NON TAXABLE-LOGO</v>
      </c>
      <c r="C39" s="11"/>
      <c r="D39" s="2">
        <f>0</f>
        <v>0</v>
      </c>
      <c r="E39" s="2"/>
      <c r="F39" s="19"/>
      <c r="G39" s="2"/>
      <c r="H39" s="2"/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-10.9</f>
        <v>-10.9</v>
      </c>
      <c r="Q39" s="2"/>
      <c r="R39" s="19"/>
      <c r="S39" s="2"/>
      <c r="T39" s="2"/>
      <c r="U39" s="2"/>
      <c r="V39" s="19"/>
      <c r="W39" s="2"/>
      <c r="X39" s="2">
        <f t="shared" si="2"/>
        <v>-10.9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"4342", " - ", "SALES RETURN NON TAXABLE-EVERY")</f>
        <v xml:space="preserve">          4342 - SALES RETURN NON TAXABLE-EVERY</v>
      </c>
      <c r="C40" s="11"/>
      <c r="D40" s="2">
        <f>-6.95</f>
        <v>-6.95</v>
      </c>
      <c r="E40" s="2"/>
      <c r="F40" s="19"/>
      <c r="G40" s="2"/>
      <c r="H40" s="2"/>
      <c r="I40" s="2"/>
      <c r="J40" s="19"/>
      <c r="K40" s="2"/>
      <c r="L40" s="2">
        <f t="shared" si="0"/>
        <v>-6.95</v>
      </c>
      <c r="M40" s="2"/>
      <c r="N40" s="19">
        <f t="shared" si="1"/>
        <v>0</v>
      </c>
      <c r="O40" s="11"/>
      <c r="P40" s="2">
        <f>-109.8</f>
        <v>-109.8</v>
      </c>
      <c r="Q40" s="2"/>
      <c r="R40" s="19"/>
      <c r="S40" s="2"/>
      <c r="T40" s="2"/>
      <c r="U40" s="2"/>
      <c r="V40" s="19"/>
      <c r="W40" s="2"/>
      <c r="X40" s="2">
        <f t="shared" si="2"/>
        <v>-109.8</v>
      </c>
      <c r="Y40" s="2"/>
      <c r="Z40" s="19">
        <f t="shared" si="3"/>
        <v>0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collapsed="1" x14ac:dyDescent="0.25">
      <c r="A42" s="10"/>
      <c r="B42" s="29" t="s">
        <v>8</v>
      </c>
      <c r="C42" s="10"/>
      <c r="D42" s="4">
        <f>SUM(OSRRefD16x_0)</f>
        <v>154922.69000000003</v>
      </c>
      <c r="E42" s="4"/>
      <c r="F42" s="12">
        <f t="shared" ref="F42:F64" si="5">IF(D$12=0,0,D42/D$12)</f>
        <v>0.47033158468875663</v>
      </c>
      <c r="G42" s="4"/>
      <c r="H42" s="4">
        <f>SUM(OSRRefH16x_0)</f>
        <v>117788.23172</v>
      </c>
      <c r="I42" s="4"/>
      <c r="J42" s="12">
        <f t="shared" ref="J42:J64" si="6">IF(H$12=0,0,H42/H$12)</f>
        <v>0.44298682942317258</v>
      </c>
      <c r="K42" s="4"/>
      <c r="L42" s="4">
        <f t="shared" ref="L42:L64" si="7">+D42-H42</f>
        <v>37134.458280000035</v>
      </c>
      <c r="M42" s="4"/>
      <c r="N42" s="12">
        <f t="shared" ref="N42:N64" si="8">IF(H42=0,0,L42/H42)</f>
        <v>0.31526458745279512</v>
      </c>
      <c r="O42" s="10"/>
      <c r="P42" s="4">
        <f>SUM(OSRRefP16x_0)</f>
        <v>666143.97999999986</v>
      </c>
      <c r="Q42" s="4"/>
      <c r="R42" s="12">
        <f t="shared" ref="R42:R64" si="9">IF(P$12=0,0,P42/P$12)</f>
        <v>0.45884437043049126</v>
      </c>
      <c r="S42" s="4"/>
      <c r="T42" s="4">
        <f>SUM(OSRRefT16x_0)</f>
        <v>610186.28019000008</v>
      </c>
      <c r="U42" s="4"/>
      <c r="V42" s="12">
        <f t="shared" ref="V42:V64" si="10">IF(T$12=0,0,T42/T$12)</f>
        <v>0.45304511506361883</v>
      </c>
      <c r="W42" s="4"/>
      <c r="X42" s="4">
        <f t="shared" ref="X42:X64" si="11">+P42-T42</f>
        <v>55957.699809999787</v>
      </c>
      <c r="Y42" s="4"/>
      <c r="Z42" s="12">
        <f t="shared" ref="Z42:Z64" si="12">IF(T42=0,0,X42/T42)</f>
        <v>9.170592920013812E-2</v>
      </c>
    </row>
    <row r="43" spans="1:26" s="24" customFormat="1" hidden="1" outlineLevel="1" x14ac:dyDescent="0.25">
      <c r="A43" s="44"/>
      <c r="B43" s="11" t="str">
        <f>CONCATENATE("          ", "5000", " - ", "PURCHASES @ COST")</f>
        <v xml:space="preserve">          5000 - PURCHASES @ COST</v>
      </c>
      <c r="C43" s="11"/>
      <c r="D43" s="2"/>
      <c r="E43" s="2"/>
      <c r="F43" s="19">
        <f t="shared" si="5"/>
        <v>0</v>
      </c>
      <c r="G43" s="2"/>
      <c r="H43" s="2">
        <v>117788.23172</v>
      </c>
      <c r="I43" s="2"/>
      <c r="J43" s="19">
        <f t="shared" si="6"/>
        <v>0.44298682942317258</v>
      </c>
      <c r="K43" s="2"/>
      <c r="L43" s="2">
        <f t="shared" si="7"/>
        <v>-117788.23172</v>
      </c>
      <c r="M43" s="2"/>
      <c r="N43" s="19">
        <f t="shared" si="8"/>
        <v>-1</v>
      </c>
      <c r="O43" s="11"/>
      <c r="P43" s="2"/>
      <c r="Q43" s="2"/>
      <c r="R43" s="19">
        <f t="shared" si="9"/>
        <v>0</v>
      </c>
      <c r="S43" s="2"/>
      <c r="T43" s="2">
        <v>610186.28019000008</v>
      </c>
      <c r="U43" s="2"/>
      <c r="V43" s="19">
        <f t="shared" si="10"/>
        <v>0.45304511506361883</v>
      </c>
      <c r="W43" s="2"/>
      <c r="X43" s="2">
        <f t="shared" si="11"/>
        <v>-610186.28019000008</v>
      </c>
      <c r="Y43" s="2"/>
      <c r="Z43" s="19">
        <f t="shared" si="12"/>
        <v>-1</v>
      </c>
    </row>
    <row r="44" spans="1:26" s="24" customFormat="1" hidden="1" outlineLevel="1" x14ac:dyDescent="0.25">
      <c r="A44" s="44"/>
      <c r="B44" s="11" t="str">
        <f>CONCATENATE("          ", "5026", " - ", "PURCHASES @ COST-WRITING INSTR")</f>
        <v xml:space="preserve">          5026 - PURCHASES @ COST-WRITING INSTR</v>
      </c>
      <c r="C44" s="11"/>
      <c r="D44" s="2">
        <v>-0.9</v>
      </c>
      <c r="E44" s="2"/>
      <c r="F44" s="19">
        <f t="shared" si="5"/>
        <v>-2.7323203994190967E-6</v>
      </c>
      <c r="G44" s="2"/>
      <c r="H44" s="2"/>
      <c r="I44" s="2"/>
      <c r="J44" s="19">
        <f t="shared" si="6"/>
        <v>0</v>
      </c>
      <c r="K44" s="2"/>
      <c r="L44" s="2">
        <f t="shared" si="7"/>
        <v>-0.9</v>
      </c>
      <c r="M44" s="2"/>
      <c r="N44" s="19">
        <f t="shared" si="8"/>
        <v>0</v>
      </c>
      <c r="O44" s="11"/>
      <c r="P44" s="2">
        <v>-37.270000000000003</v>
      </c>
      <c r="Q44" s="2"/>
      <c r="R44" s="19">
        <f t="shared" si="9"/>
        <v>-2.567182200752518E-5</v>
      </c>
      <c r="S44" s="2"/>
      <c r="T44" s="2"/>
      <c r="U44" s="2"/>
      <c r="V44" s="19">
        <f t="shared" si="10"/>
        <v>0</v>
      </c>
      <c r="W44" s="2"/>
      <c r="X44" s="2">
        <f t="shared" si="11"/>
        <v>-37.270000000000003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"5027", " - ", "PURCHASES @ COST-SCHOOL SUPPLI")</f>
        <v xml:space="preserve">          5027 - PURCHASES @ COST-SCHOOL SUPPLI</v>
      </c>
      <c r="C45" s="11"/>
      <c r="D45" s="2">
        <v>4.29</v>
      </c>
      <c r="E45" s="2"/>
      <c r="F45" s="19">
        <f t="shared" si="5"/>
        <v>1.3024060570564361E-5</v>
      </c>
      <c r="G45" s="2"/>
      <c r="H45" s="2"/>
      <c r="I45" s="2"/>
      <c r="J45" s="19">
        <f t="shared" si="6"/>
        <v>0</v>
      </c>
      <c r="K45" s="2"/>
      <c r="L45" s="2">
        <f t="shared" si="7"/>
        <v>4.29</v>
      </c>
      <c r="M45" s="2"/>
      <c r="N45" s="19">
        <f t="shared" si="8"/>
        <v>0</v>
      </c>
      <c r="O45" s="11"/>
      <c r="P45" s="2">
        <v>51.29</v>
      </c>
      <c r="Q45" s="2"/>
      <c r="R45" s="19">
        <f t="shared" si="9"/>
        <v>3.5328890549127081E-5</v>
      </c>
      <c r="S45" s="2"/>
      <c r="T45" s="2"/>
      <c r="U45" s="2"/>
      <c r="V45" s="19">
        <f t="shared" si="10"/>
        <v>0</v>
      </c>
      <c r="W45" s="2"/>
      <c r="X45" s="2">
        <f t="shared" si="11"/>
        <v>51.29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"5037", " - ", "PURCHASES @ COST-WATER")</f>
        <v xml:space="preserve">          5037 - PURCHASES @ COST-WATER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29.76</v>
      </c>
      <c r="Q46" s="2"/>
      <c r="R46" s="19">
        <f t="shared" si="9"/>
        <v>2.049888443638179E-5</v>
      </c>
      <c r="S46" s="2"/>
      <c r="T46" s="2"/>
      <c r="U46" s="2"/>
      <c r="V46" s="19">
        <f t="shared" si="10"/>
        <v>0</v>
      </c>
      <c r="W46" s="2"/>
      <c r="X46" s="2">
        <f t="shared" si="11"/>
        <v>29.76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"5040", " - ", "PURCHASES @ COST-LOGO CLOTHING")</f>
        <v xml:space="preserve">          5040 - PURCHASES @ COST-LOGO CLOTHING</v>
      </c>
      <c r="C47" s="11"/>
      <c r="D47" s="2">
        <v>105691.4</v>
      </c>
      <c r="E47" s="2"/>
      <c r="F47" s="19">
        <f t="shared" si="5"/>
        <v>0.32086974251462613</v>
      </c>
      <c r="G47" s="2"/>
      <c r="H47" s="2"/>
      <c r="I47" s="2"/>
      <c r="J47" s="19">
        <f t="shared" si="6"/>
        <v>0</v>
      </c>
      <c r="K47" s="2"/>
      <c r="L47" s="2">
        <f t="shared" si="7"/>
        <v>105691.4</v>
      </c>
      <c r="M47" s="2"/>
      <c r="N47" s="19">
        <f t="shared" si="8"/>
        <v>0</v>
      </c>
      <c r="O47" s="11"/>
      <c r="P47" s="2">
        <v>618292.30999999994</v>
      </c>
      <c r="Q47" s="2"/>
      <c r="R47" s="19">
        <f t="shared" si="9"/>
        <v>0.42588382428069704</v>
      </c>
      <c r="S47" s="2"/>
      <c r="T47" s="2"/>
      <c r="U47" s="2"/>
      <c r="V47" s="19">
        <f t="shared" si="10"/>
        <v>0</v>
      </c>
      <c r="W47" s="2"/>
      <c r="X47" s="2">
        <f t="shared" si="11"/>
        <v>618292.30999999994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"5041", " - ", "PURCHASES @ COST-LOGO GIFTS")</f>
        <v xml:space="preserve">          5041 - PURCHASES @ COST-LOGO GIFTS</v>
      </c>
      <c r="C48" s="11"/>
      <c r="D48" s="2">
        <v>18340.09</v>
      </c>
      <c r="E48" s="2"/>
      <c r="F48" s="19">
        <f t="shared" si="5"/>
        <v>5.567889114909131E-2</v>
      </c>
      <c r="G48" s="2"/>
      <c r="H48" s="2"/>
      <c r="I48" s="2"/>
      <c r="J48" s="19">
        <f t="shared" si="6"/>
        <v>0</v>
      </c>
      <c r="K48" s="2"/>
      <c r="L48" s="2">
        <f t="shared" si="7"/>
        <v>18340.09</v>
      </c>
      <c r="M48" s="2"/>
      <c r="N48" s="19">
        <f t="shared" si="8"/>
        <v>0</v>
      </c>
      <c r="O48" s="11"/>
      <c r="P48" s="2">
        <v>88796.55</v>
      </c>
      <c r="Q48" s="2"/>
      <c r="R48" s="19">
        <f t="shared" si="9"/>
        <v>6.1163649758044274E-2</v>
      </c>
      <c r="S48" s="2"/>
      <c r="T48" s="2"/>
      <c r="U48" s="2"/>
      <c r="V48" s="19">
        <f t="shared" si="10"/>
        <v>0</v>
      </c>
      <c r="W48" s="2"/>
      <c r="X48" s="2">
        <f t="shared" si="11"/>
        <v>88796.55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"5042", " - ", "PURCHASES @ COST-EVERYDAY GIFT")</f>
        <v xml:space="preserve">          5042 - PURCHASES @ COST-EVERYDAY GIFT</v>
      </c>
      <c r="C49" s="11"/>
      <c r="D49" s="2">
        <v>31316.85</v>
      </c>
      <c r="E49" s="2"/>
      <c r="F49" s="19">
        <f t="shared" si="5"/>
        <v>9.5075186778386597E-2</v>
      </c>
      <c r="G49" s="2"/>
      <c r="H49" s="2"/>
      <c r="I49" s="2"/>
      <c r="J49" s="19">
        <f t="shared" si="6"/>
        <v>0</v>
      </c>
      <c r="K49" s="2"/>
      <c r="L49" s="2">
        <f t="shared" si="7"/>
        <v>31316.85</v>
      </c>
      <c r="M49" s="2"/>
      <c r="N49" s="19">
        <f t="shared" si="8"/>
        <v>0</v>
      </c>
      <c r="O49" s="11"/>
      <c r="P49" s="2">
        <v>80565.319999999992</v>
      </c>
      <c r="Q49" s="2"/>
      <c r="R49" s="19">
        <f t="shared" si="9"/>
        <v>5.5493924202288929E-2</v>
      </c>
      <c r="S49" s="2"/>
      <c r="T49" s="2"/>
      <c r="U49" s="2"/>
      <c r="V49" s="19">
        <f t="shared" si="10"/>
        <v>0</v>
      </c>
      <c r="W49" s="2"/>
      <c r="X49" s="2">
        <f t="shared" si="11"/>
        <v>80565.319999999992</v>
      </c>
      <c r="Y49" s="2"/>
      <c r="Z49" s="19">
        <f t="shared" si="12"/>
        <v>0</v>
      </c>
    </row>
    <row r="50" spans="1:26" s="24" customFormat="1" hidden="1" outlineLevel="1" x14ac:dyDescent="0.25">
      <c r="A50" s="44"/>
      <c r="B50" s="11" t="str">
        <f>CONCATENATE("          ", "5043", " - ", "PURCHASES @ COST-CARDS")</f>
        <v xml:space="preserve">          5043 - PURCHASES @ COST-CARDS</v>
      </c>
      <c r="C50" s="11"/>
      <c r="D50" s="2">
        <v>2188.66</v>
      </c>
      <c r="E50" s="2"/>
      <c r="F50" s="19">
        <f t="shared" si="5"/>
        <v>6.6445781837695551E-3</v>
      </c>
      <c r="G50" s="2"/>
      <c r="H50" s="2"/>
      <c r="I50" s="2"/>
      <c r="J50" s="19">
        <f t="shared" si="6"/>
        <v>0</v>
      </c>
      <c r="K50" s="2"/>
      <c r="L50" s="2">
        <f t="shared" si="7"/>
        <v>2188.66</v>
      </c>
      <c r="M50" s="2"/>
      <c r="N50" s="19">
        <f t="shared" si="8"/>
        <v>0</v>
      </c>
      <c r="O50" s="11"/>
      <c r="P50" s="2">
        <v>3528.74</v>
      </c>
      <c r="Q50" s="2"/>
      <c r="R50" s="19">
        <f t="shared" si="9"/>
        <v>2.4306194041007353E-3</v>
      </c>
      <c r="S50" s="2"/>
      <c r="T50" s="2"/>
      <c r="U50" s="2"/>
      <c r="V50" s="19">
        <f t="shared" si="10"/>
        <v>0</v>
      </c>
      <c r="W50" s="2"/>
      <c r="X50" s="2">
        <f t="shared" si="11"/>
        <v>3528.74</v>
      </c>
      <c r="Y50" s="2"/>
      <c r="Z50" s="19">
        <f t="shared" si="12"/>
        <v>0</v>
      </c>
    </row>
    <row r="51" spans="1:26" s="24" customFormat="1" hidden="1" outlineLevel="1" x14ac:dyDescent="0.25">
      <c r="A51" s="44"/>
      <c r="B51" s="11" t="str">
        <f>CONCATENATE("          ", "5044", " - ", "PURCHASES @ COST-ACCESSORIES")</f>
        <v xml:space="preserve">          5044 - PURCHASES @ COST-ACCESSORIES</v>
      </c>
      <c r="C51" s="11"/>
      <c r="D51" s="2">
        <v>-6895.55</v>
      </c>
      <c r="E51" s="2"/>
      <c r="F51" s="19">
        <f t="shared" si="5"/>
        <v>-2.0934279922460393E-2</v>
      </c>
      <c r="G51" s="2"/>
      <c r="H51" s="2"/>
      <c r="I51" s="2"/>
      <c r="J51" s="19">
        <f t="shared" si="6"/>
        <v>0</v>
      </c>
      <c r="K51" s="2"/>
      <c r="L51" s="2">
        <f t="shared" si="7"/>
        <v>-6895.55</v>
      </c>
      <c r="M51" s="2"/>
      <c r="N51" s="19">
        <f t="shared" si="8"/>
        <v>0</v>
      </c>
      <c r="O51" s="11"/>
      <c r="P51" s="2">
        <v>17255.580000000002</v>
      </c>
      <c r="Q51" s="2"/>
      <c r="R51" s="19">
        <f t="shared" si="9"/>
        <v>1.1885757402645865E-2</v>
      </c>
      <c r="S51" s="2"/>
      <c r="T51" s="2"/>
      <c r="U51" s="2"/>
      <c r="V51" s="19">
        <f t="shared" si="10"/>
        <v>0</v>
      </c>
      <c r="W51" s="2"/>
      <c r="X51" s="2">
        <f t="shared" si="11"/>
        <v>17255.580000000002</v>
      </c>
      <c r="Y51" s="2"/>
      <c r="Z51" s="19">
        <f t="shared" si="12"/>
        <v>0</v>
      </c>
    </row>
    <row r="52" spans="1:26" s="24" customFormat="1" hidden="1" outlineLevel="1" x14ac:dyDescent="0.25">
      <c r="A52" s="44"/>
      <c r="B52" s="11" t="str">
        <f>CONCATENATE("          ", "5045", " - ", "PURCHASES @ COST-SPECIAL ORDER")</f>
        <v xml:space="preserve">          5045 - PURCHASES @ COST-SPECIAL ORDER</v>
      </c>
      <c r="C52" s="11"/>
      <c r="D52" s="2">
        <v>14163.29</v>
      </c>
      <c r="E52" s="2"/>
      <c r="F52" s="19">
        <f t="shared" si="5"/>
        <v>4.2998495766542778E-2</v>
      </c>
      <c r="G52" s="2"/>
      <c r="H52" s="2"/>
      <c r="I52" s="2"/>
      <c r="J52" s="19">
        <f t="shared" si="6"/>
        <v>0</v>
      </c>
      <c r="K52" s="2"/>
      <c r="L52" s="2">
        <f t="shared" si="7"/>
        <v>14163.29</v>
      </c>
      <c r="M52" s="2"/>
      <c r="N52" s="19">
        <f t="shared" si="8"/>
        <v>0</v>
      </c>
      <c r="O52" s="11"/>
      <c r="P52" s="2">
        <v>42226.49</v>
      </c>
      <c r="Q52" s="2"/>
      <c r="R52" s="19">
        <f t="shared" si="9"/>
        <v>2.9085885035753739E-2</v>
      </c>
      <c r="S52" s="2"/>
      <c r="T52" s="2"/>
      <c r="U52" s="2"/>
      <c r="V52" s="19">
        <f t="shared" si="10"/>
        <v>0</v>
      </c>
      <c r="W52" s="2"/>
      <c r="X52" s="2">
        <f t="shared" si="11"/>
        <v>42226.49</v>
      </c>
      <c r="Y52" s="2"/>
      <c r="Z52" s="19">
        <f t="shared" si="12"/>
        <v>0</v>
      </c>
    </row>
    <row r="53" spans="1:26" s="24" customFormat="1" hidden="1" outlineLevel="1" x14ac:dyDescent="0.25">
      <c r="A53" s="44"/>
      <c r="B53" s="11" t="str">
        <f>CONCATENATE("          ", "5083", " - ", "PURCHASES @ COST-COMPUTER EQUI")</f>
        <v xml:space="preserve">          5083 - PURCHASES @ COST-COMPUTER EQUI</v>
      </c>
      <c r="C53" s="11"/>
      <c r="D53" s="2"/>
      <c r="E53" s="2"/>
      <c r="F53" s="19">
        <f t="shared" si="5"/>
        <v>0</v>
      </c>
      <c r="G53" s="2"/>
      <c r="H53" s="2"/>
      <c r="I53" s="2"/>
      <c r="J53" s="19">
        <f t="shared" si="6"/>
        <v>0</v>
      </c>
      <c r="K53" s="2"/>
      <c r="L53" s="2">
        <f t="shared" si="7"/>
        <v>0</v>
      </c>
      <c r="M53" s="2"/>
      <c r="N53" s="19">
        <f t="shared" si="8"/>
        <v>0</v>
      </c>
      <c r="O53" s="11"/>
      <c r="P53" s="2">
        <v>39.950000000000003</v>
      </c>
      <c r="Q53" s="2"/>
      <c r="R53" s="19">
        <f t="shared" si="9"/>
        <v>2.7517823697360639E-5</v>
      </c>
      <c r="S53" s="2"/>
      <c r="T53" s="2"/>
      <c r="U53" s="2"/>
      <c r="V53" s="19">
        <f t="shared" si="10"/>
        <v>0</v>
      </c>
      <c r="W53" s="2"/>
      <c r="X53" s="2">
        <f t="shared" si="11"/>
        <v>39.950000000000003</v>
      </c>
      <c r="Y53" s="2"/>
      <c r="Z53" s="19">
        <f t="shared" si="12"/>
        <v>0</v>
      </c>
    </row>
    <row r="54" spans="1:26" s="24" customFormat="1" hidden="1" outlineLevel="1" x14ac:dyDescent="0.25">
      <c r="A54" s="44"/>
      <c r="B54" s="11" t="str">
        <f>CONCATENATE("          ", "5092", " - ", "PURCHASES @ COST-GRAD MERCH")</f>
        <v xml:space="preserve">          5092 - PURCHASES @ COST-GRAD MERCH</v>
      </c>
      <c r="C54" s="11"/>
      <c r="D54" s="2"/>
      <c r="E54" s="2"/>
      <c r="F54" s="19">
        <f t="shared" si="5"/>
        <v>0</v>
      </c>
      <c r="G54" s="2"/>
      <c r="H54" s="2"/>
      <c r="I54" s="2"/>
      <c r="J54" s="19">
        <f t="shared" si="6"/>
        <v>0</v>
      </c>
      <c r="K54" s="2"/>
      <c r="L54" s="2">
        <f t="shared" si="7"/>
        <v>0</v>
      </c>
      <c r="M54" s="2"/>
      <c r="N54" s="19">
        <f t="shared" si="8"/>
        <v>0</v>
      </c>
      <c r="O54" s="11"/>
      <c r="P54" s="2">
        <v>-60.35</v>
      </c>
      <c r="Q54" s="2"/>
      <c r="R54" s="19">
        <f t="shared" si="9"/>
        <v>-4.1569478351332023E-5</v>
      </c>
      <c r="S54" s="2"/>
      <c r="T54" s="2"/>
      <c r="U54" s="2"/>
      <c r="V54" s="19">
        <f t="shared" si="10"/>
        <v>0</v>
      </c>
      <c r="W54" s="2"/>
      <c r="X54" s="2">
        <f t="shared" si="11"/>
        <v>-60.35</v>
      </c>
      <c r="Y54" s="2"/>
      <c r="Z54" s="19">
        <f t="shared" si="12"/>
        <v>0</v>
      </c>
    </row>
    <row r="55" spans="1:26" s="24" customFormat="1" hidden="1" outlineLevel="1" x14ac:dyDescent="0.25">
      <c r="A55" s="44"/>
      <c r="B55" s="11" t="str">
        <f>CONCATENATE("          ", "5095", " - ", "PURCHASES @ COST-CUSTOMER SERV")</f>
        <v xml:space="preserve">          5095 - PURCHASES @ COST-CUSTOMER SERV</v>
      </c>
      <c r="C55" s="11"/>
      <c r="D55" s="2"/>
      <c r="E55" s="2"/>
      <c r="F55" s="19">
        <f t="shared" si="5"/>
        <v>0</v>
      </c>
      <c r="G55" s="2"/>
      <c r="H55" s="2"/>
      <c r="I55" s="2"/>
      <c r="J55" s="19">
        <f t="shared" si="6"/>
        <v>0</v>
      </c>
      <c r="K55" s="2"/>
      <c r="L55" s="2">
        <f t="shared" si="7"/>
        <v>0</v>
      </c>
      <c r="M55" s="2"/>
      <c r="N55" s="19">
        <f t="shared" si="8"/>
        <v>0</v>
      </c>
      <c r="O55" s="11"/>
      <c r="P55" s="2">
        <v>-11.85</v>
      </c>
      <c r="Q55" s="2"/>
      <c r="R55" s="19">
        <f t="shared" si="9"/>
        <v>-8.1623582181157325E-6</v>
      </c>
      <c r="S55" s="2"/>
      <c r="T55" s="2"/>
      <c r="U55" s="2"/>
      <c r="V55" s="19">
        <f t="shared" si="10"/>
        <v>0</v>
      </c>
      <c r="W55" s="2"/>
      <c r="X55" s="2">
        <f t="shared" si="11"/>
        <v>-11.85</v>
      </c>
      <c r="Y55" s="2"/>
      <c r="Z55" s="19">
        <f t="shared" si="12"/>
        <v>0</v>
      </c>
    </row>
    <row r="56" spans="1:26" s="24" customFormat="1" hidden="1" outlineLevel="1" x14ac:dyDescent="0.25">
      <c r="A56" s="44"/>
      <c r="B56" s="11" t="str">
        <f>CONCATENATE("          ", "5200", " - ", "PURCHASES OFFSET")</f>
        <v xml:space="preserve">          5200 - PURCHASES OFFSET</v>
      </c>
      <c r="C56" s="11"/>
      <c r="D56" s="2">
        <v>-173254</v>
      </c>
      <c r="E56" s="2"/>
      <c r="F56" s="19">
        <f t="shared" si="5"/>
        <v>-0.52598382053439574</v>
      </c>
      <c r="G56" s="2"/>
      <c r="H56" s="2"/>
      <c r="I56" s="2"/>
      <c r="J56" s="19">
        <f t="shared" si="6"/>
        <v>0</v>
      </c>
      <c r="K56" s="2"/>
      <c r="L56" s="2">
        <f t="shared" si="7"/>
        <v>-173254</v>
      </c>
      <c r="M56" s="2"/>
      <c r="N56" s="19">
        <f t="shared" si="8"/>
        <v>0</v>
      </c>
      <c r="O56" s="11"/>
      <c r="P56" s="2">
        <v>-876248</v>
      </c>
      <c r="Q56" s="2"/>
      <c r="R56" s="19">
        <f t="shared" si="9"/>
        <v>-0.60356540623691768</v>
      </c>
      <c r="S56" s="2"/>
      <c r="T56" s="2"/>
      <c r="U56" s="2"/>
      <c r="V56" s="19">
        <f t="shared" si="10"/>
        <v>0</v>
      </c>
      <c r="W56" s="2"/>
      <c r="X56" s="2">
        <f t="shared" si="11"/>
        <v>-876248</v>
      </c>
      <c r="Y56" s="2"/>
      <c r="Z56" s="19">
        <f t="shared" si="12"/>
        <v>0</v>
      </c>
    </row>
    <row r="57" spans="1:26" s="24" customFormat="1" hidden="1" outlineLevel="1" x14ac:dyDescent="0.25">
      <c r="A57" s="44"/>
      <c r="B57" s="11" t="str">
        <f>CONCATENATE("          ", "5300", " - ", "COG$ OFFSET")</f>
        <v xml:space="preserve">          5300 - COG$ OFFSET</v>
      </c>
      <c r="C57" s="11"/>
      <c r="D57" s="2">
        <v>154921</v>
      </c>
      <c r="E57" s="2"/>
      <c r="F57" s="19">
        <f t="shared" si="5"/>
        <v>0.47032645399822876</v>
      </c>
      <c r="G57" s="2"/>
      <c r="H57" s="2"/>
      <c r="I57" s="2"/>
      <c r="J57" s="19">
        <f t="shared" si="6"/>
        <v>0</v>
      </c>
      <c r="K57" s="2"/>
      <c r="L57" s="2">
        <f t="shared" si="7"/>
        <v>154921</v>
      </c>
      <c r="M57" s="2"/>
      <c r="N57" s="19">
        <f t="shared" si="8"/>
        <v>0</v>
      </c>
      <c r="O57" s="11"/>
      <c r="P57" s="2">
        <v>666116</v>
      </c>
      <c r="Q57" s="2"/>
      <c r="R57" s="19">
        <f t="shared" si="9"/>
        <v>0.45882509762180418</v>
      </c>
      <c r="S57" s="2"/>
      <c r="T57" s="2"/>
      <c r="U57" s="2"/>
      <c r="V57" s="19">
        <f t="shared" si="10"/>
        <v>0</v>
      </c>
      <c r="W57" s="2"/>
      <c r="X57" s="2">
        <f t="shared" si="11"/>
        <v>666116</v>
      </c>
      <c r="Y57" s="2"/>
      <c r="Z57" s="19">
        <f t="shared" si="12"/>
        <v>0</v>
      </c>
    </row>
    <row r="58" spans="1:26" s="24" customFormat="1" hidden="1" outlineLevel="1" x14ac:dyDescent="0.25">
      <c r="A58" s="44"/>
      <c r="B58" s="11" t="str">
        <f>CONCATENATE("          ", "5500", " - ", "FREIGHT-IN")</f>
        <v xml:space="preserve">          5500 - FREIGHT-IN</v>
      </c>
      <c r="C58" s="11"/>
      <c r="D58" s="2"/>
      <c r="E58" s="2"/>
      <c r="F58" s="19">
        <f t="shared" si="5"/>
        <v>0</v>
      </c>
      <c r="G58" s="2"/>
      <c r="H58" s="2"/>
      <c r="I58" s="2"/>
      <c r="J58" s="19">
        <f t="shared" si="6"/>
        <v>0</v>
      </c>
      <c r="K58" s="2"/>
      <c r="L58" s="2">
        <f t="shared" si="7"/>
        <v>0</v>
      </c>
      <c r="M58" s="2"/>
      <c r="N58" s="19">
        <f t="shared" si="8"/>
        <v>0</v>
      </c>
      <c r="O58" s="11"/>
      <c r="P58" s="2">
        <v>29.23</v>
      </c>
      <c r="Q58" s="2"/>
      <c r="R58" s="19">
        <f t="shared" si="9"/>
        <v>2.0133816938018808E-5</v>
      </c>
      <c r="S58" s="2"/>
      <c r="T58" s="2"/>
      <c r="U58" s="2"/>
      <c r="V58" s="19">
        <f t="shared" si="10"/>
        <v>0</v>
      </c>
      <c r="W58" s="2"/>
      <c r="X58" s="2">
        <f t="shared" si="11"/>
        <v>29.23</v>
      </c>
      <c r="Y58" s="2"/>
      <c r="Z58" s="19">
        <f t="shared" si="12"/>
        <v>0</v>
      </c>
    </row>
    <row r="59" spans="1:26" s="24" customFormat="1" hidden="1" outlineLevel="1" x14ac:dyDescent="0.25">
      <c r="A59" s="44"/>
      <c r="B59" s="11" t="str">
        <f>CONCATENATE("          ", "5540", " - ", "FREIGHT-IN-LOGO CLOTHING")</f>
        <v xml:space="preserve">          5540 - FREIGHT-IN-LOGO CLOTHING</v>
      </c>
      <c r="C59" s="11"/>
      <c r="D59" s="2">
        <v>6133.89</v>
      </c>
      <c r="E59" s="2"/>
      <c r="F59" s="19">
        <f t="shared" si="5"/>
        <v>1.8621947527547561E-2</v>
      </c>
      <c r="G59" s="2"/>
      <c r="H59" s="2"/>
      <c r="I59" s="2"/>
      <c r="J59" s="19">
        <f t="shared" si="6"/>
        <v>0</v>
      </c>
      <c r="K59" s="2"/>
      <c r="L59" s="2">
        <f t="shared" si="7"/>
        <v>6133.89</v>
      </c>
      <c r="M59" s="2"/>
      <c r="N59" s="19">
        <f t="shared" si="8"/>
        <v>0</v>
      </c>
      <c r="O59" s="11"/>
      <c r="P59" s="2">
        <v>20241.329999999998</v>
      </c>
      <c r="Q59" s="2"/>
      <c r="R59" s="19">
        <f t="shared" si="9"/>
        <v>1.3942361710640718E-2</v>
      </c>
      <c r="S59" s="2"/>
      <c r="T59" s="2"/>
      <c r="U59" s="2"/>
      <c r="V59" s="19">
        <f t="shared" si="10"/>
        <v>0</v>
      </c>
      <c r="W59" s="2"/>
      <c r="X59" s="2">
        <f t="shared" si="11"/>
        <v>20241.329999999998</v>
      </c>
      <c r="Y59" s="2"/>
      <c r="Z59" s="19">
        <f t="shared" si="12"/>
        <v>0</v>
      </c>
    </row>
    <row r="60" spans="1:26" s="24" customFormat="1" hidden="1" outlineLevel="1" x14ac:dyDescent="0.25">
      <c r="A60" s="44"/>
      <c r="B60" s="11" t="str">
        <f>CONCATENATE("          ", "5541", " - ", "FREIGHT-IN-LOGO GIFTS")</f>
        <v xml:space="preserve">          5541 - FREIGHT-IN-LOGO GIFTS</v>
      </c>
      <c r="C60" s="11"/>
      <c r="D60" s="2">
        <v>1315.98</v>
      </c>
      <c r="E60" s="2"/>
      <c r="F60" s="19">
        <f t="shared" si="5"/>
        <v>3.9951988880306032E-3</v>
      </c>
      <c r="G60" s="2"/>
      <c r="H60" s="2"/>
      <c r="I60" s="2"/>
      <c r="J60" s="19">
        <f t="shared" si="6"/>
        <v>0</v>
      </c>
      <c r="K60" s="2"/>
      <c r="L60" s="2">
        <f t="shared" si="7"/>
        <v>1315.98</v>
      </c>
      <c r="M60" s="2"/>
      <c r="N60" s="19">
        <f t="shared" si="8"/>
        <v>0</v>
      </c>
      <c r="O60" s="11"/>
      <c r="P60" s="2">
        <v>2852.83</v>
      </c>
      <c r="Q60" s="2"/>
      <c r="R60" s="19">
        <f t="shared" si="9"/>
        <v>1.9650481346318235E-3</v>
      </c>
      <c r="S60" s="2"/>
      <c r="T60" s="2"/>
      <c r="U60" s="2"/>
      <c r="V60" s="19">
        <f t="shared" si="10"/>
        <v>0</v>
      </c>
      <c r="W60" s="2"/>
      <c r="X60" s="2">
        <f t="shared" si="11"/>
        <v>2852.83</v>
      </c>
      <c r="Y60" s="2"/>
      <c r="Z60" s="19">
        <f t="shared" si="12"/>
        <v>0</v>
      </c>
    </row>
    <row r="61" spans="1:26" s="24" customFormat="1" hidden="1" outlineLevel="1" x14ac:dyDescent="0.25">
      <c r="A61" s="44"/>
      <c r="B61" s="11" t="str">
        <f>CONCATENATE("          ", "5542", " - ", "FREIGHT-IN-EVERYDAY GIFTS")</f>
        <v xml:space="preserve">          5542 - FREIGHT-IN-EVERYDAY GIFTS</v>
      </c>
      <c r="C61" s="11"/>
      <c r="D61" s="2">
        <v>745.78</v>
      </c>
      <c r="E61" s="2"/>
      <c r="F61" s="19">
        <f t="shared" si="5"/>
        <v>2.2641221194208598E-3</v>
      </c>
      <c r="G61" s="2"/>
      <c r="H61" s="2"/>
      <c r="I61" s="2"/>
      <c r="J61" s="19">
        <f t="shared" si="6"/>
        <v>0</v>
      </c>
      <c r="K61" s="2"/>
      <c r="L61" s="2">
        <f t="shared" si="7"/>
        <v>745.78</v>
      </c>
      <c r="M61" s="2"/>
      <c r="N61" s="19">
        <f t="shared" si="8"/>
        <v>0</v>
      </c>
      <c r="O61" s="11"/>
      <c r="P61" s="2">
        <v>1513.51</v>
      </c>
      <c r="Q61" s="2"/>
      <c r="R61" s="19">
        <f t="shared" si="9"/>
        <v>1.0425156782025607E-3</v>
      </c>
      <c r="S61" s="2"/>
      <c r="T61" s="2"/>
      <c r="U61" s="2"/>
      <c r="V61" s="19">
        <f t="shared" si="10"/>
        <v>0</v>
      </c>
      <c r="W61" s="2"/>
      <c r="X61" s="2">
        <f t="shared" si="11"/>
        <v>1513.51</v>
      </c>
      <c r="Y61" s="2"/>
      <c r="Z61" s="19">
        <f t="shared" si="12"/>
        <v>0</v>
      </c>
    </row>
    <row r="62" spans="1:26" s="24" customFormat="1" hidden="1" outlineLevel="1" x14ac:dyDescent="0.25">
      <c r="A62" s="44"/>
      <c r="B62" s="11" t="str">
        <f>CONCATENATE("          ", "5543", " - ", "FREIGHT-IN-CARDS")</f>
        <v xml:space="preserve">          5543 - FREIGHT-IN-CARDS</v>
      </c>
      <c r="C62" s="11"/>
      <c r="D62" s="2">
        <v>39.01</v>
      </c>
      <c r="E62" s="2"/>
      <c r="F62" s="19">
        <f t="shared" si="5"/>
        <v>1.1843090975704329E-4</v>
      </c>
      <c r="G62" s="2"/>
      <c r="H62" s="2"/>
      <c r="I62" s="2"/>
      <c r="J62" s="19">
        <f t="shared" si="6"/>
        <v>0</v>
      </c>
      <c r="K62" s="2"/>
      <c r="L62" s="2">
        <f t="shared" si="7"/>
        <v>39.01</v>
      </c>
      <c r="M62" s="2"/>
      <c r="N62" s="19">
        <f t="shared" si="8"/>
        <v>0</v>
      </c>
      <c r="O62" s="11"/>
      <c r="P62" s="2">
        <v>43.59</v>
      </c>
      <c r="Q62" s="2"/>
      <c r="R62" s="19">
        <f t="shared" si="9"/>
        <v>3.0025079723853571E-5</v>
      </c>
      <c r="S62" s="2"/>
      <c r="T62" s="2"/>
      <c r="U62" s="2"/>
      <c r="V62" s="19">
        <f t="shared" si="10"/>
        <v>0</v>
      </c>
      <c r="W62" s="2"/>
      <c r="X62" s="2">
        <f t="shared" si="11"/>
        <v>43.59</v>
      </c>
      <c r="Y62" s="2"/>
      <c r="Z62" s="19">
        <f t="shared" si="12"/>
        <v>0</v>
      </c>
    </row>
    <row r="63" spans="1:26" s="24" customFormat="1" hidden="1" outlineLevel="1" x14ac:dyDescent="0.25">
      <c r="A63" s="44"/>
      <c r="B63" s="11" t="str">
        <f>CONCATENATE("          ", "5544", " - ", "FREIGHT-IN-ACCESSORIES")</f>
        <v xml:space="preserve">          5544 - FREIGHT-IN-ACCESSORIES</v>
      </c>
      <c r="C63" s="11"/>
      <c r="D63" s="2">
        <v>54.82</v>
      </c>
      <c r="E63" s="2"/>
      <c r="F63" s="19">
        <f t="shared" si="5"/>
        <v>1.6642867144017208E-4</v>
      </c>
      <c r="G63" s="2"/>
      <c r="H63" s="2"/>
      <c r="I63" s="2"/>
      <c r="J63" s="19">
        <f t="shared" si="6"/>
        <v>0</v>
      </c>
      <c r="K63" s="2"/>
      <c r="L63" s="2">
        <f t="shared" si="7"/>
        <v>54.82</v>
      </c>
      <c r="M63" s="2"/>
      <c r="N63" s="19">
        <f t="shared" si="8"/>
        <v>0</v>
      </c>
      <c r="O63" s="11"/>
      <c r="P63" s="2">
        <v>413.91</v>
      </c>
      <c r="Q63" s="2"/>
      <c r="R63" s="19">
        <f t="shared" si="9"/>
        <v>2.8510394008947538E-4</v>
      </c>
      <c r="S63" s="2"/>
      <c r="T63" s="2"/>
      <c r="U63" s="2"/>
      <c r="V63" s="19">
        <f t="shared" si="10"/>
        <v>0</v>
      </c>
      <c r="W63" s="2"/>
      <c r="X63" s="2">
        <f t="shared" si="11"/>
        <v>413.91</v>
      </c>
      <c r="Y63" s="2"/>
      <c r="Z63" s="19">
        <f t="shared" si="12"/>
        <v>0</v>
      </c>
    </row>
    <row r="64" spans="1:26" s="24" customFormat="1" hidden="1" outlineLevel="1" x14ac:dyDescent="0.25">
      <c r="A64" s="44"/>
      <c r="B64" s="11" t="str">
        <f>CONCATENATE("          ", "5545", " - ", "FREIGHT-IN-SPECIAL ORDERS")</f>
        <v xml:space="preserve">          5545 - FREIGHT-IN-SPECIAL ORDERS</v>
      </c>
      <c r="C64" s="11"/>
      <c r="D64" s="2">
        <v>158.08000000000001</v>
      </c>
      <c r="E64" s="2"/>
      <c r="F64" s="19">
        <f t="shared" si="5"/>
        <v>4.799168986001898E-4</v>
      </c>
      <c r="G64" s="2"/>
      <c r="H64" s="2"/>
      <c r="I64" s="2"/>
      <c r="J64" s="19">
        <f t="shared" si="6"/>
        <v>0</v>
      </c>
      <c r="K64" s="2"/>
      <c r="L64" s="2">
        <f t="shared" si="7"/>
        <v>158.08000000000001</v>
      </c>
      <c r="M64" s="2"/>
      <c r="N64" s="19">
        <f t="shared" si="8"/>
        <v>0</v>
      </c>
      <c r="O64" s="11"/>
      <c r="P64" s="2">
        <v>505.06</v>
      </c>
      <c r="Q64" s="2"/>
      <c r="R64" s="19">
        <f t="shared" si="9"/>
        <v>3.4788866174190143E-4</v>
      </c>
      <c r="S64" s="2"/>
      <c r="T64" s="2"/>
      <c r="U64" s="2"/>
      <c r="V64" s="19">
        <f t="shared" si="10"/>
        <v>0</v>
      </c>
      <c r="W64" s="2"/>
      <c r="X64" s="2">
        <f t="shared" si="11"/>
        <v>505.06</v>
      </c>
      <c r="Y64" s="2"/>
      <c r="Z64" s="19">
        <f t="shared" si="12"/>
        <v>0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10"/>
      <c r="B66" s="28" t="s">
        <v>6</v>
      </c>
      <c r="C66" s="28"/>
      <c r="D66" s="20">
        <f>D12-D42</f>
        <v>174467.66999999995</v>
      </c>
      <c r="E66" s="14"/>
      <c r="F66" s="22">
        <f>IF(D$12=0,0,D66/D$12)</f>
        <v>0.52966841531124331</v>
      </c>
      <c r="G66" s="14"/>
      <c r="H66" s="20">
        <f>H12-H42</f>
        <v>148107.32972000004</v>
      </c>
      <c r="I66" s="14"/>
      <c r="J66" s="22">
        <f>IF(H$12=0,0,H66/H$12)</f>
        <v>0.55701317057682742</v>
      </c>
      <c r="K66" s="16"/>
      <c r="L66" s="20">
        <f>+D66-H66</f>
        <v>26360.340279999917</v>
      </c>
      <c r="M66" s="16"/>
      <c r="N66" s="22">
        <f>IF(H66=0,0,L66/H66)</f>
        <v>0.17798133508878111</v>
      </c>
      <c r="O66" s="29"/>
      <c r="P66" s="20">
        <f>P12-P42</f>
        <v>785642.34000000043</v>
      </c>
      <c r="Q66" s="14"/>
      <c r="R66" s="22">
        <f>IF(P$12=0,0,P66/P$12)</f>
        <v>0.54115562956950869</v>
      </c>
      <c r="S66" s="14"/>
      <c r="T66" s="20">
        <f>T12-T42</f>
        <v>736669.16510999994</v>
      </c>
      <c r="U66" s="14"/>
      <c r="V66" s="22">
        <f>IF(T$12=0,0,T66/T$12)</f>
        <v>0.54695488493638122</v>
      </c>
      <c r="W66" s="16"/>
      <c r="X66" s="20">
        <f>+P66-T66</f>
        <v>48973.17489000049</v>
      </c>
      <c r="Y66" s="16"/>
      <c r="Z66" s="22">
        <f>IF(T66=0,0,X66/T66)</f>
        <v>6.6479197459944975E-2</v>
      </c>
    </row>
    <row r="67" spans="1:26" x14ac:dyDescent="0.25">
      <c r="A67" s="9"/>
      <c r="B67" s="10"/>
      <c r="C67" s="9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9" t="s">
        <v>9</v>
      </c>
      <c r="C68" s="10"/>
      <c r="D68" s="21">
        <f>SUM(OSRRefD22x_0)</f>
        <v>105253.3</v>
      </c>
      <c r="E68" s="21"/>
      <c r="F68" s="33">
        <f t="shared" ref="F68:F78" si="13">IF(D$12=0,0,D68/D$12)</f>
        <v>0.31953970966242001</v>
      </c>
      <c r="G68" s="21"/>
      <c r="H68" s="21">
        <f>SUM(OSRRefH22x_0)</f>
        <v>84509.023099575003</v>
      </c>
      <c r="I68" s="21"/>
      <c r="J68" s="33">
        <f t="shared" ref="J68:J78" si="14">IF(H$12=0,0,H68/H$12)</f>
        <v>0.31782788190183714</v>
      </c>
      <c r="K68" s="4"/>
      <c r="L68" s="21">
        <f t="shared" ref="L68:L78" si="15">+D68-H68</f>
        <v>20744.276900425</v>
      </c>
      <c r="M68" s="4"/>
      <c r="N68" s="33">
        <f t="shared" ref="N68:N78" si="16">IF(H68=0,0,L68/H68)</f>
        <v>0.24546818954447627</v>
      </c>
      <c r="O68" s="10"/>
      <c r="P68" s="21">
        <f>SUM(OSRRefP22x_0)</f>
        <v>457318.68999999994</v>
      </c>
      <c r="Q68" s="21"/>
      <c r="R68" s="33">
        <f t="shared" ref="R68:R78" si="17">IF(P$12=0,0,P68/P$12)</f>
        <v>0.31500413228855872</v>
      </c>
      <c r="S68" s="21"/>
      <c r="T68" s="21">
        <f>SUM(OSRRefT22x_0)</f>
        <v>413169.9588251625</v>
      </c>
      <c r="U68" s="21"/>
      <c r="V68" s="33">
        <f t="shared" ref="V68:V78" si="18">IF(T$12=0,0,T68/T$12)</f>
        <v>0.30676637219455466</v>
      </c>
      <c r="W68" s="4"/>
      <c r="X68" s="21">
        <f t="shared" ref="X68:X78" si="19">+P68-T68</f>
        <v>44148.731174837449</v>
      </c>
      <c r="Y68" s="4"/>
      <c r="Z68" s="33">
        <f t="shared" ref="Z68:Z78" si="20">IF(T68=0,0,X68/T68)</f>
        <v>0.10685368147377694</v>
      </c>
    </row>
    <row r="69" spans="1:26" s="26" customFormat="1" outlineLevel="1" collapsed="1" x14ac:dyDescent="0.25">
      <c r="A69" s="27"/>
      <c r="B69" s="13" t="str">
        <f>CONCATENATE("     ","*Benefits                                         ")</f>
        <v xml:space="preserve">     *Benefits                                         </v>
      </c>
      <c r="C69" s="13"/>
      <c r="D69" s="1">
        <f>SUM(OSRRefD22_0x_0)</f>
        <v>7606.75</v>
      </c>
      <c r="E69" s="1"/>
      <c r="F69" s="5">
        <f t="shared" si="13"/>
        <v>2.3093420220312459E-2</v>
      </c>
      <c r="G69" s="1"/>
      <c r="H69" s="1">
        <f>SUM(OSRRefH22_0x_0)</f>
        <v>5951.9694745750012</v>
      </c>
      <c r="I69" s="1"/>
      <c r="J69" s="5">
        <f t="shared" si="14"/>
        <v>2.2384613877498207E-2</v>
      </c>
      <c r="K69" s="1"/>
      <c r="L69" s="1">
        <f t="shared" si="15"/>
        <v>1654.7805254249988</v>
      </c>
      <c r="M69" s="1"/>
      <c r="N69" s="5">
        <f t="shared" si="16"/>
        <v>0.27802234747569132</v>
      </c>
      <c r="O69" s="13"/>
      <c r="P69" s="1">
        <f>SUM(OSRRefP22_0x_0)</f>
        <v>46758.14</v>
      </c>
      <c r="Q69" s="1"/>
      <c r="R69" s="5">
        <f t="shared" si="17"/>
        <v>3.2207315467747341E-2</v>
      </c>
      <c r="S69" s="1"/>
      <c r="T69" s="1">
        <f>SUM(OSRRefT22_0x_0)</f>
        <v>33801.4138876625</v>
      </c>
      <c r="U69" s="1"/>
      <c r="V69" s="5">
        <f t="shared" si="18"/>
        <v>2.5096541730306877E-2</v>
      </c>
      <c r="W69" s="1"/>
      <c r="X69" s="1">
        <f t="shared" si="19"/>
        <v>12956.726112337499</v>
      </c>
      <c r="Y69" s="1"/>
      <c r="Z69" s="5">
        <f t="shared" si="20"/>
        <v>0.38331905746305772</v>
      </c>
    </row>
    <row r="70" spans="1:26" s="24" customFormat="1" hidden="1" outlineLevel="2" x14ac:dyDescent="0.25">
      <c r="A70" s="25"/>
      <c r="B70" s="11" t="str">
        <f>CONCATENATE("          ", "6111", " - ", "F.I.C.A.")</f>
        <v xml:space="preserve">          6111 - F.I.C.A.</v>
      </c>
      <c r="C70" s="11"/>
      <c r="D70" s="6">
        <v>1185.6500000000001</v>
      </c>
      <c r="E70" s="2"/>
      <c r="F70" s="7">
        <f t="shared" si="13"/>
        <v>3.5995285350791692E-3</v>
      </c>
      <c r="G70" s="2"/>
      <c r="H70" s="6">
        <v>981.66772057499998</v>
      </c>
      <c r="I70" s="2"/>
      <c r="J70" s="7">
        <f t="shared" si="14"/>
        <v>3.6919297007389712E-3</v>
      </c>
      <c r="K70" s="2"/>
      <c r="L70" s="6">
        <f t="shared" si="15"/>
        <v>203.98227942500012</v>
      </c>
      <c r="M70" s="2"/>
      <c r="N70" s="7">
        <f t="shared" si="16"/>
        <v>0.20779157259598999</v>
      </c>
      <c r="O70" s="11"/>
      <c r="P70" s="6">
        <v>10370.049999999999</v>
      </c>
      <c r="Q70" s="2"/>
      <c r="R70" s="7">
        <f t="shared" si="17"/>
        <v>7.142958889432156E-3</v>
      </c>
      <c r="S70" s="2"/>
      <c r="T70" s="6">
        <v>8118.0346406625004</v>
      </c>
      <c r="U70" s="2"/>
      <c r="V70" s="7">
        <f t="shared" si="18"/>
        <v>6.0273986113292813E-3</v>
      </c>
      <c r="W70" s="2"/>
      <c r="X70" s="6">
        <f t="shared" si="19"/>
        <v>2252.0153593374989</v>
      </c>
      <c r="Y70" s="2"/>
      <c r="Z70" s="7">
        <f t="shared" si="20"/>
        <v>0.27740893689432639</v>
      </c>
    </row>
    <row r="71" spans="1:26" s="24" customFormat="1" hidden="1" outlineLevel="2" x14ac:dyDescent="0.25">
      <c r="A71" s="25"/>
      <c r="B71" s="11" t="str">
        <f>CONCATENATE("          ", "6112", " - ", "COMPENSATION INSURANCE")</f>
        <v xml:space="preserve">          6112 - COMPENSATION INSURANCE</v>
      </c>
      <c r="C71" s="11"/>
      <c r="D71" s="6">
        <v>661.97</v>
      </c>
      <c r="E71" s="2"/>
      <c r="F71" s="7">
        <f t="shared" si="13"/>
        <v>2.009682372003844E-3</v>
      </c>
      <c r="G71" s="2"/>
      <c r="H71" s="6">
        <v>577.68032249999999</v>
      </c>
      <c r="I71" s="2"/>
      <c r="J71" s="7">
        <f t="shared" si="14"/>
        <v>2.172583548862116E-3</v>
      </c>
      <c r="K71" s="2"/>
      <c r="L71" s="6">
        <f t="shared" si="15"/>
        <v>84.289677500000039</v>
      </c>
      <c r="M71" s="2"/>
      <c r="N71" s="7">
        <f t="shared" si="16"/>
        <v>0.14591059140672052</v>
      </c>
      <c r="O71" s="11"/>
      <c r="P71" s="6">
        <v>2810.91</v>
      </c>
      <c r="Q71" s="2"/>
      <c r="R71" s="7">
        <f t="shared" si="17"/>
        <v>1.9361733619311134E-3</v>
      </c>
      <c r="S71" s="2"/>
      <c r="T71" s="6">
        <v>3044.1182737499998</v>
      </c>
      <c r="U71" s="2"/>
      <c r="V71" s="7">
        <f t="shared" si="18"/>
        <v>2.2601670315643635E-3</v>
      </c>
      <c r="W71" s="2"/>
      <c r="X71" s="6">
        <f t="shared" si="19"/>
        <v>-233.20827374999999</v>
      </c>
      <c r="Y71" s="2"/>
      <c r="Z71" s="7">
        <f t="shared" si="20"/>
        <v>-7.6609465460326709E-2</v>
      </c>
    </row>
    <row r="72" spans="1:26" s="24" customFormat="1" hidden="1" outlineLevel="2" x14ac:dyDescent="0.25">
      <c r="A72" s="25"/>
      <c r="B72" s="11" t="str">
        <f>CONCATENATE("          ", "6113", " - ", "GROUP INSURANCE")</f>
        <v xml:space="preserve">          6113 - GROUP INSURANCE</v>
      </c>
      <c r="C72" s="11"/>
      <c r="D72" s="6">
        <v>3305.88</v>
      </c>
      <c r="E72" s="2"/>
      <c r="F72" s="7">
        <f t="shared" si="13"/>
        <v>1.0036359291146227E-2</v>
      </c>
      <c r="G72" s="2"/>
      <c r="H72" s="6">
        <v>2863.75</v>
      </c>
      <c r="I72" s="2"/>
      <c r="J72" s="7">
        <f t="shared" si="14"/>
        <v>1.0770206108334051E-2</v>
      </c>
      <c r="K72" s="2"/>
      <c r="L72" s="6">
        <f t="shared" si="15"/>
        <v>442.13000000000011</v>
      </c>
      <c r="M72" s="2"/>
      <c r="N72" s="7">
        <f t="shared" si="16"/>
        <v>0.1543884766477521</v>
      </c>
      <c r="O72" s="11"/>
      <c r="P72" s="6">
        <v>16837.63</v>
      </c>
      <c r="Q72" s="2"/>
      <c r="R72" s="7">
        <f t="shared" si="17"/>
        <v>1.1597870683889622E-2</v>
      </c>
      <c r="S72" s="2"/>
      <c r="T72" s="6">
        <v>14318.75</v>
      </c>
      <c r="U72" s="2"/>
      <c r="V72" s="7">
        <f t="shared" si="18"/>
        <v>1.0631244837719482E-2</v>
      </c>
      <c r="W72" s="2"/>
      <c r="X72" s="6">
        <f t="shared" si="19"/>
        <v>2518.880000000001</v>
      </c>
      <c r="Y72" s="2"/>
      <c r="Z72" s="7">
        <f t="shared" si="20"/>
        <v>0.17591479703186388</v>
      </c>
    </row>
    <row r="73" spans="1:26" s="24" customFormat="1" hidden="1" outlineLevel="2" x14ac:dyDescent="0.25">
      <c r="A73" s="25"/>
      <c r="B73" s="11" t="str">
        <f>CONCATENATE("          ", "6114", " - ", "STATE UNEMPLOYMENT INSURANCE")</f>
        <v xml:space="preserve">          6114 - STATE UNEMPLOYMENT INSURANCE</v>
      </c>
      <c r="C73" s="11"/>
      <c r="D73" s="6">
        <v>90.59</v>
      </c>
      <c r="E73" s="2"/>
      <c r="F73" s="7">
        <f t="shared" si="13"/>
        <v>2.7502322775930664E-4</v>
      </c>
      <c r="G73" s="2"/>
      <c r="H73" s="6">
        <v>79.050991499999995</v>
      </c>
      <c r="I73" s="2"/>
      <c r="J73" s="7">
        <f t="shared" si="14"/>
        <v>2.9730090668639476E-4</v>
      </c>
      <c r="K73" s="2"/>
      <c r="L73" s="6">
        <f t="shared" si="15"/>
        <v>11.539008500000008</v>
      </c>
      <c r="M73" s="2"/>
      <c r="N73" s="7">
        <f t="shared" si="16"/>
        <v>0.14596918117086499</v>
      </c>
      <c r="O73" s="11"/>
      <c r="P73" s="6">
        <v>469.95</v>
      </c>
      <c r="Q73" s="2"/>
      <c r="R73" s="7">
        <f t="shared" si="17"/>
        <v>3.2370466199185561E-4</v>
      </c>
      <c r="S73" s="2"/>
      <c r="T73" s="6">
        <v>416.56355324999998</v>
      </c>
      <c r="U73" s="2"/>
      <c r="V73" s="7">
        <f t="shared" si="18"/>
        <v>3.0928601484564975E-4</v>
      </c>
      <c r="W73" s="2"/>
      <c r="X73" s="6">
        <f t="shared" si="19"/>
        <v>53.386446750000005</v>
      </c>
      <c r="Y73" s="2"/>
      <c r="Z73" s="7">
        <f t="shared" si="20"/>
        <v>0.12815918803621354</v>
      </c>
    </row>
    <row r="74" spans="1:26" s="24" customFormat="1" hidden="1" outlineLevel="2" x14ac:dyDescent="0.25">
      <c r="A74" s="25"/>
      <c r="B74" s="11" t="str">
        <f>CONCATENATE("          ", "6115", " - ", "P.E.R.S.")</f>
        <v xml:space="preserve">          6115 - P.E.R.S.</v>
      </c>
      <c r="C74" s="11"/>
      <c r="D74" s="6">
        <v>921.24</v>
      </c>
      <c r="E74" s="2"/>
      <c r="F74" s="7">
        <f t="shared" si="13"/>
        <v>2.7968031608453874E-3</v>
      </c>
      <c r="G74" s="2"/>
      <c r="H74" s="6">
        <v>782.03906500000005</v>
      </c>
      <c r="I74" s="2"/>
      <c r="J74" s="7">
        <f t="shared" si="14"/>
        <v>2.9411512579026974E-3</v>
      </c>
      <c r="K74" s="2"/>
      <c r="L74" s="6">
        <f t="shared" si="15"/>
        <v>139.20093499999996</v>
      </c>
      <c r="M74" s="2"/>
      <c r="N74" s="7">
        <f t="shared" si="16"/>
        <v>0.17799741883738243</v>
      </c>
      <c r="O74" s="11"/>
      <c r="P74" s="6">
        <v>5597.22</v>
      </c>
      <c r="Q74" s="2"/>
      <c r="R74" s="7">
        <f t="shared" si="17"/>
        <v>3.8554020814853796E-3</v>
      </c>
      <c r="S74" s="2"/>
      <c r="T74" s="6">
        <v>4301.2148575000001</v>
      </c>
      <c r="U74" s="2"/>
      <c r="V74" s="7">
        <f t="shared" si="18"/>
        <v>3.1935237537996835E-3</v>
      </c>
      <c r="W74" s="2"/>
      <c r="X74" s="6">
        <f t="shared" si="19"/>
        <v>1296.0051425000001</v>
      </c>
      <c r="Y74" s="2"/>
      <c r="Z74" s="7">
        <f t="shared" si="20"/>
        <v>0.30131141675942191</v>
      </c>
    </row>
    <row r="75" spans="1:26" s="24" customFormat="1" hidden="1" outlineLevel="2" x14ac:dyDescent="0.25">
      <c r="A75" s="25"/>
      <c r="B75" s="11" t="str">
        <f>CONCATENATE("          ", "6116", " - ", "EDUCATIONAL BENEFITS")</f>
        <v xml:space="preserve">          6116 - EDUCATIONAL BENEFITS</v>
      </c>
      <c r="C75" s="11"/>
      <c r="D75" s="6"/>
      <c r="E75" s="2"/>
      <c r="F75" s="7">
        <f t="shared" si="13"/>
        <v>0</v>
      </c>
      <c r="G75" s="2"/>
      <c r="H75" s="6">
        <v>0</v>
      </c>
      <c r="I75" s="2"/>
      <c r="J75" s="7">
        <f t="shared" si="14"/>
        <v>0</v>
      </c>
      <c r="K75" s="2"/>
      <c r="L75" s="6">
        <f t="shared" si="15"/>
        <v>0</v>
      </c>
      <c r="M75" s="2"/>
      <c r="N75" s="7">
        <f t="shared" si="16"/>
        <v>0</v>
      </c>
      <c r="O75" s="11"/>
      <c r="P75" s="6"/>
      <c r="Q75" s="2"/>
      <c r="R75" s="7">
        <f t="shared" si="17"/>
        <v>0</v>
      </c>
      <c r="S75" s="2"/>
      <c r="T75" s="6">
        <v>0</v>
      </c>
      <c r="U75" s="2"/>
      <c r="V75" s="7">
        <f t="shared" si="18"/>
        <v>0</v>
      </c>
      <c r="W75" s="2"/>
      <c r="X75" s="6">
        <f t="shared" si="19"/>
        <v>0</v>
      </c>
      <c r="Y75" s="2"/>
      <c r="Z75" s="7">
        <f t="shared" si="20"/>
        <v>0</v>
      </c>
    </row>
    <row r="76" spans="1:26" s="24" customFormat="1" hidden="1" outlineLevel="2" x14ac:dyDescent="0.25">
      <c r="A76" s="25"/>
      <c r="B76" s="11" t="str">
        <f>CONCATENATE("          ", "6118", " - ", "VACATION")</f>
        <v xml:space="preserve">          6118 - VACATION</v>
      </c>
      <c r="C76" s="11"/>
      <c r="D76" s="6">
        <v>1163.01</v>
      </c>
      <c r="E76" s="2"/>
      <c r="F76" s="7">
        <f t="shared" si="13"/>
        <v>3.5307954974760042E-3</v>
      </c>
      <c r="G76" s="2"/>
      <c r="H76" s="6">
        <v>272.80432499999989</v>
      </c>
      <c r="I76" s="2"/>
      <c r="J76" s="7">
        <f t="shared" si="14"/>
        <v>1.025982996942801E-3</v>
      </c>
      <c r="K76" s="2"/>
      <c r="L76" s="6">
        <f t="shared" si="15"/>
        <v>890.20567500000016</v>
      </c>
      <c r="M76" s="2"/>
      <c r="N76" s="7">
        <f t="shared" si="16"/>
        <v>3.2631655491532272</v>
      </c>
      <c r="O76" s="11"/>
      <c r="P76" s="6">
        <v>5184.7700000000004</v>
      </c>
      <c r="Q76" s="2"/>
      <c r="R76" s="7">
        <f t="shared" si="17"/>
        <v>3.5713037990329041E-3</v>
      </c>
      <c r="S76" s="2"/>
      <c r="T76" s="6">
        <v>1500.4237875000001</v>
      </c>
      <c r="U76" s="2"/>
      <c r="V76" s="7">
        <f t="shared" si="18"/>
        <v>1.1140199141161686E-3</v>
      </c>
      <c r="W76" s="2"/>
      <c r="X76" s="6">
        <f t="shared" si="19"/>
        <v>3684.3462125000005</v>
      </c>
      <c r="Y76" s="2"/>
      <c r="Z76" s="7">
        <f t="shared" si="20"/>
        <v>2.4555370577260995</v>
      </c>
    </row>
    <row r="77" spans="1:26" s="24" customFormat="1" hidden="1" outlineLevel="2" x14ac:dyDescent="0.25">
      <c r="A77" s="25"/>
      <c r="B77" s="11" t="str">
        <f>CONCATENATE("          ", "6119", " - ", "SICK LEAVE")</f>
        <v xml:space="preserve">          6119 - SICK LEAVE</v>
      </c>
      <c r="C77" s="11"/>
      <c r="D77" s="6">
        <v>103.98</v>
      </c>
      <c r="E77" s="2"/>
      <c r="F77" s="7">
        <f t="shared" si="13"/>
        <v>3.1567408347955297E-4</v>
      </c>
      <c r="G77" s="2"/>
      <c r="H77" s="6">
        <v>394.97705000000002</v>
      </c>
      <c r="I77" s="2"/>
      <c r="J77" s="7">
        <f t="shared" si="14"/>
        <v>1.4854593580311702E-3</v>
      </c>
      <c r="K77" s="2"/>
      <c r="L77" s="6">
        <f t="shared" si="15"/>
        <v>-290.99705</v>
      </c>
      <c r="M77" s="2"/>
      <c r="N77" s="7">
        <f t="shared" si="16"/>
        <v>-0.7367441981755648</v>
      </c>
      <c r="O77" s="11"/>
      <c r="P77" s="6">
        <v>4199.05</v>
      </c>
      <c r="Q77" s="2"/>
      <c r="R77" s="7">
        <f t="shared" si="17"/>
        <v>2.8923333566058117E-3</v>
      </c>
      <c r="S77" s="2"/>
      <c r="T77" s="6">
        <v>2102.308775</v>
      </c>
      <c r="U77" s="2"/>
      <c r="V77" s="7">
        <f t="shared" si="18"/>
        <v>1.5609015669322474E-3</v>
      </c>
      <c r="W77" s="2"/>
      <c r="X77" s="6">
        <f t="shared" si="19"/>
        <v>2096.7412250000002</v>
      </c>
      <c r="Y77" s="2"/>
      <c r="Z77" s="7">
        <f t="shared" si="20"/>
        <v>0.99735169730240991</v>
      </c>
    </row>
    <row r="78" spans="1:26" s="24" customFormat="1" hidden="1" outlineLevel="2" x14ac:dyDescent="0.25">
      <c r="A78" s="25"/>
      <c r="B78" s="11" t="str">
        <f>CONCATENATE("          ", "6156", " - ", "EMPLOYEE MEALS")</f>
        <v xml:space="preserve">          6156 - EMPLOYEE MEALS</v>
      </c>
      <c r="C78" s="11"/>
      <c r="D78" s="6">
        <v>174.43</v>
      </c>
      <c r="E78" s="2"/>
      <c r="F78" s="7">
        <f t="shared" si="13"/>
        <v>5.2955405252297003E-4</v>
      </c>
      <c r="G78" s="2"/>
      <c r="H78" s="6"/>
      <c r="I78" s="2"/>
      <c r="J78" s="7">
        <f t="shared" si="14"/>
        <v>0</v>
      </c>
      <c r="K78" s="2"/>
      <c r="L78" s="6">
        <f t="shared" si="15"/>
        <v>174.43</v>
      </c>
      <c r="M78" s="2"/>
      <c r="N78" s="7">
        <f t="shared" si="16"/>
        <v>0</v>
      </c>
      <c r="O78" s="11"/>
      <c r="P78" s="6">
        <v>1288.56</v>
      </c>
      <c r="Q78" s="2"/>
      <c r="R78" s="7">
        <f t="shared" si="17"/>
        <v>8.8756863337849867E-4</v>
      </c>
      <c r="S78" s="2"/>
      <c r="T78" s="6"/>
      <c r="U78" s="2"/>
      <c r="V78" s="7">
        <f t="shared" si="18"/>
        <v>0</v>
      </c>
      <c r="W78" s="2"/>
      <c r="X78" s="6">
        <f t="shared" si="19"/>
        <v>1288.56</v>
      </c>
      <c r="Y78" s="2"/>
      <c r="Z78" s="7">
        <f t="shared" si="20"/>
        <v>0</v>
      </c>
    </row>
    <row r="79" spans="1:26" s="26" customFormat="1" outlineLevel="1" collapsed="1" x14ac:dyDescent="0.25">
      <c r="A79" s="27"/>
      <c r="B79" s="13" t="str">
        <f>CONCATENATE("     ","*Payroll                                          ")</f>
        <v xml:space="preserve">     *Payroll                                          </v>
      </c>
      <c r="C79" s="13"/>
      <c r="D79" s="1">
        <f>SUM(OSRRefD22_1x_0)</f>
        <v>31989.78</v>
      </c>
      <c r="E79" s="1"/>
      <c r="F79" s="5">
        <f t="shared" ref="F79:F89" si="21">IF(D$12=0,0,D79/D$12)</f>
        <v>9.7118142741032254E-2</v>
      </c>
      <c r="G79" s="1"/>
      <c r="H79" s="1">
        <f>SUM(OSRRefH22_1x_0)</f>
        <v>29949.553625</v>
      </c>
      <c r="I79" s="1"/>
      <c r="J79" s="5">
        <f t="shared" ref="J79:J89" si="22">IF(H$12=0,0,H79/H$12)</f>
        <v>0.11263653091011898</v>
      </c>
      <c r="K79" s="1"/>
      <c r="L79" s="1">
        <f t="shared" ref="L79:L89" si="23">+D79-H79</f>
        <v>2040.2263749999984</v>
      </c>
      <c r="M79" s="1"/>
      <c r="N79" s="5">
        <f t="shared" ref="N79:N89" si="24">IF(H79=0,0,L79/H79)</f>
        <v>6.8122096260457982E-2</v>
      </c>
      <c r="O79" s="13"/>
      <c r="P79" s="1">
        <f>SUM(OSRRefP22_1x_0)</f>
        <v>183738.01</v>
      </c>
      <c r="Q79" s="1"/>
      <c r="R79" s="5">
        <f t="shared" ref="R79:R89" si="25">IF(P$12=0,0,P79/P$12)</f>
        <v>0.12655995408470302</v>
      </c>
      <c r="S79" s="1"/>
      <c r="T79" s="1">
        <f>SUM(OSRRefT22_1x_0)</f>
        <v>157716.0449375</v>
      </c>
      <c r="U79" s="1"/>
      <c r="V79" s="5">
        <f t="shared" ref="V79:V89" si="26">IF(T$12=0,0,T79/T$12)</f>
        <v>0.11709945969915886</v>
      </c>
      <c r="W79" s="1"/>
      <c r="X79" s="1">
        <f t="shared" ref="X79:X89" si="27">+P79-T79</f>
        <v>26021.965062500007</v>
      </c>
      <c r="Y79" s="1"/>
      <c r="Z79" s="5">
        <f t="shared" ref="Z79:Z89" si="28">IF(T79=0,0,X79/T79)</f>
        <v>0.1649925032853318</v>
      </c>
    </row>
    <row r="80" spans="1:26" s="24" customFormat="1" hidden="1" outlineLevel="2" x14ac:dyDescent="0.25">
      <c r="A80" s="25"/>
      <c r="B80" s="11" t="str">
        <f>CONCATENATE("          ", "6001", " - ", "ADMINISTRATIVE SALARIES")</f>
        <v xml:space="preserve">          6001 - ADMINISTRATIVE SALARIES</v>
      </c>
      <c r="C80" s="11"/>
      <c r="D80" s="6"/>
      <c r="E80" s="2"/>
      <c r="F80" s="7">
        <f t="shared" si="21"/>
        <v>0</v>
      </c>
      <c r="G80" s="2"/>
      <c r="H80" s="6">
        <v>0</v>
      </c>
      <c r="I80" s="2"/>
      <c r="J80" s="7">
        <f t="shared" si="22"/>
        <v>0</v>
      </c>
      <c r="K80" s="2"/>
      <c r="L80" s="6">
        <f t="shared" si="23"/>
        <v>0</v>
      </c>
      <c r="M80" s="2"/>
      <c r="N80" s="7">
        <f t="shared" si="24"/>
        <v>0</v>
      </c>
      <c r="O80" s="11"/>
      <c r="P80" s="6"/>
      <c r="Q80" s="2"/>
      <c r="R80" s="7">
        <f t="shared" si="25"/>
        <v>0</v>
      </c>
      <c r="S80" s="2"/>
      <c r="T80" s="6">
        <v>0</v>
      </c>
      <c r="U80" s="2"/>
      <c r="V80" s="7">
        <f t="shared" si="26"/>
        <v>0</v>
      </c>
      <c r="W80" s="2"/>
      <c r="X80" s="6">
        <f t="shared" si="27"/>
        <v>0</v>
      </c>
      <c r="Y80" s="2"/>
      <c r="Z80" s="7">
        <f t="shared" si="28"/>
        <v>0</v>
      </c>
    </row>
    <row r="81" spans="1:26" s="24" customFormat="1" hidden="1" outlineLevel="2" x14ac:dyDescent="0.25">
      <c r="A81" s="25"/>
      <c r="B81" s="11" t="str">
        <f>CONCATENATE("          ", "6002", " - ", "STAFF SALARIES")</f>
        <v xml:space="preserve">          6002 - STAFF SALARIES</v>
      </c>
      <c r="C81" s="11"/>
      <c r="D81" s="6">
        <v>9741.5499999999993</v>
      </c>
      <c r="E81" s="2"/>
      <c r="F81" s="7">
        <f t="shared" si="21"/>
        <v>2.9574484207734553E-2</v>
      </c>
      <c r="G81" s="2"/>
      <c r="H81" s="6">
        <v>8638.8036250000005</v>
      </c>
      <c r="I81" s="2"/>
      <c r="J81" s="7">
        <f t="shared" si="22"/>
        <v>3.2489461569855382E-2</v>
      </c>
      <c r="K81" s="2"/>
      <c r="L81" s="6">
        <f t="shared" si="23"/>
        <v>1102.7463749999988</v>
      </c>
      <c r="M81" s="2"/>
      <c r="N81" s="7">
        <f t="shared" si="24"/>
        <v>0.12765035795104079</v>
      </c>
      <c r="O81" s="11"/>
      <c r="P81" s="6">
        <v>54630.060000000005</v>
      </c>
      <c r="Q81" s="2"/>
      <c r="R81" s="7">
        <f t="shared" si="25"/>
        <v>3.7629545923810605E-2</v>
      </c>
      <c r="S81" s="2"/>
      <c r="T81" s="6">
        <v>47513.419937499995</v>
      </c>
      <c r="U81" s="2"/>
      <c r="V81" s="7">
        <f t="shared" si="26"/>
        <v>3.5277297280345336E-2</v>
      </c>
      <c r="W81" s="2"/>
      <c r="X81" s="6">
        <f t="shared" si="27"/>
        <v>7116.6400625000097</v>
      </c>
      <c r="Y81" s="2"/>
      <c r="Z81" s="7">
        <f t="shared" si="28"/>
        <v>0.14978168424544824</v>
      </c>
    </row>
    <row r="82" spans="1:26" s="24" customFormat="1" hidden="1" outlineLevel="2" x14ac:dyDescent="0.25">
      <c r="A82" s="25"/>
      <c r="B82" s="11" t="str">
        <f>CONCATENATE("          ", "6003", " - ", "STAFF HOURLY-9 MONTH")</f>
        <v xml:space="preserve">          6003 - STAFF HOURLY-9 MONTH</v>
      </c>
      <c r="C82" s="11"/>
      <c r="D82" s="6"/>
      <c r="E82" s="2"/>
      <c r="F82" s="7">
        <f t="shared" si="21"/>
        <v>0</v>
      </c>
      <c r="G82" s="2"/>
      <c r="H82" s="6">
        <v>0</v>
      </c>
      <c r="I82" s="2"/>
      <c r="J82" s="7">
        <f t="shared" si="22"/>
        <v>0</v>
      </c>
      <c r="K82" s="2"/>
      <c r="L82" s="6">
        <f t="shared" si="23"/>
        <v>0</v>
      </c>
      <c r="M82" s="2"/>
      <c r="N82" s="7">
        <f t="shared" si="24"/>
        <v>0</v>
      </c>
      <c r="O82" s="11"/>
      <c r="P82" s="6"/>
      <c r="Q82" s="2"/>
      <c r="R82" s="7">
        <f t="shared" si="25"/>
        <v>0</v>
      </c>
      <c r="S82" s="2"/>
      <c r="T82" s="6">
        <v>0</v>
      </c>
      <c r="U82" s="2"/>
      <c r="V82" s="7">
        <f t="shared" si="26"/>
        <v>0</v>
      </c>
      <c r="W82" s="2"/>
      <c r="X82" s="6">
        <f t="shared" si="27"/>
        <v>0</v>
      </c>
      <c r="Y82" s="2"/>
      <c r="Z82" s="7">
        <f t="shared" si="28"/>
        <v>0</v>
      </c>
    </row>
    <row r="83" spans="1:26" s="24" customFormat="1" hidden="1" outlineLevel="2" x14ac:dyDescent="0.25">
      <c r="A83" s="25"/>
      <c r="B83" s="11" t="str">
        <f>CONCATENATE("          ", "6004", " - ", "STAFF HOURLY")</f>
        <v xml:space="preserve">          6004 - STAFF HOURLY</v>
      </c>
      <c r="C83" s="11"/>
      <c r="D83" s="6">
        <v>-912.61</v>
      </c>
      <c r="E83" s="2"/>
      <c r="F83" s="7">
        <f t="shared" si="21"/>
        <v>-2.7706032441265132E-3</v>
      </c>
      <c r="G83" s="2"/>
      <c r="H83" s="6">
        <v>3733.75</v>
      </c>
      <c r="I83" s="2"/>
      <c r="J83" s="7">
        <f t="shared" si="22"/>
        <v>1.4042167457701357E-2</v>
      </c>
      <c r="K83" s="2"/>
      <c r="L83" s="6">
        <f t="shared" si="23"/>
        <v>-4646.3599999999997</v>
      </c>
      <c r="M83" s="2"/>
      <c r="N83" s="7">
        <f t="shared" si="24"/>
        <v>-1.2444218279209909</v>
      </c>
      <c r="O83" s="11"/>
      <c r="P83" s="6">
        <v>-912.61</v>
      </c>
      <c r="Q83" s="2"/>
      <c r="R83" s="7">
        <f t="shared" si="25"/>
        <v>-6.2861179185102101E-4</v>
      </c>
      <c r="S83" s="2"/>
      <c r="T83" s="6">
        <v>20535.625</v>
      </c>
      <c r="U83" s="2"/>
      <c r="V83" s="7">
        <f t="shared" si="26"/>
        <v>1.5247089115362246E-2</v>
      </c>
      <c r="W83" s="2"/>
      <c r="X83" s="6">
        <f t="shared" si="27"/>
        <v>-21448.235000000001</v>
      </c>
      <c r="Y83" s="2"/>
      <c r="Z83" s="7">
        <f t="shared" si="28"/>
        <v>-1.044440332349271</v>
      </c>
    </row>
    <row r="84" spans="1:26" s="24" customFormat="1" hidden="1" outlineLevel="2" x14ac:dyDescent="0.25">
      <c r="A84" s="25"/>
      <c r="B84" s="11" t="str">
        <f>CONCATENATE("          ", "6005", " - ", "TEMPORARY WAGES-HOURLY")</f>
        <v xml:space="preserve">          6005 - TEMPORARY WAGES-HOURLY</v>
      </c>
      <c r="C84" s="11"/>
      <c r="D84" s="6">
        <v>4486.58</v>
      </c>
      <c r="E84" s="2"/>
      <c r="F84" s="7">
        <f t="shared" si="21"/>
        <v>1.362086006402859E-2</v>
      </c>
      <c r="G84" s="2"/>
      <c r="H84" s="6">
        <v>0</v>
      </c>
      <c r="I84" s="2"/>
      <c r="J84" s="7">
        <f t="shared" si="22"/>
        <v>0</v>
      </c>
      <c r="K84" s="2"/>
      <c r="L84" s="6">
        <f t="shared" si="23"/>
        <v>4486.58</v>
      </c>
      <c r="M84" s="2"/>
      <c r="N84" s="7">
        <f t="shared" si="24"/>
        <v>0</v>
      </c>
      <c r="O84" s="11"/>
      <c r="P84" s="6">
        <v>21105.599999999999</v>
      </c>
      <c r="Q84" s="2"/>
      <c r="R84" s="7">
        <f t="shared" si="25"/>
        <v>1.4537676591414634E-2</v>
      </c>
      <c r="S84" s="2"/>
      <c r="T84" s="6">
        <v>0</v>
      </c>
      <c r="U84" s="2"/>
      <c r="V84" s="7">
        <f t="shared" si="26"/>
        <v>0</v>
      </c>
      <c r="W84" s="2"/>
      <c r="X84" s="6">
        <f t="shared" si="27"/>
        <v>21105.599999999999</v>
      </c>
      <c r="Y84" s="2"/>
      <c r="Z84" s="7">
        <f t="shared" si="28"/>
        <v>0</v>
      </c>
    </row>
    <row r="85" spans="1:26" s="24" customFormat="1" hidden="1" outlineLevel="2" x14ac:dyDescent="0.25">
      <c r="A85" s="25"/>
      <c r="B85" s="11" t="str">
        <f>CONCATENATE("          ", "6006", " - ", "TEMPORARY PART TIME")</f>
        <v xml:space="preserve">          6006 - TEMPORARY PART TIME</v>
      </c>
      <c r="C85" s="11"/>
      <c r="D85" s="6"/>
      <c r="E85" s="2"/>
      <c r="F85" s="7">
        <f t="shared" si="21"/>
        <v>0</v>
      </c>
      <c r="G85" s="2"/>
      <c r="H85" s="6">
        <v>0</v>
      </c>
      <c r="I85" s="2"/>
      <c r="J85" s="7">
        <f t="shared" si="22"/>
        <v>0</v>
      </c>
      <c r="K85" s="2"/>
      <c r="L85" s="6">
        <f t="shared" si="23"/>
        <v>0</v>
      </c>
      <c r="M85" s="2"/>
      <c r="N85" s="7">
        <f t="shared" si="24"/>
        <v>0</v>
      </c>
      <c r="O85" s="11"/>
      <c r="P85" s="6">
        <v>66.5</v>
      </c>
      <c r="Q85" s="2"/>
      <c r="R85" s="7">
        <f t="shared" si="25"/>
        <v>4.5805638945543988E-5</v>
      </c>
      <c r="S85" s="2"/>
      <c r="T85" s="6">
        <v>0</v>
      </c>
      <c r="U85" s="2"/>
      <c r="V85" s="7">
        <f t="shared" si="26"/>
        <v>0</v>
      </c>
      <c r="W85" s="2"/>
      <c r="X85" s="6">
        <f t="shared" si="27"/>
        <v>66.5</v>
      </c>
      <c r="Y85" s="2"/>
      <c r="Z85" s="7">
        <f t="shared" si="28"/>
        <v>0</v>
      </c>
    </row>
    <row r="86" spans="1:26" s="24" customFormat="1" hidden="1" outlineLevel="2" x14ac:dyDescent="0.25">
      <c r="A86" s="25"/>
      <c r="B86" s="11" t="str">
        <f>CONCATENATE("          ", "6007", " - ", "STUDENT HOURLY")</f>
        <v xml:space="preserve">          6007 - STUDENT HOURLY</v>
      </c>
      <c r="C86" s="11"/>
      <c r="D86" s="6">
        <v>18674.259999999998</v>
      </c>
      <c r="E86" s="2"/>
      <c r="F86" s="7">
        <f t="shared" si="21"/>
        <v>5.6693401713395618E-2</v>
      </c>
      <c r="G86" s="2"/>
      <c r="H86" s="6">
        <v>0</v>
      </c>
      <c r="I86" s="2"/>
      <c r="J86" s="7">
        <f t="shared" si="22"/>
        <v>0</v>
      </c>
      <c r="K86" s="2"/>
      <c r="L86" s="6">
        <f t="shared" si="23"/>
        <v>18674.259999999998</v>
      </c>
      <c r="M86" s="2"/>
      <c r="N86" s="7">
        <f t="shared" si="24"/>
        <v>0</v>
      </c>
      <c r="O86" s="11"/>
      <c r="P86" s="6">
        <v>108653.45999999999</v>
      </c>
      <c r="Q86" s="2"/>
      <c r="R86" s="7">
        <f t="shared" si="25"/>
        <v>7.4841220435249711E-2</v>
      </c>
      <c r="S86" s="2"/>
      <c r="T86" s="6">
        <v>35526.75</v>
      </c>
      <c r="U86" s="2"/>
      <c r="V86" s="7">
        <f t="shared" si="26"/>
        <v>2.6377552337910126E-2</v>
      </c>
      <c r="W86" s="2"/>
      <c r="X86" s="6">
        <f t="shared" si="27"/>
        <v>73126.709999999992</v>
      </c>
      <c r="Y86" s="2"/>
      <c r="Z86" s="7">
        <f t="shared" si="28"/>
        <v>2.0583563089784458</v>
      </c>
    </row>
    <row r="87" spans="1:26" s="24" customFormat="1" hidden="1" outlineLevel="2" x14ac:dyDescent="0.25">
      <c r="A87" s="25"/>
      <c r="B87" s="11" t="str">
        <f>CONCATENATE("          ", "6008", " - ", "STUDENT HOURLY-FICA EXEMPT")</f>
        <v xml:space="preserve">          6008 - STUDENT HOURLY-FICA EXEMPT</v>
      </c>
      <c r="C87" s="11"/>
      <c r="D87" s="6"/>
      <c r="E87" s="2"/>
      <c r="F87" s="7">
        <f t="shared" si="21"/>
        <v>0</v>
      </c>
      <c r="G87" s="2"/>
      <c r="H87" s="6">
        <v>17577</v>
      </c>
      <c r="I87" s="2"/>
      <c r="J87" s="7">
        <f t="shared" si="22"/>
        <v>6.6104901882562239E-2</v>
      </c>
      <c r="K87" s="2"/>
      <c r="L87" s="6">
        <f t="shared" si="23"/>
        <v>-17577</v>
      </c>
      <c r="M87" s="2"/>
      <c r="N87" s="7">
        <f t="shared" si="24"/>
        <v>-1</v>
      </c>
      <c r="O87" s="11"/>
      <c r="P87" s="6">
        <v>195</v>
      </c>
      <c r="Q87" s="2"/>
      <c r="R87" s="7">
        <f t="shared" si="25"/>
        <v>1.3431728713355004E-4</v>
      </c>
      <c r="S87" s="2"/>
      <c r="T87" s="6">
        <v>54140.25</v>
      </c>
      <c r="U87" s="2"/>
      <c r="V87" s="7">
        <f t="shared" si="26"/>
        <v>4.0197520965541141E-2</v>
      </c>
      <c r="W87" s="2"/>
      <c r="X87" s="6">
        <f t="shared" si="27"/>
        <v>-53945.25</v>
      </c>
      <c r="Y87" s="2"/>
      <c r="Z87" s="7">
        <f t="shared" si="28"/>
        <v>-0.99639824345103689</v>
      </c>
    </row>
    <row r="88" spans="1:26" s="24" customFormat="1" hidden="1" outlineLevel="2" x14ac:dyDescent="0.25">
      <c r="A88" s="25"/>
      <c r="B88" s="11" t="str">
        <f>CONCATENATE("          ", "6009", " - ", "TEMPORARY-SEASONAL")</f>
        <v xml:space="preserve">          6009 - TEMPORARY-SEASONAL</v>
      </c>
      <c r="C88" s="11"/>
      <c r="D88" s="6"/>
      <c r="E88" s="2"/>
      <c r="F88" s="7">
        <f t="shared" si="21"/>
        <v>0</v>
      </c>
      <c r="G88" s="2"/>
      <c r="H88" s="6">
        <v>0</v>
      </c>
      <c r="I88" s="2"/>
      <c r="J88" s="7">
        <f t="shared" si="22"/>
        <v>0</v>
      </c>
      <c r="K88" s="2"/>
      <c r="L88" s="6">
        <f t="shared" si="23"/>
        <v>0</v>
      </c>
      <c r="M88" s="2"/>
      <c r="N88" s="7">
        <f t="shared" si="24"/>
        <v>0</v>
      </c>
      <c r="O88" s="11"/>
      <c r="P88" s="6"/>
      <c r="Q88" s="2"/>
      <c r="R88" s="7">
        <f t="shared" si="25"/>
        <v>0</v>
      </c>
      <c r="S88" s="2"/>
      <c r="T88" s="6">
        <v>0</v>
      </c>
      <c r="U88" s="2"/>
      <c r="V88" s="7">
        <f t="shared" si="26"/>
        <v>0</v>
      </c>
      <c r="W88" s="2"/>
      <c r="X88" s="6">
        <f t="shared" si="27"/>
        <v>0</v>
      </c>
      <c r="Y88" s="2"/>
      <c r="Z88" s="7">
        <f t="shared" si="28"/>
        <v>0</v>
      </c>
    </row>
    <row r="89" spans="1:26" s="24" customFormat="1" hidden="1" outlineLevel="2" x14ac:dyDescent="0.25">
      <c r="A89" s="25"/>
      <c r="B89" s="11" t="str">
        <f>CONCATENATE("          ", "6010", " - ", "GRATUITY")</f>
        <v xml:space="preserve">          6010 - GRATUITY</v>
      </c>
      <c r="C89" s="11"/>
      <c r="D89" s="6"/>
      <c r="E89" s="2"/>
      <c r="F89" s="7">
        <f t="shared" si="21"/>
        <v>0</v>
      </c>
      <c r="G89" s="2"/>
      <c r="H89" s="6">
        <v>0</v>
      </c>
      <c r="I89" s="2"/>
      <c r="J89" s="7">
        <f t="shared" si="22"/>
        <v>0</v>
      </c>
      <c r="K89" s="2"/>
      <c r="L89" s="6">
        <f t="shared" si="23"/>
        <v>0</v>
      </c>
      <c r="M89" s="2"/>
      <c r="N89" s="7">
        <f t="shared" si="24"/>
        <v>0</v>
      </c>
      <c r="O89" s="11"/>
      <c r="P89" s="6"/>
      <c r="Q89" s="2"/>
      <c r="R89" s="7">
        <f t="shared" si="25"/>
        <v>0</v>
      </c>
      <c r="S89" s="2"/>
      <c r="T89" s="6">
        <v>0</v>
      </c>
      <c r="U89" s="2"/>
      <c r="V89" s="7">
        <f t="shared" si="26"/>
        <v>0</v>
      </c>
      <c r="W89" s="2"/>
      <c r="X89" s="6">
        <f t="shared" si="27"/>
        <v>0</v>
      </c>
      <c r="Y89" s="2"/>
      <c r="Z89" s="7">
        <f t="shared" si="28"/>
        <v>0</v>
      </c>
    </row>
    <row r="90" spans="1:26" s="26" customFormat="1" outlineLevel="1" collapsed="1" x14ac:dyDescent="0.25">
      <c r="A90" s="27"/>
      <c r="B90" s="13" t="str">
        <f>CONCATENATE("     ","Advertising/Promo                                 ")</f>
        <v xml:space="preserve">     Advertising/Promo                                 </v>
      </c>
      <c r="C90" s="13"/>
      <c r="D90" s="1">
        <f>SUM(OSRRefD22_2x_0)</f>
        <v>4253.33</v>
      </c>
      <c r="E90" s="1"/>
      <c r="F90" s="5">
        <f t="shared" ref="F90:F94" si="29">IF(D$12=0,0,D90/D$12)</f>
        <v>1.2912733693845806E-2</v>
      </c>
      <c r="G90" s="1"/>
      <c r="H90" s="1">
        <f>SUM(OSRRefH22_2x_0)</f>
        <v>1400</v>
      </c>
      <c r="I90" s="1"/>
      <c r="J90" s="5">
        <f t="shared" ref="J90:J94" si="30">IF(H$12=0,0,H90/H$12)</f>
        <v>5.2652251599014125E-3</v>
      </c>
      <c r="K90" s="1"/>
      <c r="L90" s="1">
        <f t="shared" ref="L90:L94" si="31">+D90-H90</f>
        <v>2853.33</v>
      </c>
      <c r="M90" s="1"/>
      <c r="N90" s="5">
        <f t="shared" ref="N90:N94" si="32">IF(H90=0,0,L90/H90)</f>
        <v>2.0380928571428569</v>
      </c>
      <c r="O90" s="13"/>
      <c r="P90" s="1">
        <f>SUM(OSRRefP22_2x_0)</f>
        <v>11073.54</v>
      </c>
      <c r="Q90" s="1"/>
      <c r="R90" s="5">
        <f t="shared" ref="R90:R94" si="33">IF(P$12=0,0,P90/P$12)</f>
        <v>7.6275274449479581E-3</v>
      </c>
      <c r="S90" s="1"/>
      <c r="T90" s="1">
        <f>SUM(OSRRefT22_2x_0)</f>
        <v>4750</v>
      </c>
      <c r="U90" s="1"/>
      <c r="V90" s="5">
        <f t="shared" ref="V90:V94" si="34">IF(T$12=0,0,T90/T$12)</f>
        <v>3.5267333376983005E-3</v>
      </c>
      <c r="W90" s="1"/>
      <c r="X90" s="1">
        <f t="shared" ref="X90:X94" si="35">+P90-T90</f>
        <v>6323.5400000000009</v>
      </c>
      <c r="Y90" s="1"/>
      <c r="Z90" s="5">
        <f t="shared" ref="Z90:Z94" si="36">IF(T90=0,0,X90/T90)</f>
        <v>1.3312715789473686</v>
      </c>
    </row>
    <row r="91" spans="1:26" s="24" customFormat="1" hidden="1" outlineLevel="2" x14ac:dyDescent="0.25">
      <c r="A91" s="25"/>
      <c r="B91" s="11" t="str">
        <f>CONCATENATE("          ", "6362", " - ", "ADVERTISING EXPENSE")</f>
        <v xml:space="preserve">          6362 - ADVERTISING EXPENSE</v>
      </c>
      <c r="C91" s="11"/>
      <c r="D91" s="6">
        <v>4253.33</v>
      </c>
      <c r="E91" s="2"/>
      <c r="F91" s="7">
        <f t="shared" si="29"/>
        <v>1.2912733693845806E-2</v>
      </c>
      <c r="G91" s="2"/>
      <c r="H91" s="6">
        <v>1400</v>
      </c>
      <c r="I91" s="2"/>
      <c r="J91" s="7">
        <f t="shared" si="30"/>
        <v>5.2652251599014125E-3</v>
      </c>
      <c r="K91" s="2"/>
      <c r="L91" s="6">
        <f t="shared" si="31"/>
        <v>2853.33</v>
      </c>
      <c r="M91" s="2"/>
      <c r="N91" s="7">
        <f t="shared" si="32"/>
        <v>2.0380928571428569</v>
      </c>
      <c r="O91" s="11"/>
      <c r="P91" s="6">
        <v>11073.54</v>
      </c>
      <c r="Q91" s="2"/>
      <c r="R91" s="7">
        <f t="shared" si="33"/>
        <v>7.6275274449479581E-3</v>
      </c>
      <c r="S91" s="2"/>
      <c r="T91" s="6">
        <v>4750</v>
      </c>
      <c r="U91" s="2"/>
      <c r="V91" s="7">
        <f t="shared" si="34"/>
        <v>3.5267333376983005E-3</v>
      </c>
      <c r="W91" s="2"/>
      <c r="X91" s="6">
        <f t="shared" si="35"/>
        <v>6323.5400000000009</v>
      </c>
      <c r="Y91" s="2"/>
      <c r="Z91" s="7">
        <f t="shared" si="36"/>
        <v>1.3312715789473686</v>
      </c>
    </row>
    <row r="92" spans="1:26" s="26" customFormat="1" outlineLevel="1" collapsed="1" x14ac:dyDescent="0.25">
      <c r="A92" s="27"/>
      <c r="B92" s="13" t="str">
        <f>CONCATENATE("     ","Bad Debts/Over/Short                              ")</f>
        <v xml:space="preserve">     Bad Debts/Over/Short                              </v>
      </c>
      <c r="C92" s="13"/>
      <c r="D92" s="1">
        <f>SUM(OSRRefD22_3x_0)</f>
        <v>4.0999999999999996</v>
      </c>
      <c r="E92" s="1"/>
      <c r="F92" s="5">
        <f t="shared" si="29"/>
        <v>1.2447237375131439E-5</v>
      </c>
      <c r="G92" s="1"/>
      <c r="H92" s="1">
        <f>SUM(OSRRefH22_3x_0)</f>
        <v>10</v>
      </c>
      <c r="I92" s="1"/>
      <c r="J92" s="5">
        <f t="shared" si="30"/>
        <v>3.7608751142152949E-5</v>
      </c>
      <c r="K92" s="1"/>
      <c r="L92" s="1">
        <f t="shared" si="31"/>
        <v>-5.9</v>
      </c>
      <c r="M92" s="1"/>
      <c r="N92" s="5">
        <f t="shared" si="32"/>
        <v>-0.59000000000000008</v>
      </c>
      <c r="O92" s="13"/>
      <c r="P92" s="1">
        <f>SUM(OSRRefP22_3x_0)</f>
        <v>27.13</v>
      </c>
      <c r="Q92" s="1"/>
      <c r="R92" s="5">
        <f t="shared" si="33"/>
        <v>1.8687323076580577E-5</v>
      </c>
      <c r="S92" s="1"/>
      <c r="T92" s="1">
        <f>SUM(OSRRefT22_3x_0)</f>
        <v>50</v>
      </c>
      <c r="U92" s="1"/>
      <c r="V92" s="5">
        <f t="shared" si="34"/>
        <v>3.7123508817876846E-5</v>
      </c>
      <c r="W92" s="1"/>
      <c r="X92" s="1">
        <f t="shared" si="35"/>
        <v>-22.87</v>
      </c>
      <c r="Y92" s="1"/>
      <c r="Z92" s="5">
        <f t="shared" si="36"/>
        <v>-0.45740000000000003</v>
      </c>
    </row>
    <row r="93" spans="1:26" s="24" customFormat="1" hidden="1" outlineLevel="2" x14ac:dyDescent="0.25">
      <c r="A93" s="25"/>
      <c r="B93" s="11" t="str">
        <f>CONCATENATE("          ", "6272", " - ", "CASH (OVER/SHORT)")</f>
        <v xml:space="preserve">          6272 - CASH (OVER/SHORT)</v>
      </c>
      <c r="C93" s="11"/>
      <c r="D93" s="6">
        <v>4.0999999999999996</v>
      </c>
      <c r="E93" s="2"/>
      <c r="F93" s="7">
        <f t="shared" si="29"/>
        <v>1.2447237375131439E-5</v>
      </c>
      <c r="G93" s="2"/>
      <c r="H93" s="6"/>
      <c r="I93" s="2"/>
      <c r="J93" s="7">
        <f t="shared" si="30"/>
        <v>0</v>
      </c>
      <c r="K93" s="2"/>
      <c r="L93" s="6">
        <f t="shared" si="31"/>
        <v>4.0999999999999996</v>
      </c>
      <c r="M93" s="2"/>
      <c r="N93" s="7">
        <f t="shared" si="32"/>
        <v>0</v>
      </c>
      <c r="O93" s="11"/>
      <c r="P93" s="6">
        <v>27.13</v>
      </c>
      <c r="Q93" s="2"/>
      <c r="R93" s="7">
        <f t="shared" si="33"/>
        <v>1.8687323076580577E-5</v>
      </c>
      <c r="S93" s="2"/>
      <c r="T93" s="6"/>
      <c r="U93" s="2"/>
      <c r="V93" s="7">
        <f t="shared" si="34"/>
        <v>0</v>
      </c>
      <c r="W93" s="2"/>
      <c r="X93" s="6">
        <f t="shared" si="35"/>
        <v>27.13</v>
      </c>
      <c r="Y93" s="2"/>
      <c r="Z93" s="7">
        <f t="shared" si="36"/>
        <v>0</v>
      </c>
    </row>
    <row r="94" spans="1:26" s="24" customFormat="1" hidden="1" outlineLevel="2" x14ac:dyDescent="0.25">
      <c r="A94" s="25"/>
      <c r="B94" s="11" t="str">
        <f>CONCATENATE("          ", "6342", " - ", "BAD DEBT")</f>
        <v xml:space="preserve">          6342 - BAD DEBT</v>
      </c>
      <c r="C94" s="11"/>
      <c r="D94" s="6"/>
      <c r="E94" s="2"/>
      <c r="F94" s="7">
        <f t="shared" si="29"/>
        <v>0</v>
      </c>
      <c r="G94" s="2"/>
      <c r="H94" s="6">
        <v>10</v>
      </c>
      <c r="I94" s="2"/>
      <c r="J94" s="7">
        <f t="shared" si="30"/>
        <v>3.7608751142152949E-5</v>
      </c>
      <c r="K94" s="2"/>
      <c r="L94" s="6">
        <f t="shared" si="31"/>
        <v>-10</v>
      </c>
      <c r="M94" s="2"/>
      <c r="N94" s="7">
        <f t="shared" si="32"/>
        <v>-1</v>
      </c>
      <c r="O94" s="11"/>
      <c r="P94" s="6"/>
      <c r="Q94" s="2"/>
      <c r="R94" s="7">
        <f t="shared" si="33"/>
        <v>0</v>
      </c>
      <c r="S94" s="2"/>
      <c r="T94" s="6">
        <v>50</v>
      </c>
      <c r="U94" s="2"/>
      <c r="V94" s="7">
        <f t="shared" si="34"/>
        <v>3.7123508817876846E-5</v>
      </c>
      <c r="W94" s="2"/>
      <c r="X94" s="6">
        <f t="shared" si="35"/>
        <v>-50</v>
      </c>
      <c r="Y94" s="2"/>
      <c r="Z94" s="7">
        <f t="shared" si="36"/>
        <v>-1</v>
      </c>
    </row>
    <row r="95" spans="1:26" s="26" customFormat="1" outlineLevel="1" collapsed="1" x14ac:dyDescent="0.25">
      <c r="A95" s="27"/>
      <c r="B95" s="13" t="str">
        <f>CONCATENATE("     ","Bank/card Fees                                    ")</f>
        <v xml:space="preserve">     Bank/card Fees                                    </v>
      </c>
      <c r="C95" s="13"/>
      <c r="D95" s="1">
        <f>SUM(OSRRefD22_4x_0)</f>
        <v>591.74</v>
      </c>
      <c r="E95" s="1"/>
      <c r="F95" s="5">
        <f t="shared" ref="F95:F99" si="37">IF(D$12=0,0,D95/D$12)</f>
        <v>1.7964703035025071E-3</v>
      </c>
      <c r="G95" s="1"/>
      <c r="H95" s="1">
        <f>SUM(OSRRefH22_4x_0)</f>
        <v>600</v>
      </c>
      <c r="I95" s="1"/>
      <c r="J95" s="5">
        <f t="shared" ref="J95:J99" si="38">IF(H$12=0,0,H95/H$12)</f>
        <v>2.2565250685291768E-3</v>
      </c>
      <c r="K95" s="1"/>
      <c r="L95" s="1">
        <f t="shared" ref="L95:L99" si="39">+D95-H95</f>
        <v>-8.2599999999999909</v>
      </c>
      <c r="M95" s="1"/>
      <c r="N95" s="5">
        <f t="shared" ref="N95:N99" si="40">IF(H95=0,0,L95/H95)</f>
        <v>-1.3766666666666651E-2</v>
      </c>
      <c r="O95" s="13"/>
      <c r="P95" s="1">
        <f>SUM(OSRRefP22_4x_0)</f>
        <v>3180.98</v>
      </c>
      <c r="Q95" s="1"/>
      <c r="R95" s="5">
        <f t="shared" ref="R95:R99" si="41">IF(P$12=0,0,P95/P$12)</f>
        <v>2.1910800206465641E-3</v>
      </c>
      <c r="S95" s="1"/>
      <c r="T95" s="1">
        <f>SUM(OSRRefT22_4x_0)</f>
        <v>2845</v>
      </c>
      <c r="U95" s="1"/>
      <c r="V95" s="5">
        <f t="shared" ref="V95:V99" si="42">IF(T$12=0,0,T95/T$12)</f>
        <v>2.1123276517371926E-3</v>
      </c>
      <c r="W95" s="1"/>
      <c r="X95" s="1">
        <f t="shared" ref="X95:X99" si="43">+P95-T95</f>
        <v>335.98</v>
      </c>
      <c r="Y95" s="1"/>
      <c r="Z95" s="5">
        <f t="shared" ref="Z95:Z99" si="44">IF(T95=0,0,X95/T95)</f>
        <v>0.11809490333919156</v>
      </c>
    </row>
    <row r="96" spans="1:26" s="24" customFormat="1" hidden="1" outlineLevel="2" x14ac:dyDescent="0.25">
      <c r="A96" s="25"/>
      <c r="B96" s="11" t="str">
        <f>CONCATENATE("          ", "6381", " - ", "BANK/CREDIT CARD FEES")</f>
        <v xml:space="preserve">          6381 - BANK/CREDIT CARD FEES</v>
      </c>
      <c r="C96" s="11"/>
      <c r="D96" s="6">
        <v>591.74</v>
      </c>
      <c r="E96" s="2"/>
      <c r="F96" s="7">
        <f t="shared" si="37"/>
        <v>1.7964703035025071E-3</v>
      </c>
      <c r="G96" s="2"/>
      <c r="H96" s="6">
        <v>600</v>
      </c>
      <c r="I96" s="2"/>
      <c r="J96" s="7">
        <f t="shared" si="38"/>
        <v>2.2565250685291768E-3</v>
      </c>
      <c r="K96" s="2"/>
      <c r="L96" s="6">
        <f t="shared" si="39"/>
        <v>-8.2599999999999909</v>
      </c>
      <c r="M96" s="2"/>
      <c r="N96" s="7">
        <f t="shared" si="40"/>
        <v>-1.3766666666666651E-2</v>
      </c>
      <c r="O96" s="11"/>
      <c r="P96" s="6">
        <v>3180.98</v>
      </c>
      <c r="Q96" s="2"/>
      <c r="R96" s="7">
        <f t="shared" si="41"/>
        <v>2.1910800206465641E-3</v>
      </c>
      <c r="S96" s="2"/>
      <c r="T96" s="6">
        <v>2845</v>
      </c>
      <c r="U96" s="2"/>
      <c r="V96" s="7">
        <f t="shared" si="42"/>
        <v>2.1123276517371926E-3</v>
      </c>
      <c r="W96" s="2"/>
      <c r="X96" s="6">
        <f t="shared" si="43"/>
        <v>335.98</v>
      </c>
      <c r="Y96" s="2"/>
      <c r="Z96" s="7">
        <f t="shared" si="44"/>
        <v>0.11809490333919156</v>
      </c>
    </row>
    <row r="97" spans="1:26" s="26" customFormat="1" outlineLevel="1" collapsed="1" x14ac:dyDescent="0.25">
      <c r="A97" s="27"/>
      <c r="B97" s="13" t="str">
        <f>CONCATENATE("     ","Discounts and Markdowns                           ")</f>
        <v xml:space="preserve">     Discounts and Markdowns                           </v>
      </c>
      <c r="C97" s="13"/>
      <c r="D97" s="1">
        <f>SUM(OSRRefD22_5x_0)</f>
        <v>47425.299999999996</v>
      </c>
      <c r="E97" s="1"/>
      <c r="F97" s="5">
        <f t="shared" si="37"/>
        <v>0.14397901626507831</v>
      </c>
      <c r="G97" s="1"/>
      <c r="H97" s="1">
        <f>SUM(OSRRefH22_5x_0)</f>
        <v>26000</v>
      </c>
      <c r="I97" s="1"/>
      <c r="J97" s="5">
        <f t="shared" si="38"/>
        <v>9.7782752969597667E-2</v>
      </c>
      <c r="K97" s="1"/>
      <c r="L97" s="1">
        <f t="shared" si="39"/>
        <v>21425.299999999996</v>
      </c>
      <c r="M97" s="1"/>
      <c r="N97" s="5">
        <f t="shared" si="40"/>
        <v>0.82404999999999984</v>
      </c>
      <c r="O97" s="13"/>
      <c r="P97" s="1">
        <f>SUM(OSRRefP22_5x_0)</f>
        <v>140054.97</v>
      </c>
      <c r="Q97" s="1"/>
      <c r="R97" s="5">
        <f t="shared" si="41"/>
        <v>9.6470787794721721E-2</v>
      </c>
      <c r="S97" s="1"/>
      <c r="T97" s="1">
        <f>SUM(OSRRefT22_5x_0)</f>
        <v>108000</v>
      </c>
      <c r="U97" s="1"/>
      <c r="V97" s="5">
        <f t="shared" si="42"/>
        <v>8.018677904661399E-2</v>
      </c>
      <c r="W97" s="1"/>
      <c r="X97" s="1">
        <f t="shared" si="43"/>
        <v>32054.97</v>
      </c>
      <c r="Y97" s="1"/>
      <c r="Z97" s="5">
        <f t="shared" si="44"/>
        <v>0.29680527777777777</v>
      </c>
    </row>
    <row r="98" spans="1:26" s="24" customFormat="1" hidden="1" outlineLevel="2" x14ac:dyDescent="0.25">
      <c r="A98" s="25"/>
      <c r="B98" s="11" t="str">
        <f>CONCATENATE("          ", "6382", " - ", "DISCOUNTS/MARK DOWNS")</f>
        <v xml:space="preserve">          6382 - DISCOUNTS/MARK DOWNS</v>
      </c>
      <c r="C98" s="11"/>
      <c r="D98" s="6">
        <v>47425.299999999996</v>
      </c>
      <c r="E98" s="2"/>
      <c r="F98" s="7">
        <f t="shared" si="37"/>
        <v>0.14397901626507831</v>
      </c>
      <c r="G98" s="2"/>
      <c r="H98" s="6">
        <v>26000</v>
      </c>
      <c r="I98" s="2"/>
      <c r="J98" s="7">
        <f t="shared" si="38"/>
        <v>9.7782752969597667E-2</v>
      </c>
      <c r="K98" s="2"/>
      <c r="L98" s="6">
        <f t="shared" si="39"/>
        <v>21425.299999999996</v>
      </c>
      <c r="M98" s="2"/>
      <c r="N98" s="7">
        <f t="shared" si="40"/>
        <v>0.82404999999999984</v>
      </c>
      <c r="O98" s="11"/>
      <c r="P98" s="6">
        <v>140062.44</v>
      </c>
      <c r="Q98" s="2"/>
      <c r="R98" s="7">
        <f t="shared" si="41"/>
        <v>9.6475933180028839E-2</v>
      </c>
      <c r="S98" s="2"/>
      <c r="T98" s="6">
        <v>108000</v>
      </c>
      <c r="U98" s="2"/>
      <c r="V98" s="7">
        <f t="shared" si="42"/>
        <v>8.018677904661399E-2</v>
      </c>
      <c r="W98" s="2"/>
      <c r="X98" s="6">
        <f t="shared" si="43"/>
        <v>32062.440000000002</v>
      </c>
      <c r="Y98" s="2"/>
      <c r="Z98" s="7">
        <f t="shared" si="44"/>
        <v>0.29687444444444444</v>
      </c>
    </row>
    <row r="99" spans="1:26" s="24" customFormat="1" hidden="1" outlineLevel="2" x14ac:dyDescent="0.25">
      <c r="A99" s="25"/>
      <c r="B99" s="11" t="str">
        <f>CONCATENATE("          ", "9175", " - ", "EARNED DISCOUNTS")</f>
        <v xml:space="preserve">          9175 - EARNED DISCOUNTS</v>
      </c>
      <c r="C99" s="11"/>
      <c r="D99" s="6"/>
      <c r="E99" s="2"/>
      <c r="F99" s="7">
        <f t="shared" si="37"/>
        <v>0</v>
      </c>
      <c r="G99" s="2"/>
      <c r="H99" s="6"/>
      <c r="I99" s="2"/>
      <c r="J99" s="7">
        <f t="shared" si="38"/>
        <v>0</v>
      </c>
      <c r="K99" s="2"/>
      <c r="L99" s="6">
        <f t="shared" si="39"/>
        <v>0</v>
      </c>
      <c r="M99" s="2"/>
      <c r="N99" s="7">
        <f t="shared" si="40"/>
        <v>0</v>
      </c>
      <c r="O99" s="11"/>
      <c r="P99" s="6">
        <v>-7.47</v>
      </c>
      <c r="Q99" s="2"/>
      <c r="R99" s="7">
        <f t="shared" si="41"/>
        <v>-5.1453853071159936E-6</v>
      </c>
      <c r="S99" s="2"/>
      <c r="T99" s="6"/>
      <c r="U99" s="2"/>
      <c r="V99" s="7">
        <f t="shared" si="42"/>
        <v>0</v>
      </c>
      <c r="W99" s="2"/>
      <c r="X99" s="6">
        <f t="shared" si="43"/>
        <v>-7.47</v>
      </c>
      <c r="Y99" s="2"/>
      <c r="Z99" s="7">
        <f t="shared" si="44"/>
        <v>0</v>
      </c>
    </row>
    <row r="100" spans="1:26" s="26" customFormat="1" outlineLevel="1" collapsed="1" x14ac:dyDescent="0.25">
      <c r="A100" s="27"/>
      <c r="B100" s="13" t="str">
        <f>CONCATENATE("     ","Donations                                         ")</f>
        <v xml:space="preserve">     Donations                                         </v>
      </c>
      <c r="C100" s="13"/>
      <c r="D100" s="1">
        <f>SUM(OSRRefD22_6x_0)</f>
        <v>0</v>
      </c>
      <c r="E100" s="1"/>
      <c r="F100" s="5">
        <f t="shared" ref="F100:F106" si="45">IF(D$12=0,0,D100/D$12)</f>
        <v>0</v>
      </c>
      <c r="G100" s="1"/>
      <c r="H100" s="1">
        <f>SUM(OSRRefH22_6x_0)</f>
        <v>25</v>
      </c>
      <c r="I100" s="1"/>
      <c r="J100" s="5">
        <f t="shared" ref="J100:J106" si="46">IF(H$12=0,0,H100/H$12)</f>
        <v>9.4021877855382367E-5</v>
      </c>
      <c r="K100" s="1"/>
      <c r="L100" s="1">
        <f t="shared" ref="L100:L106" si="47">+D100-H100</f>
        <v>-25</v>
      </c>
      <c r="M100" s="1"/>
      <c r="N100" s="5">
        <f t="shared" ref="N100:N106" si="48">IF(H100=0,0,L100/H100)</f>
        <v>-1</v>
      </c>
      <c r="O100" s="13"/>
      <c r="P100" s="1">
        <f>SUM(OSRRefP22_6x_0)</f>
        <v>0</v>
      </c>
      <c r="Q100" s="1"/>
      <c r="R100" s="5">
        <f t="shared" ref="R100:R106" si="49">IF(P$12=0,0,P100/P$12)</f>
        <v>0</v>
      </c>
      <c r="S100" s="1"/>
      <c r="T100" s="1">
        <f>SUM(OSRRefT22_6x_0)</f>
        <v>200</v>
      </c>
      <c r="U100" s="1"/>
      <c r="V100" s="5">
        <f t="shared" ref="V100:V106" si="50">IF(T$12=0,0,T100/T$12)</f>
        <v>1.4849403527150739E-4</v>
      </c>
      <c r="W100" s="1"/>
      <c r="X100" s="1">
        <f t="shared" ref="X100:X106" si="51">+P100-T100</f>
        <v>-200</v>
      </c>
      <c r="Y100" s="1"/>
      <c r="Z100" s="5">
        <f t="shared" ref="Z100:Z106" si="52">IF(T100=0,0,X100/T100)</f>
        <v>-1</v>
      </c>
    </row>
    <row r="101" spans="1:26" s="24" customFormat="1" hidden="1" outlineLevel="2" x14ac:dyDescent="0.25">
      <c r="A101" s="25"/>
      <c r="B101" s="11" t="str">
        <f>CONCATENATE("          ", "6395", " - ", "DONATION-OFF CAMPUS")</f>
        <v xml:space="preserve">          6395 - DONATION-OFF CAMPUS</v>
      </c>
      <c r="C101" s="11"/>
      <c r="D101" s="6"/>
      <c r="E101" s="2"/>
      <c r="F101" s="7">
        <f t="shared" si="45"/>
        <v>0</v>
      </c>
      <c r="G101" s="2"/>
      <c r="H101" s="6">
        <v>25</v>
      </c>
      <c r="I101" s="2"/>
      <c r="J101" s="7">
        <f t="shared" si="46"/>
        <v>9.4021877855382367E-5</v>
      </c>
      <c r="K101" s="2"/>
      <c r="L101" s="6">
        <f t="shared" si="47"/>
        <v>-25</v>
      </c>
      <c r="M101" s="2"/>
      <c r="N101" s="7">
        <f t="shared" si="48"/>
        <v>-1</v>
      </c>
      <c r="O101" s="11"/>
      <c r="P101" s="6"/>
      <c r="Q101" s="2"/>
      <c r="R101" s="7">
        <f t="shared" si="49"/>
        <v>0</v>
      </c>
      <c r="S101" s="2"/>
      <c r="T101" s="6">
        <v>200</v>
      </c>
      <c r="U101" s="2"/>
      <c r="V101" s="7">
        <f t="shared" si="50"/>
        <v>1.4849403527150739E-4</v>
      </c>
      <c r="W101" s="2"/>
      <c r="X101" s="6">
        <f t="shared" si="51"/>
        <v>-200</v>
      </c>
      <c r="Y101" s="2"/>
      <c r="Z101" s="7">
        <f t="shared" si="52"/>
        <v>-1</v>
      </c>
    </row>
    <row r="102" spans="1:26" s="26" customFormat="1" outlineLevel="1" collapsed="1" x14ac:dyDescent="0.25">
      <c r="A102" s="27"/>
      <c r="B102" s="13" t="str">
        <f>CONCATENATE("     ","Employees' Appreciation                           ")</f>
        <v xml:space="preserve">     Employees' Appreciation                           </v>
      </c>
      <c r="C102" s="13"/>
      <c r="D102" s="1">
        <f>SUM(OSRRefD22_7x_0)</f>
        <v>136.5</v>
      </c>
      <c r="E102" s="1"/>
      <c r="F102" s="5">
        <f t="shared" si="45"/>
        <v>4.1440192724522966E-4</v>
      </c>
      <c r="G102" s="1"/>
      <c r="H102" s="1">
        <f>SUM(OSRRefH22_7x_0)</f>
        <v>200</v>
      </c>
      <c r="I102" s="1"/>
      <c r="J102" s="5">
        <f t="shared" si="46"/>
        <v>7.5217502284305893E-4</v>
      </c>
      <c r="K102" s="1"/>
      <c r="L102" s="1">
        <f t="shared" si="47"/>
        <v>-63.5</v>
      </c>
      <c r="M102" s="1"/>
      <c r="N102" s="5">
        <f t="shared" si="48"/>
        <v>-0.3175</v>
      </c>
      <c r="O102" s="13"/>
      <c r="P102" s="1">
        <f>SUM(OSRRefP22_7x_0)</f>
        <v>330.41</v>
      </c>
      <c r="Q102" s="1"/>
      <c r="R102" s="5">
        <f t="shared" si="49"/>
        <v>2.2758858893228857E-4</v>
      </c>
      <c r="S102" s="1"/>
      <c r="T102" s="1">
        <f>SUM(OSRRefT22_7x_0)</f>
        <v>1000</v>
      </c>
      <c r="U102" s="1"/>
      <c r="V102" s="5">
        <f t="shared" si="50"/>
        <v>7.4247017635753693E-4</v>
      </c>
      <c r="W102" s="1"/>
      <c r="X102" s="1">
        <f t="shared" si="51"/>
        <v>-669.58999999999992</v>
      </c>
      <c r="Y102" s="1"/>
      <c r="Z102" s="5">
        <f t="shared" si="52"/>
        <v>-0.66958999999999991</v>
      </c>
    </row>
    <row r="103" spans="1:26" s="24" customFormat="1" hidden="1" outlineLevel="2" x14ac:dyDescent="0.25">
      <c r="A103" s="25"/>
      <c r="B103" s="11" t="str">
        <f>CONCATENATE("          ", "6277", " - ", "EMPLOYEE APPRECIATION")</f>
        <v xml:space="preserve">          6277 - EMPLOYEE APPRECIATION</v>
      </c>
      <c r="C103" s="11"/>
      <c r="D103" s="6">
        <v>136.5</v>
      </c>
      <c r="E103" s="2"/>
      <c r="F103" s="7">
        <f t="shared" si="45"/>
        <v>4.1440192724522966E-4</v>
      </c>
      <c r="G103" s="2"/>
      <c r="H103" s="6">
        <v>200</v>
      </c>
      <c r="I103" s="2"/>
      <c r="J103" s="7">
        <f t="shared" si="46"/>
        <v>7.5217502284305893E-4</v>
      </c>
      <c r="K103" s="2"/>
      <c r="L103" s="6">
        <f t="shared" si="47"/>
        <v>-63.5</v>
      </c>
      <c r="M103" s="2"/>
      <c r="N103" s="7">
        <f t="shared" si="48"/>
        <v>-0.3175</v>
      </c>
      <c r="O103" s="11"/>
      <c r="P103" s="6">
        <v>330.41</v>
      </c>
      <c r="Q103" s="2"/>
      <c r="R103" s="7">
        <f t="shared" si="49"/>
        <v>2.2758858893228857E-4</v>
      </c>
      <c r="S103" s="2"/>
      <c r="T103" s="6">
        <v>1000</v>
      </c>
      <c r="U103" s="2"/>
      <c r="V103" s="7">
        <f t="shared" si="50"/>
        <v>7.4247017635753693E-4</v>
      </c>
      <c r="W103" s="2"/>
      <c r="X103" s="6">
        <f t="shared" si="51"/>
        <v>-669.58999999999992</v>
      </c>
      <c r="Y103" s="2"/>
      <c r="Z103" s="7">
        <f t="shared" si="52"/>
        <v>-0.66958999999999991</v>
      </c>
    </row>
    <row r="104" spans="1:26" s="26" customFormat="1" outlineLevel="1" collapsed="1" x14ac:dyDescent="0.25">
      <c r="A104" s="27"/>
      <c r="B104" s="13" t="str">
        <f>CONCATENATE("     ","Freight out/Postage                               ")</f>
        <v xml:space="preserve">     Freight out/Postage                               </v>
      </c>
      <c r="C104" s="13"/>
      <c r="D104" s="1">
        <f>SUM(OSRRefD22_8x_0)</f>
        <v>0</v>
      </c>
      <c r="E104" s="1"/>
      <c r="F104" s="5">
        <f t="shared" si="45"/>
        <v>0</v>
      </c>
      <c r="G104" s="1"/>
      <c r="H104" s="1">
        <f>SUM(OSRRefH22_8x_0)</f>
        <v>50</v>
      </c>
      <c r="I104" s="1"/>
      <c r="J104" s="5">
        <f t="shared" si="46"/>
        <v>1.8804375571076473E-4</v>
      </c>
      <c r="K104" s="1"/>
      <c r="L104" s="1">
        <f t="shared" si="47"/>
        <v>-50</v>
      </c>
      <c r="M104" s="1"/>
      <c r="N104" s="5">
        <f t="shared" si="48"/>
        <v>-1</v>
      </c>
      <c r="O104" s="13"/>
      <c r="P104" s="1">
        <f>SUM(OSRRefP22_8x_0)</f>
        <v>70.5</v>
      </c>
      <c r="Q104" s="1"/>
      <c r="R104" s="5">
        <f t="shared" si="49"/>
        <v>4.8560865348283477E-5</v>
      </c>
      <c r="S104" s="1"/>
      <c r="T104" s="1">
        <f>SUM(OSRRefT22_8x_0)</f>
        <v>250</v>
      </c>
      <c r="U104" s="1"/>
      <c r="V104" s="5">
        <f t="shared" si="50"/>
        <v>1.8561754408938423E-4</v>
      </c>
      <c r="W104" s="1"/>
      <c r="X104" s="1">
        <f t="shared" si="51"/>
        <v>-179.5</v>
      </c>
      <c r="Y104" s="1"/>
      <c r="Z104" s="5">
        <f t="shared" si="52"/>
        <v>-0.71799999999999997</v>
      </c>
    </row>
    <row r="105" spans="1:26" s="24" customFormat="1" hidden="1" outlineLevel="2" x14ac:dyDescent="0.25">
      <c r="A105" s="25"/>
      <c r="B105" s="11" t="str">
        <f>CONCATENATE("          ", "6305", " - ", "FREIGHT OUT")</f>
        <v xml:space="preserve">          6305 - FREIGHT OUT</v>
      </c>
      <c r="C105" s="11"/>
      <c r="D105" s="6"/>
      <c r="E105" s="2"/>
      <c r="F105" s="7">
        <f t="shared" si="45"/>
        <v>0</v>
      </c>
      <c r="G105" s="2"/>
      <c r="H105" s="6">
        <v>50</v>
      </c>
      <c r="I105" s="2"/>
      <c r="J105" s="7">
        <f t="shared" si="46"/>
        <v>1.8804375571076473E-4</v>
      </c>
      <c r="K105" s="2"/>
      <c r="L105" s="6">
        <f t="shared" si="47"/>
        <v>-50</v>
      </c>
      <c r="M105" s="2"/>
      <c r="N105" s="7">
        <f t="shared" si="48"/>
        <v>-1</v>
      </c>
      <c r="O105" s="11"/>
      <c r="P105" s="6">
        <v>70</v>
      </c>
      <c r="Q105" s="2"/>
      <c r="R105" s="7">
        <f t="shared" si="49"/>
        <v>4.8216462047941039E-5</v>
      </c>
      <c r="S105" s="2"/>
      <c r="T105" s="6">
        <v>250</v>
      </c>
      <c r="U105" s="2"/>
      <c r="V105" s="7">
        <f t="shared" si="50"/>
        <v>1.8561754408938423E-4</v>
      </c>
      <c r="W105" s="2"/>
      <c r="X105" s="6">
        <f t="shared" si="51"/>
        <v>-180</v>
      </c>
      <c r="Y105" s="2"/>
      <c r="Z105" s="7">
        <f t="shared" si="52"/>
        <v>-0.72</v>
      </c>
    </row>
    <row r="106" spans="1:26" s="24" customFormat="1" hidden="1" outlineLevel="2" x14ac:dyDescent="0.25">
      <c r="A106" s="25"/>
      <c r="B106" s="11" t="str">
        <f>CONCATENATE("          ", "6307", " - ", "POSTAGE")</f>
        <v xml:space="preserve">          6307 - POSTAGE</v>
      </c>
      <c r="C106" s="11"/>
      <c r="D106" s="6"/>
      <c r="E106" s="2"/>
      <c r="F106" s="7">
        <f t="shared" si="45"/>
        <v>0</v>
      </c>
      <c r="G106" s="2"/>
      <c r="H106" s="6"/>
      <c r="I106" s="2"/>
      <c r="J106" s="7">
        <f t="shared" si="46"/>
        <v>0</v>
      </c>
      <c r="K106" s="2"/>
      <c r="L106" s="6">
        <f t="shared" si="47"/>
        <v>0</v>
      </c>
      <c r="M106" s="2"/>
      <c r="N106" s="7">
        <f t="shared" si="48"/>
        <v>0</v>
      </c>
      <c r="O106" s="11"/>
      <c r="P106" s="6">
        <v>0.5</v>
      </c>
      <c r="Q106" s="2"/>
      <c r="R106" s="7">
        <f t="shared" si="49"/>
        <v>3.4440330034243599E-7</v>
      </c>
      <c r="S106" s="2"/>
      <c r="T106" s="6"/>
      <c r="U106" s="2"/>
      <c r="V106" s="7">
        <f t="shared" si="50"/>
        <v>0</v>
      </c>
      <c r="W106" s="2"/>
      <c r="X106" s="6">
        <f t="shared" si="51"/>
        <v>0.5</v>
      </c>
      <c r="Y106" s="2"/>
      <c r="Z106" s="7">
        <f t="shared" si="52"/>
        <v>0</v>
      </c>
    </row>
    <row r="107" spans="1:26" s="26" customFormat="1" outlineLevel="1" collapsed="1" x14ac:dyDescent="0.25">
      <c r="A107" s="27"/>
      <c r="B107" s="13" t="str">
        <f>CONCATENATE("     ","General                                           ")</f>
        <v xml:space="preserve">     General                                           </v>
      </c>
      <c r="C107" s="13"/>
      <c r="D107" s="1">
        <f>SUM(OSRRefD22_9x_0)</f>
        <v>1111.44</v>
      </c>
      <c r="E107" s="1"/>
      <c r="F107" s="5">
        <f t="shared" ref="F107:F119" si="53">IF(D$12=0,0,D107/D$12)</f>
        <v>3.3742335385892898E-3</v>
      </c>
      <c r="G107" s="1"/>
      <c r="H107" s="1">
        <f>SUM(OSRRefH22_9x_0)</f>
        <v>600</v>
      </c>
      <c r="I107" s="1"/>
      <c r="J107" s="5">
        <f t="shared" ref="J107:J119" si="54">IF(H$12=0,0,H107/H$12)</f>
        <v>2.2565250685291768E-3</v>
      </c>
      <c r="K107" s="1"/>
      <c r="L107" s="1">
        <f t="shared" ref="L107:L119" si="55">+D107-H107</f>
        <v>511.44000000000005</v>
      </c>
      <c r="M107" s="1"/>
      <c r="N107" s="5">
        <f t="shared" ref="N107:N119" si="56">IF(H107=0,0,L107/H107)</f>
        <v>0.85240000000000005</v>
      </c>
      <c r="O107" s="13"/>
      <c r="P107" s="1">
        <f>SUM(OSRRefP22_9x_0)</f>
        <v>1111.44</v>
      </c>
      <c r="Q107" s="1"/>
      <c r="R107" s="5">
        <f t="shared" ref="R107:R119" si="57">IF(P$12=0,0,P107/P$12)</f>
        <v>7.6556720826519414E-4</v>
      </c>
      <c r="S107" s="1"/>
      <c r="T107" s="1">
        <f>SUM(OSRRefT22_9x_0)</f>
        <v>840</v>
      </c>
      <c r="U107" s="1"/>
      <c r="V107" s="5">
        <f t="shared" ref="V107:V119" si="58">IF(T$12=0,0,T107/T$12)</f>
        <v>6.2367494814033106E-4</v>
      </c>
      <c r="W107" s="1"/>
      <c r="X107" s="1">
        <f t="shared" ref="X107:X119" si="59">+P107-T107</f>
        <v>271.44000000000005</v>
      </c>
      <c r="Y107" s="1"/>
      <c r="Z107" s="5">
        <f t="shared" ref="Z107:Z119" si="60">IF(T107=0,0,X107/T107)</f>
        <v>0.32314285714285723</v>
      </c>
    </row>
    <row r="108" spans="1:26" s="24" customFormat="1" hidden="1" outlineLevel="2" x14ac:dyDescent="0.25">
      <c r="A108" s="25"/>
      <c r="B108" s="11" t="str">
        <f>CONCATENATE("          ", "6279", " - ", "GENERAL EXPENSE")</f>
        <v xml:space="preserve">          6279 - GENERAL EXPENSE</v>
      </c>
      <c r="C108" s="11"/>
      <c r="D108" s="6">
        <v>1111.44</v>
      </c>
      <c r="E108" s="2"/>
      <c r="F108" s="7">
        <f t="shared" si="53"/>
        <v>3.3742335385892898E-3</v>
      </c>
      <c r="G108" s="2"/>
      <c r="H108" s="6">
        <v>600</v>
      </c>
      <c r="I108" s="2"/>
      <c r="J108" s="7">
        <f t="shared" si="54"/>
        <v>2.2565250685291768E-3</v>
      </c>
      <c r="K108" s="2"/>
      <c r="L108" s="6">
        <f t="shared" si="55"/>
        <v>511.44000000000005</v>
      </c>
      <c r="M108" s="2"/>
      <c r="N108" s="7">
        <f t="shared" si="56"/>
        <v>0.85240000000000005</v>
      </c>
      <c r="O108" s="11"/>
      <c r="P108" s="6">
        <v>1111.44</v>
      </c>
      <c r="Q108" s="2"/>
      <c r="R108" s="7">
        <f t="shared" si="57"/>
        <v>7.6556720826519414E-4</v>
      </c>
      <c r="S108" s="2"/>
      <c r="T108" s="6">
        <v>840</v>
      </c>
      <c r="U108" s="2"/>
      <c r="V108" s="7">
        <f t="shared" si="58"/>
        <v>6.2367494814033106E-4</v>
      </c>
      <c r="W108" s="2"/>
      <c r="X108" s="6">
        <f t="shared" si="59"/>
        <v>271.44000000000005</v>
      </c>
      <c r="Y108" s="2"/>
      <c r="Z108" s="7">
        <f t="shared" si="60"/>
        <v>0.32314285714285723</v>
      </c>
    </row>
    <row r="109" spans="1:26" s="26" customFormat="1" outlineLevel="1" collapsed="1" x14ac:dyDescent="0.25">
      <c r="A109" s="27"/>
      <c r="B109" s="13" t="str">
        <f>CONCATENATE("     ","Insurance                                         ")</f>
        <v xml:space="preserve">     Insurance                                         </v>
      </c>
      <c r="C109" s="13"/>
      <c r="D109" s="1">
        <f>SUM(OSRRefD22_10x_0)</f>
        <v>161.18</v>
      </c>
      <c r="E109" s="1"/>
      <c r="F109" s="5">
        <f t="shared" si="53"/>
        <v>4.893282244204111E-4</v>
      </c>
      <c r="G109" s="1"/>
      <c r="H109" s="1">
        <f>SUM(OSRRefH22_10x_0)</f>
        <v>155</v>
      </c>
      <c r="I109" s="1"/>
      <c r="J109" s="5">
        <f t="shared" si="54"/>
        <v>5.829356427033707E-4</v>
      </c>
      <c r="K109" s="1"/>
      <c r="L109" s="1">
        <f t="shared" si="55"/>
        <v>6.1800000000000068</v>
      </c>
      <c r="M109" s="1"/>
      <c r="N109" s="5">
        <f t="shared" si="56"/>
        <v>3.9870967741935527E-2</v>
      </c>
      <c r="O109" s="13"/>
      <c r="P109" s="1">
        <f>SUM(OSRRefP22_10x_0)</f>
        <v>805.9</v>
      </c>
      <c r="Q109" s="1"/>
      <c r="R109" s="5">
        <f t="shared" si="57"/>
        <v>5.5510923949193835E-4</v>
      </c>
      <c r="S109" s="1"/>
      <c r="T109" s="1">
        <f>SUM(OSRRefT22_10x_0)</f>
        <v>775</v>
      </c>
      <c r="U109" s="1"/>
      <c r="V109" s="5">
        <f t="shared" si="58"/>
        <v>5.7541438667709117E-4</v>
      </c>
      <c r="W109" s="1"/>
      <c r="X109" s="1">
        <f t="shared" si="59"/>
        <v>30.899999999999977</v>
      </c>
      <c r="Y109" s="1"/>
      <c r="Z109" s="5">
        <f t="shared" si="60"/>
        <v>3.9870967741935458E-2</v>
      </c>
    </row>
    <row r="110" spans="1:26" s="24" customFormat="1" hidden="1" outlineLevel="2" x14ac:dyDescent="0.25">
      <c r="A110" s="25"/>
      <c r="B110" s="11" t="str">
        <f>CONCATENATE("          ", "6314", " - ", "LIABILITY INSURANCE")</f>
        <v xml:space="preserve">          6314 - LIABILITY INSURANCE</v>
      </c>
      <c r="C110" s="11"/>
      <c r="D110" s="6">
        <v>161.18</v>
      </c>
      <c r="E110" s="2"/>
      <c r="F110" s="7">
        <f t="shared" si="53"/>
        <v>4.893282244204111E-4</v>
      </c>
      <c r="G110" s="2"/>
      <c r="H110" s="6">
        <v>155</v>
      </c>
      <c r="I110" s="2"/>
      <c r="J110" s="7">
        <f t="shared" si="54"/>
        <v>5.829356427033707E-4</v>
      </c>
      <c r="K110" s="2"/>
      <c r="L110" s="6">
        <f t="shared" si="55"/>
        <v>6.1800000000000068</v>
      </c>
      <c r="M110" s="2"/>
      <c r="N110" s="7">
        <f t="shared" si="56"/>
        <v>3.9870967741935527E-2</v>
      </c>
      <c r="O110" s="11"/>
      <c r="P110" s="6">
        <v>805.9</v>
      </c>
      <c r="Q110" s="2"/>
      <c r="R110" s="7">
        <f t="shared" si="57"/>
        <v>5.5510923949193835E-4</v>
      </c>
      <c r="S110" s="2"/>
      <c r="T110" s="6">
        <v>775</v>
      </c>
      <c r="U110" s="2"/>
      <c r="V110" s="7">
        <f t="shared" si="58"/>
        <v>5.7541438667709117E-4</v>
      </c>
      <c r="W110" s="2"/>
      <c r="X110" s="6">
        <f t="shared" si="59"/>
        <v>30.899999999999977</v>
      </c>
      <c r="Y110" s="2"/>
      <c r="Z110" s="7">
        <f t="shared" si="60"/>
        <v>3.9870967741935458E-2</v>
      </c>
    </row>
    <row r="111" spans="1:26" s="26" customFormat="1" outlineLevel="1" collapsed="1" x14ac:dyDescent="0.25">
      <c r="A111" s="27"/>
      <c r="B111" s="13" t="str">
        <f>CONCATENATE("     ","Inventory Adjustment                              ")</f>
        <v xml:space="preserve">     Inventory Adjustment                              </v>
      </c>
      <c r="C111" s="13"/>
      <c r="D111" s="1">
        <f>SUM(OSRRefD22_11x_0)</f>
        <v>3150</v>
      </c>
      <c r="E111" s="1"/>
      <c r="F111" s="5">
        <f t="shared" si="53"/>
        <v>9.5631213979668391E-3</v>
      </c>
      <c r="G111" s="1"/>
      <c r="H111" s="1">
        <f>SUM(OSRRefH22_11x_0)</f>
        <v>3150</v>
      </c>
      <c r="I111" s="1"/>
      <c r="J111" s="5">
        <f t="shared" si="54"/>
        <v>1.1846756609778179E-2</v>
      </c>
      <c r="K111" s="1"/>
      <c r="L111" s="1">
        <f t="shared" si="55"/>
        <v>0</v>
      </c>
      <c r="M111" s="1"/>
      <c r="N111" s="5">
        <f t="shared" si="56"/>
        <v>0</v>
      </c>
      <c r="O111" s="13"/>
      <c r="P111" s="1">
        <f>SUM(OSRRefP22_11x_0)</f>
        <v>15750</v>
      </c>
      <c r="Q111" s="1"/>
      <c r="R111" s="5">
        <f t="shared" si="57"/>
        <v>1.0848703960786734E-2</v>
      </c>
      <c r="S111" s="1"/>
      <c r="T111" s="1">
        <f>SUM(OSRRefT22_11x_0)</f>
        <v>15750</v>
      </c>
      <c r="U111" s="1"/>
      <c r="V111" s="5">
        <f t="shared" si="58"/>
        <v>1.1693905277631207E-2</v>
      </c>
      <c r="W111" s="1"/>
      <c r="X111" s="1">
        <f t="shared" si="59"/>
        <v>0</v>
      </c>
      <c r="Y111" s="1"/>
      <c r="Z111" s="5">
        <f t="shared" si="60"/>
        <v>0</v>
      </c>
    </row>
    <row r="112" spans="1:26" s="24" customFormat="1" hidden="1" outlineLevel="2" x14ac:dyDescent="0.25">
      <c r="A112" s="25"/>
      <c r="B112" s="11" t="str">
        <f>CONCATENATE("          ", "6408", " - ", "INVENTORY ADJUSTMENT")</f>
        <v xml:space="preserve">          6408 - INVENTORY ADJUSTMENT</v>
      </c>
      <c r="C112" s="11"/>
      <c r="D112" s="6">
        <v>3150</v>
      </c>
      <c r="E112" s="2"/>
      <c r="F112" s="7">
        <f t="shared" si="53"/>
        <v>9.5631213979668391E-3</v>
      </c>
      <c r="G112" s="2"/>
      <c r="H112" s="6">
        <v>3150</v>
      </c>
      <c r="I112" s="2"/>
      <c r="J112" s="7">
        <f t="shared" si="54"/>
        <v>1.1846756609778179E-2</v>
      </c>
      <c r="K112" s="2"/>
      <c r="L112" s="6">
        <f t="shared" si="55"/>
        <v>0</v>
      </c>
      <c r="M112" s="2"/>
      <c r="N112" s="7">
        <f t="shared" si="56"/>
        <v>0</v>
      </c>
      <c r="O112" s="11"/>
      <c r="P112" s="6">
        <v>15750</v>
      </c>
      <c r="Q112" s="2"/>
      <c r="R112" s="7">
        <f t="shared" si="57"/>
        <v>1.0848703960786734E-2</v>
      </c>
      <c r="S112" s="2"/>
      <c r="T112" s="6">
        <v>15750</v>
      </c>
      <c r="U112" s="2"/>
      <c r="V112" s="7">
        <f t="shared" si="58"/>
        <v>1.1693905277631207E-2</v>
      </c>
      <c r="W112" s="2"/>
      <c r="X112" s="6">
        <f t="shared" si="59"/>
        <v>0</v>
      </c>
      <c r="Y112" s="2"/>
      <c r="Z112" s="7">
        <f t="shared" si="60"/>
        <v>0</v>
      </c>
    </row>
    <row r="113" spans="1:26" s="26" customFormat="1" outlineLevel="1" collapsed="1" x14ac:dyDescent="0.25">
      <c r="A113" s="27"/>
      <c r="B113" s="13" t="str">
        <f>CONCATENATE("     ","Professional Services                             ")</f>
        <v xml:space="preserve">     Professional Services                             </v>
      </c>
      <c r="C113" s="13"/>
      <c r="D113" s="1">
        <f>SUM(OSRRefD22_12x_0)</f>
        <v>0</v>
      </c>
      <c r="E113" s="1"/>
      <c r="F113" s="5">
        <f t="shared" si="53"/>
        <v>0</v>
      </c>
      <c r="G113" s="1"/>
      <c r="H113" s="1">
        <f>SUM(OSRRefH22_12x_0)</f>
        <v>0</v>
      </c>
      <c r="I113" s="1"/>
      <c r="J113" s="5">
        <f t="shared" si="54"/>
        <v>0</v>
      </c>
      <c r="K113" s="1"/>
      <c r="L113" s="1">
        <f t="shared" si="55"/>
        <v>0</v>
      </c>
      <c r="M113" s="1"/>
      <c r="N113" s="5">
        <f t="shared" si="56"/>
        <v>0</v>
      </c>
      <c r="O113" s="13"/>
      <c r="P113" s="1">
        <f>SUM(OSRRefP22_12x_0)</f>
        <v>750</v>
      </c>
      <c r="Q113" s="1"/>
      <c r="R113" s="5">
        <f t="shared" si="57"/>
        <v>5.1660495051365405E-4</v>
      </c>
      <c r="S113" s="1"/>
      <c r="T113" s="1">
        <f>SUM(OSRRefT22_12x_0)</f>
        <v>2650</v>
      </c>
      <c r="U113" s="1"/>
      <c r="V113" s="5">
        <f t="shared" si="58"/>
        <v>1.9675459673474728E-3</v>
      </c>
      <c r="W113" s="1"/>
      <c r="X113" s="1">
        <f t="shared" si="59"/>
        <v>-1900</v>
      </c>
      <c r="Y113" s="1"/>
      <c r="Z113" s="5">
        <f t="shared" si="60"/>
        <v>-0.71698113207547165</v>
      </c>
    </row>
    <row r="114" spans="1:26" s="24" customFormat="1" hidden="1" outlineLevel="2" x14ac:dyDescent="0.25">
      <c r="A114" s="25"/>
      <c r="B114" s="11" t="str">
        <f>CONCATENATE("          ", "6336", " - ", "PROFESSIONAL SERVICES")</f>
        <v xml:space="preserve">          6336 - PROFESSIONAL SERVICES</v>
      </c>
      <c r="C114" s="11"/>
      <c r="D114" s="6"/>
      <c r="E114" s="2"/>
      <c r="F114" s="7">
        <f t="shared" si="53"/>
        <v>0</v>
      </c>
      <c r="G114" s="2"/>
      <c r="H114" s="6">
        <v>0</v>
      </c>
      <c r="I114" s="2"/>
      <c r="J114" s="7">
        <f t="shared" si="54"/>
        <v>0</v>
      </c>
      <c r="K114" s="2"/>
      <c r="L114" s="6">
        <f t="shared" si="55"/>
        <v>0</v>
      </c>
      <c r="M114" s="2"/>
      <c r="N114" s="7">
        <f t="shared" si="56"/>
        <v>0</v>
      </c>
      <c r="O114" s="11"/>
      <c r="P114" s="6">
        <v>750</v>
      </c>
      <c r="Q114" s="2"/>
      <c r="R114" s="7">
        <f t="shared" si="57"/>
        <v>5.1660495051365405E-4</v>
      </c>
      <c r="S114" s="2"/>
      <c r="T114" s="6">
        <v>2650</v>
      </c>
      <c r="U114" s="2"/>
      <c r="V114" s="7">
        <f t="shared" si="58"/>
        <v>1.9675459673474728E-3</v>
      </c>
      <c r="W114" s="2"/>
      <c r="X114" s="6">
        <f t="shared" si="59"/>
        <v>-1900</v>
      </c>
      <c r="Y114" s="2"/>
      <c r="Z114" s="7">
        <f t="shared" si="60"/>
        <v>-0.71698113207547165</v>
      </c>
    </row>
    <row r="115" spans="1:26" s="26" customFormat="1" outlineLevel="1" collapsed="1" x14ac:dyDescent="0.25">
      <c r="A115" s="27"/>
      <c r="B115" s="13" t="str">
        <f>CONCATENATE("     ","Rent                                              ")</f>
        <v xml:space="preserve">     Rent                                              </v>
      </c>
      <c r="C115" s="13"/>
      <c r="D115" s="1">
        <f>SUM(OSRRefD22_13x_0)</f>
        <v>6900</v>
      </c>
      <c r="E115" s="1"/>
      <c r="F115" s="5">
        <f t="shared" si="53"/>
        <v>2.0947789728879743E-2</v>
      </c>
      <c r="G115" s="1"/>
      <c r="H115" s="1">
        <f>SUM(OSRRefH22_13x_0)</f>
        <v>7200</v>
      </c>
      <c r="I115" s="1"/>
      <c r="J115" s="5">
        <f t="shared" si="54"/>
        <v>2.7078300822350122E-2</v>
      </c>
      <c r="K115" s="1"/>
      <c r="L115" s="1">
        <f t="shared" si="55"/>
        <v>-300</v>
      </c>
      <c r="M115" s="1"/>
      <c r="N115" s="5">
        <f t="shared" si="56"/>
        <v>-4.1666666666666664E-2</v>
      </c>
      <c r="O115" s="13"/>
      <c r="P115" s="1">
        <f>SUM(OSRRefP22_13x_0)</f>
        <v>34500</v>
      </c>
      <c r="Q115" s="1"/>
      <c r="R115" s="5">
        <f t="shared" si="57"/>
        <v>2.3763827723628082E-2</v>
      </c>
      <c r="S115" s="1"/>
      <c r="T115" s="1">
        <f>SUM(OSRRefT22_13x_0)</f>
        <v>36000</v>
      </c>
      <c r="U115" s="1"/>
      <c r="V115" s="5">
        <f t="shared" si="58"/>
        <v>2.6728926348871331E-2</v>
      </c>
      <c r="W115" s="1"/>
      <c r="X115" s="1">
        <f t="shared" si="59"/>
        <v>-1500</v>
      </c>
      <c r="Y115" s="1"/>
      <c r="Z115" s="5">
        <f t="shared" si="60"/>
        <v>-4.1666666666666664E-2</v>
      </c>
    </row>
    <row r="116" spans="1:26" s="24" customFormat="1" hidden="1" outlineLevel="2" x14ac:dyDescent="0.25">
      <c r="A116" s="25"/>
      <c r="B116" s="11" t="str">
        <f>CONCATENATE("          ", "6273", " - ", "RENT")</f>
        <v xml:space="preserve">          6273 - RENT</v>
      </c>
      <c r="C116" s="11"/>
      <c r="D116" s="6">
        <v>6900</v>
      </c>
      <c r="E116" s="2"/>
      <c r="F116" s="7">
        <f t="shared" si="53"/>
        <v>2.0947789728879743E-2</v>
      </c>
      <c r="G116" s="2"/>
      <c r="H116" s="6">
        <v>7200</v>
      </c>
      <c r="I116" s="2"/>
      <c r="J116" s="7">
        <f t="shared" si="54"/>
        <v>2.7078300822350122E-2</v>
      </c>
      <c r="K116" s="2"/>
      <c r="L116" s="6">
        <f t="shared" si="55"/>
        <v>-300</v>
      </c>
      <c r="M116" s="2"/>
      <c r="N116" s="7">
        <f t="shared" si="56"/>
        <v>-4.1666666666666664E-2</v>
      </c>
      <c r="O116" s="11"/>
      <c r="P116" s="6">
        <v>34500</v>
      </c>
      <c r="Q116" s="2"/>
      <c r="R116" s="7">
        <f t="shared" si="57"/>
        <v>2.3763827723628082E-2</v>
      </c>
      <c r="S116" s="2"/>
      <c r="T116" s="6">
        <v>36000</v>
      </c>
      <c r="U116" s="2"/>
      <c r="V116" s="7">
        <f t="shared" si="58"/>
        <v>2.6728926348871331E-2</v>
      </c>
      <c r="W116" s="2"/>
      <c r="X116" s="6">
        <f t="shared" si="59"/>
        <v>-1500</v>
      </c>
      <c r="Y116" s="2"/>
      <c r="Z116" s="7">
        <f t="shared" si="60"/>
        <v>-4.1666666666666664E-2</v>
      </c>
    </row>
    <row r="117" spans="1:26" s="26" customFormat="1" outlineLevel="1" collapsed="1" x14ac:dyDescent="0.25">
      <c r="A117" s="27"/>
      <c r="B117" s="13" t="str">
        <f>CONCATENATE("     ","Repair and Maintenance                            ")</f>
        <v xml:space="preserve">     Repair and Maintenance                            </v>
      </c>
      <c r="C117" s="13"/>
      <c r="D117" s="1">
        <f>SUM(OSRRefD22_14x_0)</f>
        <v>0</v>
      </c>
      <c r="E117" s="1"/>
      <c r="F117" s="5">
        <f t="shared" si="53"/>
        <v>0</v>
      </c>
      <c r="G117" s="1"/>
      <c r="H117" s="1">
        <f>SUM(OSRRefH22_14x_0)</f>
        <v>150</v>
      </c>
      <c r="I117" s="1"/>
      <c r="J117" s="5">
        <f t="shared" si="54"/>
        <v>5.641312671322942E-4</v>
      </c>
      <c r="K117" s="1"/>
      <c r="L117" s="1">
        <f t="shared" si="55"/>
        <v>-150</v>
      </c>
      <c r="M117" s="1"/>
      <c r="N117" s="5">
        <f t="shared" si="56"/>
        <v>-1</v>
      </c>
      <c r="O117" s="13"/>
      <c r="P117" s="1">
        <f>SUM(OSRRefP22_14x_0)</f>
        <v>104.28999999999999</v>
      </c>
      <c r="Q117" s="1"/>
      <c r="R117" s="5">
        <f t="shared" si="57"/>
        <v>7.183564038542529E-5</v>
      </c>
      <c r="S117" s="1"/>
      <c r="T117" s="1">
        <f>SUM(OSRRefT22_14x_0)</f>
        <v>1100</v>
      </c>
      <c r="U117" s="1"/>
      <c r="V117" s="5">
        <f t="shared" si="58"/>
        <v>8.1671719399329062E-4</v>
      </c>
      <c r="W117" s="1"/>
      <c r="X117" s="1">
        <f t="shared" si="59"/>
        <v>-995.71</v>
      </c>
      <c r="Y117" s="1"/>
      <c r="Z117" s="5">
        <f t="shared" si="60"/>
        <v>-0.90519090909090916</v>
      </c>
    </row>
    <row r="118" spans="1:26" s="24" customFormat="1" hidden="1" outlineLevel="2" x14ac:dyDescent="0.25">
      <c r="A118" s="25"/>
      <c r="B118" s="11" t="str">
        <f>CONCATENATE("          ", "6373", " - ", "MAINTENANCE CONTRACTS")</f>
        <v xml:space="preserve">          6373 - MAINTENANCE CONTRACTS</v>
      </c>
      <c r="C118" s="11"/>
      <c r="D118" s="6"/>
      <c r="E118" s="2"/>
      <c r="F118" s="7">
        <f t="shared" si="53"/>
        <v>0</v>
      </c>
      <c r="G118" s="2"/>
      <c r="H118" s="6">
        <v>0</v>
      </c>
      <c r="I118" s="2"/>
      <c r="J118" s="7">
        <f t="shared" si="54"/>
        <v>0</v>
      </c>
      <c r="K118" s="2"/>
      <c r="L118" s="6">
        <f t="shared" si="55"/>
        <v>0</v>
      </c>
      <c r="M118" s="2"/>
      <c r="N118" s="7">
        <f t="shared" si="56"/>
        <v>0</v>
      </c>
      <c r="O118" s="11"/>
      <c r="P118" s="6">
        <v>45.65</v>
      </c>
      <c r="Q118" s="2"/>
      <c r="R118" s="7">
        <f t="shared" si="57"/>
        <v>3.1444021321264408E-5</v>
      </c>
      <c r="S118" s="2"/>
      <c r="T118" s="6">
        <v>75</v>
      </c>
      <c r="U118" s="2"/>
      <c r="V118" s="7">
        <f t="shared" si="58"/>
        <v>5.568526322681527E-5</v>
      </c>
      <c r="W118" s="2"/>
      <c r="X118" s="6">
        <f t="shared" si="59"/>
        <v>-29.35</v>
      </c>
      <c r="Y118" s="2"/>
      <c r="Z118" s="7">
        <f t="shared" si="60"/>
        <v>-0.39133333333333337</v>
      </c>
    </row>
    <row r="119" spans="1:26" s="24" customFormat="1" hidden="1" outlineLevel="2" x14ac:dyDescent="0.25">
      <c r="A119" s="25"/>
      <c r="B119" s="11" t="str">
        <f>CONCATENATE("          ", "6375", " - ", "OUTSIDE REPAIRS &amp; MAINTENANCE")</f>
        <v xml:space="preserve">          6375 - OUTSIDE REPAIRS &amp; MAINTENANCE</v>
      </c>
      <c r="C119" s="11"/>
      <c r="D119" s="6"/>
      <c r="E119" s="2"/>
      <c r="F119" s="7">
        <f t="shared" si="53"/>
        <v>0</v>
      </c>
      <c r="G119" s="2"/>
      <c r="H119" s="6">
        <v>150</v>
      </c>
      <c r="I119" s="2"/>
      <c r="J119" s="7">
        <f t="shared" si="54"/>
        <v>5.641312671322942E-4</v>
      </c>
      <c r="K119" s="2"/>
      <c r="L119" s="6">
        <f t="shared" si="55"/>
        <v>-150</v>
      </c>
      <c r="M119" s="2"/>
      <c r="N119" s="7">
        <f t="shared" si="56"/>
        <v>-1</v>
      </c>
      <c r="O119" s="11"/>
      <c r="P119" s="6">
        <v>58.64</v>
      </c>
      <c r="Q119" s="2"/>
      <c r="R119" s="7">
        <f t="shared" si="57"/>
        <v>4.0391619064160896E-5</v>
      </c>
      <c r="S119" s="2"/>
      <c r="T119" s="6">
        <v>1025</v>
      </c>
      <c r="U119" s="2"/>
      <c r="V119" s="7">
        <f t="shared" si="58"/>
        <v>7.6103193076647541E-4</v>
      </c>
      <c r="W119" s="2"/>
      <c r="X119" s="6">
        <f t="shared" si="59"/>
        <v>-966.36</v>
      </c>
      <c r="Y119" s="2"/>
      <c r="Z119" s="7">
        <f t="shared" si="60"/>
        <v>-0.94279024390243904</v>
      </c>
    </row>
    <row r="120" spans="1:26" s="26" customFormat="1" outlineLevel="1" collapsed="1" x14ac:dyDescent="0.25">
      <c r="A120" s="27"/>
      <c r="B120" s="13" t="str">
        <f>CONCATENATE("     ","Royalty &amp; Commissions                             ")</f>
        <v xml:space="preserve">     Royalty &amp; Commissions                             </v>
      </c>
      <c r="C120" s="13"/>
      <c r="D120" s="1">
        <f>SUM(OSRRefD22_15x_0)</f>
        <v>803.23</v>
      </c>
      <c r="E120" s="1"/>
      <c r="F120" s="5">
        <f t="shared" ref="F120:F123" si="61">IF(D$12=0,0,D120/D$12)</f>
        <v>2.4385352382504458E-3</v>
      </c>
      <c r="G120" s="1"/>
      <c r="H120" s="1">
        <f>SUM(OSRRefH22_15x_0)</f>
        <v>5485</v>
      </c>
      <c r="I120" s="1"/>
      <c r="J120" s="5">
        <f t="shared" ref="J120:J123" si="62">IF(H$12=0,0,H120/H$12)</f>
        <v>2.0628400001470891E-2</v>
      </c>
      <c r="K120" s="1"/>
      <c r="L120" s="1">
        <f t="shared" ref="L120:L123" si="63">+D120-H120</f>
        <v>-4681.7700000000004</v>
      </c>
      <c r="M120" s="1"/>
      <c r="N120" s="5">
        <f t="shared" ref="N120:N123" si="64">IF(H120=0,0,L120/H120)</f>
        <v>-0.8535587967183228</v>
      </c>
      <c r="O120" s="13"/>
      <c r="P120" s="1">
        <f>SUM(OSRRefP22_15x_0)</f>
        <v>6668.07</v>
      </c>
      <c r="Q120" s="1"/>
      <c r="R120" s="5">
        <f t="shared" ref="R120:R123" si="65">IF(P$12=0,0,P120/P$12)</f>
        <v>4.593010629828774E-3</v>
      </c>
      <c r="S120" s="1"/>
      <c r="T120" s="1">
        <f>SUM(OSRRefT22_15x_0)</f>
        <v>27425</v>
      </c>
      <c r="U120" s="1"/>
      <c r="V120" s="5">
        <f t="shared" ref="V120:V123" si="66">IF(T$12=0,0,T120/T$12)</f>
        <v>2.036224458660545E-2</v>
      </c>
      <c r="W120" s="1"/>
      <c r="X120" s="1">
        <f t="shared" ref="X120:X123" si="67">+P120-T120</f>
        <v>-20756.93</v>
      </c>
      <c r="Y120" s="1"/>
      <c r="Z120" s="5">
        <f t="shared" ref="Z120:Z123" si="68">IF(T120=0,0,X120/T120)</f>
        <v>-0.75686162260711032</v>
      </c>
    </row>
    <row r="121" spans="1:26" s="24" customFormat="1" hidden="1" outlineLevel="2" x14ac:dyDescent="0.25">
      <c r="A121" s="25"/>
      <c r="B121" s="11" t="str">
        <f>CONCATENATE("          ", "6252", " - ", "ROYALTY DUE CSTV")</f>
        <v xml:space="preserve">          6252 - ROYALTY DUE CSTV</v>
      </c>
      <c r="C121" s="11"/>
      <c r="D121" s="6"/>
      <c r="E121" s="2"/>
      <c r="F121" s="7">
        <f t="shared" si="61"/>
        <v>0</v>
      </c>
      <c r="G121" s="2"/>
      <c r="H121" s="6">
        <v>1085</v>
      </c>
      <c r="I121" s="2"/>
      <c r="J121" s="7">
        <f t="shared" si="62"/>
        <v>4.0805494989235944E-3</v>
      </c>
      <c r="K121" s="2"/>
      <c r="L121" s="6">
        <f t="shared" si="63"/>
        <v>-1085</v>
      </c>
      <c r="M121" s="2"/>
      <c r="N121" s="7">
        <f t="shared" si="64"/>
        <v>-1</v>
      </c>
      <c r="O121" s="11"/>
      <c r="P121" s="6"/>
      <c r="Q121" s="2"/>
      <c r="R121" s="7">
        <f t="shared" si="65"/>
        <v>0</v>
      </c>
      <c r="S121" s="2"/>
      <c r="T121" s="6">
        <v>5425</v>
      </c>
      <c r="U121" s="2"/>
      <c r="V121" s="7">
        <f t="shared" si="66"/>
        <v>4.0279007067396382E-3</v>
      </c>
      <c r="W121" s="2"/>
      <c r="X121" s="6">
        <f t="shared" si="67"/>
        <v>-5425</v>
      </c>
      <c r="Y121" s="2"/>
      <c r="Z121" s="7">
        <f t="shared" si="68"/>
        <v>-1</v>
      </c>
    </row>
    <row r="122" spans="1:26" s="24" customFormat="1" hidden="1" outlineLevel="2" x14ac:dyDescent="0.25">
      <c r="A122" s="25"/>
      <c r="B122" s="11" t="str">
        <f>CONCATENATE("          ", "6253", " - ", "ROYALTY DUE ATHLETICS-LRG")</f>
        <v xml:space="preserve">          6253 - ROYALTY DUE ATHLETICS-LRG</v>
      </c>
      <c r="C122" s="11"/>
      <c r="D122" s="6"/>
      <c r="E122" s="2"/>
      <c r="F122" s="7">
        <f t="shared" si="61"/>
        <v>0</v>
      </c>
      <c r="G122" s="2"/>
      <c r="H122" s="6">
        <v>3700</v>
      </c>
      <c r="I122" s="2"/>
      <c r="J122" s="7">
        <f t="shared" si="62"/>
        <v>1.391523792259659E-2</v>
      </c>
      <c r="K122" s="2"/>
      <c r="L122" s="6">
        <f t="shared" si="63"/>
        <v>-3700</v>
      </c>
      <c r="M122" s="2"/>
      <c r="N122" s="7">
        <f t="shared" si="64"/>
        <v>-1</v>
      </c>
      <c r="O122" s="11"/>
      <c r="P122" s="6">
        <v>4366.95</v>
      </c>
      <c r="Q122" s="2"/>
      <c r="R122" s="7">
        <f t="shared" si="65"/>
        <v>3.0079839848608015E-3</v>
      </c>
      <c r="S122" s="2"/>
      <c r="T122" s="6">
        <v>18500</v>
      </c>
      <c r="U122" s="2"/>
      <c r="V122" s="7">
        <f t="shared" si="66"/>
        <v>1.3735698262614435E-2</v>
      </c>
      <c r="W122" s="2"/>
      <c r="X122" s="6">
        <f t="shared" si="67"/>
        <v>-14133.05</v>
      </c>
      <c r="Y122" s="2"/>
      <c r="Z122" s="7">
        <f t="shared" si="68"/>
        <v>-0.76394864864864864</v>
      </c>
    </row>
    <row r="123" spans="1:26" s="24" customFormat="1" hidden="1" outlineLevel="2" x14ac:dyDescent="0.25">
      <c r="A123" s="25"/>
      <c r="B123" s="11" t="str">
        <f>CONCATENATE("          ", "6254", " - ", "ROYALTY &amp; COMMISSIONS")</f>
        <v xml:space="preserve">          6254 - ROYALTY &amp; COMMISSIONS</v>
      </c>
      <c r="C123" s="11"/>
      <c r="D123" s="6">
        <v>803.23</v>
      </c>
      <c r="E123" s="2"/>
      <c r="F123" s="7">
        <f t="shared" si="61"/>
        <v>2.4385352382504458E-3</v>
      </c>
      <c r="G123" s="2"/>
      <c r="H123" s="6">
        <v>700</v>
      </c>
      <c r="I123" s="2"/>
      <c r="J123" s="7">
        <f t="shared" si="62"/>
        <v>2.6326125799507063E-3</v>
      </c>
      <c r="K123" s="2"/>
      <c r="L123" s="6">
        <f t="shared" si="63"/>
        <v>103.23000000000002</v>
      </c>
      <c r="M123" s="2"/>
      <c r="N123" s="7">
        <f t="shared" si="64"/>
        <v>0.14747142857142859</v>
      </c>
      <c r="O123" s="11"/>
      <c r="P123" s="6">
        <v>2301.12</v>
      </c>
      <c r="Q123" s="2"/>
      <c r="R123" s="7">
        <f t="shared" si="65"/>
        <v>1.5850266449679725E-3</v>
      </c>
      <c r="S123" s="2"/>
      <c r="T123" s="6">
        <v>3500</v>
      </c>
      <c r="U123" s="2"/>
      <c r="V123" s="7">
        <f t="shared" si="66"/>
        <v>2.5986456172513795E-3</v>
      </c>
      <c r="W123" s="2"/>
      <c r="X123" s="6">
        <f t="shared" si="67"/>
        <v>-1198.8800000000001</v>
      </c>
      <c r="Y123" s="2"/>
      <c r="Z123" s="7">
        <f t="shared" si="68"/>
        <v>-0.34253714285714287</v>
      </c>
    </row>
    <row r="124" spans="1:26" s="26" customFormat="1" outlineLevel="1" collapsed="1" x14ac:dyDescent="0.25">
      <c r="A124" s="27"/>
      <c r="B124" s="13" t="str">
        <f>CONCATENATE("     ","Services                                          ")</f>
        <v xml:space="preserve">     Services                                          </v>
      </c>
      <c r="C124" s="13"/>
      <c r="D124" s="1">
        <f>SUM(OSRRefD22_16x_0)</f>
        <v>181.82</v>
      </c>
      <c r="E124" s="1"/>
      <c r="F124" s="5">
        <f t="shared" ref="F124:F127" si="69">IF(D$12=0,0,D124/D$12)</f>
        <v>5.5198943891375573E-4</v>
      </c>
      <c r="G124" s="1"/>
      <c r="H124" s="1">
        <f>SUM(OSRRefH22_16x_0)</f>
        <v>232.5</v>
      </c>
      <c r="I124" s="1"/>
      <c r="J124" s="5">
        <f t="shared" ref="J124:J127" si="70">IF(H$12=0,0,H124/H$12)</f>
        <v>8.7440346405505604E-4</v>
      </c>
      <c r="K124" s="1"/>
      <c r="L124" s="1">
        <f t="shared" ref="L124:L127" si="71">+D124-H124</f>
        <v>-50.680000000000007</v>
      </c>
      <c r="M124" s="1"/>
      <c r="N124" s="5">
        <f t="shared" ref="N124:N127" si="72">IF(H124=0,0,L124/H124)</f>
        <v>-0.21797849462365596</v>
      </c>
      <c r="O124" s="13"/>
      <c r="P124" s="1">
        <f>SUM(OSRRefP22_16x_0)</f>
        <v>1820.46</v>
      </c>
      <c r="Q124" s="1"/>
      <c r="R124" s="5">
        <f t="shared" ref="R124:R127" si="73">IF(P$12=0,0,P124/P$12)</f>
        <v>1.2539448642827822E-3</v>
      </c>
      <c r="S124" s="1"/>
      <c r="T124" s="1">
        <f>SUM(OSRRefT22_16x_0)</f>
        <v>1162.5</v>
      </c>
      <c r="U124" s="1"/>
      <c r="V124" s="5">
        <f t="shared" ref="V124:V127" si="74">IF(T$12=0,0,T124/T$12)</f>
        <v>8.6312158001563676E-4</v>
      </c>
      <c r="W124" s="1"/>
      <c r="X124" s="1">
        <f t="shared" ref="X124:X127" si="75">+P124-T124</f>
        <v>657.96</v>
      </c>
      <c r="Y124" s="1"/>
      <c r="Z124" s="5">
        <f t="shared" ref="Z124:Z127" si="76">IF(T124=0,0,X124/T124)</f>
        <v>0.56598709677419357</v>
      </c>
    </row>
    <row r="125" spans="1:26" s="24" customFormat="1" hidden="1" outlineLevel="2" x14ac:dyDescent="0.25">
      <c r="A125" s="25"/>
      <c r="B125" s="11" t="str">
        <f>CONCATENATE("          ", "6283", " - ", "PLANT SERVICE")</f>
        <v xml:space="preserve">          6283 - PLANT SERVICE</v>
      </c>
      <c r="C125" s="11"/>
      <c r="D125" s="6"/>
      <c r="E125" s="2"/>
      <c r="F125" s="7">
        <f t="shared" si="69"/>
        <v>0</v>
      </c>
      <c r="G125" s="2"/>
      <c r="H125" s="6">
        <v>60</v>
      </c>
      <c r="I125" s="2"/>
      <c r="J125" s="7">
        <f t="shared" si="70"/>
        <v>2.256525068529177E-4</v>
      </c>
      <c r="K125" s="2"/>
      <c r="L125" s="6">
        <f t="shared" si="71"/>
        <v>-60</v>
      </c>
      <c r="M125" s="2"/>
      <c r="N125" s="7">
        <f t="shared" si="72"/>
        <v>-1</v>
      </c>
      <c r="O125" s="11"/>
      <c r="P125" s="6">
        <v>178.65</v>
      </c>
      <c r="Q125" s="2"/>
      <c r="R125" s="7">
        <f t="shared" si="73"/>
        <v>1.2305529921235238E-4</v>
      </c>
      <c r="S125" s="2"/>
      <c r="T125" s="6">
        <v>300</v>
      </c>
      <c r="U125" s="2"/>
      <c r="V125" s="7">
        <f t="shared" si="74"/>
        <v>2.2274105290726108E-4</v>
      </c>
      <c r="W125" s="2"/>
      <c r="X125" s="6">
        <f t="shared" si="75"/>
        <v>-121.35</v>
      </c>
      <c r="Y125" s="2"/>
      <c r="Z125" s="7">
        <f t="shared" si="76"/>
        <v>-0.40449999999999997</v>
      </c>
    </row>
    <row r="126" spans="1:26" s="24" customFormat="1" hidden="1" outlineLevel="2" x14ac:dyDescent="0.25">
      <c r="A126" s="25"/>
      <c r="B126" s="11" t="str">
        <f>CONCATENATE("          ", "6284", " - ", "TRASH REMOVAL EXPENSE")</f>
        <v xml:space="preserve">          6284 - TRASH REMOVAL EXPENSE</v>
      </c>
      <c r="C126" s="11"/>
      <c r="D126" s="6">
        <v>134.82</v>
      </c>
      <c r="E126" s="2"/>
      <c r="F126" s="7">
        <f t="shared" si="69"/>
        <v>4.0930159583298065E-4</v>
      </c>
      <c r="G126" s="2"/>
      <c r="H126" s="6">
        <v>62.5</v>
      </c>
      <c r="I126" s="2"/>
      <c r="J126" s="7">
        <f t="shared" si="70"/>
        <v>2.3505469463845592E-4</v>
      </c>
      <c r="K126" s="2"/>
      <c r="L126" s="6">
        <f t="shared" si="71"/>
        <v>72.319999999999993</v>
      </c>
      <c r="M126" s="2"/>
      <c r="N126" s="7">
        <f t="shared" si="72"/>
        <v>1.1571199999999999</v>
      </c>
      <c r="O126" s="11"/>
      <c r="P126" s="6">
        <v>674.1</v>
      </c>
      <c r="Q126" s="2"/>
      <c r="R126" s="7">
        <f t="shared" si="73"/>
        <v>4.6432452952167223E-4</v>
      </c>
      <c r="S126" s="2"/>
      <c r="T126" s="6">
        <v>312.5</v>
      </c>
      <c r="U126" s="2"/>
      <c r="V126" s="7">
        <f t="shared" si="74"/>
        <v>2.3202193011173029E-4</v>
      </c>
      <c r="W126" s="2"/>
      <c r="X126" s="6">
        <f t="shared" si="75"/>
        <v>361.6</v>
      </c>
      <c r="Y126" s="2"/>
      <c r="Z126" s="7">
        <f t="shared" si="76"/>
        <v>1.1571200000000001</v>
      </c>
    </row>
    <row r="127" spans="1:26" s="24" customFormat="1" hidden="1" outlineLevel="2" x14ac:dyDescent="0.25">
      <c r="A127" s="25"/>
      <c r="B127" s="11" t="str">
        <f>CONCATENATE("          ", "6285", " - ", "JANITORIAL SERVICES")</f>
        <v xml:space="preserve">          6285 - JANITORIAL SERVICES</v>
      </c>
      <c r="C127" s="11"/>
      <c r="D127" s="6">
        <v>47</v>
      </c>
      <c r="E127" s="2"/>
      <c r="F127" s="7">
        <f t="shared" si="69"/>
        <v>1.4268784308077504E-4</v>
      </c>
      <c r="G127" s="2"/>
      <c r="H127" s="6">
        <v>110</v>
      </c>
      <c r="I127" s="2"/>
      <c r="J127" s="7">
        <f t="shared" si="70"/>
        <v>4.136962625636824E-4</v>
      </c>
      <c r="K127" s="2"/>
      <c r="L127" s="6">
        <f t="shared" si="71"/>
        <v>-63</v>
      </c>
      <c r="M127" s="2"/>
      <c r="N127" s="7">
        <f t="shared" si="72"/>
        <v>-0.57272727272727275</v>
      </c>
      <c r="O127" s="11"/>
      <c r="P127" s="6">
        <v>967.71</v>
      </c>
      <c r="Q127" s="2"/>
      <c r="R127" s="7">
        <f t="shared" si="73"/>
        <v>6.6656503554875755E-4</v>
      </c>
      <c r="S127" s="2"/>
      <c r="T127" s="6">
        <v>550</v>
      </c>
      <c r="U127" s="2"/>
      <c r="V127" s="7">
        <f t="shared" si="74"/>
        <v>4.0835859699664531E-4</v>
      </c>
      <c r="W127" s="2"/>
      <c r="X127" s="6">
        <f t="shared" si="75"/>
        <v>417.71000000000004</v>
      </c>
      <c r="Y127" s="2"/>
      <c r="Z127" s="7">
        <f t="shared" si="76"/>
        <v>0.7594727272727273</v>
      </c>
    </row>
    <row r="128" spans="1:26" s="26" customFormat="1" outlineLevel="1" collapsed="1" x14ac:dyDescent="0.25">
      <c r="A128" s="27"/>
      <c r="B128" s="13" t="str">
        <f>CONCATENATE("     ","Subscriptions &amp; Dues                              ")</f>
        <v xml:space="preserve">     Subscriptions &amp; Dues                              </v>
      </c>
      <c r="C128" s="13"/>
      <c r="D128" s="1">
        <f>SUM(OSRRefD22_17x_0)</f>
        <v>0</v>
      </c>
      <c r="E128" s="1"/>
      <c r="F128" s="5">
        <f t="shared" ref="F128:F130" si="77">IF(D$12=0,0,D128/D$12)</f>
        <v>0</v>
      </c>
      <c r="G128" s="1"/>
      <c r="H128" s="1">
        <f>SUM(OSRRefH22_17x_0)</f>
        <v>215</v>
      </c>
      <c r="I128" s="1"/>
      <c r="J128" s="5">
        <f t="shared" ref="J128:J130" si="78">IF(H$12=0,0,H128/H$12)</f>
        <v>8.0858814955628842E-4</v>
      </c>
      <c r="K128" s="1"/>
      <c r="L128" s="1">
        <f t="shared" ref="L128:L130" si="79">+D128-H128</f>
        <v>-215</v>
      </c>
      <c r="M128" s="1"/>
      <c r="N128" s="5">
        <f t="shared" ref="N128:N130" si="80">IF(H128=0,0,L128/H128)</f>
        <v>-1</v>
      </c>
      <c r="O128" s="13"/>
      <c r="P128" s="1">
        <f>SUM(OSRRefP22_17x_0)</f>
        <v>385.06</v>
      </c>
      <c r="Q128" s="1"/>
      <c r="R128" s="5">
        <f t="shared" ref="R128:R130" si="81">IF(P$12=0,0,P128/P$12)</f>
        <v>2.6523186965971679E-4</v>
      </c>
      <c r="S128" s="1"/>
      <c r="T128" s="1">
        <f>SUM(OSRRefT22_17x_0)</f>
        <v>3720</v>
      </c>
      <c r="U128" s="1"/>
      <c r="V128" s="5">
        <f t="shared" ref="V128:V130" si="82">IF(T$12=0,0,T128/T$12)</f>
        <v>2.7619890560500377E-3</v>
      </c>
      <c r="W128" s="1"/>
      <c r="X128" s="1">
        <f t="shared" ref="X128:X130" si="83">+P128-T128</f>
        <v>-3334.94</v>
      </c>
      <c r="Y128" s="1"/>
      <c r="Z128" s="5">
        <f t="shared" ref="Z128:Z130" si="84">IF(T128=0,0,X128/T128)</f>
        <v>-0.896489247311828</v>
      </c>
    </row>
    <row r="129" spans="1:26" s="24" customFormat="1" hidden="1" outlineLevel="2" x14ac:dyDescent="0.25">
      <c r="A129" s="25"/>
      <c r="B129" s="11" t="str">
        <f>CONCATENATE("          ", "6258", " - ", "MEMBERSHIP DUES")</f>
        <v xml:space="preserve">          6258 - MEMBERSHIP DUES</v>
      </c>
      <c r="C129" s="11"/>
      <c r="D129" s="6"/>
      <c r="E129" s="2"/>
      <c r="F129" s="7">
        <f t="shared" si="77"/>
        <v>0</v>
      </c>
      <c r="G129" s="2"/>
      <c r="H129" s="6">
        <v>0</v>
      </c>
      <c r="I129" s="2"/>
      <c r="J129" s="7">
        <f t="shared" si="78"/>
        <v>0</v>
      </c>
      <c r="K129" s="2"/>
      <c r="L129" s="6">
        <f t="shared" si="79"/>
        <v>0</v>
      </c>
      <c r="M129" s="2"/>
      <c r="N129" s="7">
        <f t="shared" si="80"/>
        <v>0</v>
      </c>
      <c r="O129" s="11"/>
      <c r="P129" s="6"/>
      <c r="Q129" s="2"/>
      <c r="R129" s="7">
        <f t="shared" si="81"/>
        <v>0</v>
      </c>
      <c r="S129" s="2"/>
      <c r="T129" s="6">
        <v>1395</v>
      </c>
      <c r="U129" s="2"/>
      <c r="V129" s="7">
        <f t="shared" si="82"/>
        <v>1.035745896018764E-3</v>
      </c>
      <c r="W129" s="2"/>
      <c r="X129" s="6">
        <f t="shared" si="83"/>
        <v>-1395</v>
      </c>
      <c r="Y129" s="2"/>
      <c r="Z129" s="7">
        <f t="shared" si="84"/>
        <v>-1</v>
      </c>
    </row>
    <row r="130" spans="1:26" s="24" customFormat="1" hidden="1" outlineLevel="2" x14ac:dyDescent="0.25">
      <c r="A130" s="25"/>
      <c r="B130" s="11" t="str">
        <f>CONCATENATE("          ", "6275", " - ", "SUBSCRIPTIONS")</f>
        <v xml:space="preserve">          6275 - SUBSCRIPTIONS</v>
      </c>
      <c r="C130" s="11"/>
      <c r="D130" s="6"/>
      <c r="E130" s="2"/>
      <c r="F130" s="7">
        <f t="shared" si="77"/>
        <v>0</v>
      </c>
      <c r="G130" s="2"/>
      <c r="H130" s="6">
        <v>215</v>
      </c>
      <c r="I130" s="2"/>
      <c r="J130" s="7">
        <f t="shared" si="78"/>
        <v>8.0858814955628842E-4</v>
      </c>
      <c r="K130" s="2"/>
      <c r="L130" s="6">
        <f t="shared" si="79"/>
        <v>-215</v>
      </c>
      <c r="M130" s="2"/>
      <c r="N130" s="7">
        <f t="shared" si="80"/>
        <v>-1</v>
      </c>
      <c r="O130" s="11"/>
      <c r="P130" s="6">
        <v>385.06</v>
      </c>
      <c r="Q130" s="2"/>
      <c r="R130" s="7">
        <f t="shared" si="81"/>
        <v>2.6523186965971679E-4</v>
      </c>
      <c r="S130" s="2"/>
      <c r="T130" s="6">
        <v>2325</v>
      </c>
      <c r="U130" s="2"/>
      <c r="V130" s="7">
        <f t="shared" si="82"/>
        <v>1.7262431600312735E-3</v>
      </c>
      <c r="W130" s="2"/>
      <c r="X130" s="6">
        <f t="shared" si="83"/>
        <v>-1939.94</v>
      </c>
      <c r="Y130" s="2"/>
      <c r="Z130" s="7">
        <f t="shared" si="84"/>
        <v>-0.83438279569892471</v>
      </c>
    </row>
    <row r="131" spans="1:26" s="26" customFormat="1" outlineLevel="1" collapsed="1" x14ac:dyDescent="0.25">
      <c r="A131" s="27"/>
      <c r="B131" s="13" t="str">
        <f>CONCATENATE("     ","Supplies                                          ")</f>
        <v xml:space="preserve">     Supplies                                          </v>
      </c>
      <c r="C131" s="13"/>
      <c r="D131" s="1">
        <f>SUM(OSRRefD22_18x_0)</f>
        <v>-209.61999999999995</v>
      </c>
      <c r="E131" s="1"/>
      <c r="F131" s="5">
        <f t="shared" ref="F131:F137" si="85">IF(D$12=0,0,D131/D$12)</f>
        <v>-6.3638778014025652E-4</v>
      </c>
      <c r="G131" s="1"/>
      <c r="H131" s="1">
        <f>SUM(OSRRefH22_18x_0)</f>
        <v>860</v>
      </c>
      <c r="I131" s="1"/>
      <c r="J131" s="5">
        <f t="shared" ref="J131:J137" si="86">IF(H$12=0,0,H131/H$12)</f>
        <v>3.2343525982251537E-3</v>
      </c>
      <c r="K131" s="1"/>
      <c r="L131" s="1">
        <f t="shared" ref="L131:L137" si="87">+D131-H131</f>
        <v>-1069.6199999999999</v>
      </c>
      <c r="M131" s="1"/>
      <c r="N131" s="5">
        <f t="shared" ref="N131:N137" si="88">IF(H131=0,0,L131/H131)</f>
        <v>-1.2437441860465115</v>
      </c>
      <c r="O131" s="13"/>
      <c r="P131" s="1">
        <f>SUM(OSRRefP22_18x_0)</f>
        <v>3138.7200000000003</v>
      </c>
      <c r="Q131" s="1"/>
      <c r="R131" s="5">
        <f t="shared" ref="R131:R137" si="89">IF(P$12=0,0,P131/P$12)</f>
        <v>2.1619710537016217E-3</v>
      </c>
      <c r="S131" s="1"/>
      <c r="T131" s="1">
        <f>SUM(OSRRefT22_18x_0)</f>
        <v>6400</v>
      </c>
      <c r="U131" s="1"/>
      <c r="V131" s="5">
        <f t="shared" ref="V131:V137" si="90">IF(T$12=0,0,T131/T$12)</f>
        <v>4.7518091286882363E-3</v>
      </c>
      <c r="W131" s="1"/>
      <c r="X131" s="1">
        <f t="shared" ref="X131:X137" si="91">+P131-T131</f>
        <v>-3261.2799999999997</v>
      </c>
      <c r="Y131" s="1"/>
      <c r="Z131" s="5">
        <f t="shared" ref="Z131:Z137" si="92">IF(T131=0,0,X131/T131)</f>
        <v>-0.509575</v>
      </c>
    </row>
    <row r="132" spans="1:26" s="24" customFormat="1" hidden="1" outlineLevel="2" x14ac:dyDescent="0.25">
      <c r="A132" s="25"/>
      <c r="B132" s="11" t="str">
        <f>CONCATENATE("          ", "6234", " - ", "EXPENDABLE SUPPLIES &amp; EQUIPMEN")</f>
        <v xml:space="preserve">          6234 - EXPENDABLE SUPPLIES &amp; EQUIPMEN</v>
      </c>
      <c r="C132" s="11"/>
      <c r="D132" s="6">
        <v>36.31</v>
      </c>
      <c r="E132" s="2"/>
      <c r="F132" s="7">
        <f t="shared" si="85"/>
        <v>1.10233948558786E-4</v>
      </c>
      <c r="G132" s="2"/>
      <c r="H132" s="6">
        <v>300</v>
      </c>
      <c r="I132" s="2"/>
      <c r="J132" s="7">
        <f t="shared" si="86"/>
        <v>1.1282625342645884E-3</v>
      </c>
      <c r="K132" s="2"/>
      <c r="L132" s="6">
        <f t="shared" si="87"/>
        <v>-263.69</v>
      </c>
      <c r="M132" s="2"/>
      <c r="N132" s="7">
        <f t="shared" si="88"/>
        <v>-0.87896666666666667</v>
      </c>
      <c r="O132" s="11"/>
      <c r="P132" s="6">
        <v>20.36</v>
      </c>
      <c r="Q132" s="2"/>
      <c r="R132" s="7">
        <f t="shared" si="89"/>
        <v>1.4024102389943993E-5</v>
      </c>
      <c r="S132" s="2"/>
      <c r="T132" s="6">
        <v>2850</v>
      </c>
      <c r="U132" s="2"/>
      <c r="V132" s="7">
        <f t="shared" si="90"/>
        <v>2.1160400026189801E-3</v>
      </c>
      <c r="W132" s="2"/>
      <c r="X132" s="6">
        <f t="shared" si="91"/>
        <v>-2829.64</v>
      </c>
      <c r="Y132" s="2"/>
      <c r="Z132" s="7">
        <f t="shared" si="92"/>
        <v>-0.9928561403508771</v>
      </c>
    </row>
    <row r="133" spans="1:26" s="24" customFormat="1" hidden="1" outlineLevel="2" x14ac:dyDescent="0.25">
      <c r="A133" s="25"/>
      <c r="B133" s="11" t="str">
        <f>CONCATENATE("          ", "6237", " - ", "JANITORIAL SUPPLIES")</f>
        <v xml:space="preserve">          6237 - JANITORIAL SUPPLIES</v>
      </c>
      <c r="C133" s="11"/>
      <c r="D133" s="6"/>
      <c r="E133" s="2"/>
      <c r="F133" s="7">
        <f t="shared" si="85"/>
        <v>0</v>
      </c>
      <c r="G133" s="2"/>
      <c r="H133" s="6">
        <v>35</v>
      </c>
      <c r="I133" s="2"/>
      <c r="J133" s="7">
        <f t="shared" si="86"/>
        <v>1.3163062899753533E-4</v>
      </c>
      <c r="K133" s="2"/>
      <c r="L133" s="6">
        <f t="shared" si="87"/>
        <v>-35</v>
      </c>
      <c r="M133" s="2"/>
      <c r="N133" s="7">
        <f t="shared" si="88"/>
        <v>-1</v>
      </c>
      <c r="O133" s="11"/>
      <c r="P133" s="6">
        <v>287.72000000000003</v>
      </c>
      <c r="Q133" s="2"/>
      <c r="R133" s="7">
        <f t="shared" si="89"/>
        <v>1.9818343514905139E-4</v>
      </c>
      <c r="S133" s="2"/>
      <c r="T133" s="6">
        <v>225</v>
      </c>
      <c r="U133" s="2"/>
      <c r="V133" s="7">
        <f t="shared" si="90"/>
        <v>1.6705578968044581E-4</v>
      </c>
      <c r="W133" s="2"/>
      <c r="X133" s="6">
        <f t="shared" si="91"/>
        <v>62.720000000000027</v>
      </c>
      <c r="Y133" s="2"/>
      <c r="Z133" s="7">
        <f t="shared" si="92"/>
        <v>0.2787555555555557</v>
      </c>
    </row>
    <row r="134" spans="1:26" s="24" customFormat="1" hidden="1" outlineLevel="2" x14ac:dyDescent="0.25">
      <c r="A134" s="25"/>
      <c r="B134" s="11" t="str">
        <f>CONCATENATE("          ", "6241", " - ", "OFFICE EXPENSE")</f>
        <v xml:space="preserve">          6241 - OFFICE EXPENSE</v>
      </c>
      <c r="C134" s="11"/>
      <c r="D134" s="6">
        <v>322.07</v>
      </c>
      <c r="E134" s="2"/>
      <c r="F134" s="7">
        <f t="shared" si="85"/>
        <v>9.7777603448989821E-4</v>
      </c>
      <c r="G134" s="2"/>
      <c r="H134" s="6">
        <v>300</v>
      </c>
      <c r="I134" s="2"/>
      <c r="J134" s="7">
        <f t="shared" si="86"/>
        <v>1.1282625342645884E-3</v>
      </c>
      <c r="K134" s="2"/>
      <c r="L134" s="6">
        <f t="shared" si="87"/>
        <v>22.069999999999993</v>
      </c>
      <c r="M134" s="2"/>
      <c r="N134" s="7">
        <f t="shared" si="88"/>
        <v>7.3566666666666641E-2</v>
      </c>
      <c r="O134" s="11"/>
      <c r="P134" s="6">
        <v>3105.85</v>
      </c>
      <c r="Q134" s="2"/>
      <c r="R134" s="7">
        <f t="shared" si="89"/>
        <v>2.1393299807371097E-3</v>
      </c>
      <c r="S134" s="2"/>
      <c r="T134" s="6">
        <v>2200</v>
      </c>
      <c r="U134" s="2"/>
      <c r="V134" s="7">
        <f t="shared" si="90"/>
        <v>1.6334343879865812E-3</v>
      </c>
      <c r="W134" s="2"/>
      <c r="X134" s="6">
        <f t="shared" si="91"/>
        <v>905.84999999999991</v>
      </c>
      <c r="Y134" s="2"/>
      <c r="Z134" s="7">
        <f t="shared" si="92"/>
        <v>0.41174999999999995</v>
      </c>
    </row>
    <row r="135" spans="1:26" s="24" customFormat="1" hidden="1" outlineLevel="2" x14ac:dyDescent="0.25">
      <c r="A135" s="25"/>
      <c r="B135" s="11" t="str">
        <f>CONCATENATE("          ", "6245", " - ", "PRINTING")</f>
        <v xml:space="preserve">          6245 - PRINTING</v>
      </c>
      <c r="C135" s="11"/>
      <c r="D135" s="6">
        <v>-617.17999999999995</v>
      </c>
      <c r="E135" s="2"/>
      <c r="F135" s="7">
        <f t="shared" si="85"/>
        <v>-1.8737038934594199E-3</v>
      </c>
      <c r="G135" s="2"/>
      <c r="H135" s="6"/>
      <c r="I135" s="2"/>
      <c r="J135" s="7">
        <f t="shared" si="86"/>
        <v>0</v>
      </c>
      <c r="K135" s="2"/>
      <c r="L135" s="6">
        <f t="shared" si="87"/>
        <v>-617.17999999999995</v>
      </c>
      <c r="M135" s="2"/>
      <c r="N135" s="7">
        <f t="shared" si="88"/>
        <v>0</v>
      </c>
      <c r="O135" s="11"/>
      <c r="P135" s="6">
        <v>-617.17999999999995</v>
      </c>
      <c r="Q135" s="2"/>
      <c r="R135" s="7">
        <f t="shared" si="89"/>
        <v>-4.2511765781068925E-4</v>
      </c>
      <c r="S135" s="2"/>
      <c r="T135" s="6"/>
      <c r="U135" s="2"/>
      <c r="V135" s="7">
        <f t="shared" si="90"/>
        <v>0</v>
      </c>
      <c r="W135" s="2"/>
      <c r="X135" s="6">
        <f t="shared" si="91"/>
        <v>-617.17999999999995</v>
      </c>
      <c r="Y135" s="2"/>
      <c r="Z135" s="7">
        <f t="shared" si="92"/>
        <v>0</v>
      </c>
    </row>
    <row r="136" spans="1:26" s="24" customFormat="1" hidden="1" outlineLevel="2" x14ac:dyDescent="0.25">
      <c r="A136" s="25"/>
      <c r="B136" s="11" t="str">
        <f>CONCATENATE("          ", "6247", " - ", "STORE SUPPLIES")</f>
        <v xml:space="preserve">          6247 - STORE SUPPLIES</v>
      </c>
      <c r="C136" s="11"/>
      <c r="D136" s="6">
        <v>49.18</v>
      </c>
      <c r="E136" s="2"/>
      <c r="F136" s="7">
        <f t="shared" si="85"/>
        <v>1.4930613027047909E-4</v>
      </c>
      <c r="G136" s="2"/>
      <c r="H136" s="6">
        <v>225</v>
      </c>
      <c r="I136" s="2"/>
      <c r="J136" s="7">
        <f t="shared" si="86"/>
        <v>8.461969006984413E-4</v>
      </c>
      <c r="K136" s="2"/>
      <c r="L136" s="6">
        <f t="shared" si="87"/>
        <v>-175.82</v>
      </c>
      <c r="M136" s="2"/>
      <c r="N136" s="7">
        <f t="shared" si="88"/>
        <v>-0.78142222222222224</v>
      </c>
      <c r="O136" s="11"/>
      <c r="P136" s="6">
        <v>341.97</v>
      </c>
      <c r="Q136" s="2"/>
      <c r="R136" s="7">
        <f t="shared" si="89"/>
        <v>2.355511932362057E-4</v>
      </c>
      <c r="S136" s="2"/>
      <c r="T136" s="6">
        <v>1125</v>
      </c>
      <c r="U136" s="2"/>
      <c r="V136" s="7">
        <f t="shared" si="90"/>
        <v>8.352789484022291E-4</v>
      </c>
      <c r="W136" s="2"/>
      <c r="X136" s="6">
        <f t="shared" si="91"/>
        <v>-783.03</v>
      </c>
      <c r="Y136" s="2"/>
      <c r="Z136" s="7">
        <f t="shared" si="92"/>
        <v>-0.69602666666666668</v>
      </c>
    </row>
    <row r="137" spans="1:26" s="24" customFormat="1" hidden="1" outlineLevel="2" x14ac:dyDescent="0.25">
      <c r="A137" s="25"/>
      <c r="B137" s="11" t="str">
        <f>CONCATENATE("          ", "6248", " - ", "UNIFORMS")</f>
        <v xml:space="preserve">          6248 - UNIFORMS</v>
      </c>
      <c r="C137" s="11"/>
      <c r="D137" s="6"/>
      <c r="E137" s="2"/>
      <c r="F137" s="7">
        <f t="shared" si="85"/>
        <v>0</v>
      </c>
      <c r="G137" s="2"/>
      <c r="H137" s="6">
        <v>0</v>
      </c>
      <c r="I137" s="2"/>
      <c r="J137" s="7">
        <f t="shared" si="86"/>
        <v>0</v>
      </c>
      <c r="K137" s="2"/>
      <c r="L137" s="6">
        <f t="shared" si="87"/>
        <v>0</v>
      </c>
      <c r="M137" s="2"/>
      <c r="N137" s="7">
        <f t="shared" si="88"/>
        <v>0</v>
      </c>
      <c r="O137" s="11"/>
      <c r="P137" s="6"/>
      <c r="Q137" s="2"/>
      <c r="R137" s="7">
        <f t="shared" si="89"/>
        <v>0</v>
      </c>
      <c r="S137" s="2"/>
      <c r="T137" s="6">
        <v>0</v>
      </c>
      <c r="U137" s="2"/>
      <c r="V137" s="7">
        <f t="shared" si="90"/>
        <v>0</v>
      </c>
      <c r="W137" s="2"/>
      <c r="X137" s="6">
        <f t="shared" si="91"/>
        <v>0</v>
      </c>
      <c r="Y137" s="2"/>
      <c r="Z137" s="7">
        <f t="shared" si="92"/>
        <v>0</v>
      </c>
    </row>
    <row r="138" spans="1:26" s="26" customFormat="1" outlineLevel="1" collapsed="1" x14ac:dyDescent="0.25">
      <c r="A138" s="27"/>
      <c r="B138" s="13" t="str">
        <f>CONCATENATE("     ","Telephone/Data Lines                              ")</f>
        <v xml:space="preserve">     Telephone/Data Lines                              </v>
      </c>
      <c r="C138" s="13"/>
      <c r="D138" s="1">
        <f>SUM(OSRRefD22_19x_0)</f>
        <v>641.71</v>
      </c>
      <c r="E138" s="1"/>
      <c r="F138" s="5">
        <f t="shared" ref="F138:F140" si="93">IF(D$12=0,0,D138/D$12)</f>
        <v>1.9481748039013652E-3</v>
      </c>
      <c r="G138" s="1"/>
      <c r="H138" s="1">
        <f>SUM(OSRRefH22_19x_0)</f>
        <v>1100</v>
      </c>
      <c r="I138" s="1"/>
      <c r="J138" s="5">
        <f t="shared" ref="J138:J140" si="94">IF(H$12=0,0,H138/H$12)</f>
        <v>4.1369626256368246E-3</v>
      </c>
      <c r="K138" s="1"/>
      <c r="L138" s="1">
        <f t="shared" ref="L138:L140" si="95">+D138-H138</f>
        <v>-458.28999999999996</v>
      </c>
      <c r="M138" s="1"/>
      <c r="N138" s="5">
        <f t="shared" ref="N138:N140" si="96">IF(H138=0,0,L138/H138)</f>
        <v>-0.41662727272727268</v>
      </c>
      <c r="O138" s="13"/>
      <c r="P138" s="1">
        <f>SUM(OSRRefP22_19x_0)</f>
        <v>4659.8</v>
      </c>
      <c r="Q138" s="1"/>
      <c r="R138" s="5">
        <f t="shared" ref="R138:R140" si="97">IF(P$12=0,0,P138/P$12)</f>
        <v>3.2097009978713665E-3</v>
      </c>
      <c r="S138" s="1"/>
      <c r="T138" s="1">
        <f>SUM(OSRRefT22_19x_0)</f>
        <v>6075</v>
      </c>
      <c r="U138" s="1"/>
      <c r="V138" s="5">
        <f t="shared" ref="V138:V140" si="98">IF(T$12=0,0,T138/T$12)</f>
        <v>4.5105063213720367E-3</v>
      </c>
      <c r="W138" s="1"/>
      <c r="X138" s="1">
        <f t="shared" ref="X138:X140" si="99">+P138-T138</f>
        <v>-1415.1999999999998</v>
      </c>
      <c r="Y138" s="1"/>
      <c r="Z138" s="5">
        <f t="shared" ref="Z138:Z140" si="100">IF(T138=0,0,X138/T138)</f>
        <v>-0.23295473251028803</v>
      </c>
    </row>
    <row r="139" spans="1:26" s="24" customFormat="1" hidden="1" outlineLevel="2" x14ac:dyDescent="0.25">
      <c r="A139" s="25"/>
      <c r="B139" s="11" t="str">
        <f>CONCATENATE("          ", "6303", " - ", "DATA PHONE LINES")</f>
        <v xml:space="preserve">          6303 - DATA PHONE LINES</v>
      </c>
      <c r="C139" s="11"/>
      <c r="D139" s="6"/>
      <c r="E139" s="2"/>
      <c r="F139" s="7">
        <f t="shared" si="93"/>
        <v>0</v>
      </c>
      <c r="G139" s="2"/>
      <c r="H139" s="6">
        <v>400</v>
      </c>
      <c r="I139" s="2"/>
      <c r="J139" s="7">
        <f t="shared" si="94"/>
        <v>1.5043500456861179E-3</v>
      </c>
      <c r="K139" s="2"/>
      <c r="L139" s="6">
        <f t="shared" si="95"/>
        <v>-400</v>
      </c>
      <c r="M139" s="2"/>
      <c r="N139" s="7">
        <f t="shared" si="96"/>
        <v>-1</v>
      </c>
      <c r="O139" s="11"/>
      <c r="P139" s="6"/>
      <c r="Q139" s="2"/>
      <c r="R139" s="7">
        <f t="shared" si="97"/>
        <v>0</v>
      </c>
      <c r="S139" s="2"/>
      <c r="T139" s="6">
        <v>3075</v>
      </c>
      <c r="U139" s="2"/>
      <c r="V139" s="7">
        <f t="shared" si="98"/>
        <v>2.2830957922994263E-3</v>
      </c>
      <c r="W139" s="2"/>
      <c r="X139" s="6">
        <f t="shared" si="99"/>
        <v>-3075</v>
      </c>
      <c r="Y139" s="2"/>
      <c r="Z139" s="7">
        <f t="shared" si="100"/>
        <v>-1</v>
      </c>
    </row>
    <row r="140" spans="1:26" s="24" customFormat="1" hidden="1" outlineLevel="2" x14ac:dyDescent="0.25">
      <c r="A140" s="25"/>
      <c r="B140" s="11" t="str">
        <f>CONCATENATE("          ", "6309", " - ", "TELEPHONE")</f>
        <v xml:space="preserve">          6309 - TELEPHONE</v>
      </c>
      <c r="C140" s="11"/>
      <c r="D140" s="6">
        <v>641.71</v>
      </c>
      <c r="E140" s="2"/>
      <c r="F140" s="7">
        <f t="shared" si="93"/>
        <v>1.9481748039013652E-3</v>
      </c>
      <c r="G140" s="2"/>
      <c r="H140" s="6">
        <v>700</v>
      </c>
      <c r="I140" s="2"/>
      <c r="J140" s="7">
        <f t="shared" si="94"/>
        <v>2.6326125799507063E-3</v>
      </c>
      <c r="K140" s="2"/>
      <c r="L140" s="6">
        <f t="shared" si="95"/>
        <v>-58.289999999999964</v>
      </c>
      <c r="M140" s="2"/>
      <c r="N140" s="7">
        <f t="shared" si="96"/>
        <v>-8.3271428571428524E-2</v>
      </c>
      <c r="O140" s="11"/>
      <c r="P140" s="6">
        <v>4659.8</v>
      </c>
      <c r="Q140" s="2"/>
      <c r="R140" s="7">
        <f t="shared" si="97"/>
        <v>3.2097009978713665E-3</v>
      </c>
      <c r="S140" s="2"/>
      <c r="T140" s="6">
        <v>3000</v>
      </c>
      <c r="U140" s="2"/>
      <c r="V140" s="7">
        <f t="shared" si="98"/>
        <v>2.2274105290726108E-3</v>
      </c>
      <c r="W140" s="2"/>
      <c r="X140" s="6">
        <f t="shared" si="99"/>
        <v>1659.8000000000002</v>
      </c>
      <c r="Y140" s="2"/>
      <c r="Z140" s="7">
        <f t="shared" si="100"/>
        <v>0.55326666666666668</v>
      </c>
    </row>
    <row r="141" spans="1:26" s="26" customFormat="1" outlineLevel="1" collapsed="1" x14ac:dyDescent="0.25">
      <c r="A141" s="27"/>
      <c r="B141" s="13" t="str">
        <f>CONCATENATE("     ","Training                                          ")</f>
        <v xml:space="preserve">     Training                                          </v>
      </c>
      <c r="C141" s="13"/>
      <c r="D141" s="1">
        <f>SUM(OSRRefD22_20x_0)</f>
        <v>233.12</v>
      </c>
      <c r="E141" s="1"/>
      <c r="F141" s="5">
        <f t="shared" ref="F141:F145" si="101">IF(D$12=0,0,D141/D$12)</f>
        <v>7.0773170168064422E-4</v>
      </c>
      <c r="G141" s="1"/>
      <c r="H141" s="1">
        <f>SUM(OSRRefH22_20x_0)</f>
        <v>1000</v>
      </c>
      <c r="I141" s="1"/>
      <c r="J141" s="5">
        <f t="shared" ref="J141:J145" si="102">IF(H$12=0,0,H141/H$12)</f>
        <v>3.7608751142152947E-3</v>
      </c>
      <c r="K141" s="1"/>
      <c r="L141" s="1">
        <f t="shared" ref="L141:L145" si="103">+D141-H141</f>
        <v>-766.88</v>
      </c>
      <c r="M141" s="1"/>
      <c r="N141" s="5">
        <f t="shared" ref="N141:N145" si="104">IF(H141=0,0,L141/H141)</f>
        <v>-0.76688000000000001</v>
      </c>
      <c r="O141" s="13"/>
      <c r="P141" s="1">
        <f>SUM(OSRRefP22_20x_0)</f>
        <v>1379.18</v>
      </c>
      <c r="Q141" s="1"/>
      <c r="R141" s="5">
        <f t="shared" ref="R141:R145" si="105">IF(P$12=0,0,P141/P$12)</f>
        <v>9.4998828753256181E-4</v>
      </c>
      <c r="S141" s="1"/>
      <c r="T141" s="1">
        <f>SUM(OSRRefT22_20x_0)</f>
        <v>1700</v>
      </c>
      <c r="U141" s="1"/>
      <c r="V141" s="5">
        <f t="shared" ref="V141:V145" si="106">IF(T$12=0,0,T141/T$12)</f>
        <v>1.2621992998078128E-3</v>
      </c>
      <c r="W141" s="1"/>
      <c r="X141" s="1">
        <f t="shared" ref="X141:X145" si="107">+P141-T141</f>
        <v>-320.81999999999994</v>
      </c>
      <c r="Y141" s="1"/>
      <c r="Z141" s="5">
        <f t="shared" ref="Z141:Z145" si="108">IF(T141=0,0,X141/T141)</f>
        <v>-0.18871764705882349</v>
      </c>
    </row>
    <row r="142" spans="1:26" s="24" customFormat="1" hidden="1" outlineLevel="2" x14ac:dyDescent="0.25">
      <c r="A142" s="25"/>
      <c r="B142" s="11" t="str">
        <f>CONCATENATE("          ", "6376", " - ", "TRAINING")</f>
        <v xml:space="preserve">          6376 - TRAINING</v>
      </c>
      <c r="C142" s="11"/>
      <c r="D142" s="6">
        <v>233.12</v>
      </c>
      <c r="E142" s="2"/>
      <c r="F142" s="7">
        <f t="shared" si="101"/>
        <v>7.0773170168064422E-4</v>
      </c>
      <c r="G142" s="2"/>
      <c r="H142" s="6">
        <v>1000</v>
      </c>
      <c r="I142" s="2"/>
      <c r="J142" s="7">
        <f t="shared" si="102"/>
        <v>3.7608751142152947E-3</v>
      </c>
      <c r="K142" s="2"/>
      <c r="L142" s="6">
        <f t="shared" si="103"/>
        <v>-766.88</v>
      </c>
      <c r="M142" s="2"/>
      <c r="N142" s="7">
        <f t="shared" si="104"/>
        <v>-0.76688000000000001</v>
      </c>
      <c r="O142" s="11"/>
      <c r="P142" s="6">
        <v>1379.18</v>
      </c>
      <c r="Q142" s="2"/>
      <c r="R142" s="7">
        <f t="shared" si="105"/>
        <v>9.4998828753256181E-4</v>
      </c>
      <c r="S142" s="2"/>
      <c r="T142" s="6">
        <v>1700</v>
      </c>
      <c r="U142" s="2"/>
      <c r="V142" s="7">
        <f t="shared" si="106"/>
        <v>1.2621992998078128E-3</v>
      </c>
      <c r="W142" s="2"/>
      <c r="X142" s="6">
        <f t="shared" si="107"/>
        <v>-320.81999999999994</v>
      </c>
      <c r="Y142" s="2"/>
      <c r="Z142" s="7">
        <f t="shared" si="108"/>
        <v>-0.18871764705882349</v>
      </c>
    </row>
    <row r="143" spans="1:26" s="26" customFormat="1" outlineLevel="1" collapsed="1" x14ac:dyDescent="0.25">
      <c r="A143" s="27"/>
      <c r="B143" s="13" t="str">
        <f>CONCATENATE("     ","Travel                                            ")</f>
        <v xml:space="preserve">     Travel                                            </v>
      </c>
      <c r="C143" s="13"/>
      <c r="D143" s="1">
        <f>SUM(OSRRefD22_21x_0)</f>
        <v>241.66</v>
      </c>
      <c r="E143" s="1"/>
      <c r="F143" s="5">
        <f t="shared" si="101"/>
        <v>7.3365838635957659E-4</v>
      </c>
      <c r="G143" s="1"/>
      <c r="H143" s="1">
        <f>SUM(OSRRefH22_21x_0)</f>
        <v>75</v>
      </c>
      <c r="I143" s="1"/>
      <c r="J143" s="5">
        <f t="shared" si="102"/>
        <v>2.820656335661471E-4</v>
      </c>
      <c r="K143" s="1"/>
      <c r="L143" s="1">
        <f t="shared" si="103"/>
        <v>166.66</v>
      </c>
      <c r="M143" s="1"/>
      <c r="N143" s="5">
        <f t="shared" si="104"/>
        <v>2.2221333333333333</v>
      </c>
      <c r="O143" s="13"/>
      <c r="P143" s="1">
        <f>SUM(OSRRefP22_21x_0)</f>
        <v>785.17</v>
      </c>
      <c r="Q143" s="1"/>
      <c r="R143" s="5">
        <f t="shared" si="105"/>
        <v>5.4083027865974096E-4</v>
      </c>
      <c r="S143" s="1"/>
      <c r="T143" s="1">
        <f>SUM(OSRRefT22_21x_0)</f>
        <v>510</v>
      </c>
      <c r="U143" s="1"/>
      <c r="V143" s="5">
        <f t="shared" si="106"/>
        <v>3.7865978994234384E-4</v>
      </c>
      <c r="W143" s="1"/>
      <c r="X143" s="1">
        <f t="shared" si="107"/>
        <v>275.16999999999996</v>
      </c>
      <c r="Y143" s="1"/>
      <c r="Z143" s="5">
        <f t="shared" si="108"/>
        <v>0.53954901960784307</v>
      </c>
    </row>
    <row r="144" spans="1:26" s="24" customFormat="1" hidden="1" outlineLevel="2" x14ac:dyDescent="0.25">
      <c r="A144" s="25"/>
      <c r="B144" s="11" t="str">
        <f>CONCATENATE("          ", "6292", " - ", "TRAVEL/CONFERENCE")</f>
        <v xml:space="preserve">          6292 - TRAVEL/CONFERENCE</v>
      </c>
      <c r="C144" s="11"/>
      <c r="D144" s="6"/>
      <c r="E144" s="2"/>
      <c r="F144" s="7">
        <f t="shared" si="101"/>
        <v>0</v>
      </c>
      <c r="G144" s="2"/>
      <c r="H144" s="6"/>
      <c r="I144" s="2"/>
      <c r="J144" s="7">
        <f t="shared" si="102"/>
        <v>0</v>
      </c>
      <c r="K144" s="2"/>
      <c r="L144" s="6">
        <f t="shared" si="103"/>
        <v>0</v>
      </c>
      <c r="M144" s="2"/>
      <c r="N144" s="7">
        <f t="shared" si="104"/>
        <v>0</v>
      </c>
      <c r="O144" s="11"/>
      <c r="P144" s="6">
        <v>107.04</v>
      </c>
      <c r="Q144" s="2"/>
      <c r="R144" s="7">
        <f t="shared" si="105"/>
        <v>7.3729858537308708E-5</v>
      </c>
      <c r="S144" s="2"/>
      <c r="T144" s="6"/>
      <c r="U144" s="2"/>
      <c r="V144" s="7">
        <f t="shared" si="106"/>
        <v>0</v>
      </c>
      <c r="W144" s="2"/>
      <c r="X144" s="6">
        <f t="shared" si="107"/>
        <v>107.04</v>
      </c>
      <c r="Y144" s="2"/>
      <c r="Z144" s="7">
        <f t="shared" si="108"/>
        <v>0</v>
      </c>
    </row>
    <row r="145" spans="1:26" s="24" customFormat="1" hidden="1" outlineLevel="2" x14ac:dyDescent="0.25">
      <c r="A145" s="25"/>
      <c r="B145" s="11" t="str">
        <f>CONCATENATE("          ", "6294", " - ", "TRAVEL OPERATIONAL")</f>
        <v xml:space="preserve">          6294 - TRAVEL OPERATIONAL</v>
      </c>
      <c r="C145" s="11"/>
      <c r="D145" s="6">
        <v>241.66</v>
      </c>
      <c r="E145" s="2"/>
      <c r="F145" s="7">
        <f t="shared" si="101"/>
        <v>7.3365838635957659E-4</v>
      </c>
      <c r="G145" s="2"/>
      <c r="H145" s="6">
        <v>75</v>
      </c>
      <c r="I145" s="2"/>
      <c r="J145" s="7">
        <f t="shared" si="102"/>
        <v>2.820656335661471E-4</v>
      </c>
      <c r="K145" s="2"/>
      <c r="L145" s="6">
        <f t="shared" si="103"/>
        <v>166.66</v>
      </c>
      <c r="M145" s="2"/>
      <c r="N145" s="7">
        <f t="shared" si="104"/>
        <v>2.2221333333333333</v>
      </c>
      <c r="O145" s="11"/>
      <c r="P145" s="6">
        <v>678.13</v>
      </c>
      <c r="Q145" s="2"/>
      <c r="R145" s="7">
        <f t="shared" si="105"/>
        <v>4.6710042012243226E-4</v>
      </c>
      <c r="S145" s="2"/>
      <c r="T145" s="6">
        <v>510</v>
      </c>
      <c r="U145" s="2"/>
      <c r="V145" s="7">
        <f t="shared" si="106"/>
        <v>3.7865978994234384E-4</v>
      </c>
      <c r="W145" s="2"/>
      <c r="X145" s="6">
        <f t="shared" si="107"/>
        <v>168.13</v>
      </c>
      <c r="Y145" s="2"/>
      <c r="Z145" s="7">
        <f t="shared" si="108"/>
        <v>0.32966666666666666</v>
      </c>
    </row>
    <row r="146" spans="1:26" s="26" customFormat="1" outlineLevel="1" collapsed="1" x14ac:dyDescent="0.25">
      <c r="A146" s="27"/>
      <c r="B146" s="13" t="str">
        <f>CONCATENATE("     ","Utilities                                         ")</f>
        <v xml:space="preserve">     Utilities                                         </v>
      </c>
      <c r="C146" s="13"/>
      <c r="D146" s="1">
        <f>SUM(OSRRefD22_22x_0)</f>
        <v>31.26</v>
      </c>
      <c r="E146" s="1"/>
      <c r="F146" s="5">
        <f t="shared" ref="F146:F147" si="109">IF(D$12=0,0,D146/D$12)</f>
        <v>9.4902595206489964E-5</v>
      </c>
      <c r="G146" s="1"/>
      <c r="H146" s="1">
        <f>SUM(OSRRefH22_22x_0)</f>
        <v>100</v>
      </c>
      <c r="I146" s="1"/>
      <c r="J146" s="5">
        <f t="shared" ref="J146:J147" si="110">IF(H$12=0,0,H146/H$12)</f>
        <v>3.7608751142152947E-4</v>
      </c>
      <c r="K146" s="1"/>
      <c r="L146" s="1">
        <f t="shared" ref="L146:L147" si="111">+D146-H146</f>
        <v>-68.739999999999995</v>
      </c>
      <c r="M146" s="1"/>
      <c r="N146" s="5">
        <f t="shared" ref="N146:N147" si="112">IF(H146=0,0,L146/H146)</f>
        <v>-0.6873999999999999</v>
      </c>
      <c r="O146" s="13"/>
      <c r="P146" s="1">
        <f>SUM(OSRRefP22_22x_0)</f>
        <v>226.92</v>
      </c>
      <c r="Q146" s="1"/>
      <c r="R146" s="5">
        <f t="shared" ref="R146:R147" si="113">IF(P$12=0,0,P146/P$12)</f>
        <v>1.5630399382741115E-4</v>
      </c>
      <c r="S146" s="1"/>
      <c r="T146" s="1">
        <f>SUM(OSRRefT22_22x_0)</f>
        <v>450</v>
      </c>
      <c r="U146" s="1"/>
      <c r="V146" s="5">
        <f t="shared" ref="V146:V147" si="114">IF(T$12=0,0,T146/T$12)</f>
        <v>3.3411157936089162E-4</v>
      </c>
      <c r="W146" s="1"/>
      <c r="X146" s="1">
        <f t="shared" ref="X146:X147" si="115">+P146-T146</f>
        <v>-223.08</v>
      </c>
      <c r="Y146" s="1"/>
      <c r="Z146" s="5">
        <f t="shared" ref="Z146:Z147" si="116">IF(T146=0,0,X146/T146)</f>
        <v>-0.49573333333333336</v>
      </c>
    </row>
    <row r="147" spans="1:26" s="24" customFormat="1" hidden="1" outlineLevel="2" x14ac:dyDescent="0.25">
      <c r="A147" s="25"/>
      <c r="B147" s="11" t="str">
        <f>CONCATENATE("          ", "6274", " - ", "UTILITIES")</f>
        <v xml:space="preserve">          6274 - UTILITIES</v>
      </c>
      <c r="C147" s="11"/>
      <c r="D147" s="6">
        <v>31.26</v>
      </c>
      <c r="E147" s="2"/>
      <c r="F147" s="7">
        <f t="shared" si="109"/>
        <v>9.4902595206489964E-5</v>
      </c>
      <c r="G147" s="2"/>
      <c r="H147" s="6">
        <v>100</v>
      </c>
      <c r="I147" s="2"/>
      <c r="J147" s="7">
        <f t="shared" si="110"/>
        <v>3.7608751142152947E-4</v>
      </c>
      <c r="K147" s="2"/>
      <c r="L147" s="6">
        <f t="shared" si="111"/>
        <v>-68.739999999999995</v>
      </c>
      <c r="M147" s="2"/>
      <c r="N147" s="7">
        <f t="shared" si="112"/>
        <v>-0.6873999999999999</v>
      </c>
      <c r="O147" s="11"/>
      <c r="P147" s="6">
        <v>226.92</v>
      </c>
      <c r="Q147" s="2"/>
      <c r="R147" s="7">
        <f t="shared" si="113"/>
        <v>1.5630399382741115E-4</v>
      </c>
      <c r="S147" s="2"/>
      <c r="T147" s="6">
        <v>450</v>
      </c>
      <c r="U147" s="2"/>
      <c r="V147" s="7">
        <f t="shared" si="114"/>
        <v>3.3411157936089162E-4</v>
      </c>
      <c r="W147" s="2"/>
      <c r="X147" s="6">
        <f t="shared" si="115"/>
        <v>-223.08</v>
      </c>
      <c r="Y147" s="2"/>
      <c r="Z147" s="7">
        <f t="shared" si="116"/>
        <v>-0.49573333333333336</v>
      </c>
    </row>
    <row r="148" spans="1:26" s="59" customFormat="1" x14ac:dyDescent="0.25">
      <c r="A148" s="36"/>
      <c r="B148" s="36"/>
      <c r="C148" s="36"/>
      <c r="D148" s="1"/>
      <c r="E148" s="1"/>
      <c r="F148" s="5"/>
      <c r="G148" s="1"/>
      <c r="H148" s="1"/>
      <c r="I148" s="1"/>
      <c r="J148" s="5"/>
      <c r="K148" s="1"/>
      <c r="L148" s="1"/>
      <c r="M148" s="1"/>
      <c r="N148" s="5"/>
      <c r="O148" s="36"/>
      <c r="P148" s="1"/>
      <c r="Q148" s="1"/>
      <c r="R148" s="5"/>
      <c r="S148" s="1"/>
      <c r="T148" s="1"/>
      <c r="U148" s="1"/>
      <c r="V148" s="5"/>
      <c r="W148" s="1"/>
      <c r="X148" s="1"/>
      <c r="Y148" s="1"/>
      <c r="Z148" s="5"/>
    </row>
    <row r="149" spans="1:26" s="23" customFormat="1" collapsed="1" x14ac:dyDescent="0.25">
      <c r="A149" s="10"/>
      <c r="B149" s="29" t="s">
        <v>0</v>
      </c>
      <c r="C149" s="10"/>
      <c r="D149" s="4">
        <f>SUM(OSRRefD25x_0)</f>
        <v>433.18</v>
      </c>
      <c r="E149" s="4"/>
      <c r="F149" s="12">
        <f t="shared" ref="F149:F152" si="117">IF(D$12=0,0,D149/D$12)</f>
        <v>1.3150961673559604E-3</v>
      </c>
      <c r="G149" s="4"/>
      <c r="H149" s="4">
        <f>SUM(OSRRefH25x_0)</f>
        <v>8625</v>
      </c>
      <c r="I149" s="4"/>
      <c r="J149" s="12">
        <f t="shared" ref="J149:J152" si="118">IF(H$12=0,0,H149/H$12)</f>
        <v>3.243754786010692E-2</v>
      </c>
      <c r="K149" s="4"/>
      <c r="L149" s="4">
        <f t="shared" ref="L149:L152" si="119">+D149-H149</f>
        <v>-8191.82</v>
      </c>
      <c r="M149" s="4"/>
      <c r="N149" s="12">
        <f t="shared" ref="N149:N152" si="120">IF(H149=0,0,L149/H149)</f>
        <v>-0.94977623188405791</v>
      </c>
      <c r="O149" s="10"/>
      <c r="P149" s="4">
        <f>SUM(OSRRefP25x_0)</f>
        <v>14830.16</v>
      </c>
      <c r="Q149" s="4"/>
      <c r="R149" s="12">
        <f t="shared" ref="R149:R152" si="121">IF(P$12=0,0,P149/P$12)</f>
        <v>1.0215112097212761E-2</v>
      </c>
      <c r="S149" s="4"/>
      <c r="T149" s="4">
        <f>SUM(OSRRefT25x_0)</f>
        <v>43125</v>
      </c>
      <c r="U149" s="4"/>
      <c r="V149" s="12">
        <f t="shared" ref="V149:V152" si="122">IF(T$12=0,0,T149/T$12)</f>
        <v>3.2019026355418784E-2</v>
      </c>
      <c r="W149" s="4"/>
      <c r="X149" s="4">
        <f t="shared" ref="X149:X152" si="123">+P149-T149</f>
        <v>-28294.84</v>
      </c>
      <c r="Y149" s="4"/>
      <c r="Z149" s="12">
        <f t="shared" ref="Z149:Z152" si="124">IF(T149=0,0,X149/T149)</f>
        <v>-0.65611223188405798</v>
      </c>
    </row>
    <row r="150" spans="1:26" s="24" customFormat="1" hidden="1" outlineLevel="1" x14ac:dyDescent="0.25">
      <c r="A150" s="44"/>
      <c r="B150" s="11" t="str">
        <f>CONCATENATE("          ", "9150", " - ", "MISC. INCOME")</f>
        <v xml:space="preserve">          9150 - MISC. INCOME</v>
      </c>
      <c r="C150" s="11"/>
      <c r="D150" s="2">
        <f>--433.18</f>
        <v>433.18</v>
      </c>
      <c r="E150" s="2"/>
      <c r="F150" s="19">
        <f t="shared" si="117"/>
        <v>1.3150961673559604E-3</v>
      </c>
      <c r="G150" s="2"/>
      <c r="H150" s="2">
        <v>7725</v>
      </c>
      <c r="I150" s="2"/>
      <c r="J150" s="19">
        <f t="shared" si="118"/>
        <v>2.905276025731315E-2</v>
      </c>
      <c r="K150" s="2"/>
      <c r="L150" s="2">
        <f t="shared" si="119"/>
        <v>-7291.82</v>
      </c>
      <c r="M150" s="2"/>
      <c r="N150" s="19">
        <f t="shared" si="120"/>
        <v>-0.94392491909385112</v>
      </c>
      <c r="O150" s="11"/>
      <c r="P150" s="2">
        <f>--14830.16</f>
        <v>14830.16</v>
      </c>
      <c r="Q150" s="2"/>
      <c r="R150" s="19">
        <f t="shared" si="121"/>
        <v>1.0215112097212761E-2</v>
      </c>
      <c r="S150" s="2"/>
      <c r="T150" s="2">
        <v>38625</v>
      </c>
      <c r="U150" s="2"/>
      <c r="V150" s="19">
        <f t="shared" si="122"/>
        <v>2.8677910561809867E-2</v>
      </c>
      <c r="W150" s="2"/>
      <c r="X150" s="2">
        <f t="shared" si="123"/>
        <v>-23794.84</v>
      </c>
      <c r="Y150" s="2"/>
      <c r="Z150" s="19">
        <f t="shared" si="124"/>
        <v>-0.61604763754045311</v>
      </c>
    </row>
    <row r="151" spans="1:26" s="24" customFormat="1" hidden="1" outlineLevel="1" x14ac:dyDescent="0.25">
      <c r="A151" s="44"/>
      <c r="B151" s="11" t="str">
        <f>CONCATENATE("          ", "9151", " - ", "MISC. INCOME")</f>
        <v xml:space="preserve">          9151 - MISC. INCOME</v>
      </c>
      <c r="C151" s="11"/>
      <c r="D151" s="2">
        <f t="shared" ref="D151:D152" si="125">0</f>
        <v>0</v>
      </c>
      <c r="E151" s="2"/>
      <c r="F151" s="19">
        <f t="shared" si="117"/>
        <v>0</v>
      </c>
      <c r="G151" s="2"/>
      <c r="H151" s="2">
        <v>100</v>
      </c>
      <c r="I151" s="2"/>
      <c r="J151" s="19">
        <f t="shared" si="118"/>
        <v>3.7608751142152947E-4</v>
      </c>
      <c r="K151" s="2"/>
      <c r="L151" s="2">
        <f t="shared" si="119"/>
        <v>-100</v>
      </c>
      <c r="M151" s="2"/>
      <c r="N151" s="19">
        <f t="shared" si="120"/>
        <v>-1</v>
      </c>
      <c r="O151" s="11"/>
      <c r="P151" s="2">
        <f t="shared" ref="P151:P152" si="126">0</f>
        <v>0</v>
      </c>
      <c r="Q151" s="2"/>
      <c r="R151" s="19">
        <f t="shared" si="121"/>
        <v>0</v>
      </c>
      <c r="S151" s="2"/>
      <c r="T151" s="2">
        <v>500</v>
      </c>
      <c r="U151" s="2"/>
      <c r="V151" s="19">
        <f t="shared" si="122"/>
        <v>3.7123508817876846E-4</v>
      </c>
      <c r="W151" s="2"/>
      <c r="X151" s="2">
        <f t="shared" si="123"/>
        <v>-500</v>
      </c>
      <c r="Y151" s="2"/>
      <c r="Z151" s="19">
        <f t="shared" si="124"/>
        <v>-1</v>
      </c>
    </row>
    <row r="152" spans="1:26" s="24" customFormat="1" hidden="1" outlineLevel="1" x14ac:dyDescent="0.25">
      <c r="A152" s="44"/>
      <c r="B152" s="11" t="str">
        <f>CONCATENATE("          ", "9160", " - ", "MISC. INCOME")</f>
        <v xml:space="preserve">          9160 - MISC. INCOME</v>
      </c>
      <c r="C152" s="11"/>
      <c r="D152" s="2">
        <f t="shared" si="125"/>
        <v>0</v>
      </c>
      <c r="E152" s="2"/>
      <c r="F152" s="19">
        <f t="shared" si="117"/>
        <v>0</v>
      </c>
      <c r="G152" s="2"/>
      <c r="H152" s="2">
        <v>800</v>
      </c>
      <c r="I152" s="2"/>
      <c r="J152" s="19">
        <f t="shared" si="118"/>
        <v>3.0087000913722357E-3</v>
      </c>
      <c r="K152" s="2"/>
      <c r="L152" s="2">
        <f t="shared" si="119"/>
        <v>-800</v>
      </c>
      <c r="M152" s="2"/>
      <c r="N152" s="19">
        <f t="shared" si="120"/>
        <v>-1</v>
      </c>
      <c r="O152" s="11"/>
      <c r="P152" s="2">
        <f t="shared" si="126"/>
        <v>0</v>
      </c>
      <c r="Q152" s="2"/>
      <c r="R152" s="19">
        <f t="shared" si="121"/>
        <v>0</v>
      </c>
      <c r="S152" s="2"/>
      <c r="T152" s="2">
        <v>4000</v>
      </c>
      <c r="U152" s="2"/>
      <c r="V152" s="19">
        <f t="shared" si="122"/>
        <v>2.9698807054301477E-3</v>
      </c>
      <c r="W152" s="2"/>
      <c r="X152" s="2">
        <f t="shared" si="123"/>
        <v>-4000</v>
      </c>
      <c r="Y152" s="2"/>
      <c r="Z152" s="19">
        <f t="shared" si="124"/>
        <v>-1</v>
      </c>
    </row>
    <row r="153" spans="1:26" x14ac:dyDescent="0.25">
      <c r="A153" s="9"/>
      <c r="B153" s="10"/>
      <c r="C153" s="10"/>
      <c r="D153" s="3"/>
      <c r="E153" s="3"/>
      <c r="F153" s="8"/>
      <c r="G153" s="3"/>
      <c r="H153" s="3"/>
      <c r="I153" s="3"/>
      <c r="J153" s="8"/>
      <c r="K153" s="3"/>
      <c r="L153" s="3"/>
      <c r="M153" s="3"/>
      <c r="N153" s="8"/>
      <c r="O153" s="10"/>
      <c r="P153" s="3"/>
      <c r="Q153" s="3"/>
      <c r="R153" s="8"/>
      <c r="S153" s="3"/>
      <c r="T153" s="3"/>
      <c r="U153" s="3"/>
      <c r="V153" s="8"/>
      <c r="W153" s="3"/>
      <c r="X153" s="3"/>
      <c r="Y153" s="3"/>
      <c r="Z153" s="8"/>
    </row>
    <row r="154" spans="1:26" s="23" customFormat="1" x14ac:dyDescent="0.25">
      <c r="A154" s="10"/>
      <c r="B154" s="28" t="s">
        <v>3</v>
      </c>
      <c r="C154" s="28"/>
      <c r="D154" s="20">
        <f>+D66-D68+D149</f>
        <v>69647.549999999945</v>
      </c>
      <c r="E154" s="14"/>
      <c r="F154" s="22">
        <f>IF(D$12=0,0,D154/D$12)</f>
        <v>0.21144380181617928</v>
      </c>
      <c r="G154" s="14"/>
      <c r="H154" s="20">
        <f>+H66-H68+H149</f>
        <v>72223.306620425035</v>
      </c>
      <c r="I154" s="14"/>
      <c r="J154" s="22">
        <f>IF(H$12=0,0,H154/H$12)</f>
        <v>0.27162283653509728</v>
      </c>
      <c r="K154" s="16"/>
      <c r="L154" s="20">
        <f>+D154-H154</f>
        <v>-2575.7566204250907</v>
      </c>
      <c r="M154" s="16"/>
      <c r="N154" s="22">
        <f>IF(H154=0,0,L154/H154)</f>
        <v>-3.5663786954011553E-2</v>
      </c>
      <c r="O154" s="29"/>
      <c r="P154" s="20">
        <f>+P66-P68+P149</f>
        <v>343153.81000000046</v>
      </c>
      <c r="Q154" s="14"/>
      <c r="R154" s="22">
        <f>IF(P$12=0,0,P154/P$12)</f>
        <v>0.23636660937816276</v>
      </c>
      <c r="S154" s="14"/>
      <c r="T154" s="20">
        <f>+T66-T68+T149</f>
        <v>366624.20628483745</v>
      </c>
      <c r="U154" s="14"/>
      <c r="V154" s="22">
        <f>IF(T$12=0,0,T154/T$12)</f>
        <v>0.27220753909724527</v>
      </c>
      <c r="W154" s="16"/>
      <c r="X154" s="20">
        <f>+P154-T154</f>
        <v>-23470.396284836985</v>
      </c>
      <c r="Y154" s="16"/>
      <c r="Z154" s="22">
        <f>IF(T154=0,0,X154/T154)</f>
        <v>-6.4017584988925638E-2</v>
      </c>
    </row>
    <row r="155" spans="1:26" x14ac:dyDescent="0.25">
      <c r="A155" s="9"/>
      <c r="B155" s="10"/>
      <c r="C155" s="9"/>
      <c r="D155" s="3"/>
      <c r="E155" s="3"/>
      <c r="F155" s="8"/>
      <c r="G155" s="3"/>
      <c r="H155" s="3"/>
      <c r="I155" s="3"/>
      <c r="J155" s="8"/>
      <c r="K155" s="3"/>
      <c r="L155" s="3"/>
      <c r="M155" s="3"/>
      <c r="N155" s="8"/>
      <c r="P155" s="3"/>
      <c r="Q155" s="3"/>
      <c r="R155" s="8"/>
      <c r="S155" s="3"/>
      <c r="T155" s="3"/>
      <c r="U155" s="3"/>
      <c r="V155" s="8"/>
      <c r="W155" s="3"/>
      <c r="X155" s="3"/>
      <c r="Y155" s="3"/>
      <c r="Z155" s="8"/>
    </row>
    <row r="156" spans="1:26" s="23" customFormat="1" x14ac:dyDescent="0.25">
      <c r="A156" s="52"/>
      <c r="B156" s="10" t="s">
        <v>14</v>
      </c>
      <c r="C156" s="10"/>
      <c r="D156" s="4">
        <v>40751.11</v>
      </c>
      <c r="E156" s="4"/>
      <c r="F156" s="12">
        <f>IF(D$12=0,0,D156/D$12)</f>
        <v>0.12371676572441283</v>
      </c>
      <c r="G156" s="4"/>
      <c r="H156" s="4">
        <v>40517</v>
      </c>
      <c r="I156" s="4"/>
      <c r="J156" s="12">
        <f>IF(H$12=0,0,H156/H$12)</f>
        <v>0.1523793770026611</v>
      </c>
      <c r="K156" s="4"/>
      <c r="L156" s="4">
        <f>+D156-H156</f>
        <v>234.11000000000058</v>
      </c>
      <c r="M156" s="4"/>
      <c r="N156" s="12">
        <f>IF(H156=0,0,L156/H156)</f>
        <v>5.7780684650887426E-3</v>
      </c>
      <c r="O156" s="10"/>
      <c r="P156" s="4">
        <v>153734.35</v>
      </c>
      <c r="Q156" s="4"/>
      <c r="R156" s="12">
        <f>IF(P$12=0,0,P156/P$12)</f>
        <v>0.10589323503199835</v>
      </c>
      <c r="S156" s="4"/>
      <c r="T156" s="4">
        <v>170691</v>
      </c>
      <c r="U156" s="4"/>
      <c r="V156" s="12">
        <f>IF(T$12=0,0,T156/T$12)</f>
        <v>0.12673297687264434</v>
      </c>
      <c r="W156" s="4"/>
      <c r="X156" s="4">
        <f>+P156-T156</f>
        <v>-16956.649999999994</v>
      </c>
      <c r="Y156" s="4"/>
      <c r="Z156" s="12">
        <f>IF(T156=0,0,X156/T156)</f>
        <v>-9.9341207210690632E-2</v>
      </c>
    </row>
    <row r="157" spans="1:26" x14ac:dyDescent="0.25">
      <c r="A157" s="9"/>
      <c r="B157" s="10"/>
      <c r="C157" s="10"/>
      <c r="D157" s="3"/>
      <c r="E157" s="3"/>
      <c r="F157" s="8"/>
      <c r="G157" s="3"/>
      <c r="H157" s="3"/>
      <c r="I157" s="3"/>
      <c r="J157" s="8"/>
      <c r="K157" s="3"/>
      <c r="L157" s="3"/>
      <c r="M157" s="3"/>
      <c r="N157" s="8"/>
      <c r="O157" s="10"/>
      <c r="P157" s="3"/>
      <c r="Q157" s="3"/>
      <c r="R157" s="8"/>
      <c r="S157" s="3"/>
      <c r="T157" s="3"/>
      <c r="U157" s="3"/>
      <c r="V157" s="8"/>
      <c r="W157" s="3"/>
      <c r="X157" s="3"/>
      <c r="Y157" s="3"/>
      <c r="Z157" s="8"/>
    </row>
    <row r="158" spans="1:26" s="23" customFormat="1" ht="15.75" thickBot="1" x14ac:dyDescent="0.3">
      <c r="A158" s="10"/>
      <c r="B158" s="28" t="s">
        <v>4</v>
      </c>
      <c r="C158" s="28"/>
      <c r="D158" s="30">
        <f>+D154-D156</f>
        <v>28896.439999999944</v>
      </c>
      <c r="E158" s="14"/>
      <c r="F158" s="32">
        <f>IF(D$12=0,0,D158/D$12)</f>
        <v>8.772703609176645E-2</v>
      </c>
      <c r="G158" s="14"/>
      <c r="H158" s="30">
        <f>+H154-H156</f>
        <v>31706.306620425035</v>
      </c>
      <c r="I158" s="14"/>
      <c r="J158" s="32">
        <f>IF(H$12=0,0,H158/H$12)</f>
        <v>0.11924345953243616</v>
      </c>
      <c r="K158" s="16"/>
      <c r="L158" s="30">
        <f>D158-H158</f>
        <v>-2809.8666204250912</v>
      </c>
      <c r="M158" s="16"/>
      <c r="N158" s="32">
        <f>IF(H158=0,0,L158/H158)</f>
        <v>-8.8621694543728091E-2</v>
      </c>
      <c r="O158" s="29"/>
      <c r="P158" s="30">
        <f>+P154-P156</f>
        <v>189419.46000000046</v>
      </c>
      <c r="Q158" s="14"/>
      <c r="R158" s="32">
        <f>IF(P$12=0,0,P158/P$12)</f>
        <v>0.13047337434616441</v>
      </c>
      <c r="S158" s="14"/>
      <c r="T158" s="30">
        <f>+T154-T156</f>
        <v>195933.20628483745</v>
      </c>
      <c r="U158" s="14"/>
      <c r="V158" s="32">
        <f>IF(T$12=0,0,T158/T$12)</f>
        <v>0.14547456222460092</v>
      </c>
      <c r="W158" s="16"/>
      <c r="X158" s="30">
        <f>P158-T158</f>
        <v>-6513.7462848369905</v>
      </c>
      <c r="Y158" s="16"/>
      <c r="Z158" s="32">
        <f>IF(T158=0,0,X158/T158)</f>
        <v>-3.3244728692734433E-2</v>
      </c>
    </row>
    <row r="159" spans="1:26" ht="15.75" thickTop="1" x14ac:dyDescent="0.25">
      <c r="A159" s="9"/>
      <c r="B159" s="9"/>
      <c r="C159" s="9"/>
      <c r="D159" s="3"/>
      <c r="E159" s="3"/>
      <c r="F159" s="8"/>
      <c r="G159" s="3"/>
      <c r="H159" s="3"/>
      <c r="I159" s="3"/>
      <c r="J159" s="8"/>
      <c r="K159" s="3"/>
      <c r="L159" s="3"/>
      <c r="M159" s="3"/>
      <c r="N159" s="8"/>
      <c r="P159" s="3"/>
      <c r="Q159" s="3"/>
      <c r="R159" s="8"/>
      <c r="S159" s="3"/>
      <c r="T159" s="3"/>
      <c r="U159" s="3"/>
      <c r="V159" s="8"/>
      <c r="W159" s="3"/>
      <c r="X159" s="3"/>
      <c r="Y159" s="3"/>
      <c r="Z159" s="8"/>
    </row>
    <row r="160" spans="1:26" x14ac:dyDescent="0.25">
      <c r="A160" s="9"/>
      <c r="B160" s="9"/>
      <c r="C160" s="9"/>
      <c r="D160" s="3"/>
      <c r="E160" s="3"/>
      <c r="F160" s="8"/>
      <c r="G160" s="3"/>
      <c r="H160" s="3"/>
      <c r="I160" s="3"/>
      <c r="J160" s="8"/>
      <c r="K160" s="3"/>
      <c r="L160" s="3"/>
      <c r="M160" s="3"/>
      <c r="N160" s="8"/>
      <c r="P160" s="3"/>
      <c r="Q160" s="3"/>
      <c r="R160" s="8"/>
      <c r="S160" s="3"/>
      <c r="T160" s="3"/>
      <c r="U160" s="3"/>
      <c r="V160" s="8"/>
      <c r="W160" s="3"/>
      <c r="X160" s="3"/>
      <c r="Y160" s="3"/>
      <c r="Z160" s="8"/>
    </row>
    <row r="161" spans="1:26" s="23" customFormat="1" ht="15.75" thickBot="1" x14ac:dyDescent="0.3">
      <c r="A161" s="10"/>
      <c r="B161" s="28" t="s">
        <v>5</v>
      </c>
      <c r="C161" s="28"/>
      <c r="D161" s="31">
        <f>SUM(D158:D160)</f>
        <v>28896.439999999944</v>
      </c>
      <c r="E161" s="14"/>
      <c r="F161" s="35">
        <f>IF(D$12=0,0,D161/D$12)</f>
        <v>8.772703609176645E-2</v>
      </c>
      <c r="G161" s="14"/>
      <c r="H161" s="31">
        <f>SUM(H158:H160)</f>
        <v>31706.306620425035</v>
      </c>
      <c r="I161" s="14"/>
      <c r="J161" s="35">
        <f>IF(H$12=0,0,H161/H$12)</f>
        <v>0.11924345953243616</v>
      </c>
      <c r="K161" s="16"/>
      <c r="L161" s="31">
        <f>+D161-H161</f>
        <v>-2809.8666204250912</v>
      </c>
      <c r="M161" s="16"/>
      <c r="N161" s="35">
        <f>IF(H161=0,0,L161/H161)</f>
        <v>-8.8621694543728091E-2</v>
      </c>
      <c r="O161" s="29"/>
      <c r="P161" s="31">
        <f>SUM(P158:P160)</f>
        <v>189419.46000000046</v>
      </c>
      <c r="Q161" s="14"/>
      <c r="R161" s="35">
        <f>IF(P$12=0,0,P161/P$12)</f>
        <v>0.13047337434616441</v>
      </c>
      <c r="S161" s="14"/>
      <c r="T161" s="31">
        <f>SUM(T158:T160)</f>
        <v>195933.20628483745</v>
      </c>
      <c r="U161" s="14"/>
      <c r="V161" s="35">
        <f>IF(T$12=0,0,T161/T$12)</f>
        <v>0.14547456222460092</v>
      </c>
      <c r="W161" s="16"/>
      <c r="X161" s="31">
        <f>+P161-T161</f>
        <v>-6513.7462848369905</v>
      </c>
      <c r="Y161" s="16"/>
      <c r="Z161" s="35">
        <f>IF(T161=0,0,X161/T161)</f>
        <v>-3.3244728692734433E-2</v>
      </c>
    </row>
    <row r="162" spans="1:26" ht="15.75" thickTop="1" x14ac:dyDescent="0.25">
      <c r="A162" s="9"/>
      <c r="C162" s="9"/>
      <c r="D162" s="17"/>
      <c r="E162" s="17"/>
      <c r="G162" s="17"/>
      <c r="H162" s="17"/>
      <c r="I162" s="17"/>
      <c r="J162" s="43"/>
      <c r="K162" s="17"/>
      <c r="L162" s="17"/>
      <c r="M162" s="17"/>
      <c r="P162" s="17"/>
      <c r="Q162" s="17"/>
      <c r="R162" s="43"/>
      <c r="S162" s="17"/>
      <c r="T162" s="17"/>
      <c r="U162" s="17"/>
      <c r="V162" s="43"/>
      <c r="W162" s="17"/>
      <c r="X162" s="17"/>
    </row>
    <row r="163" spans="1:26" x14ac:dyDescent="0.25">
      <c r="A163" s="9"/>
      <c r="B163" s="56">
        <v>43815.483272881946</v>
      </c>
      <c r="D163" s="17"/>
      <c r="E163" s="17"/>
      <c r="G163" s="17"/>
      <c r="H163" s="17"/>
      <c r="I163" s="17"/>
      <c r="J163" s="43"/>
      <c r="K163" s="17"/>
      <c r="L163" s="17"/>
      <c r="M163" s="17"/>
      <c r="P163" s="17"/>
      <c r="Q163" s="17"/>
      <c r="R163" s="43"/>
      <c r="S163" s="17"/>
      <c r="T163" s="17"/>
      <c r="U163" s="17"/>
      <c r="V163" s="43"/>
      <c r="W163" s="17"/>
      <c r="X163" s="17"/>
    </row>
    <row r="164" spans="1:26" x14ac:dyDescent="0.25">
      <c r="A164" s="9"/>
      <c r="B164" s="62" t="s">
        <v>314</v>
      </c>
      <c r="D164" s="17"/>
      <c r="E164" s="17"/>
      <c r="G164" s="17"/>
      <c r="H164" s="17"/>
      <c r="I164" s="17"/>
      <c r="J164" s="43"/>
      <c r="K164" s="17"/>
      <c r="L164" s="17"/>
      <c r="M164" s="17"/>
      <c r="P164" s="17"/>
      <c r="Q164" s="17"/>
      <c r="R164" s="43"/>
      <c r="S164" s="17"/>
      <c r="T164" s="17"/>
      <c r="U164" s="17"/>
      <c r="V164" s="43"/>
      <c r="W164" s="17"/>
      <c r="X164" s="17"/>
    </row>
    <row r="165" spans="1:26" x14ac:dyDescent="0.25">
      <c r="A165" s="9"/>
      <c r="B165" s="58"/>
      <c r="D165" s="17"/>
      <c r="E165" s="17"/>
      <c r="G165" s="17"/>
      <c r="H165" s="17"/>
      <c r="I165" s="17"/>
      <c r="J165" s="43"/>
      <c r="K165" s="17"/>
      <c r="L165" s="17"/>
      <c r="M165" s="17"/>
      <c r="P165" s="17"/>
      <c r="Q165" s="17"/>
      <c r="R165" s="43"/>
      <c r="S165" s="17"/>
      <c r="T165" s="17"/>
      <c r="U165" s="17"/>
      <c r="V165" s="43"/>
      <c r="W165" s="17"/>
      <c r="X165" s="17"/>
    </row>
    <row r="166" spans="1:26" x14ac:dyDescent="0.25">
      <c r="D166" s="17"/>
      <c r="E166" s="17"/>
      <c r="G166" s="17"/>
      <c r="H166" s="17"/>
      <c r="I166" s="17"/>
      <c r="J166" s="43"/>
      <c r="K166" s="17"/>
      <c r="L166" s="17"/>
      <c r="M166" s="17"/>
      <c r="P166" s="17"/>
      <c r="Q166" s="17"/>
      <c r="R166" s="43"/>
      <c r="S166" s="17"/>
      <c r="T166" s="17"/>
      <c r="U166" s="17"/>
      <c r="V166" s="43"/>
      <c r="W166" s="17"/>
      <c r="X166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299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","315", " - ", "Beach Shop")</f>
        <v>Department 315 - Beach Shop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291551.35999999999</v>
      </c>
      <c r="E12" s="4"/>
      <c r="F12" s="12"/>
      <c r="G12" s="4"/>
      <c r="H12" s="4">
        <f>SUM(OSRRefH13x_0)</f>
        <v>218700</v>
      </c>
      <c r="I12" s="4"/>
      <c r="J12" s="12"/>
      <c r="K12" s="4"/>
      <c r="L12" s="4">
        <f t="shared" ref="L12:L33" si="0">+D12-H12</f>
        <v>72851.359999999986</v>
      </c>
      <c r="M12" s="4"/>
      <c r="N12" s="12">
        <f t="shared" ref="N12:N33" si="1">IF(H12=0,0,L12/H12)</f>
        <v>0.3331109282121627</v>
      </c>
      <c r="O12" s="10"/>
      <c r="P12" s="4">
        <f>SUM(OSRRefP13x_0)</f>
        <v>1219478.8800000004</v>
      </c>
      <c r="Q12" s="4"/>
      <c r="R12" s="12"/>
      <c r="S12" s="4"/>
      <c r="T12" s="4">
        <f>SUM(OSRRefT13x_0)</f>
        <v>1108732</v>
      </c>
      <c r="U12" s="4"/>
      <c r="V12" s="12"/>
      <c r="W12" s="4"/>
      <c r="X12" s="4">
        <f t="shared" ref="X12:X33" si="2">+P12-T12</f>
        <v>110746.88000000035</v>
      </c>
      <c r="Y12" s="4"/>
      <c r="Z12" s="12">
        <f t="shared" ref="Z12:Z33" si="3">IF(T12=0,0,X12/T12)</f>
        <v>9.9886068048906637E-2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218700</v>
      </c>
      <c r="I13" s="2"/>
      <c r="J13" s="19"/>
      <c r="K13" s="2"/>
      <c r="L13" s="2">
        <f t="shared" si="0"/>
        <v>-218700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1108732</v>
      </c>
      <c r="U13" s="2"/>
      <c r="V13" s="19"/>
      <c r="W13" s="2"/>
      <c r="X13" s="2">
        <f t="shared" si="2"/>
        <v>-1108732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"4040", " - ", "TAXABLE SALES-LOGO CLOTHING")</f>
        <v xml:space="preserve">          4040 - TAXABLE SALES-LOGO CLOTHING</v>
      </c>
      <c r="C14" s="11"/>
      <c r="D14" s="2">
        <f>--216676.29</f>
        <v>216676.29</v>
      </c>
      <c r="E14" s="2"/>
      <c r="F14" s="19"/>
      <c r="G14" s="2"/>
      <c r="H14" s="2"/>
      <c r="I14" s="2"/>
      <c r="J14" s="19"/>
      <c r="K14" s="2"/>
      <c r="L14" s="2">
        <f t="shared" si="0"/>
        <v>216676.29</v>
      </c>
      <c r="M14" s="2"/>
      <c r="N14" s="19">
        <f t="shared" si="1"/>
        <v>0</v>
      </c>
      <c r="O14" s="11"/>
      <c r="P14" s="2">
        <f>--901370.37</f>
        <v>901370.37</v>
      </c>
      <c r="Q14" s="2"/>
      <c r="R14" s="19"/>
      <c r="S14" s="2"/>
      <c r="T14" s="2"/>
      <c r="U14" s="2"/>
      <c r="V14" s="19"/>
      <c r="W14" s="2"/>
      <c r="X14" s="2">
        <f t="shared" si="2"/>
        <v>901370.37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"4041", " - ", "TAXABLE SALES-LOGO GIFTS")</f>
        <v xml:space="preserve">          4041 - TAXABLE SALES-LOGO GIFTS</v>
      </c>
      <c r="C15" s="11"/>
      <c r="D15" s="2">
        <f>--25268.56</f>
        <v>25268.560000000001</v>
      </c>
      <c r="E15" s="2"/>
      <c r="F15" s="19"/>
      <c r="G15" s="2"/>
      <c r="H15" s="2"/>
      <c r="I15" s="2"/>
      <c r="J15" s="19"/>
      <c r="K15" s="2"/>
      <c r="L15" s="2">
        <f t="shared" si="0"/>
        <v>25268.560000000001</v>
      </c>
      <c r="M15" s="2"/>
      <c r="N15" s="19">
        <f t="shared" si="1"/>
        <v>0</v>
      </c>
      <c r="O15" s="11"/>
      <c r="P15" s="2">
        <f>--136131.52</f>
        <v>136131.51999999999</v>
      </c>
      <c r="Q15" s="2"/>
      <c r="R15" s="19"/>
      <c r="S15" s="2"/>
      <c r="T15" s="2"/>
      <c r="U15" s="2"/>
      <c r="V15" s="19"/>
      <c r="W15" s="2"/>
      <c r="X15" s="2">
        <f t="shared" si="2"/>
        <v>136131.51999999999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"4042", " - ", "TAXABLE SALES-EVERYDAY GIFTS")</f>
        <v xml:space="preserve">          4042 - TAXABLE SALES-EVERYDAY GIFTS</v>
      </c>
      <c r="C16" s="11"/>
      <c r="D16" s="2">
        <f>--20997.65</f>
        <v>20997.65</v>
      </c>
      <c r="E16" s="2"/>
      <c r="F16" s="19"/>
      <c r="G16" s="2"/>
      <c r="H16" s="2"/>
      <c r="I16" s="2"/>
      <c r="J16" s="19"/>
      <c r="K16" s="2"/>
      <c r="L16" s="2">
        <f t="shared" si="0"/>
        <v>20997.65</v>
      </c>
      <c r="M16" s="2"/>
      <c r="N16" s="19">
        <f t="shared" si="1"/>
        <v>0</v>
      </c>
      <c r="O16" s="11"/>
      <c r="P16" s="2">
        <f>--99175.84</f>
        <v>99175.84</v>
      </c>
      <c r="Q16" s="2"/>
      <c r="R16" s="19"/>
      <c r="S16" s="2"/>
      <c r="T16" s="2"/>
      <c r="U16" s="2"/>
      <c r="V16" s="19"/>
      <c r="W16" s="2"/>
      <c r="X16" s="2">
        <f t="shared" si="2"/>
        <v>99175.84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"4043", " - ", "TAXABLE SALES-CARDS")</f>
        <v xml:space="preserve">          4043 - TAXABLE SALES-CARDS</v>
      </c>
      <c r="C17" s="11"/>
      <c r="D17" s="2">
        <f>--4266.49</f>
        <v>4266.49</v>
      </c>
      <c r="E17" s="2"/>
      <c r="F17" s="19"/>
      <c r="G17" s="2"/>
      <c r="H17" s="2"/>
      <c r="I17" s="2"/>
      <c r="J17" s="19"/>
      <c r="K17" s="2"/>
      <c r="L17" s="2">
        <f t="shared" si="0"/>
        <v>4266.49</v>
      </c>
      <c r="M17" s="2"/>
      <c r="N17" s="19">
        <f t="shared" si="1"/>
        <v>0</v>
      </c>
      <c r="O17" s="11"/>
      <c r="P17" s="2">
        <f>--4689.06</f>
        <v>4689.0600000000004</v>
      </c>
      <c r="Q17" s="2"/>
      <c r="R17" s="19"/>
      <c r="S17" s="2"/>
      <c r="T17" s="2"/>
      <c r="U17" s="2"/>
      <c r="V17" s="19"/>
      <c r="W17" s="2"/>
      <c r="X17" s="2">
        <f t="shared" si="2"/>
        <v>4689.0600000000004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"4044", " - ", "TAXABLE SALES-ACCESSORIES")</f>
        <v xml:space="preserve">          4044 - TAXABLE SALES-ACCESSORIES</v>
      </c>
      <c r="C18" s="11"/>
      <c r="D18" s="2">
        <f>--7506.24</f>
        <v>7506.24</v>
      </c>
      <c r="E18" s="2"/>
      <c r="F18" s="19"/>
      <c r="G18" s="2"/>
      <c r="H18" s="2"/>
      <c r="I18" s="2"/>
      <c r="J18" s="19"/>
      <c r="K18" s="2"/>
      <c r="L18" s="2">
        <f t="shared" si="0"/>
        <v>7506.24</v>
      </c>
      <c r="M18" s="2"/>
      <c r="N18" s="19">
        <f t="shared" si="1"/>
        <v>0</v>
      </c>
      <c r="O18" s="11"/>
      <c r="P18" s="2">
        <f>--39360.44</f>
        <v>39360.44</v>
      </c>
      <c r="Q18" s="2"/>
      <c r="R18" s="19"/>
      <c r="S18" s="2"/>
      <c r="T18" s="2"/>
      <c r="U18" s="2"/>
      <c r="V18" s="19"/>
      <c r="W18" s="2"/>
      <c r="X18" s="2">
        <f t="shared" si="2"/>
        <v>39360.44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"4045", " - ", "TAXABLE SALES-SPECIAL ORDERS")</f>
        <v xml:space="preserve">          4045 - TAXABLE SALES-SPECIAL ORDERS</v>
      </c>
      <c r="C19" s="11"/>
      <c r="D19" s="2">
        <f>--18575.49</f>
        <v>18575.490000000002</v>
      </c>
      <c r="E19" s="2"/>
      <c r="F19" s="19"/>
      <c r="G19" s="2"/>
      <c r="H19" s="2"/>
      <c r="I19" s="2"/>
      <c r="J19" s="19"/>
      <c r="K19" s="2"/>
      <c r="L19" s="2">
        <f t="shared" si="0"/>
        <v>18575.490000000002</v>
      </c>
      <c r="M19" s="2"/>
      <c r="N19" s="19">
        <f t="shared" si="1"/>
        <v>0</v>
      </c>
      <c r="O19" s="11"/>
      <c r="P19" s="2">
        <f>--54060.83</f>
        <v>54060.83</v>
      </c>
      <c r="Q19" s="2"/>
      <c r="R19" s="19"/>
      <c r="S19" s="2"/>
      <c r="T19" s="2"/>
      <c r="U19" s="2"/>
      <c r="V19" s="19"/>
      <c r="W19" s="2"/>
      <c r="X19" s="2">
        <f t="shared" si="2"/>
        <v>54060.83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"4140", " - ", "NON-TAXABLE SALES-LOGO CLOTHIN")</f>
        <v xml:space="preserve">          4140 - NON-TAXABLE SALES-LOGO CLOTHIN</v>
      </c>
      <c r="C20" s="11"/>
      <c r="D20" s="2">
        <f>--7373.27</f>
        <v>7373.27</v>
      </c>
      <c r="E20" s="2"/>
      <c r="F20" s="19"/>
      <c r="G20" s="2"/>
      <c r="H20" s="2"/>
      <c r="I20" s="2"/>
      <c r="J20" s="19"/>
      <c r="K20" s="2"/>
      <c r="L20" s="2">
        <f t="shared" si="0"/>
        <v>7373.27</v>
      </c>
      <c r="M20" s="2"/>
      <c r="N20" s="19">
        <f t="shared" si="1"/>
        <v>0</v>
      </c>
      <c r="O20" s="11"/>
      <c r="P20" s="2">
        <f>--20008.79</f>
        <v>20008.79</v>
      </c>
      <c r="Q20" s="2"/>
      <c r="R20" s="19"/>
      <c r="S20" s="2"/>
      <c r="T20" s="2"/>
      <c r="U20" s="2"/>
      <c r="V20" s="19"/>
      <c r="W20" s="2"/>
      <c r="X20" s="2">
        <f t="shared" si="2"/>
        <v>20008.79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"4141", " - ", "NON-TAXABLE SALES-LOGO GIFTS")</f>
        <v xml:space="preserve">          4141 - NON-TAXABLE SALES-LOGO GIFTS</v>
      </c>
      <c r="C21" s="11"/>
      <c r="D21" s="2">
        <f>--434.35</f>
        <v>434.35</v>
      </c>
      <c r="E21" s="2"/>
      <c r="F21" s="19"/>
      <c r="G21" s="2"/>
      <c r="H21" s="2"/>
      <c r="I21" s="2"/>
      <c r="J21" s="19"/>
      <c r="K21" s="2"/>
      <c r="L21" s="2">
        <f t="shared" si="0"/>
        <v>434.35</v>
      </c>
      <c r="M21" s="2"/>
      <c r="N21" s="19">
        <f t="shared" si="1"/>
        <v>0</v>
      </c>
      <c r="O21" s="11"/>
      <c r="P21" s="2">
        <f>--1677.53</f>
        <v>1677.53</v>
      </c>
      <c r="Q21" s="2"/>
      <c r="R21" s="19"/>
      <c r="S21" s="2"/>
      <c r="T21" s="2"/>
      <c r="U21" s="2"/>
      <c r="V21" s="19"/>
      <c r="W21" s="2"/>
      <c r="X21" s="2">
        <f t="shared" si="2"/>
        <v>1677.53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>--843.26</f>
        <v>843.26</v>
      </c>
      <c r="E22" s="2"/>
      <c r="F22" s="19"/>
      <c r="G22" s="2"/>
      <c r="H22" s="2"/>
      <c r="I22" s="2"/>
      <c r="J22" s="19"/>
      <c r="K22" s="2"/>
      <c r="L22" s="2">
        <f t="shared" si="0"/>
        <v>843.26</v>
      </c>
      <c r="M22" s="2"/>
      <c r="N22" s="19">
        <f t="shared" si="1"/>
        <v>0</v>
      </c>
      <c r="O22" s="11"/>
      <c r="P22" s="2">
        <f>--2257</f>
        <v>2257</v>
      </c>
      <c r="Q22" s="2"/>
      <c r="R22" s="19"/>
      <c r="S22" s="2"/>
      <c r="T22" s="2"/>
      <c r="U22" s="2"/>
      <c r="V22" s="19"/>
      <c r="W22" s="2"/>
      <c r="X22" s="2">
        <f t="shared" si="2"/>
        <v>2257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"4144", " - ", "NON-TAXABLE SALES-ACCESSORIES")</f>
        <v xml:space="preserve">          4144 - NON-TAXABLE SALES-ACCESSORIES</v>
      </c>
      <c r="C23" s="11"/>
      <c r="D23" s="2">
        <f>--29.95</f>
        <v>29.95</v>
      </c>
      <c r="E23" s="2"/>
      <c r="F23" s="19"/>
      <c r="G23" s="2"/>
      <c r="H23" s="2"/>
      <c r="I23" s="2"/>
      <c r="J23" s="19"/>
      <c r="K23" s="2"/>
      <c r="L23" s="2">
        <f t="shared" si="0"/>
        <v>29.95</v>
      </c>
      <c r="M23" s="2"/>
      <c r="N23" s="19">
        <f t="shared" si="1"/>
        <v>0</v>
      </c>
      <c r="O23" s="11"/>
      <c r="P23" s="2">
        <f>--241.56</f>
        <v>241.56</v>
      </c>
      <c r="Q23" s="2"/>
      <c r="R23" s="19"/>
      <c r="S23" s="2"/>
      <c r="T23" s="2"/>
      <c r="U23" s="2"/>
      <c r="V23" s="19"/>
      <c r="W23" s="2"/>
      <c r="X23" s="2">
        <f t="shared" si="2"/>
        <v>241.56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"4145", " - ", "NON-TAXABLE SALES-SPECIAL ORDE")</f>
        <v xml:space="preserve">          4145 - NON-TAXABLE SALES-SPECIAL ORDE</v>
      </c>
      <c r="C24" s="11"/>
      <c r="D24" s="2">
        <f>--50</f>
        <v>50</v>
      </c>
      <c r="E24" s="2"/>
      <c r="F24" s="19"/>
      <c r="G24" s="2"/>
      <c r="H24" s="2"/>
      <c r="I24" s="2"/>
      <c r="J24" s="19"/>
      <c r="K24" s="2"/>
      <c r="L24" s="2">
        <f t="shared" si="0"/>
        <v>50</v>
      </c>
      <c r="M24" s="2"/>
      <c r="N24" s="19">
        <f t="shared" si="1"/>
        <v>0</v>
      </c>
      <c r="O24" s="11"/>
      <c r="P24" s="2">
        <f>--140</f>
        <v>140</v>
      </c>
      <c r="Q24" s="2"/>
      <c r="R24" s="19"/>
      <c r="S24" s="2"/>
      <c r="T24" s="2"/>
      <c r="U24" s="2"/>
      <c r="V24" s="19"/>
      <c r="W24" s="2"/>
      <c r="X24" s="2">
        <f t="shared" si="2"/>
        <v>140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"4240", " - ", "SALES RETURN TAXABLE-LOGO CLOT")</f>
        <v xml:space="preserve">          4240 - SALES RETURN TAXABLE-LOGO CLOT</v>
      </c>
      <c r="C25" s="11"/>
      <c r="D25" s="2">
        <f>-9401.37</f>
        <v>-9401.3700000000008</v>
      </c>
      <c r="E25" s="2"/>
      <c r="F25" s="19"/>
      <c r="G25" s="2"/>
      <c r="H25" s="2"/>
      <c r="I25" s="2"/>
      <c r="J25" s="19"/>
      <c r="K25" s="2"/>
      <c r="L25" s="2">
        <f t="shared" si="0"/>
        <v>-9401.3700000000008</v>
      </c>
      <c r="M25" s="2"/>
      <c r="N25" s="19">
        <f t="shared" si="1"/>
        <v>0</v>
      </c>
      <c r="O25" s="11"/>
      <c r="P25" s="2">
        <f>-34457.93</f>
        <v>-34457.93</v>
      </c>
      <c r="Q25" s="2"/>
      <c r="R25" s="19"/>
      <c r="S25" s="2"/>
      <c r="T25" s="2"/>
      <c r="U25" s="2"/>
      <c r="V25" s="19"/>
      <c r="W25" s="2"/>
      <c r="X25" s="2">
        <f t="shared" si="2"/>
        <v>-34457.93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"4241", " - ", "SALES RETURN TAXABLE-LOGO GIFT")</f>
        <v xml:space="preserve">          4241 - SALES RETURN TAXABLE-LOGO GIFT</v>
      </c>
      <c r="C26" s="11"/>
      <c r="D26" s="2">
        <f>-356.48</f>
        <v>-356.48</v>
      </c>
      <c r="E26" s="2"/>
      <c r="F26" s="19"/>
      <c r="G26" s="2"/>
      <c r="H26" s="2"/>
      <c r="I26" s="2"/>
      <c r="J26" s="19"/>
      <c r="K26" s="2"/>
      <c r="L26" s="2">
        <f t="shared" si="0"/>
        <v>-356.48</v>
      </c>
      <c r="M26" s="2"/>
      <c r="N26" s="19">
        <f t="shared" si="1"/>
        <v>0</v>
      </c>
      <c r="O26" s="11"/>
      <c r="P26" s="2">
        <f>-1705.43</f>
        <v>-1705.43</v>
      </c>
      <c r="Q26" s="2"/>
      <c r="R26" s="19"/>
      <c r="S26" s="2"/>
      <c r="T26" s="2"/>
      <c r="U26" s="2"/>
      <c r="V26" s="19"/>
      <c r="W26" s="2"/>
      <c r="X26" s="2">
        <f t="shared" si="2"/>
        <v>-1705.43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"4242", " - ", "SALES RETURN TAXABLE-EVERYDAY")</f>
        <v xml:space="preserve">          4242 - SALES RETURN TAXABLE-EVERYDAY</v>
      </c>
      <c r="C27" s="11"/>
      <c r="D27" s="2">
        <f>-305.3</f>
        <v>-305.3</v>
      </c>
      <c r="E27" s="2"/>
      <c r="F27" s="19"/>
      <c r="G27" s="2"/>
      <c r="H27" s="2"/>
      <c r="I27" s="2"/>
      <c r="J27" s="19"/>
      <c r="K27" s="2"/>
      <c r="L27" s="2">
        <f t="shared" si="0"/>
        <v>-305.3</v>
      </c>
      <c r="M27" s="2"/>
      <c r="N27" s="19">
        <f t="shared" si="1"/>
        <v>0</v>
      </c>
      <c r="O27" s="11"/>
      <c r="P27" s="2">
        <f>-1160.58</f>
        <v>-1160.58</v>
      </c>
      <c r="Q27" s="2"/>
      <c r="R27" s="19"/>
      <c r="S27" s="2"/>
      <c r="T27" s="2"/>
      <c r="U27" s="2"/>
      <c r="V27" s="19"/>
      <c r="W27" s="2"/>
      <c r="X27" s="2">
        <f t="shared" si="2"/>
        <v>-1160.58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"4243", " - ", "SALES RETURN TAXABLE-CARDS")</f>
        <v xml:space="preserve">          4243 - SALES RETURN TAXABLE-CARDS</v>
      </c>
      <c r="C28" s="11"/>
      <c r="D28" s="2">
        <f>-316.34</f>
        <v>-316.33999999999997</v>
      </c>
      <c r="E28" s="2"/>
      <c r="F28" s="19"/>
      <c r="G28" s="2"/>
      <c r="H28" s="2"/>
      <c r="I28" s="2"/>
      <c r="J28" s="19"/>
      <c r="K28" s="2"/>
      <c r="L28" s="2">
        <f t="shared" si="0"/>
        <v>-316.33999999999997</v>
      </c>
      <c r="M28" s="2"/>
      <c r="N28" s="19">
        <f t="shared" si="1"/>
        <v>0</v>
      </c>
      <c r="O28" s="11"/>
      <c r="P28" s="2">
        <f>-320.84</f>
        <v>-320.83999999999997</v>
      </c>
      <c r="Q28" s="2"/>
      <c r="R28" s="19"/>
      <c r="S28" s="2"/>
      <c r="T28" s="2"/>
      <c r="U28" s="2"/>
      <c r="V28" s="19"/>
      <c r="W28" s="2"/>
      <c r="X28" s="2">
        <f t="shared" si="2"/>
        <v>-320.83999999999997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"4244", " - ", "SALES RETURN TAXABLE-ACCESSORI")</f>
        <v xml:space="preserve">          4244 - SALES RETURN TAXABLE-ACCESSORI</v>
      </c>
      <c r="C29" s="11"/>
      <c r="D29" s="2">
        <f>-53.8</f>
        <v>-53.8</v>
      </c>
      <c r="E29" s="2"/>
      <c r="F29" s="19"/>
      <c r="G29" s="2"/>
      <c r="H29" s="2"/>
      <c r="I29" s="2"/>
      <c r="J29" s="19"/>
      <c r="K29" s="2"/>
      <c r="L29" s="2">
        <f t="shared" si="0"/>
        <v>-53.8</v>
      </c>
      <c r="M29" s="2"/>
      <c r="N29" s="19">
        <f t="shared" si="1"/>
        <v>0</v>
      </c>
      <c r="O29" s="11"/>
      <c r="P29" s="2">
        <f>-1463.21</f>
        <v>-1463.21</v>
      </c>
      <c r="Q29" s="2"/>
      <c r="R29" s="19"/>
      <c r="S29" s="2"/>
      <c r="T29" s="2"/>
      <c r="U29" s="2"/>
      <c r="V29" s="19"/>
      <c r="W29" s="2"/>
      <c r="X29" s="2">
        <f t="shared" si="2"/>
        <v>-1463.21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"4245", " - ", "SALES RETURN TAXABLE-SPECIAL O")</f>
        <v xml:space="preserve">          4245 - SALES RETURN TAXABLE-SPECIAL O</v>
      </c>
      <c r="C30" s="11"/>
      <c r="D30" s="2">
        <f>0</f>
        <v>0</v>
      </c>
      <c r="E30" s="2"/>
      <c r="F30" s="19"/>
      <c r="G30" s="2"/>
      <c r="H30" s="2"/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-81.97</f>
        <v>-81.97</v>
      </c>
      <c r="Q30" s="2"/>
      <c r="R30" s="19"/>
      <c r="S30" s="2"/>
      <c r="T30" s="2"/>
      <c r="U30" s="2"/>
      <c r="V30" s="19"/>
      <c r="W30" s="2"/>
      <c r="X30" s="2">
        <f t="shared" si="2"/>
        <v>-81.97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"4340", " - ", "SALES RETURN NON TAXABLE-LOGO")</f>
        <v xml:space="preserve">          4340 - SALES RETURN NON TAXABLE-LOGO</v>
      </c>
      <c r="C31" s="11"/>
      <c r="D31" s="2">
        <f>-29.95</f>
        <v>-29.95</v>
      </c>
      <c r="E31" s="2"/>
      <c r="F31" s="19"/>
      <c r="G31" s="2"/>
      <c r="H31" s="2"/>
      <c r="I31" s="2"/>
      <c r="J31" s="19"/>
      <c r="K31" s="2"/>
      <c r="L31" s="2">
        <f t="shared" si="0"/>
        <v>-29.95</v>
      </c>
      <c r="M31" s="2"/>
      <c r="N31" s="19">
        <f t="shared" si="1"/>
        <v>0</v>
      </c>
      <c r="O31" s="11"/>
      <c r="P31" s="2">
        <f>-323.4</f>
        <v>-323.39999999999998</v>
      </c>
      <c r="Q31" s="2"/>
      <c r="R31" s="19"/>
      <c r="S31" s="2"/>
      <c r="T31" s="2"/>
      <c r="U31" s="2"/>
      <c r="V31" s="19"/>
      <c r="W31" s="2"/>
      <c r="X31" s="2">
        <f t="shared" si="2"/>
        <v>-323.39999999999998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"4341", " - ", "SALES RETURN NON TAXABLE-LOGO")</f>
        <v xml:space="preserve">          4341 - SALES RETURN NON TAXABLE-LOGO</v>
      </c>
      <c r="C32" s="11"/>
      <c r="D32" s="2">
        <f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-10.9</f>
        <v>-10.9</v>
      </c>
      <c r="Q32" s="2"/>
      <c r="R32" s="19"/>
      <c r="S32" s="2"/>
      <c r="T32" s="2"/>
      <c r="U32" s="2"/>
      <c r="V32" s="19"/>
      <c r="W32" s="2"/>
      <c r="X32" s="2">
        <f t="shared" si="2"/>
        <v>-10.9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"4342", " - ", "SALES RETURN NON TAXABLE-EVERY")</f>
        <v xml:space="preserve">          4342 - SALES RETURN NON TAXABLE-EVERY</v>
      </c>
      <c r="C33" s="11"/>
      <c r="D33" s="2">
        <f>-6.95</f>
        <v>-6.95</v>
      </c>
      <c r="E33" s="2"/>
      <c r="F33" s="19"/>
      <c r="G33" s="2"/>
      <c r="H33" s="2"/>
      <c r="I33" s="2"/>
      <c r="J33" s="19"/>
      <c r="K33" s="2"/>
      <c r="L33" s="2">
        <f t="shared" si="0"/>
        <v>-6.95</v>
      </c>
      <c r="M33" s="2"/>
      <c r="N33" s="19">
        <f t="shared" si="1"/>
        <v>0</v>
      </c>
      <c r="O33" s="11"/>
      <c r="P33" s="2">
        <f>-109.8</f>
        <v>-109.8</v>
      </c>
      <c r="Q33" s="2"/>
      <c r="R33" s="19"/>
      <c r="S33" s="2"/>
      <c r="T33" s="2"/>
      <c r="U33" s="2"/>
      <c r="V33" s="19"/>
      <c r="W33" s="2"/>
      <c r="X33" s="2">
        <f t="shared" si="2"/>
        <v>-109.8</v>
      </c>
      <c r="Y33" s="2"/>
      <c r="Z33" s="19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9" t="s">
        <v>8</v>
      </c>
      <c r="C35" s="10"/>
      <c r="D35" s="4">
        <f>SUM(OSRRefD16x_0)</f>
        <v>138881.84</v>
      </c>
      <c r="E35" s="4"/>
      <c r="F35" s="12">
        <f t="shared" ref="F35:F51" si="4">IF(D$12=0,0,D35/D$12)</f>
        <v>0.47635462924954286</v>
      </c>
      <c r="G35" s="4"/>
      <c r="H35" s="4">
        <f>SUM(OSRRefH16x_0)</f>
        <v>97770</v>
      </c>
      <c r="I35" s="4"/>
      <c r="J35" s="12">
        <f t="shared" ref="J35:J51" si="5">IF(H$12=0,0,H35/H$12)</f>
        <v>0.44705075445816189</v>
      </c>
      <c r="K35" s="4"/>
      <c r="L35" s="4">
        <f t="shared" ref="L35:L51" si="6">+D35-H35</f>
        <v>41111.839999999997</v>
      </c>
      <c r="M35" s="4"/>
      <c r="N35" s="12">
        <f t="shared" ref="N35:N51" si="7">IF(H35=0,0,L35/H35)</f>
        <v>0.42049544850158532</v>
      </c>
      <c r="O35" s="10"/>
      <c r="P35" s="4">
        <f>SUM(OSRRefP16x_0)</f>
        <v>567581.90999999992</v>
      </c>
      <c r="Q35" s="4"/>
      <c r="R35" s="12">
        <f t="shared" ref="R35:R51" si="8">IF(P$12=0,0,P35/P$12)</f>
        <v>0.46542988099966087</v>
      </c>
      <c r="S35" s="4"/>
      <c r="T35" s="4">
        <f>SUM(OSRRefT16x_0)</f>
        <v>508822.99999999994</v>
      </c>
      <c r="U35" s="4"/>
      <c r="V35" s="12">
        <f t="shared" ref="V35:V51" si="9">IF(T$12=0,0,T35/T$12)</f>
        <v>0.45892334666988954</v>
      </c>
      <c r="W35" s="4"/>
      <c r="X35" s="4">
        <f t="shared" ref="X35:X51" si="10">+P35-T35</f>
        <v>58758.909999999974</v>
      </c>
      <c r="Y35" s="4"/>
      <c r="Z35" s="12">
        <f t="shared" ref="Z35:Z51" si="11">IF(T35=0,0,X35/T35)</f>
        <v>0.11548005888098609</v>
      </c>
    </row>
    <row r="36" spans="1:26" s="24" customFormat="1" hidden="1" outlineLevel="1" x14ac:dyDescent="0.25">
      <c r="A36" s="44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19">
        <f t="shared" si="4"/>
        <v>0</v>
      </c>
      <c r="G36" s="2"/>
      <c r="H36" s="2">
        <v>97770</v>
      </c>
      <c r="I36" s="2"/>
      <c r="J36" s="19">
        <f t="shared" si="5"/>
        <v>0.44705075445816189</v>
      </c>
      <c r="K36" s="2"/>
      <c r="L36" s="2">
        <f t="shared" si="6"/>
        <v>-97770</v>
      </c>
      <c r="M36" s="2"/>
      <c r="N36" s="19">
        <f t="shared" si="7"/>
        <v>-1</v>
      </c>
      <c r="O36" s="11"/>
      <c r="P36" s="2"/>
      <c r="Q36" s="2"/>
      <c r="R36" s="19">
        <f t="shared" si="8"/>
        <v>0</v>
      </c>
      <c r="S36" s="2"/>
      <c r="T36" s="2">
        <v>508822.99999999994</v>
      </c>
      <c r="U36" s="2"/>
      <c r="V36" s="19">
        <f t="shared" si="9"/>
        <v>0.45892334666988954</v>
      </c>
      <c r="W36" s="2"/>
      <c r="X36" s="2">
        <f t="shared" si="10"/>
        <v>-508822.99999999994</v>
      </c>
      <c r="Y36" s="2"/>
      <c r="Z36" s="19">
        <f t="shared" si="11"/>
        <v>-1</v>
      </c>
    </row>
    <row r="37" spans="1:26" s="24" customFormat="1" hidden="1" outlineLevel="1" x14ac:dyDescent="0.25">
      <c r="A37" s="44"/>
      <c r="B37" s="11" t="str">
        <f>CONCATENATE("          ", "5040", " - ", "PURCHASES @ COST-LOGO CLOTHING")</f>
        <v xml:space="preserve">          5040 - PURCHASES @ COST-LOGO CLOTHING</v>
      </c>
      <c r="C37" s="11"/>
      <c r="D37" s="2">
        <v>81094.739999999991</v>
      </c>
      <c r="E37" s="2"/>
      <c r="F37" s="19">
        <f t="shared" si="4"/>
        <v>0.27814907123053723</v>
      </c>
      <c r="G37" s="2"/>
      <c r="H37" s="2"/>
      <c r="I37" s="2"/>
      <c r="J37" s="19">
        <f t="shared" si="5"/>
        <v>0</v>
      </c>
      <c r="K37" s="2"/>
      <c r="L37" s="2">
        <f t="shared" si="6"/>
        <v>81094.739999999991</v>
      </c>
      <c r="M37" s="2"/>
      <c r="N37" s="19">
        <f t="shared" si="7"/>
        <v>0</v>
      </c>
      <c r="O37" s="11"/>
      <c r="P37" s="2">
        <v>492920.12</v>
      </c>
      <c r="Q37" s="2"/>
      <c r="R37" s="19">
        <f t="shared" si="8"/>
        <v>0.40420554064864156</v>
      </c>
      <c r="S37" s="2"/>
      <c r="T37" s="2"/>
      <c r="U37" s="2"/>
      <c r="V37" s="19">
        <f t="shared" si="9"/>
        <v>0</v>
      </c>
      <c r="W37" s="2"/>
      <c r="X37" s="2">
        <f t="shared" si="10"/>
        <v>492920.12</v>
      </c>
      <c r="Y37" s="2"/>
      <c r="Z37" s="19">
        <f t="shared" si="11"/>
        <v>0</v>
      </c>
    </row>
    <row r="38" spans="1:26" s="24" customFormat="1" hidden="1" outlineLevel="1" x14ac:dyDescent="0.25">
      <c r="A38" s="44"/>
      <c r="B38" s="11" t="str">
        <f>CONCATENATE("          ", "5041", " - ", "PURCHASES @ COST-LOGO GIFTS")</f>
        <v xml:space="preserve">          5041 - PURCHASES @ COST-LOGO GIFTS</v>
      </c>
      <c r="C38" s="11"/>
      <c r="D38" s="2">
        <v>15680.369999999999</v>
      </c>
      <c r="E38" s="2"/>
      <c r="F38" s="19">
        <f t="shared" si="4"/>
        <v>5.3782530803492053E-2</v>
      </c>
      <c r="G38" s="2"/>
      <c r="H38" s="2"/>
      <c r="I38" s="2"/>
      <c r="J38" s="19">
        <f t="shared" si="5"/>
        <v>0</v>
      </c>
      <c r="K38" s="2"/>
      <c r="L38" s="2">
        <f t="shared" si="6"/>
        <v>15680.369999999999</v>
      </c>
      <c r="M38" s="2"/>
      <c r="N38" s="19">
        <f t="shared" si="7"/>
        <v>0</v>
      </c>
      <c r="O38" s="11"/>
      <c r="P38" s="2">
        <v>74082.19</v>
      </c>
      <c r="Q38" s="2"/>
      <c r="R38" s="19">
        <f t="shared" si="8"/>
        <v>6.0749055366994119E-2</v>
      </c>
      <c r="S38" s="2"/>
      <c r="T38" s="2"/>
      <c r="U38" s="2"/>
      <c r="V38" s="19">
        <f t="shared" si="9"/>
        <v>0</v>
      </c>
      <c r="W38" s="2"/>
      <c r="X38" s="2">
        <f t="shared" si="10"/>
        <v>74082.19</v>
      </c>
      <c r="Y38" s="2"/>
      <c r="Z38" s="19">
        <f t="shared" si="11"/>
        <v>0</v>
      </c>
    </row>
    <row r="39" spans="1:26" s="24" customFormat="1" hidden="1" outlineLevel="1" x14ac:dyDescent="0.25">
      <c r="A39" s="44"/>
      <c r="B39" s="11" t="str">
        <f>CONCATENATE("          ", "5042", " - ", "PURCHASES @ COST-EVERYDAY GIFT")</f>
        <v xml:space="preserve">          5042 - PURCHASES @ COST-EVERYDAY GIFT</v>
      </c>
      <c r="C39" s="11"/>
      <c r="D39" s="2">
        <v>26888.44</v>
      </c>
      <c r="E39" s="2"/>
      <c r="F39" s="19">
        <f t="shared" si="4"/>
        <v>9.2225397267911902E-2</v>
      </c>
      <c r="G39" s="2"/>
      <c r="H39" s="2"/>
      <c r="I39" s="2"/>
      <c r="J39" s="19">
        <f t="shared" si="5"/>
        <v>0</v>
      </c>
      <c r="K39" s="2"/>
      <c r="L39" s="2">
        <f t="shared" si="6"/>
        <v>26888.44</v>
      </c>
      <c r="M39" s="2"/>
      <c r="N39" s="19">
        <f t="shared" si="7"/>
        <v>0</v>
      </c>
      <c r="O39" s="11"/>
      <c r="P39" s="2">
        <v>66696.37000000001</v>
      </c>
      <c r="Q39" s="2"/>
      <c r="R39" s="19">
        <f t="shared" si="8"/>
        <v>5.4692517512070396E-2</v>
      </c>
      <c r="S39" s="2"/>
      <c r="T39" s="2"/>
      <c r="U39" s="2"/>
      <c r="V39" s="19">
        <f t="shared" si="9"/>
        <v>0</v>
      </c>
      <c r="W39" s="2"/>
      <c r="X39" s="2">
        <f t="shared" si="10"/>
        <v>66696.37000000001</v>
      </c>
      <c r="Y39" s="2"/>
      <c r="Z39" s="19">
        <f t="shared" si="11"/>
        <v>0</v>
      </c>
    </row>
    <row r="40" spans="1:26" s="24" customFormat="1" hidden="1" outlineLevel="1" x14ac:dyDescent="0.25">
      <c r="A40" s="44"/>
      <c r="B40" s="11" t="str">
        <f>CONCATENATE("          ", "5043", " - ", "PURCHASES @ COST-CARDS")</f>
        <v xml:space="preserve">          5043 - PURCHASES @ COST-CARDS</v>
      </c>
      <c r="C40" s="11"/>
      <c r="D40" s="2">
        <v>2095.2600000000002</v>
      </c>
      <c r="E40" s="2"/>
      <c r="F40" s="19">
        <f t="shared" si="4"/>
        <v>7.1865896972663768E-3</v>
      </c>
      <c r="G40" s="2"/>
      <c r="H40" s="2"/>
      <c r="I40" s="2"/>
      <c r="J40" s="19">
        <f t="shared" si="5"/>
        <v>0</v>
      </c>
      <c r="K40" s="2"/>
      <c r="L40" s="2">
        <f t="shared" si="6"/>
        <v>2095.2600000000002</v>
      </c>
      <c r="M40" s="2"/>
      <c r="N40" s="19">
        <f t="shared" si="7"/>
        <v>0</v>
      </c>
      <c r="O40" s="11"/>
      <c r="P40" s="2">
        <v>3435.34</v>
      </c>
      <c r="Q40" s="2"/>
      <c r="R40" s="19">
        <f t="shared" si="8"/>
        <v>2.8170557574560039E-3</v>
      </c>
      <c r="S40" s="2"/>
      <c r="T40" s="2"/>
      <c r="U40" s="2"/>
      <c r="V40" s="19">
        <f t="shared" si="9"/>
        <v>0</v>
      </c>
      <c r="W40" s="2"/>
      <c r="X40" s="2">
        <f t="shared" si="10"/>
        <v>3435.34</v>
      </c>
      <c r="Y40" s="2"/>
      <c r="Z40" s="19">
        <f t="shared" si="11"/>
        <v>0</v>
      </c>
    </row>
    <row r="41" spans="1:26" s="24" customFormat="1" hidden="1" outlineLevel="1" x14ac:dyDescent="0.25">
      <c r="A41" s="44"/>
      <c r="B41" s="11" t="str">
        <f>CONCATENATE("          ", "5044", " - ", "PURCHASES @ COST-ACCESSORIES")</f>
        <v xml:space="preserve">          5044 - PURCHASES @ COST-ACCESSORIES</v>
      </c>
      <c r="C41" s="11"/>
      <c r="D41" s="2">
        <v>822.18</v>
      </c>
      <c r="E41" s="2"/>
      <c r="F41" s="19">
        <f t="shared" si="4"/>
        <v>2.8200177148890678E-3</v>
      </c>
      <c r="G41" s="2"/>
      <c r="H41" s="2"/>
      <c r="I41" s="2"/>
      <c r="J41" s="19">
        <f t="shared" si="5"/>
        <v>0</v>
      </c>
      <c r="K41" s="2"/>
      <c r="L41" s="2">
        <f t="shared" si="6"/>
        <v>822.18</v>
      </c>
      <c r="M41" s="2"/>
      <c r="N41" s="19">
        <f t="shared" si="7"/>
        <v>0</v>
      </c>
      <c r="O41" s="11"/>
      <c r="P41" s="2">
        <v>22620.74</v>
      </c>
      <c r="Q41" s="2"/>
      <c r="R41" s="19">
        <f t="shared" si="8"/>
        <v>1.854951354303077E-2</v>
      </c>
      <c r="S41" s="2"/>
      <c r="T41" s="2"/>
      <c r="U41" s="2"/>
      <c r="V41" s="19">
        <f t="shared" si="9"/>
        <v>0</v>
      </c>
      <c r="W41" s="2"/>
      <c r="X41" s="2">
        <f t="shared" si="10"/>
        <v>22620.74</v>
      </c>
      <c r="Y41" s="2"/>
      <c r="Z41" s="19">
        <f t="shared" si="11"/>
        <v>0</v>
      </c>
    </row>
    <row r="42" spans="1:26" s="24" customFormat="1" hidden="1" outlineLevel="1" x14ac:dyDescent="0.25">
      <c r="A42" s="44"/>
      <c r="B42" s="11" t="str">
        <f>CONCATENATE("          ", "5045", " - ", "PURCHASES @ COST-SPECIAL ORDER")</f>
        <v xml:space="preserve">          5045 - PURCHASES @ COST-SPECIAL ORDER</v>
      </c>
      <c r="C42" s="11"/>
      <c r="D42" s="2">
        <v>14178.29</v>
      </c>
      <c r="E42" s="2"/>
      <c r="F42" s="19">
        <f t="shared" si="4"/>
        <v>4.8630505445078361E-2</v>
      </c>
      <c r="G42" s="2"/>
      <c r="H42" s="2"/>
      <c r="I42" s="2"/>
      <c r="J42" s="19">
        <f t="shared" si="5"/>
        <v>0</v>
      </c>
      <c r="K42" s="2"/>
      <c r="L42" s="2">
        <f t="shared" si="6"/>
        <v>14178.29</v>
      </c>
      <c r="M42" s="2"/>
      <c r="N42" s="19">
        <f t="shared" si="7"/>
        <v>0</v>
      </c>
      <c r="O42" s="11"/>
      <c r="P42" s="2">
        <v>43209.689999999995</v>
      </c>
      <c r="Q42" s="2"/>
      <c r="R42" s="19">
        <f t="shared" si="8"/>
        <v>3.5432913770511533E-2</v>
      </c>
      <c r="S42" s="2"/>
      <c r="T42" s="2"/>
      <c r="U42" s="2"/>
      <c r="V42" s="19">
        <f t="shared" si="9"/>
        <v>0</v>
      </c>
      <c r="W42" s="2"/>
      <c r="X42" s="2">
        <f t="shared" si="10"/>
        <v>43209.689999999995</v>
      </c>
      <c r="Y42" s="2"/>
      <c r="Z42" s="19">
        <f t="shared" si="11"/>
        <v>0</v>
      </c>
    </row>
    <row r="43" spans="1:26" s="24" customFormat="1" hidden="1" outlineLevel="1" x14ac:dyDescent="0.25">
      <c r="A43" s="44"/>
      <c r="B43" s="11" t="str">
        <f>CONCATENATE("          ", "5200", " - ", "PURCHASES OFFSET")</f>
        <v xml:space="preserve">          5200 - PURCHASES OFFSET</v>
      </c>
      <c r="C43" s="11"/>
      <c r="D43" s="2">
        <v>-149206</v>
      </c>
      <c r="E43" s="2"/>
      <c r="F43" s="19">
        <f t="shared" si="4"/>
        <v>-0.51176574858028445</v>
      </c>
      <c r="G43" s="2"/>
      <c r="H43" s="2"/>
      <c r="I43" s="2"/>
      <c r="J43" s="19">
        <f t="shared" si="5"/>
        <v>0</v>
      </c>
      <c r="K43" s="2"/>
      <c r="L43" s="2">
        <f t="shared" si="6"/>
        <v>-149206</v>
      </c>
      <c r="M43" s="2"/>
      <c r="N43" s="19">
        <f t="shared" si="7"/>
        <v>0</v>
      </c>
      <c r="O43" s="11"/>
      <c r="P43" s="2">
        <v>-728536</v>
      </c>
      <c r="Q43" s="2"/>
      <c r="R43" s="19">
        <f t="shared" si="8"/>
        <v>-0.59741584044489549</v>
      </c>
      <c r="S43" s="2"/>
      <c r="T43" s="2"/>
      <c r="U43" s="2"/>
      <c r="V43" s="19">
        <f t="shared" si="9"/>
        <v>0</v>
      </c>
      <c r="W43" s="2"/>
      <c r="X43" s="2">
        <f t="shared" si="10"/>
        <v>-728536</v>
      </c>
      <c r="Y43" s="2"/>
      <c r="Z43" s="19">
        <f t="shared" si="11"/>
        <v>0</v>
      </c>
    </row>
    <row r="44" spans="1:26" s="24" customFormat="1" hidden="1" outlineLevel="1" x14ac:dyDescent="0.25">
      <c r="A44" s="44"/>
      <c r="B44" s="11" t="str">
        <f>CONCATENATE("          ", "5300", " - ", "COG$ OFFSET")</f>
        <v xml:space="preserve">          5300 - COG$ OFFSET</v>
      </c>
      <c r="C44" s="11"/>
      <c r="D44" s="2">
        <v>138881</v>
      </c>
      <c r="E44" s="2"/>
      <c r="F44" s="19">
        <f t="shared" si="4"/>
        <v>0.47635174811052161</v>
      </c>
      <c r="G44" s="2"/>
      <c r="H44" s="2"/>
      <c r="I44" s="2"/>
      <c r="J44" s="19">
        <f t="shared" si="5"/>
        <v>0</v>
      </c>
      <c r="K44" s="2"/>
      <c r="L44" s="2">
        <f t="shared" si="6"/>
        <v>138881</v>
      </c>
      <c r="M44" s="2"/>
      <c r="N44" s="19">
        <f t="shared" si="7"/>
        <v>0</v>
      </c>
      <c r="O44" s="11"/>
      <c r="P44" s="2">
        <v>567554</v>
      </c>
      <c r="Q44" s="2"/>
      <c r="R44" s="19">
        <f t="shared" si="8"/>
        <v>0.46540699417442954</v>
      </c>
      <c r="S44" s="2"/>
      <c r="T44" s="2"/>
      <c r="U44" s="2"/>
      <c r="V44" s="19">
        <f t="shared" si="9"/>
        <v>0</v>
      </c>
      <c r="W44" s="2"/>
      <c r="X44" s="2">
        <f t="shared" si="10"/>
        <v>567554</v>
      </c>
      <c r="Y44" s="2"/>
      <c r="Z44" s="19">
        <f t="shared" si="11"/>
        <v>0</v>
      </c>
    </row>
    <row r="45" spans="1:26" s="24" customFormat="1" hidden="1" outlineLevel="1" x14ac:dyDescent="0.25">
      <c r="A45" s="44"/>
      <c r="B45" s="11" t="str">
        <f>CONCATENATE("          ", "5500", " - ", "FREIGHT-IN")</f>
        <v xml:space="preserve">          5500 - FREIGHT-IN</v>
      </c>
      <c r="C45" s="11"/>
      <c r="D45" s="2"/>
      <c r="E45" s="2"/>
      <c r="F45" s="19">
        <f t="shared" si="4"/>
        <v>0</v>
      </c>
      <c r="G45" s="2"/>
      <c r="H45" s="2"/>
      <c r="I45" s="2"/>
      <c r="J45" s="19">
        <f t="shared" si="5"/>
        <v>0</v>
      </c>
      <c r="K45" s="2"/>
      <c r="L45" s="2">
        <f t="shared" si="6"/>
        <v>0</v>
      </c>
      <c r="M45" s="2"/>
      <c r="N45" s="19">
        <f t="shared" si="7"/>
        <v>0</v>
      </c>
      <c r="O45" s="11"/>
      <c r="P45" s="2">
        <v>29.23</v>
      </c>
      <c r="Q45" s="2"/>
      <c r="R45" s="19">
        <f t="shared" si="8"/>
        <v>2.3969254801690367E-5</v>
      </c>
      <c r="S45" s="2"/>
      <c r="T45" s="2"/>
      <c r="U45" s="2"/>
      <c r="V45" s="19">
        <f t="shared" si="9"/>
        <v>0</v>
      </c>
      <c r="W45" s="2"/>
      <c r="X45" s="2">
        <f t="shared" si="10"/>
        <v>29.23</v>
      </c>
      <c r="Y45" s="2"/>
      <c r="Z45" s="19">
        <f t="shared" si="11"/>
        <v>0</v>
      </c>
    </row>
    <row r="46" spans="1:26" s="24" customFormat="1" hidden="1" outlineLevel="1" x14ac:dyDescent="0.25">
      <c r="A46" s="44"/>
      <c r="B46" s="11" t="str">
        <f>CONCATENATE("          ", "5540", " - ", "FREIGHT-IN-LOGO CLOTHING")</f>
        <v xml:space="preserve">          5540 - FREIGHT-IN-LOGO CLOTHING</v>
      </c>
      <c r="C46" s="11"/>
      <c r="D46" s="2">
        <v>6133.89</v>
      </c>
      <c r="E46" s="2"/>
      <c r="F46" s="19">
        <f t="shared" si="4"/>
        <v>2.1038797418060407E-2</v>
      </c>
      <c r="G46" s="2"/>
      <c r="H46" s="2"/>
      <c r="I46" s="2"/>
      <c r="J46" s="19">
        <f t="shared" si="5"/>
        <v>0</v>
      </c>
      <c r="K46" s="2"/>
      <c r="L46" s="2">
        <f t="shared" si="6"/>
        <v>6133.89</v>
      </c>
      <c r="M46" s="2"/>
      <c r="N46" s="19">
        <f t="shared" si="7"/>
        <v>0</v>
      </c>
      <c r="O46" s="11"/>
      <c r="P46" s="2">
        <v>20241.329999999998</v>
      </c>
      <c r="Q46" s="2"/>
      <c r="R46" s="19">
        <f t="shared" si="8"/>
        <v>1.6598344040201822E-2</v>
      </c>
      <c r="S46" s="2"/>
      <c r="T46" s="2"/>
      <c r="U46" s="2"/>
      <c r="V46" s="19">
        <f t="shared" si="9"/>
        <v>0</v>
      </c>
      <c r="W46" s="2"/>
      <c r="X46" s="2">
        <f t="shared" si="10"/>
        <v>20241.329999999998</v>
      </c>
      <c r="Y46" s="2"/>
      <c r="Z46" s="19">
        <f t="shared" si="11"/>
        <v>0</v>
      </c>
    </row>
    <row r="47" spans="1:26" s="24" customFormat="1" hidden="1" outlineLevel="1" x14ac:dyDescent="0.25">
      <c r="A47" s="44"/>
      <c r="B47" s="11" t="str">
        <f>CONCATENATE("          ", "5541", " - ", "FREIGHT-IN-LOGO GIFTS")</f>
        <v xml:space="preserve">          5541 - FREIGHT-IN-LOGO GIFTS</v>
      </c>
      <c r="C47" s="11"/>
      <c r="D47" s="2">
        <v>1315.98</v>
      </c>
      <c r="E47" s="2"/>
      <c r="F47" s="19">
        <f t="shared" si="4"/>
        <v>4.5137158681063947E-3</v>
      </c>
      <c r="G47" s="2"/>
      <c r="H47" s="2"/>
      <c r="I47" s="2"/>
      <c r="J47" s="19">
        <f t="shared" si="5"/>
        <v>0</v>
      </c>
      <c r="K47" s="2"/>
      <c r="L47" s="2">
        <f t="shared" si="6"/>
        <v>1315.98</v>
      </c>
      <c r="M47" s="2"/>
      <c r="N47" s="19">
        <f t="shared" si="7"/>
        <v>0</v>
      </c>
      <c r="O47" s="11"/>
      <c r="P47" s="2">
        <v>2852.83</v>
      </c>
      <c r="Q47" s="2"/>
      <c r="R47" s="19">
        <f t="shared" si="8"/>
        <v>2.3393845082417494E-3</v>
      </c>
      <c r="S47" s="2"/>
      <c r="T47" s="2"/>
      <c r="U47" s="2"/>
      <c r="V47" s="19">
        <f t="shared" si="9"/>
        <v>0</v>
      </c>
      <c r="W47" s="2"/>
      <c r="X47" s="2">
        <f t="shared" si="10"/>
        <v>2852.83</v>
      </c>
      <c r="Y47" s="2"/>
      <c r="Z47" s="19">
        <f t="shared" si="11"/>
        <v>0</v>
      </c>
    </row>
    <row r="48" spans="1:26" s="24" customFormat="1" hidden="1" outlineLevel="1" x14ac:dyDescent="0.25">
      <c r="A48" s="44"/>
      <c r="B48" s="11" t="str">
        <f>CONCATENATE("          ", "5542", " - ", "FREIGHT-IN-EVERYDAY GIFTS")</f>
        <v xml:space="preserve">          5542 - FREIGHT-IN-EVERYDAY GIFTS</v>
      </c>
      <c r="C48" s="11"/>
      <c r="D48" s="2">
        <v>745.78</v>
      </c>
      <c r="E48" s="2"/>
      <c r="F48" s="19">
        <f t="shared" si="4"/>
        <v>2.5579712610498541E-3</v>
      </c>
      <c r="G48" s="2"/>
      <c r="H48" s="2"/>
      <c r="I48" s="2"/>
      <c r="J48" s="19">
        <f t="shared" si="5"/>
        <v>0</v>
      </c>
      <c r="K48" s="2"/>
      <c r="L48" s="2">
        <f t="shared" si="6"/>
        <v>745.78</v>
      </c>
      <c r="M48" s="2"/>
      <c r="N48" s="19">
        <f t="shared" si="7"/>
        <v>0</v>
      </c>
      <c r="O48" s="11"/>
      <c r="P48" s="2">
        <v>1513.51</v>
      </c>
      <c r="Q48" s="2"/>
      <c r="R48" s="19">
        <f t="shared" si="8"/>
        <v>1.2411121051969342E-3</v>
      </c>
      <c r="S48" s="2"/>
      <c r="T48" s="2"/>
      <c r="U48" s="2"/>
      <c r="V48" s="19">
        <f t="shared" si="9"/>
        <v>0</v>
      </c>
      <c r="W48" s="2"/>
      <c r="X48" s="2">
        <f t="shared" si="10"/>
        <v>1513.51</v>
      </c>
      <c r="Y48" s="2"/>
      <c r="Z48" s="19">
        <f t="shared" si="11"/>
        <v>0</v>
      </c>
    </row>
    <row r="49" spans="1:26" s="24" customFormat="1" hidden="1" outlineLevel="1" x14ac:dyDescent="0.25">
      <c r="A49" s="44"/>
      <c r="B49" s="11" t="str">
        <f>CONCATENATE("          ", "5543", " - ", "FREIGHT-IN-CARDS")</f>
        <v xml:space="preserve">          5543 - FREIGHT-IN-CARDS</v>
      </c>
      <c r="C49" s="11"/>
      <c r="D49" s="2">
        <v>39.01</v>
      </c>
      <c r="E49" s="2"/>
      <c r="F49" s="19">
        <f t="shared" si="4"/>
        <v>1.3380146811868757E-4</v>
      </c>
      <c r="G49" s="2"/>
      <c r="H49" s="2"/>
      <c r="I49" s="2"/>
      <c r="J49" s="19">
        <f t="shared" si="5"/>
        <v>0</v>
      </c>
      <c r="K49" s="2"/>
      <c r="L49" s="2">
        <f t="shared" si="6"/>
        <v>39.01</v>
      </c>
      <c r="M49" s="2"/>
      <c r="N49" s="19">
        <f t="shared" si="7"/>
        <v>0</v>
      </c>
      <c r="O49" s="11"/>
      <c r="P49" s="2">
        <v>43.59</v>
      </c>
      <c r="Q49" s="2"/>
      <c r="R49" s="19">
        <f t="shared" si="8"/>
        <v>3.5744776490102057E-5</v>
      </c>
      <c r="S49" s="2"/>
      <c r="T49" s="2"/>
      <c r="U49" s="2"/>
      <c r="V49" s="19">
        <f t="shared" si="9"/>
        <v>0</v>
      </c>
      <c r="W49" s="2"/>
      <c r="X49" s="2">
        <f t="shared" si="10"/>
        <v>43.59</v>
      </c>
      <c r="Y49" s="2"/>
      <c r="Z49" s="19">
        <f t="shared" si="11"/>
        <v>0</v>
      </c>
    </row>
    <row r="50" spans="1:26" s="24" customFormat="1" hidden="1" outlineLevel="1" x14ac:dyDescent="0.25">
      <c r="A50" s="44"/>
      <c r="B50" s="11" t="str">
        <f>CONCATENATE("          ", "5544", " - ", "FREIGHT-IN-ACCESSORIES")</f>
        <v xml:space="preserve">          5544 - FREIGHT-IN-ACCESSORIES</v>
      </c>
      <c r="C50" s="11"/>
      <c r="D50" s="2">
        <v>54.82</v>
      </c>
      <c r="E50" s="2"/>
      <c r="F50" s="19">
        <f t="shared" si="4"/>
        <v>1.8802862041185473E-4</v>
      </c>
      <c r="G50" s="2"/>
      <c r="H50" s="2"/>
      <c r="I50" s="2"/>
      <c r="J50" s="19">
        <f t="shared" si="5"/>
        <v>0</v>
      </c>
      <c r="K50" s="2"/>
      <c r="L50" s="2">
        <f t="shared" si="6"/>
        <v>54.82</v>
      </c>
      <c r="M50" s="2"/>
      <c r="N50" s="19">
        <f t="shared" si="7"/>
        <v>0</v>
      </c>
      <c r="O50" s="11"/>
      <c r="P50" s="2">
        <v>413.91</v>
      </c>
      <c r="Q50" s="2"/>
      <c r="R50" s="19">
        <f t="shared" si="8"/>
        <v>3.3941547228763806E-4</v>
      </c>
      <c r="S50" s="2"/>
      <c r="T50" s="2"/>
      <c r="U50" s="2"/>
      <c r="V50" s="19">
        <f t="shared" si="9"/>
        <v>0</v>
      </c>
      <c r="W50" s="2"/>
      <c r="X50" s="2">
        <f t="shared" si="10"/>
        <v>413.91</v>
      </c>
      <c r="Y50" s="2"/>
      <c r="Z50" s="19">
        <f t="shared" si="11"/>
        <v>0</v>
      </c>
    </row>
    <row r="51" spans="1:26" s="24" customFormat="1" hidden="1" outlineLevel="1" x14ac:dyDescent="0.25">
      <c r="A51" s="44"/>
      <c r="B51" s="11" t="str">
        <f>CONCATENATE("          ", "5545", " - ", "FREIGHT-IN-SPECIAL ORDERS")</f>
        <v xml:space="preserve">          5545 - FREIGHT-IN-SPECIAL ORDERS</v>
      </c>
      <c r="C51" s="11"/>
      <c r="D51" s="2">
        <v>158.08000000000001</v>
      </c>
      <c r="E51" s="2"/>
      <c r="F51" s="19">
        <f t="shared" si="4"/>
        <v>5.4220292438354604E-4</v>
      </c>
      <c r="G51" s="2"/>
      <c r="H51" s="2"/>
      <c r="I51" s="2"/>
      <c r="J51" s="19">
        <f t="shared" si="5"/>
        <v>0</v>
      </c>
      <c r="K51" s="2"/>
      <c r="L51" s="2">
        <f t="shared" si="6"/>
        <v>158.08000000000001</v>
      </c>
      <c r="M51" s="2"/>
      <c r="N51" s="19">
        <f t="shared" si="7"/>
        <v>0</v>
      </c>
      <c r="O51" s="11"/>
      <c r="P51" s="2">
        <v>505.06</v>
      </c>
      <c r="Q51" s="2"/>
      <c r="R51" s="19">
        <f t="shared" si="8"/>
        <v>4.1416051420259105E-4</v>
      </c>
      <c r="S51" s="2"/>
      <c r="T51" s="2"/>
      <c r="U51" s="2"/>
      <c r="V51" s="19">
        <f t="shared" si="9"/>
        <v>0</v>
      </c>
      <c r="W51" s="2"/>
      <c r="X51" s="2">
        <f t="shared" si="10"/>
        <v>505.06</v>
      </c>
      <c r="Y51" s="2"/>
      <c r="Z51" s="19">
        <f t="shared" si="11"/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8" t="s">
        <v>6</v>
      </c>
      <c r="C53" s="28"/>
      <c r="D53" s="20">
        <f>D12-D35</f>
        <v>152669.51999999999</v>
      </c>
      <c r="E53" s="14"/>
      <c r="F53" s="22">
        <f>IF(D$12=0,0,D53/D$12)</f>
        <v>0.52364537075045714</v>
      </c>
      <c r="G53" s="14"/>
      <c r="H53" s="20">
        <f>H12-H35</f>
        <v>120930</v>
      </c>
      <c r="I53" s="14"/>
      <c r="J53" s="22">
        <f>IF(H$12=0,0,H53/H$12)</f>
        <v>0.55294924554183811</v>
      </c>
      <c r="K53" s="16"/>
      <c r="L53" s="20">
        <f>+D53-H53</f>
        <v>31739.51999999999</v>
      </c>
      <c r="M53" s="16"/>
      <c r="N53" s="22">
        <f>IF(H53=0,0,L53/H53)</f>
        <v>0.26246192011907704</v>
      </c>
      <c r="O53" s="29"/>
      <c r="P53" s="20">
        <f>P12-P35</f>
        <v>651896.97000000044</v>
      </c>
      <c r="Q53" s="14"/>
      <c r="R53" s="22">
        <f>IF(P$12=0,0,P53/P$12)</f>
        <v>0.53457011900033913</v>
      </c>
      <c r="S53" s="14"/>
      <c r="T53" s="20">
        <f>T12-T35</f>
        <v>599909</v>
      </c>
      <c r="U53" s="14"/>
      <c r="V53" s="22">
        <f>IF(T$12=0,0,T53/T$12)</f>
        <v>0.54107665333011046</v>
      </c>
      <c r="W53" s="16"/>
      <c r="X53" s="20">
        <f>+P53-T53</f>
        <v>51987.970000000438</v>
      </c>
      <c r="Y53" s="16"/>
      <c r="Z53" s="22">
        <f>IF(T53=0,0,X53/T53)</f>
        <v>8.6659760063610383E-2</v>
      </c>
    </row>
    <row r="54" spans="1:26" x14ac:dyDescent="0.25">
      <c r="A54" s="9"/>
      <c r="B54" s="10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6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9" t="s">
        <v>9</v>
      </c>
      <c r="C55" s="10"/>
      <c r="D55" s="21">
        <f>SUM(OSRRefD22x_0)</f>
        <v>72189.81</v>
      </c>
      <c r="E55" s="21"/>
      <c r="F55" s="33">
        <f t="shared" ref="F55:F65" si="12">IF(D$12=0,0,D55/D$12)</f>
        <v>0.24760580777259966</v>
      </c>
      <c r="G55" s="21"/>
      <c r="H55" s="21">
        <f>SUM(OSRRefH22x_0)</f>
        <v>58359.841086244232</v>
      </c>
      <c r="I55" s="21"/>
      <c r="J55" s="33">
        <f t="shared" ref="J55:J65" si="13">IF(H$12=0,0,H55/H$12)</f>
        <v>0.26684883898602757</v>
      </c>
      <c r="K55" s="4"/>
      <c r="L55" s="21">
        <f t="shared" ref="L55:L65" si="14">+D55-H55</f>
        <v>13829.968913755765</v>
      </c>
      <c r="M55" s="4"/>
      <c r="N55" s="33">
        <f t="shared" ref="N55:N65" si="15">IF(H55=0,0,L55/H55)</f>
        <v>0.2369774943923823</v>
      </c>
      <c r="O55" s="10"/>
      <c r="P55" s="21">
        <f>SUM(OSRRefP22x_0)</f>
        <v>304634.81</v>
      </c>
      <c r="Q55" s="21"/>
      <c r="R55" s="33">
        <f t="shared" ref="R55:R65" si="16">IF(P$12=0,0,P55/P$12)</f>
        <v>0.24980736853761659</v>
      </c>
      <c r="S55" s="21"/>
      <c r="T55" s="21">
        <f>SUM(OSRRefT22x_0)</f>
        <v>280410.03413684329</v>
      </c>
      <c r="U55" s="21"/>
      <c r="V55" s="33">
        <f t="shared" ref="V55:V65" si="17">IF(T$12=0,0,T55/T$12)</f>
        <v>0.25291056282026969</v>
      </c>
      <c r="W55" s="4"/>
      <c r="X55" s="21">
        <f t="shared" ref="X55:X65" si="18">+P55-T55</f>
        <v>24224.775863156712</v>
      </c>
      <c r="Y55" s="4"/>
      <c r="Z55" s="33">
        <f t="shared" ref="Z55:Z65" si="19">IF(T55=0,0,X55/T55)</f>
        <v>8.6390545679741068E-2</v>
      </c>
    </row>
    <row r="56" spans="1:26" s="26" customFormat="1" outlineLevel="1" collapsed="1" x14ac:dyDescent="0.25">
      <c r="A56" s="27"/>
      <c r="B56" s="13" t="str">
        <f>CONCATENATE("     ","*Benefits                                         ")</f>
        <v xml:space="preserve">     *Benefits                                         </v>
      </c>
      <c r="C56" s="13"/>
      <c r="D56" s="1">
        <f>SUM(OSRRefD22_0x_0)</f>
        <v>4537.38</v>
      </c>
      <c r="E56" s="1"/>
      <c r="F56" s="5">
        <f t="shared" si="12"/>
        <v>1.5562884014672408E-2</v>
      </c>
      <c r="G56" s="1"/>
      <c r="H56" s="1">
        <f>SUM(OSRRefH22_0x_0)</f>
        <v>4158.3132304750006</v>
      </c>
      <c r="I56" s="1"/>
      <c r="J56" s="5">
        <f t="shared" si="13"/>
        <v>1.9013777917123918E-2</v>
      </c>
      <c r="K56" s="1"/>
      <c r="L56" s="1">
        <f t="shared" si="14"/>
        <v>379.06676952499947</v>
      </c>
      <c r="M56" s="1"/>
      <c r="N56" s="5">
        <f t="shared" si="15"/>
        <v>9.1158782062624705E-2</v>
      </c>
      <c r="O56" s="13"/>
      <c r="P56" s="1">
        <f>SUM(OSRRefP22_0x_0)</f>
        <v>36089.83</v>
      </c>
      <c r="Q56" s="1"/>
      <c r="R56" s="5">
        <f t="shared" si="16"/>
        <v>2.9594469073543933E-2</v>
      </c>
      <c r="S56" s="1"/>
      <c r="T56" s="1">
        <f>SUM(OSRRefT22_0x_0)</f>
        <v>23339.630930112504</v>
      </c>
      <c r="U56" s="1"/>
      <c r="V56" s="5">
        <f t="shared" si="17"/>
        <v>2.1050741685197598E-2</v>
      </c>
      <c r="W56" s="1"/>
      <c r="X56" s="1">
        <f t="shared" si="18"/>
        <v>12750.199069887498</v>
      </c>
      <c r="Y56" s="1"/>
      <c r="Z56" s="5">
        <f t="shared" si="19"/>
        <v>0.54628966105189558</v>
      </c>
    </row>
    <row r="57" spans="1:26" s="24" customFormat="1" hidden="1" outlineLevel="2" x14ac:dyDescent="0.25">
      <c r="A57" s="25"/>
      <c r="B57" s="11" t="str">
        <f>CONCATENATE("          ", "6111", " - ", "F.I.C.A.")</f>
        <v xml:space="preserve">          6111 - F.I.C.A.</v>
      </c>
      <c r="C57" s="11"/>
      <c r="D57" s="6">
        <v>842.65</v>
      </c>
      <c r="E57" s="2"/>
      <c r="F57" s="7">
        <f t="shared" si="12"/>
        <v>2.8902283288954646E-3</v>
      </c>
      <c r="G57" s="2"/>
      <c r="H57" s="6">
        <v>688.68491924423097</v>
      </c>
      <c r="I57" s="2"/>
      <c r="J57" s="7">
        <f t="shared" si="13"/>
        <v>3.1489936865305487E-3</v>
      </c>
      <c r="K57" s="2"/>
      <c r="L57" s="6">
        <f t="shared" si="14"/>
        <v>153.96508075576901</v>
      </c>
      <c r="M57" s="2"/>
      <c r="N57" s="7">
        <f t="shared" si="15"/>
        <v>0.22356389177903252</v>
      </c>
      <c r="O57" s="11"/>
      <c r="P57" s="6">
        <v>7863.95</v>
      </c>
      <c r="Q57" s="2"/>
      <c r="R57" s="7">
        <f t="shared" si="16"/>
        <v>6.4486151658485445E-3</v>
      </c>
      <c r="S57" s="2"/>
      <c r="T57" s="6">
        <v>5510.5530183432702</v>
      </c>
      <c r="U57" s="2"/>
      <c r="V57" s="7">
        <f t="shared" si="17"/>
        <v>4.9701397798054625E-3</v>
      </c>
      <c r="W57" s="2"/>
      <c r="X57" s="6">
        <f t="shared" si="18"/>
        <v>2353.3969816567296</v>
      </c>
      <c r="Y57" s="2"/>
      <c r="Z57" s="7">
        <f t="shared" si="19"/>
        <v>0.42707092624331028</v>
      </c>
    </row>
    <row r="58" spans="1:26" s="24" customFormat="1" hidden="1" outlineLevel="2" x14ac:dyDescent="0.25">
      <c r="A58" s="25"/>
      <c r="B58" s="11" t="str">
        <f>CONCATENATE("          ", "6112", " - ", "COMPENSATION INSURANCE")</f>
        <v xml:space="preserve">          6112 - COMPENSATION INSURANCE</v>
      </c>
      <c r="C58" s="11"/>
      <c r="D58" s="6">
        <v>458.03</v>
      </c>
      <c r="E58" s="2"/>
      <c r="F58" s="7">
        <f t="shared" si="12"/>
        <v>1.5710096498949618E-3</v>
      </c>
      <c r="G58" s="2"/>
      <c r="H58" s="6">
        <v>421.72187711538498</v>
      </c>
      <c r="I58" s="2"/>
      <c r="J58" s="7">
        <f t="shared" si="13"/>
        <v>1.9283121953149749E-3</v>
      </c>
      <c r="K58" s="2"/>
      <c r="L58" s="6">
        <f t="shared" si="14"/>
        <v>36.308122884614988</v>
      </c>
      <c r="M58" s="2"/>
      <c r="N58" s="7">
        <f t="shared" si="15"/>
        <v>8.6094947535009958E-2</v>
      </c>
      <c r="O58" s="11"/>
      <c r="P58" s="6">
        <v>2113.23</v>
      </c>
      <c r="Q58" s="2"/>
      <c r="R58" s="7">
        <f t="shared" si="16"/>
        <v>1.7328959399444453E-3</v>
      </c>
      <c r="S58" s="2"/>
      <c r="T58" s="6">
        <v>2129.3183241346169</v>
      </c>
      <c r="U58" s="2"/>
      <c r="V58" s="7">
        <f t="shared" si="17"/>
        <v>1.9204986634593544E-3</v>
      </c>
      <c r="W58" s="2"/>
      <c r="X58" s="6">
        <f t="shared" si="18"/>
        <v>-16.088324134616869</v>
      </c>
      <c r="Y58" s="2"/>
      <c r="Z58" s="7">
        <f t="shared" si="19"/>
        <v>-7.5556218871855978E-3</v>
      </c>
    </row>
    <row r="59" spans="1:26" s="24" customFormat="1" hidden="1" outlineLevel="2" x14ac:dyDescent="0.25">
      <c r="A59" s="25"/>
      <c r="B59" s="11" t="str">
        <f>CONCATENATE("          ", "6113", " - ", "GROUP INSURANCE")</f>
        <v xml:space="preserve">          6113 - GROUP INSURANCE</v>
      </c>
      <c r="C59" s="11"/>
      <c r="D59" s="6">
        <v>1382.14</v>
      </c>
      <c r="E59" s="2"/>
      <c r="F59" s="7">
        <f t="shared" si="12"/>
        <v>4.740639865305379E-3</v>
      </c>
      <c r="G59" s="2"/>
      <c r="H59" s="6">
        <v>1875.25</v>
      </c>
      <c r="I59" s="2"/>
      <c r="J59" s="7">
        <f t="shared" si="13"/>
        <v>8.5745313214449018E-3</v>
      </c>
      <c r="K59" s="2"/>
      <c r="L59" s="6">
        <f t="shared" si="14"/>
        <v>-493.1099999999999</v>
      </c>
      <c r="M59" s="2"/>
      <c r="N59" s="7">
        <f t="shared" si="15"/>
        <v>-0.26295693907478995</v>
      </c>
      <c r="O59" s="11"/>
      <c r="P59" s="6">
        <v>12429.17</v>
      </c>
      <c r="Q59" s="2"/>
      <c r="R59" s="7">
        <f t="shared" si="16"/>
        <v>1.019219783453732E-2</v>
      </c>
      <c r="S59" s="2"/>
      <c r="T59" s="6">
        <v>9376.25</v>
      </c>
      <c r="U59" s="2"/>
      <c r="V59" s="7">
        <f t="shared" si="17"/>
        <v>8.456732555748369E-3</v>
      </c>
      <c r="W59" s="2"/>
      <c r="X59" s="6">
        <f t="shared" si="18"/>
        <v>3052.92</v>
      </c>
      <c r="Y59" s="2"/>
      <c r="Z59" s="7">
        <f t="shared" si="19"/>
        <v>0.32560138648180242</v>
      </c>
    </row>
    <row r="60" spans="1:26" s="24" customFormat="1" hidden="1" outlineLevel="2" x14ac:dyDescent="0.25">
      <c r="A60" s="25"/>
      <c r="B60" s="11" t="str">
        <f>CONCATENATE("          ", "6114", " - ", "STATE UNEMPLOYMENT INSURANCE")</f>
        <v xml:space="preserve">          6114 - STATE UNEMPLOYMENT INSURANCE</v>
      </c>
      <c r="C60" s="11"/>
      <c r="D60" s="6">
        <v>62.68</v>
      </c>
      <c r="E60" s="2"/>
      <c r="F60" s="7">
        <f t="shared" si="12"/>
        <v>2.1498784982515603E-4</v>
      </c>
      <c r="G60" s="2"/>
      <c r="H60" s="6">
        <v>57.709309500000003</v>
      </c>
      <c r="I60" s="2"/>
      <c r="J60" s="7">
        <f t="shared" si="13"/>
        <v>2.6387430041152263E-4</v>
      </c>
      <c r="K60" s="2"/>
      <c r="L60" s="6">
        <f t="shared" si="14"/>
        <v>4.9706904999999963</v>
      </c>
      <c r="M60" s="2"/>
      <c r="N60" s="7">
        <f t="shared" si="15"/>
        <v>8.6133252036224697E-2</v>
      </c>
      <c r="O60" s="11"/>
      <c r="P60" s="6">
        <v>341.77</v>
      </c>
      <c r="Q60" s="2"/>
      <c r="R60" s="7">
        <f t="shared" si="16"/>
        <v>2.8025905622900159E-4</v>
      </c>
      <c r="S60" s="2"/>
      <c r="T60" s="6">
        <v>291.38040224999997</v>
      </c>
      <c r="U60" s="2"/>
      <c r="V60" s="7">
        <f t="shared" si="17"/>
        <v>2.6280508026285882E-4</v>
      </c>
      <c r="W60" s="2"/>
      <c r="X60" s="6">
        <f t="shared" si="18"/>
        <v>50.389597750000007</v>
      </c>
      <c r="Y60" s="2"/>
      <c r="Z60" s="7">
        <f t="shared" si="19"/>
        <v>0.17293406612420864</v>
      </c>
    </row>
    <row r="61" spans="1:26" s="24" customFormat="1" hidden="1" outlineLevel="2" x14ac:dyDescent="0.25">
      <c r="A61" s="25"/>
      <c r="B61" s="11" t="str">
        <f>CONCATENATE("          ", "6115", " - ", "P.E.R.S.")</f>
        <v xml:space="preserve">          6115 - P.E.R.S.</v>
      </c>
      <c r="C61" s="11"/>
      <c r="D61" s="6">
        <v>621.85</v>
      </c>
      <c r="E61" s="2"/>
      <c r="F61" s="7">
        <f t="shared" si="12"/>
        <v>2.132900357590512E-3</v>
      </c>
      <c r="G61" s="2"/>
      <c r="H61" s="6">
        <v>609.49991115384591</v>
      </c>
      <c r="I61" s="2"/>
      <c r="J61" s="7">
        <f t="shared" si="13"/>
        <v>2.7869223189476264E-3</v>
      </c>
      <c r="K61" s="2"/>
      <c r="L61" s="6">
        <f t="shared" si="14"/>
        <v>12.350088846154108</v>
      </c>
      <c r="M61" s="2"/>
      <c r="N61" s="7">
        <f t="shared" si="15"/>
        <v>2.0262658976888316E-2</v>
      </c>
      <c r="O61" s="11"/>
      <c r="P61" s="6">
        <v>4599.29</v>
      </c>
      <c r="Q61" s="2"/>
      <c r="R61" s="7">
        <f t="shared" si="16"/>
        <v>3.7715208319146934E-3</v>
      </c>
      <c r="S61" s="2"/>
      <c r="T61" s="6">
        <v>3352.2495113461537</v>
      </c>
      <c r="U61" s="2"/>
      <c r="V61" s="7">
        <f t="shared" si="17"/>
        <v>3.0234984751465219E-3</v>
      </c>
      <c r="W61" s="2"/>
      <c r="X61" s="6">
        <f t="shared" si="18"/>
        <v>1247.0404886538463</v>
      </c>
      <c r="Y61" s="2"/>
      <c r="Z61" s="7">
        <f t="shared" si="19"/>
        <v>0.37200109491643291</v>
      </c>
    </row>
    <row r="62" spans="1:26" s="24" customFormat="1" hidden="1" outlineLevel="2" x14ac:dyDescent="0.25">
      <c r="A62" s="25"/>
      <c r="B62" s="11" t="str">
        <f>CONCATENATE("          ", "6116", " - ", "EDUCATIONAL BENEFITS")</f>
        <v xml:space="preserve">          6116 - EDUCATIONAL BENEFITS</v>
      </c>
      <c r="C62" s="11"/>
      <c r="D62" s="6"/>
      <c r="E62" s="2"/>
      <c r="F62" s="7">
        <f t="shared" si="12"/>
        <v>0</v>
      </c>
      <c r="G62" s="2"/>
      <c r="H62" s="6">
        <v>0</v>
      </c>
      <c r="I62" s="2"/>
      <c r="J62" s="7">
        <f t="shared" si="13"/>
        <v>0</v>
      </c>
      <c r="K62" s="2"/>
      <c r="L62" s="6">
        <f t="shared" si="14"/>
        <v>0</v>
      </c>
      <c r="M62" s="2"/>
      <c r="N62" s="7">
        <f t="shared" si="15"/>
        <v>0</v>
      </c>
      <c r="O62" s="11"/>
      <c r="P62" s="6"/>
      <c r="Q62" s="2"/>
      <c r="R62" s="7">
        <f t="shared" si="16"/>
        <v>0</v>
      </c>
      <c r="S62" s="2"/>
      <c r="T62" s="6">
        <v>0</v>
      </c>
      <c r="U62" s="2"/>
      <c r="V62" s="7">
        <f t="shared" si="17"/>
        <v>0</v>
      </c>
      <c r="W62" s="2"/>
      <c r="X62" s="6">
        <f t="shared" si="18"/>
        <v>0</v>
      </c>
      <c r="Y62" s="2"/>
      <c r="Z62" s="7">
        <f t="shared" si="19"/>
        <v>0</v>
      </c>
    </row>
    <row r="63" spans="1:26" s="24" customFormat="1" hidden="1" outlineLevel="2" x14ac:dyDescent="0.25">
      <c r="A63" s="25"/>
      <c r="B63" s="11" t="str">
        <f>CONCATENATE("          ", "6118", " - ", "VACATION")</f>
        <v xml:space="preserve">          6118 - VACATION</v>
      </c>
      <c r="C63" s="11"/>
      <c r="D63" s="6">
        <v>622.44000000000005</v>
      </c>
      <c r="E63" s="2"/>
      <c r="F63" s="7">
        <f t="shared" si="12"/>
        <v>2.1349240147602129E-3</v>
      </c>
      <c r="G63" s="2"/>
      <c r="H63" s="6">
        <v>212.616248076923</v>
      </c>
      <c r="I63" s="2"/>
      <c r="J63" s="7">
        <f t="shared" si="13"/>
        <v>9.7218220428405575E-4</v>
      </c>
      <c r="K63" s="2"/>
      <c r="L63" s="6">
        <f t="shared" si="14"/>
        <v>409.82375192307705</v>
      </c>
      <c r="M63" s="2"/>
      <c r="N63" s="7">
        <f t="shared" si="15"/>
        <v>1.9275279082848167</v>
      </c>
      <c r="O63" s="11"/>
      <c r="P63" s="6">
        <v>4025.45</v>
      </c>
      <c r="Q63" s="2"/>
      <c r="R63" s="7">
        <f t="shared" si="16"/>
        <v>3.3009591769231779E-3</v>
      </c>
      <c r="S63" s="2"/>
      <c r="T63" s="6">
        <v>1169.389364423077</v>
      </c>
      <c r="U63" s="2"/>
      <c r="V63" s="7">
        <f t="shared" si="17"/>
        <v>1.0547087703999497E-3</v>
      </c>
      <c r="W63" s="2"/>
      <c r="X63" s="6">
        <f t="shared" si="18"/>
        <v>2856.0606355769228</v>
      </c>
      <c r="Y63" s="2"/>
      <c r="Z63" s="7">
        <f t="shared" si="19"/>
        <v>2.4423521561494379</v>
      </c>
    </row>
    <row r="64" spans="1:26" s="24" customFormat="1" hidden="1" outlineLevel="2" x14ac:dyDescent="0.25">
      <c r="A64" s="25"/>
      <c r="B64" s="11" t="str">
        <f>CONCATENATE("          ", "6119", " - ", "SICK LEAVE")</f>
        <v xml:space="preserve">          6119 - SICK LEAVE</v>
      </c>
      <c r="C64" s="11"/>
      <c r="D64" s="6">
        <v>373.16</v>
      </c>
      <c r="E64" s="2"/>
      <c r="F64" s="7">
        <f t="shared" si="12"/>
        <v>1.2799117109246207E-3</v>
      </c>
      <c r="G64" s="2"/>
      <c r="H64" s="6">
        <v>292.83096538461501</v>
      </c>
      <c r="I64" s="2"/>
      <c r="J64" s="7">
        <f t="shared" si="13"/>
        <v>1.3389618901902835E-3</v>
      </c>
      <c r="K64" s="2"/>
      <c r="L64" s="6">
        <f t="shared" si="14"/>
        <v>80.329034615385012</v>
      </c>
      <c r="M64" s="2"/>
      <c r="N64" s="7">
        <f t="shared" si="15"/>
        <v>0.2743187849340929</v>
      </c>
      <c r="O64" s="11"/>
      <c r="P64" s="6">
        <v>3917.91</v>
      </c>
      <c r="Q64" s="2"/>
      <c r="R64" s="7">
        <f t="shared" si="16"/>
        <v>3.2127739678443623E-3</v>
      </c>
      <c r="S64" s="2"/>
      <c r="T64" s="6">
        <v>1510.490309615383</v>
      </c>
      <c r="U64" s="2"/>
      <c r="V64" s="7">
        <f t="shared" si="17"/>
        <v>1.3623583603750797E-3</v>
      </c>
      <c r="W64" s="2"/>
      <c r="X64" s="6">
        <f t="shared" si="18"/>
        <v>2407.4196903846168</v>
      </c>
      <c r="Y64" s="2"/>
      <c r="Z64" s="7">
        <f t="shared" si="19"/>
        <v>1.5938001555254064</v>
      </c>
    </row>
    <row r="65" spans="1:26" s="24" customFormat="1" hidden="1" outlineLevel="2" x14ac:dyDescent="0.25">
      <c r="A65" s="25"/>
      <c r="B65" s="11" t="str">
        <f>CONCATENATE("          ", "6156", " - ", "EMPLOYEE MEALS")</f>
        <v xml:space="preserve">          6156 - EMPLOYEE MEALS</v>
      </c>
      <c r="C65" s="11"/>
      <c r="D65" s="6">
        <v>174.43</v>
      </c>
      <c r="E65" s="2"/>
      <c r="F65" s="7">
        <f t="shared" si="12"/>
        <v>5.9828223747610031E-4</v>
      </c>
      <c r="G65" s="2"/>
      <c r="H65" s="6"/>
      <c r="I65" s="2"/>
      <c r="J65" s="7">
        <f t="shared" si="13"/>
        <v>0</v>
      </c>
      <c r="K65" s="2"/>
      <c r="L65" s="6">
        <f t="shared" si="14"/>
        <v>174.43</v>
      </c>
      <c r="M65" s="2"/>
      <c r="N65" s="7">
        <f t="shared" si="15"/>
        <v>0</v>
      </c>
      <c r="O65" s="11"/>
      <c r="P65" s="6">
        <v>799.06</v>
      </c>
      <c r="Q65" s="2"/>
      <c r="R65" s="7">
        <f t="shared" si="16"/>
        <v>6.5524710030238464E-4</v>
      </c>
      <c r="S65" s="2"/>
      <c r="T65" s="6"/>
      <c r="U65" s="2"/>
      <c r="V65" s="7">
        <f t="shared" si="17"/>
        <v>0</v>
      </c>
      <c r="W65" s="2"/>
      <c r="X65" s="6">
        <f t="shared" si="18"/>
        <v>799.06</v>
      </c>
      <c r="Y65" s="2"/>
      <c r="Z65" s="7">
        <f t="shared" si="19"/>
        <v>0</v>
      </c>
    </row>
    <row r="66" spans="1:26" s="26" customFormat="1" outlineLevel="1" collapsed="1" x14ac:dyDescent="0.25">
      <c r="A66" s="27"/>
      <c r="B66" s="13" t="str">
        <f>CONCATENATE("     ","*Payroll                                          ")</f>
        <v xml:space="preserve">     *Payroll                                          </v>
      </c>
      <c r="C66" s="13"/>
      <c r="D66" s="1">
        <f>SUM(OSRRefD22_1x_0)</f>
        <v>20918.82</v>
      </c>
      <c r="E66" s="1"/>
      <c r="F66" s="5">
        <f t="shared" ref="F66:F76" si="20">IF(D$12=0,0,D66/D$12)</f>
        <v>7.1750034024879866E-2</v>
      </c>
      <c r="G66" s="1"/>
      <c r="H66" s="1">
        <f>SUM(OSRRefH22_1x_0)</f>
        <v>21841.527855769229</v>
      </c>
      <c r="I66" s="1"/>
      <c r="J66" s="5">
        <f t="shared" ref="J66:J76" si="21">IF(H$12=0,0,H66/H$12)</f>
        <v>9.9869811869086556E-2</v>
      </c>
      <c r="K66" s="1"/>
      <c r="L66" s="1">
        <f t="shared" ref="L66:L76" si="22">+D66-H66</f>
        <v>-922.70785576922935</v>
      </c>
      <c r="M66" s="1"/>
      <c r="N66" s="5">
        <f t="shared" ref="N66:N76" si="23">IF(H66=0,0,L66/H66)</f>
        <v>-4.2245572830909121E-2</v>
      </c>
      <c r="O66" s="13"/>
      <c r="P66" s="1">
        <f>SUM(OSRRefP22_1x_0)</f>
        <v>128348.77</v>
      </c>
      <c r="Q66" s="1"/>
      <c r="R66" s="5">
        <f t="shared" ref="R66:R76" si="24">IF(P$12=0,0,P66/P$12)</f>
        <v>0.10524886663063814</v>
      </c>
      <c r="S66" s="1"/>
      <c r="T66" s="1">
        <f>SUM(OSRRefT22_1x_0)</f>
        <v>110120.40320673076</v>
      </c>
      <c r="U66" s="1"/>
      <c r="V66" s="5">
        <f t="shared" ref="V66:V76" si="25">IF(T$12=0,0,T66/T$12)</f>
        <v>9.9321029073509884E-2</v>
      </c>
      <c r="W66" s="1"/>
      <c r="X66" s="1">
        <f t="shared" ref="X66:X76" si="26">+P66-T66</f>
        <v>18228.366793269248</v>
      </c>
      <c r="Y66" s="1"/>
      <c r="Z66" s="5">
        <f t="shared" ref="Z66:Z76" si="27">IF(T66=0,0,X66/T66)</f>
        <v>0.16553123910242909</v>
      </c>
    </row>
    <row r="67" spans="1:26" s="24" customFormat="1" hidden="1" outlineLevel="2" x14ac:dyDescent="0.25">
      <c r="A67" s="25"/>
      <c r="B67" s="11" t="str">
        <f>CONCATENATE("          ", "6001", " - ", "ADMINISTRATIVE SALARIES")</f>
        <v xml:space="preserve">          6001 - ADMINISTRATIVE SALARIES</v>
      </c>
      <c r="C67" s="11"/>
      <c r="D67" s="6"/>
      <c r="E67" s="2"/>
      <c r="F67" s="7">
        <f t="shared" si="20"/>
        <v>0</v>
      </c>
      <c r="G67" s="2"/>
      <c r="H67" s="6">
        <v>0</v>
      </c>
      <c r="I67" s="2"/>
      <c r="J67" s="7">
        <f t="shared" si="21"/>
        <v>0</v>
      </c>
      <c r="K67" s="2"/>
      <c r="L67" s="6">
        <f t="shared" si="22"/>
        <v>0</v>
      </c>
      <c r="M67" s="2"/>
      <c r="N67" s="7">
        <f t="shared" si="23"/>
        <v>0</v>
      </c>
      <c r="O67" s="11"/>
      <c r="P67" s="6"/>
      <c r="Q67" s="2"/>
      <c r="R67" s="7">
        <f t="shared" si="24"/>
        <v>0</v>
      </c>
      <c r="S67" s="2"/>
      <c r="T67" s="6">
        <v>0</v>
      </c>
      <c r="U67" s="2"/>
      <c r="V67" s="7">
        <f t="shared" si="25"/>
        <v>0</v>
      </c>
      <c r="W67" s="2"/>
      <c r="X67" s="6">
        <f t="shared" si="26"/>
        <v>0</v>
      </c>
      <c r="Y67" s="2"/>
      <c r="Z67" s="7">
        <f t="shared" si="27"/>
        <v>0</v>
      </c>
    </row>
    <row r="68" spans="1:26" s="24" customFormat="1" hidden="1" outlineLevel="2" x14ac:dyDescent="0.25">
      <c r="A68" s="25"/>
      <c r="B68" s="11" t="str">
        <f>CONCATENATE("          ", "6002", " - ", "STAFF SALARIES")</f>
        <v xml:space="preserve">          6002 - STAFF SALARIES</v>
      </c>
      <c r="C68" s="11"/>
      <c r="D68" s="6">
        <v>7177.71</v>
      </c>
      <c r="E68" s="2"/>
      <c r="F68" s="7">
        <f t="shared" si="20"/>
        <v>2.4619024243275698E-2</v>
      </c>
      <c r="G68" s="2"/>
      <c r="H68" s="6">
        <v>6732.8478557692297</v>
      </c>
      <c r="I68" s="2"/>
      <c r="J68" s="7">
        <f t="shared" si="21"/>
        <v>3.0785769802328441E-2</v>
      </c>
      <c r="K68" s="2"/>
      <c r="L68" s="6">
        <f t="shared" si="22"/>
        <v>444.86214423077035</v>
      </c>
      <c r="M68" s="2"/>
      <c r="N68" s="7">
        <f t="shared" si="23"/>
        <v>6.6073399215397052E-2</v>
      </c>
      <c r="O68" s="11"/>
      <c r="P68" s="6">
        <v>45204.32</v>
      </c>
      <c r="Q68" s="2"/>
      <c r="R68" s="7">
        <f t="shared" si="24"/>
        <v>3.7068555053614366E-2</v>
      </c>
      <c r="S68" s="2"/>
      <c r="T68" s="6">
        <v>37030.663206730766</v>
      </c>
      <c r="U68" s="2"/>
      <c r="V68" s="7">
        <f t="shared" si="25"/>
        <v>3.339911106266507E-2</v>
      </c>
      <c r="W68" s="2"/>
      <c r="X68" s="6">
        <f t="shared" si="26"/>
        <v>8173.6567932692342</v>
      </c>
      <c r="Y68" s="2"/>
      <c r="Z68" s="7">
        <f t="shared" si="27"/>
        <v>0.22072671903385124</v>
      </c>
    </row>
    <row r="69" spans="1:26" s="24" customFormat="1" hidden="1" outlineLevel="2" x14ac:dyDescent="0.25">
      <c r="A69" s="25"/>
      <c r="B69" s="11" t="str">
        <f>CONCATENATE("          ", "6003", " - ", "STAFF HOURLY-9 MONTH")</f>
        <v xml:space="preserve">          6003 - STAFF HOURLY-9 MONTH</v>
      </c>
      <c r="C69" s="11"/>
      <c r="D69" s="6"/>
      <c r="E69" s="2"/>
      <c r="F69" s="7">
        <f t="shared" si="20"/>
        <v>0</v>
      </c>
      <c r="G69" s="2"/>
      <c r="H69" s="6">
        <v>0</v>
      </c>
      <c r="I69" s="2"/>
      <c r="J69" s="7">
        <f t="shared" si="21"/>
        <v>0</v>
      </c>
      <c r="K69" s="2"/>
      <c r="L69" s="6">
        <f t="shared" si="22"/>
        <v>0</v>
      </c>
      <c r="M69" s="2"/>
      <c r="N69" s="7">
        <f t="shared" si="23"/>
        <v>0</v>
      </c>
      <c r="O69" s="11"/>
      <c r="P69" s="6"/>
      <c r="Q69" s="2"/>
      <c r="R69" s="7">
        <f t="shared" si="24"/>
        <v>0</v>
      </c>
      <c r="S69" s="2"/>
      <c r="T69" s="6">
        <v>0</v>
      </c>
      <c r="U69" s="2"/>
      <c r="V69" s="7">
        <f t="shared" si="25"/>
        <v>0</v>
      </c>
      <c r="W69" s="2"/>
      <c r="X69" s="6">
        <f t="shared" si="26"/>
        <v>0</v>
      </c>
      <c r="Y69" s="2"/>
      <c r="Z69" s="7">
        <f t="shared" si="27"/>
        <v>0</v>
      </c>
    </row>
    <row r="70" spans="1:26" s="24" customFormat="1" hidden="1" outlineLevel="2" x14ac:dyDescent="0.25">
      <c r="A70" s="25"/>
      <c r="B70" s="11" t="str">
        <f>CONCATENATE("          ", "6004", " - ", "STAFF HOURLY")</f>
        <v xml:space="preserve">          6004 - STAFF HOURLY</v>
      </c>
      <c r="C70" s="11"/>
      <c r="D70" s="6">
        <v>-912.61</v>
      </c>
      <c r="E70" s="2"/>
      <c r="F70" s="7">
        <f t="shared" si="20"/>
        <v>-3.1301860502382841E-3</v>
      </c>
      <c r="G70" s="2"/>
      <c r="H70" s="6">
        <v>1911.68</v>
      </c>
      <c r="I70" s="2"/>
      <c r="J70" s="7">
        <f t="shared" si="21"/>
        <v>8.7411065386374023E-3</v>
      </c>
      <c r="K70" s="2"/>
      <c r="L70" s="6">
        <f t="shared" si="22"/>
        <v>-2824.29</v>
      </c>
      <c r="M70" s="2"/>
      <c r="N70" s="7">
        <f t="shared" si="23"/>
        <v>-1.4773863826581854</v>
      </c>
      <c r="O70" s="11"/>
      <c r="P70" s="6">
        <v>-912.61</v>
      </c>
      <c r="Q70" s="2"/>
      <c r="R70" s="7">
        <f t="shared" si="24"/>
        <v>-7.4836064401541727E-4</v>
      </c>
      <c r="S70" s="2"/>
      <c r="T70" s="6">
        <v>10514.24</v>
      </c>
      <c r="U70" s="2"/>
      <c r="V70" s="7">
        <f t="shared" si="25"/>
        <v>9.4831212592402844E-3</v>
      </c>
      <c r="W70" s="2"/>
      <c r="X70" s="6">
        <f t="shared" si="26"/>
        <v>-11426.85</v>
      </c>
      <c r="Y70" s="2"/>
      <c r="Z70" s="7">
        <f t="shared" si="27"/>
        <v>-1.0867975241196701</v>
      </c>
    </row>
    <row r="71" spans="1:26" s="24" customFormat="1" hidden="1" outlineLevel="2" x14ac:dyDescent="0.25">
      <c r="A71" s="25"/>
      <c r="B71" s="11" t="str">
        <f>CONCATENATE("          ", "6005", " - ", "TEMPORARY WAGES-HOURLY")</f>
        <v xml:space="preserve">          6005 - TEMPORARY WAGES-HOURLY</v>
      </c>
      <c r="C71" s="11"/>
      <c r="D71" s="6">
        <v>2924.66</v>
      </c>
      <c r="E71" s="2"/>
      <c r="F71" s="7">
        <f t="shared" si="20"/>
        <v>1.0031371488028731E-2</v>
      </c>
      <c r="G71" s="2"/>
      <c r="H71" s="6">
        <v>0</v>
      </c>
      <c r="I71" s="2"/>
      <c r="J71" s="7">
        <f t="shared" si="21"/>
        <v>0</v>
      </c>
      <c r="K71" s="2"/>
      <c r="L71" s="6">
        <f t="shared" si="22"/>
        <v>2924.66</v>
      </c>
      <c r="M71" s="2"/>
      <c r="N71" s="7">
        <f t="shared" si="23"/>
        <v>0</v>
      </c>
      <c r="O71" s="11"/>
      <c r="P71" s="6">
        <v>18661.080000000002</v>
      </c>
      <c r="Q71" s="2"/>
      <c r="R71" s="7">
        <f t="shared" si="24"/>
        <v>1.5302503639915433E-2</v>
      </c>
      <c r="S71" s="2"/>
      <c r="T71" s="6">
        <v>0</v>
      </c>
      <c r="U71" s="2"/>
      <c r="V71" s="7">
        <f t="shared" si="25"/>
        <v>0</v>
      </c>
      <c r="W71" s="2"/>
      <c r="X71" s="6">
        <f t="shared" si="26"/>
        <v>18661.080000000002</v>
      </c>
      <c r="Y71" s="2"/>
      <c r="Z71" s="7">
        <f t="shared" si="27"/>
        <v>0</v>
      </c>
    </row>
    <row r="72" spans="1:26" s="24" customFormat="1" hidden="1" outlineLevel="2" x14ac:dyDescent="0.25">
      <c r="A72" s="25"/>
      <c r="B72" s="11" t="str">
        <f>CONCATENATE("          ", "6006", " - ", "TEMPORARY PART TIME")</f>
        <v xml:space="preserve">          6006 - TEMPORARY PART TIME</v>
      </c>
      <c r="C72" s="11"/>
      <c r="D72" s="6"/>
      <c r="E72" s="2"/>
      <c r="F72" s="7">
        <f t="shared" si="20"/>
        <v>0</v>
      </c>
      <c r="G72" s="2"/>
      <c r="H72" s="6">
        <v>0</v>
      </c>
      <c r="I72" s="2"/>
      <c r="J72" s="7">
        <f t="shared" si="21"/>
        <v>0</v>
      </c>
      <c r="K72" s="2"/>
      <c r="L72" s="6">
        <f t="shared" si="22"/>
        <v>0</v>
      </c>
      <c r="M72" s="2"/>
      <c r="N72" s="7">
        <f t="shared" si="23"/>
        <v>0</v>
      </c>
      <c r="O72" s="11"/>
      <c r="P72" s="6">
        <v>66.5</v>
      </c>
      <c r="Q72" s="2"/>
      <c r="R72" s="7">
        <f t="shared" si="24"/>
        <v>5.4531489713048559E-5</v>
      </c>
      <c r="S72" s="2"/>
      <c r="T72" s="6">
        <v>0</v>
      </c>
      <c r="U72" s="2"/>
      <c r="V72" s="7">
        <f t="shared" si="25"/>
        <v>0</v>
      </c>
      <c r="W72" s="2"/>
      <c r="X72" s="6">
        <f t="shared" si="26"/>
        <v>66.5</v>
      </c>
      <c r="Y72" s="2"/>
      <c r="Z72" s="7">
        <f t="shared" si="27"/>
        <v>0</v>
      </c>
    </row>
    <row r="73" spans="1:26" s="24" customFormat="1" hidden="1" outlineLevel="2" x14ac:dyDescent="0.25">
      <c r="A73" s="25"/>
      <c r="B73" s="11" t="str">
        <f>CONCATENATE("          ", "6007", " - ", "STUDENT HOURLY")</f>
        <v xml:space="preserve">          6007 - STUDENT HOURLY</v>
      </c>
      <c r="C73" s="11"/>
      <c r="D73" s="6">
        <v>11729.06</v>
      </c>
      <c r="E73" s="2"/>
      <c r="F73" s="7">
        <f t="shared" si="20"/>
        <v>4.0229824343813725E-2</v>
      </c>
      <c r="G73" s="2"/>
      <c r="H73" s="6">
        <v>0</v>
      </c>
      <c r="I73" s="2"/>
      <c r="J73" s="7">
        <f t="shared" si="21"/>
        <v>0</v>
      </c>
      <c r="K73" s="2"/>
      <c r="L73" s="6">
        <f t="shared" si="22"/>
        <v>11729.06</v>
      </c>
      <c r="M73" s="2"/>
      <c r="N73" s="7">
        <f t="shared" si="23"/>
        <v>0</v>
      </c>
      <c r="O73" s="11"/>
      <c r="P73" s="6">
        <v>65134.48</v>
      </c>
      <c r="Q73" s="2"/>
      <c r="R73" s="7">
        <f t="shared" si="24"/>
        <v>5.3411732723079211E-2</v>
      </c>
      <c r="S73" s="2"/>
      <c r="T73" s="6">
        <v>22511.25</v>
      </c>
      <c r="U73" s="2"/>
      <c r="V73" s="7">
        <f t="shared" si="25"/>
        <v>2.0303599066320805E-2</v>
      </c>
      <c r="W73" s="2"/>
      <c r="X73" s="6">
        <f t="shared" si="26"/>
        <v>42623.23</v>
      </c>
      <c r="Y73" s="2"/>
      <c r="Z73" s="7">
        <f t="shared" si="27"/>
        <v>1.893419068243656</v>
      </c>
    </row>
    <row r="74" spans="1:26" s="24" customFormat="1" hidden="1" outlineLevel="2" x14ac:dyDescent="0.25">
      <c r="A74" s="25"/>
      <c r="B74" s="11" t="str">
        <f>CONCATENATE("          ", "6008", " - ", "STUDENT HOURLY-FICA EXEMPT")</f>
        <v xml:space="preserve">          6008 - STUDENT HOURLY-FICA EXEMPT</v>
      </c>
      <c r="C74" s="11"/>
      <c r="D74" s="6"/>
      <c r="E74" s="2"/>
      <c r="F74" s="7">
        <f t="shared" si="20"/>
        <v>0</v>
      </c>
      <c r="G74" s="2"/>
      <c r="H74" s="6">
        <v>13197</v>
      </c>
      <c r="I74" s="2"/>
      <c r="J74" s="7">
        <f t="shared" si="21"/>
        <v>6.0342935528120714E-2</v>
      </c>
      <c r="K74" s="2"/>
      <c r="L74" s="6">
        <f t="shared" si="22"/>
        <v>-13197</v>
      </c>
      <c r="M74" s="2"/>
      <c r="N74" s="7">
        <f t="shared" si="23"/>
        <v>-1</v>
      </c>
      <c r="O74" s="11"/>
      <c r="P74" s="6">
        <v>195</v>
      </c>
      <c r="Q74" s="2"/>
      <c r="R74" s="7">
        <f t="shared" si="24"/>
        <v>1.5990436833149578E-4</v>
      </c>
      <c r="S74" s="2"/>
      <c r="T74" s="6">
        <v>40064.25</v>
      </c>
      <c r="U74" s="2"/>
      <c r="V74" s="7">
        <f t="shared" si="25"/>
        <v>3.6135197685283726E-2</v>
      </c>
      <c r="W74" s="2"/>
      <c r="X74" s="6">
        <f t="shared" si="26"/>
        <v>-39869.25</v>
      </c>
      <c r="Y74" s="2"/>
      <c r="Z74" s="7">
        <f t="shared" si="27"/>
        <v>-0.99513281791123009</v>
      </c>
    </row>
    <row r="75" spans="1:26" s="24" customFormat="1" hidden="1" outlineLevel="2" x14ac:dyDescent="0.25">
      <c r="A75" s="25"/>
      <c r="B75" s="11" t="str">
        <f>CONCATENATE("          ", "6009", " - ", "TEMPORARY-SEASONAL")</f>
        <v xml:space="preserve">          6009 - TEMPORARY-SEASONAL</v>
      </c>
      <c r="C75" s="11"/>
      <c r="D75" s="6"/>
      <c r="E75" s="2"/>
      <c r="F75" s="7">
        <f t="shared" si="20"/>
        <v>0</v>
      </c>
      <c r="G75" s="2"/>
      <c r="H75" s="6">
        <v>0</v>
      </c>
      <c r="I75" s="2"/>
      <c r="J75" s="7">
        <f t="shared" si="21"/>
        <v>0</v>
      </c>
      <c r="K75" s="2"/>
      <c r="L75" s="6">
        <f t="shared" si="22"/>
        <v>0</v>
      </c>
      <c r="M75" s="2"/>
      <c r="N75" s="7">
        <f t="shared" si="23"/>
        <v>0</v>
      </c>
      <c r="O75" s="11"/>
      <c r="P75" s="6"/>
      <c r="Q75" s="2"/>
      <c r="R75" s="7">
        <f t="shared" si="24"/>
        <v>0</v>
      </c>
      <c r="S75" s="2"/>
      <c r="T75" s="6">
        <v>0</v>
      </c>
      <c r="U75" s="2"/>
      <c r="V75" s="7">
        <f t="shared" si="25"/>
        <v>0</v>
      </c>
      <c r="W75" s="2"/>
      <c r="X75" s="6">
        <f t="shared" si="26"/>
        <v>0</v>
      </c>
      <c r="Y75" s="2"/>
      <c r="Z75" s="7">
        <f t="shared" si="27"/>
        <v>0</v>
      </c>
    </row>
    <row r="76" spans="1:26" s="24" customFormat="1" hidden="1" outlineLevel="2" x14ac:dyDescent="0.25">
      <c r="A76" s="25"/>
      <c r="B76" s="11" t="str">
        <f>CONCATENATE("          ", "6010", " - ", "GRATUITY")</f>
        <v xml:space="preserve">          6010 - GRATUITY</v>
      </c>
      <c r="C76" s="11"/>
      <c r="D76" s="6"/>
      <c r="E76" s="2"/>
      <c r="F76" s="7">
        <f t="shared" si="20"/>
        <v>0</v>
      </c>
      <c r="G76" s="2"/>
      <c r="H76" s="6">
        <v>0</v>
      </c>
      <c r="I76" s="2"/>
      <c r="J76" s="7">
        <f t="shared" si="21"/>
        <v>0</v>
      </c>
      <c r="K76" s="2"/>
      <c r="L76" s="6">
        <f t="shared" si="22"/>
        <v>0</v>
      </c>
      <c r="M76" s="2"/>
      <c r="N76" s="7">
        <f t="shared" si="23"/>
        <v>0</v>
      </c>
      <c r="O76" s="11"/>
      <c r="P76" s="6"/>
      <c r="Q76" s="2"/>
      <c r="R76" s="7">
        <f t="shared" si="24"/>
        <v>0</v>
      </c>
      <c r="S76" s="2"/>
      <c r="T76" s="6">
        <v>0</v>
      </c>
      <c r="U76" s="2"/>
      <c r="V76" s="7">
        <f t="shared" si="25"/>
        <v>0</v>
      </c>
      <c r="W76" s="2"/>
      <c r="X76" s="6">
        <f t="shared" si="26"/>
        <v>0</v>
      </c>
      <c r="Y76" s="2"/>
      <c r="Z76" s="7">
        <f t="shared" si="27"/>
        <v>0</v>
      </c>
    </row>
    <row r="77" spans="1:26" s="26" customFormat="1" outlineLevel="1" collapsed="1" x14ac:dyDescent="0.25">
      <c r="A77" s="27"/>
      <c r="B77" s="13" t="str">
        <f>CONCATENATE("     ","Advertising/Promo                                 ")</f>
        <v xml:space="preserve">     Advertising/Promo                                 </v>
      </c>
      <c r="C77" s="13"/>
      <c r="D77" s="1">
        <f>SUM(OSRRefD22_2x_0)</f>
        <v>3744.83</v>
      </c>
      <c r="E77" s="1"/>
      <c r="F77" s="5">
        <f t="shared" ref="F77:F81" si="28">IF(D$12=0,0,D77/D$12)</f>
        <v>1.284449504883119E-2</v>
      </c>
      <c r="G77" s="1"/>
      <c r="H77" s="1">
        <f>SUM(OSRRefH22_2x_0)</f>
        <v>400</v>
      </c>
      <c r="I77" s="1"/>
      <c r="J77" s="5">
        <f t="shared" ref="J77:J81" si="29">IF(H$12=0,0,H77/H$12)</f>
        <v>1.8289894833104709E-3</v>
      </c>
      <c r="K77" s="1"/>
      <c r="L77" s="1">
        <f t="shared" ref="L77:L81" si="30">+D77-H77</f>
        <v>3344.83</v>
      </c>
      <c r="M77" s="1"/>
      <c r="N77" s="5">
        <f t="shared" ref="N77:N81" si="31">IF(H77=0,0,L77/H77)</f>
        <v>8.362074999999999</v>
      </c>
      <c r="O77" s="13"/>
      <c r="P77" s="1">
        <f>SUM(OSRRefP22_2x_0)</f>
        <v>9307.31</v>
      </c>
      <c r="Q77" s="1"/>
      <c r="R77" s="5">
        <f t="shared" ref="R77:R81" si="32">IF(P$12=0,0,P77/P$12)</f>
        <v>7.6322026995662255E-3</v>
      </c>
      <c r="S77" s="1"/>
      <c r="T77" s="1">
        <f>SUM(OSRRefT22_2x_0)</f>
        <v>2100</v>
      </c>
      <c r="U77" s="1"/>
      <c r="V77" s="5">
        <f t="shared" ref="V77:V81" si="33">IF(T$12=0,0,T77/T$12)</f>
        <v>1.8940555517474016E-3</v>
      </c>
      <c r="W77" s="1"/>
      <c r="X77" s="1">
        <f t="shared" ref="X77:X81" si="34">+P77-T77</f>
        <v>7207.3099999999995</v>
      </c>
      <c r="Y77" s="1"/>
      <c r="Z77" s="5">
        <f t="shared" ref="Z77:Z81" si="35">IF(T77=0,0,X77/T77)</f>
        <v>3.4320523809523809</v>
      </c>
    </row>
    <row r="78" spans="1:26" s="24" customFormat="1" hidden="1" outlineLevel="2" x14ac:dyDescent="0.25">
      <c r="A78" s="25"/>
      <c r="B78" s="11" t="str">
        <f>CONCATENATE("          ", "6362", " - ", "ADVERTISING EXPENSE")</f>
        <v xml:space="preserve">          6362 - ADVERTISING EXPENSE</v>
      </c>
      <c r="C78" s="11"/>
      <c r="D78" s="6">
        <v>3744.83</v>
      </c>
      <c r="E78" s="2"/>
      <c r="F78" s="7">
        <f t="shared" si="28"/>
        <v>1.284449504883119E-2</v>
      </c>
      <c r="G78" s="2"/>
      <c r="H78" s="6">
        <v>400</v>
      </c>
      <c r="I78" s="2"/>
      <c r="J78" s="7">
        <f t="shared" si="29"/>
        <v>1.8289894833104709E-3</v>
      </c>
      <c r="K78" s="2"/>
      <c r="L78" s="6">
        <f t="shared" si="30"/>
        <v>3344.83</v>
      </c>
      <c r="M78" s="2"/>
      <c r="N78" s="7">
        <f t="shared" si="31"/>
        <v>8.362074999999999</v>
      </c>
      <c r="O78" s="11"/>
      <c r="P78" s="6">
        <v>9307.31</v>
      </c>
      <c r="Q78" s="2"/>
      <c r="R78" s="7">
        <f t="shared" si="32"/>
        <v>7.6322026995662255E-3</v>
      </c>
      <c r="S78" s="2"/>
      <c r="T78" s="6">
        <v>2100</v>
      </c>
      <c r="U78" s="2"/>
      <c r="V78" s="7">
        <f t="shared" si="33"/>
        <v>1.8940555517474016E-3</v>
      </c>
      <c r="W78" s="2"/>
      <c r="X78" s="6">
        <f t="shared" si="34"/>
        <v>7207.3099999999995</v>
      </c>
      <c r="Y78" s="2"/>
      <c r="Z78" s="7">
        <f t="shared" si="35"/>
        <v>3.4320523809523809</v>
      </c>
    </row>
    <row r="79" spans="1:26" s="26" customFormat="1" outlineLevel="1" collapsed="1" x14ac:dyDescent="0.25">
      <c r="A79" s="27"/>
      <c r="B79" s="13" t="str">
        <f>CONCATENATE("     ","Discounts and Markdowns                           ")</f>
        <v xml:space="preserve">     Discounts and Markdowns                           </v>
      </c>
      <c r="C79" s="13"/>
      <c r="D79" s="1">
        <f>SUM(OSRRefD22_3x_0)</f>
        <v>38451.550000000003</v>
      </c>
      <c r="E79" s="1"/>
      <c r="F79" s="5">
        <f t="shared" si="28"/>
        <v>0.13188602515865475</v>
      </c>
      <c r="G79" s="1"/>
      <c r="H79" s="1">
        <f>SUM(OSRRefH22_3x_0)</f>
        <v>21000</v>
      </c>
      <c r="I79" s="1"/>
      <c r="J79" s="5">
        <f t="shared" si="29"/>
        <v>9.6021947873799723E-2</v>
      </c>
      <c r="K79" s="1"/>
      <c r="L79" s="1">
        <f t="shared" si="30"/>
        <v>17451.550000000003</v>
      </c>
      <c r="M79" s="1"/>
      <c r="N79" s="5">
        <f t="shared" si="31"/>
        <v>0.83102619047619064</v>
      </c>
      <c r="O79" s="13"/>
      <c r="P79" s="1">
        <f>SUM(OSRRefP22_3x_0)</f>
        <v>102856.39</v>
      </c>
      <c r="Q79" s="1"/>
      <c r="R79" s="5">
        <f t="shared" si="32"/>
        <v>8.434454395798964E-2</v>
      </c>
      <c r="S79" s="1"/>
      <c r="T79" s="1">
        <f>SUM(OSRRefT22_3x_0)</f>
        <v>89000</v>
      </c>
      <c r="U79" s="1"/>
      <c r="V79" s="5">
        <f t="shared" si="33"/>
        <v>8.0271878145485115E-2</v>
      </c>
      <c r="W79" s="1"/>
      <c r="X79" s="1">
        <f t="shared" si="34"/>
        <v>13856.39</v>
      </c>
      <c r="Y79" s="1"/>
      <c r="Z79" s="5">
        <f t="shared" si="35"/>
        <v>0.15568977528089886</v>
      </c>
    </row>
    <row r="80" spans="1:26" s="24" customFormat="1" hidden="1" outlineLevel="2" x14ac:dyDescent="0.25">
      <c r="A80" s="25"/>
      <c r="B80" s="11" t="str">
        <f>CONCATENATE("          ", "6382", " - ", "DISCOUNTS/MARK DOWNS")</f>
        <v xml:space="preserve">          6382 - DISCOUNTS/MARK DOWNS</v>
      </c>
      <c r="C80" s="11"/>
      <c r="D80" s="6">
        <v>38451.550000000003</v>
      </c>
      <c r="E80" s="2"/>
      <c r="F80" s="7">
        <f t="shared" si="28"/>
        <v>0.13188602515865475</v>
      </c>
      <c r="G80" s="2"/>
      <c r="H80" s="6">
        <v>21000</v>
      </c>
      <c r="I80" s="2"/>
      <c r="J80" s="7">
        <f t="shared" si="29"/>
        <v>9.6021947873799723E-2</v>
      </c>
      <c r="K80" s="2"/>
      <c r="L80" s="6">
        <f t="shared" si="30"/>
        <v>17451.550000000003</v>
      </c>
      <c r="M80" s="2"/>
      <c r="N80" s="7">
        <f t="shared" si="31"/>
        <v>0.83102619047619064</v>
      </c>
      <c r="O80" s="11"/>
      <c r="P80" s="6">
        <v>102863.86</v>
      </c>
      <c r="Q80" s="2"/>
      <c r="R80" s="7">
        <f t="shared" si="32"/>
        <v>8.4350669525330338E-2</v>
      </c>
      <c r="S80" s="2"/>
      <c r="T80" s="6">
        <v>89000</v>
      </c>
      <c r="U80" s="2"/>
      <c r="V80" s="7">
        <f t="shared" si="33"/>
        <v>8.0271878145485115E-2</v>
      </c>
      <c r="W80" s="2"/>
      <c r="X80" s="6">
        <f t="shared" si="34"/>
        <v>13863.86</v>
      </c>
      <c r="Y80" s="2"/>
      <c r="Z80" s="7">
        <f t="shared" si="35"/>
        <v>0.15577370786516856</v>
      </c>
    </row>
    <row r="81" spans="1:26" s="24" customFormat="1" hidden="1" outlineLevel="2" x14ac:dyDescent="0.25">
      <c r="A81" s="25"/>
      <c r="B81" s="11" t="str">
        <f>CONCATENATE("          ", "9175", " - ", "EARNED DISCOUNTS")</f>
        <v xml:space="preserve">          9175 - EARNED DISCOUNTS</v>
      </c>
      <c r="C81" s="11"/>
      <c r="D81" s="6"/>
      <c r="E81" s="2"/>
      <c r="F81" s="7">
        <f t="shared" si="28"/>
        <v>0</v>
      </c>
      <c r="G81" s="2"/>
      <c r="H81" s="6"/>
      <c r="I81" s="2"/>
      <c r="J81" s="7">
        <f t="shared" si="29"/>
        <v>0</v>
      </c>
      <c r="K81" s="2"/>
      <c r="L81" s="6">
        <f t="shared" si="30"/>
        <v>0</v>
      </c>
      <c r="M81" s="2"/>
      <c r="N81" s="7">
        <f t="shared" si="31"/>
        <v>0</v>
      </c>
      <c r="O81" s="11"/>
      <c r="P81" s="6">
        <v>-7.47</v>
      </c>
      <c r="Q81" s="2"/>
      <c r="R81" s="7">
        <f t="shared" si="32"/>
        <v>-6.1255673406988386E-6</v>
      </c>
      <c r="S81" s="2"/>
      <c r="T81" s="6"/>
      <c r="U81" s="2"/>
      <c r="V81" s="7">
        <f t="shared" si="33"/>
        <v>0</v>
      </c>
      <c r="W81" s="2"/>
      <c r="X81" s="6">
        <f t="shared" si="34"/>
        <v>-7.47</v>
      </c>
      <c r="Y81" s="2"/>
      <c r="Z81" s="7">
        <f t="shared" si="35"/>
        <v>0</v>
      </c>
    </row>
    <row r="82" spans="1:26" s="26" customFormat="1" outlineLevel="1" collapsed="1" x14ac:dyDescent="0.25">
      <c r="A82" s="27"/>
      <c r="B82" s="13" t="str">
        <f>CONCATENATE("     ","Employees' Appreciation                           ")</f>
        <v xml:space="preserve">     Employees' Appreciation                           </v>
      </c>
      <c r="C82" s="13"/>
      <c r="D82" s="1">
        <f>SUM(OSRRefD22_4x_0)</f>
        <v>136.5</v>
      </c>
      <c r="E82" s="1"/>
      <c r="F82" s="5">
        <f t="shared" ref="F82:F86" si="36">IF(D$12=0,0,D82/D$12)</f>
        <v>4.6818509095618695E-4</v>
      </c>
      <c r="G82" s="1"/>
      <c r="H82" s="1">
        <f>SUM(OSRRefH22_4x_0)</f>
        <v>150</v>
      </c>
      <c r="I82" s="1"/>
      <c r="J82" s="5">
        <f t="shared" ref="J82:J86" si="37">IF(H$12=0,0,H82/H$12)</f>
        <v>6.8587105624142656E-4</v>
      </c>
      <c r="K82" s="1"/>
      <c r="L82" s="1">
        <f t="shared" ref="L82:L86" si="38">+D82-H82</f>
        <v>-13.5</v>
      </c>
      <c r="M82" s="1"/>
      <c r="N82" s="5">
        <f t="shared" ref="N82:N86" si="39">IF(H82=0,0,L82/H82)</f>
        <v>-0.09</v>
      </c>
      <c r="O82" s="13"/>
      <c r="P82" s="1">
        <f>SUM(OSRRefP22_4x_0)</f>
        <v>209.48</v>
      </c>
      <c r="Q82" s="1"/>
      <c r="R82" s="5">
        <f t="shared" ref="R82:R86" si="40">IF(P$12=0,0,P82/P$12)</f>
        <v>1.7177829270811145E-4</v>
      </c>
      <c r="S82" s="1"/>
      <c r="T82" s="1">
        <f>SUM(OSRRefT22_4x_0)</f>
        <v>750</v>
      </c>
      <c r="U82" s="1"/>
      <c r="V82" s="5">
        <f t="shared" ref="V82:V86" si="41">IF(T$12=0,0,T82/T$12)</f>
        <v>6.7644841133835765E-4</v>
      </c>
      <c r="W82" s="1"/>
      <c r="X82" s="1">
        <f t="shared" ref="X82:X86" si="42">+P82-T82</f>
        <v>-540.52</v>
      </c>
      <c r="Y82" s="1"/>
      <c r="Z82" s="5">
        <f t="shared" ref="Z82:Z86" si="43">IF(T82=0,0,X82/T82)</f>
        <v>-0.7206933333333333</v>
      </c>
    </row>
    <row r="83" spans="1:26" s="24" customFormat="1" hidden="1" outlineLevel="2" x14ac:dyDescent="0.25">
      <c r="A83" s="25"/>
      <c r="B83" s="11" t="str">
        <f>CONCATENATE("          ", "6277", " - ", "EMPLOYEE APPRECIATION")</f>
        <v xml:space="preserve">          6277 - EMPLOYEE APPRECIATION</v>
      </c>
      <c r="C83" s="11"/>
      <c r="D83" s="6">
        <v>136.5</v>
      </c>
      <c r="E83" s="2"/>
      <c r="F83" s="7">
        <f t="shared" si="36"/>
        <v>4.6818509095618695E-4</v>
      </c>
      <c r="G83" s="2"/>
      <c r="H83" s="6">
        <v>150</v>
      </c>
      <c r="I83" s="2"/>
      <c r="J83" s="7">
        <f t="shared" si="37"/>
        <v>6.8587105624142656E-4</v>
      </c>
      <c r="K83" s="2"/>
      <c r="L83" s="6">
        <f t="shared" si="38"/>
        <v>-13.5</v>
      </c>
      <c r="M83" s="2"/>
      <c r="N83" s="7">
        <f t="shared" si="39"/>
        <v>-0.09</v>
      </c>
      <c r="O83" s="11"/>
      <c r="P83" s="6">
        <v>209.48</v>
      </c>
      <c r="Q83" s="2"/>
      <c r="R83" s="7">
        <f t="shared" si="40"/>
        <v>1.7177829270811145E-4</v>
      </c>
      <c r="S83" s="2"/>
      <c r="T83" s="6">
        <v>750</v>
      </c>
      <c r="U83" s="2"/>
      <c r="V83" s="7">
        <f t="shared" si="41"/>
        <v>6.7644841133835765E-4</v>
      </c>
      <c r="W83" s="2"/>
      <c r="X83" s="6">
        <f t="shared" si="42"/>
        <v>-540.52</v>
      </c>
      <c r="Y83" s="2"/>
      <c r="Z83" s="7">
        <f t="shared" si="43"/>
        <v>-0.7206933333333333</v>
      </c>
    </row>
    <row r="84" spans="1:26" s="26" customFormat="1" outlineLevel="1" collapsed="1" x14ac:dyDescent="0.25">
      <c r="A84" s="27"/>
      <c r="B84" s="13" t="str">
        <f>CONCATENATE("     ","Freight out/Postage                               ")</f>
        <v xml:space="preserve">     Freight out/Postage                               </v>
      </c>
      <c r="C84" s="13"/>
      <c r="D84" s="1">
        <f>SUM(OSRRefD22_5x_0)</f>
        <v>0</v>
      </c>
      <c r="E84" s="1"/>
      <c r="F84" s="5">
        <f t="shared" si="36"/>
        <v>0</v>
      </c>
      <c r="G84" s="1"/>
      <c r="H84" s="1">
        <f>SUM(OSRRefH22_5x_0)</f>
        <v>50</v>
      </c>
      <c r="I84" s="1"/>
      <c r="J84" s="5">
        <f t="shared" si="37"/>
        <v>2.2862368541380886E-4</v>
      </c>
      <c r="K84" s="1"/>
      <c r="L84" s="1">
        <f t="shared" si="38"/>
        <v>-50</v>
      </c>
      <c r="M84" s="1"/>
      <c r="N84" s="5">
        <f t="shared" si="39"/>
        <v>-1</v>
      </c>
      <c r="O84" s="13"/>
      <c r="P84" s="1">
        <f>SUM(OSRRefP22_5x_0)</f>
        <v>70.5</v>
      </c>
      <c r="Q84" s="1"/>
      <c r="R84" s="5">
        <f t="shared" si="40"/>
        <v>5.7811579319848474E-5</v>
      </c>
      <c r="S84" s="1"/>
      <c r="T84" s="1">
        <f>SUM(OSRRefT22_5x_0)</f>
        <v>250</v>
      </c>
      <c r="U84" s="1"/>
      <c r="V84" s="5">
        <f t="shared" si="41"/>
        <v>2.2548280377945258E-4</v>
      </c>
      <c r="W84" s="1"/>
      <c r="X84" s="1">
        <f t="shared" si="42"/>
        <v>-179.5</v>
      </c>
      <c r="Y84" s="1"/>
      <c r="Z84" s="5">
        <f t="shared" si="43"/>
        <v>-0.71799999999999997</v>
      </c>
    </row>
    <row r="85" spans="1:26" s="24" customFormat="1" hidden="1" outlineLevel="2" x14ac:dyDescent="0.25">
      <c r="A85" s="25"/>
      <c r="B85" s="11" t="str">
        <f>CONCATENATE("          ", "6305", " - ", "FREIGHT OUT")</f>
        <v xml:space="preserve">          6305 - FREIGHT OUT</v>
      </c>
      <c r="C85" s="11"/>
      <c r="D85" s="6"/>
      <c r="E85" s="2"/>
      <c r="F85" s="7">
        <f t="shared" si="36"/>
        <v>0</v>
      </c>
      <c r="G85" s="2"/>
      <c r="H85" s="6">
        <v>50</v>
      </c>
      <c r="I85" s="2"/>
      <c r="J85" s="7">
        <f t="shared" si="37"/>
        <v>2.2862368541380886E-4</v>
      </c>
      <c r="K85" s="2"/>
      <c r="L85" s="6">
        <f t="shared" si="38"/>
        <v>-50</v>
      </c>
      <c r="M85" s="2"/>
      <c r="N85" s="7">
        <f t="shared" si="39"/>
        <v>-1</v>
      </c>
      <c r="O85" s="11"/>
      <c r="P85" s="6">
        <v>70</v>
      </c>
      <c r="Q85" s="2"/>
      <c r="R85" s="7">
        <f t="shared" si="40"/>
        <v>5.7401568118998488E-5</v>
      </c>
      <c r="S85" s="2"/>
      <c r="T85" s="6">
        <v>250</v>
      </c>
      <c r="U85" s="2"/>
      <c r="V85" s="7">
        <f t="shared" si="41"/>
        <v>2.2548280377945258E-4</v>
      </c>
      <c r="W85" s="2"/>
      <c r="X85" s="6">
        <f t="shared" si="42"/>
        <v>-180</v>
      </c>
      <c r="Y85" s="2"/>
      <c r="Z85" s="7">
        <f t="shared" si="43"/>
        <v>-0.72</v>
      </c>
    </row>
    <row r="86" spans="1:26" s="24" customFormat="1" hidden="1" outlineLevel="2" x14ac:dyDescent="0.25">
      <c r="A86" s="25"/>
      <c r="B86" s="11" t="str">
        <f>CONCATENATE("          ", "6307", " - ", "POSTAGE")</f>
        <v xml:space="preserve">          6307 - POSTAGE</v>
      </c>
      <c r="C86" s="11"/>
      <c r="D86" s="6"/>
      <c r="E86" s="2"/>
      <c r="F86" s="7">
        <f t="shared" si="36"/>
        <v>0</v>
      </c>
      <c r="G86" s="2"/>
      <c r="H86" s="6"/>
      <c r="I86" s="2"/>
      <c r="J86" s="7">
        <f t="shared" si="37"/>
        <v>0</v>
      </c>
      <c r="K86" s="2"/>
      <c r="L86" s="6">
        <f t="shared" si="38"/>
        <v>0</v>
      </c>
      <c r="M86" s="2"/>
      <c r="N86" s="7">
        <f t="shared" si="39"/>
        <v>0</v>
      </c>
      <c r="O86" s="11"/>
      <c r="P86" s="6">
        <v>0.5</v>
      </c>
      <c r="Q86" s="2"/>
      <c r="R86" s="7">
        <f t="shared" si="40"/>
        <v>4.1001120084998916E-7</v>
      </c>
      <c r="S86" s="2"/>
      <c r="T86" s="6"/>
      <c r="U86" s="2"/>
      <c r="V86" s="7">
        <f t="shared" si="41"/>
        <v>0</v>
      </c>
      <c r="W86" s="2"/>
      <c r="X86" s="6">
        <f t="shared" si="42"/>
        <v>0.5</v>
      </c>
      <c r="Y86" s="2"/>
      <c r="Z86" s="7">
        <f t="shared" si="43"/>
        <v>0</v>
      </c>
    </row>
    <row r="87" spans="1:26" s="26" customFormat="1" outlineLevel="1" collapsed="1" x14ac:dyDescent="0.25">
      <c r="A87" s="27"/>
      <c r="B87" s="13" t="str">
        <f>CONCATENATE("     ","General                                           ")</f>
        <v xml:space="preserve">     General                                           </v>
      </c>
      <c r="C87" s="13"/>
      <c r="D87" s="1">
        <f>SUM(OSRRefD22_6x_0)</f>
        <v>0</v>
      </c>
      <c r="E87" s="1"/>
      <c r="F87" s="5">
        <f t="shared" ref="F87:F98" si="44">IF(D$12=0,0,D87/D$12)</f>
        <v>0</v>
      </c>
      <c r="G87" s="1"/>
      <c r="H87" s="1">
        <f>SUM(OSRRefH22_6x_0)</f>
        <v>0</v>
      </c>
      <c r="I87" s="1"/>
      <c r="J87" s="5">
        <f t="shared" ref="J87:J98" si="45">IF(H$12=0,0,H87/H$12)</f>
        <v>0</v>
      </c>
      <c r="K87" s="1"/>
      <c r="L87" s="1">
        <f t="shared" ref="L87:L98" si="46">+D87-H87</f>
        <v>0</v>
      </c>
      <c r="M87" s="1"/>
      <c r="N87" s="5">
        <f t="shared" ref="N87:N98" si="47">IF(H87=0,0,L87/H87)</f>
        <v>0</v>
      </c>
      <c r="O87" s="13"/>
      <c r="P87" s="1">
        <f>SUM(OSRRefP22_6x_0)</f>
        <v>0</v>
      </c>
      <c r="Q87" s="1"/>
      <c r="R87" s="5">
        <f t="shared" ref="R87:R98" si="48">IF(P$12=0,0,P87/P$12)</f>
        <v>0</v>
      </c>
      <c r="S87" s="1"/>
      <c r="T87" s="1">
        <f>SUM(OSRRefT22_6x_0)</f>
        <v>0</v>
      </c>
      <c r="U87" s="1"/>
      <c r="V87" s="5">
        <f t="shared" ref="V87:V98" si="49">IF(T$12=0,0,T87/T$12)</f>
        <v>0</v>
      </c>
      <c r="W87" s="1"/>
      <c r="X87" s="1">
        <f t="shared" ref="X87:X98" si="50">+P87-T87</f>
        <v>0</v>
      </c>
      <c r="Y87" s="1"/>
      <c r="Z87" s="5">
        <f t="shared" ref="Z87:Z98" si="51">IF(T87=0,0,X87/T87)</f>
        <v>0</v>
      </c>
    </row>
    <row r="88" spans="1:26" s="24" customFormat="1" hidden="1" outlineLevel="2" x14ac:dyDescent="0.25">
      <c r="A88" s="25"/>
      <c r="B88" s="11" t="str">
        <f>CONCATENATE("          ", "6279", " - ", "GENERAL EXPENSE")</f>
        <v xml:space="preserve">          6279 - GENERAL EXPENSE</v>
      </c>
      <c r="C88" s="11"/>
      <c r="D88" s="6"/>
      <c r="E88" s="2"/>
      <c r="F88" s="7">
        <f t="shared" si="44"/>
        <v>0</v>
      </c>
      <c r="G88" s="2"/>
      <c r="H88" s="6">
        <v>0</v>
      </c>
      <c r="I88" s="2"/>
      <c r="J88" s="7">
        <f t="shared" si="45"/>
        <v>0</v>
      </c>
      <c r="K88" s="2"/>
      <c r="L88" s="6">
        <f t="shared" si="46"/>
        <v>0</v>
      </c>
      <c r="M88" s="2"/>
      <c r="N88" s="7">
        <f t="shared" si="47"/>
        <v>0</v>
      </c>
      <c r="O88" s="11"/>
      <c r="P88" s="6"/>
      <c r="Q88" s="2"/>
      <c r="R88" s="7">
        <f t="shared" si="48"/>
        <v>0</v>
      </c>
      <c r="S88" s="2"/>
      <c r="T88" s="6">
        <v>0</v>
      </c>
      <c r="U88" s="2"/>
      <c r="V88" s="7">
        <f t="shared" si="49"/>
        <v>0</v>
      </c>
      <c r="W88" s="2"/>
      <c r="X88" s="6">
        <f t="shared" si="50"/>
        <v>0</v>
      </c>
      <c r="Y88" s="2"/>
      <c r="Z88" s="7">
        <f t="shared" si="51"/>
        <v>0</v>
      </c>
    </row>
    <row r="89" spans="1:26" s="26" customFormat="1" outlineLevel="1" collapsed="1" x14ac:dyDescent="0.25">
      <c r="A89" s="27"/>
      <c r="B89" s="13" t="str">
        <f>CONCATENATE("     ","Inventory Adjustment                              ")</f>
        <v xml:space="preserve">     Inventory Adjustment                              </v>
      </c>
      <c r="C89" s="13"/>
      <c r="D89" s="1">
        <f>SUM(OSRRefD22_7x_0)</f>
        <v>2850</v>
      </c>
      <c r="E89" s="1"/>
      <c r="F89" s="5">
        <f t="shared" si="44"/>
        <v>9.7752931078764309E-3</v>
      </c>
      <c r="G89" s="1"/>
      <c r="H89" s="1">
        <f>SUM(OSRRefH22_7x_0)</f>
        <v>2850</v>
      </c>
      <c r="I89" s="1"/>
      <c r="J89" s="5">
        <f t="shared" si="45"/>
        <v>1.3031550068587106E-2</v>
      </c>
      <c r="K89" s="1"/>
      <c r="L89" s="1">
        <f t="shared" si="46"/>
        <v>0</v>
      </c>
      <c r="M89" s="1"/>
      <c r="N89" s="5">
        <f t="shared" si="47"/>
        <v>0</v>
      </c>
      <c r="O89" s="13"/>
      <c r="P89" s="1">
        <f>SUM(OSRRefP22_7x_0)</f>
        <v>14250</v>
      </c>
      <c r="Q89" s="1"/>
      <c r="R89" s="5">
        <f t="shared" si="48"/>
        <v>1.1685319224224692E-2</v>
      </c>
      <c r="S89" s="1"/>
      <c r="T89" s="1">
        <f>SUM(OSRRefT22_7x_0)</f>
        <v>14250</v>
      </c>
      <c r="U89" s="1"/>
      <c r="V89" s="5">
        <f t="shared" si="49"/>
        <v>1.2852519815428795E-2</v>
      </c>
      <c r="W89" s="1"/>
      <c r="X89" s="1">
        <f t="shared" si="50"/>
        <v>0</v>
      </c>
      <c r="Y89" s="1"/>
      <c r="Z89" s="5">
        <f t="shared" si="51"/>
        <v>0</v>
      </c>
    </row>
    <row r="90" spans="1:26" s="24" customFormat="1" hidden="1" outlineLevel="2" x14ac:dyDescent="0.25">
      <c r="A90" s="25"/>
      <c r="B90" s="11" t="str">
        <f>CONCATENATE("          ", "6408", " - ", "INVENTORY ADJUSTMENT")</f>
        <v xml:space="preserve">          6408 - INVENTORY ADJUSTMENT</v>
      </c>
      <c r="C90" s="11"/>
      <c r="D90" s="6">
        <v>2850</v>
      </c>
      <c r="E90" s="2"/>
      <c r="F90" s="7">
        <f t="shared" si="44"/>
        <v>9.7752931078764309E-3</v>
      </c>
      <c r="G90" s="2"/>
      <c r="H90" s="6">
        <v>2850</v>
      </c>
      <c r="I90" s="2"/>
      <c r="J90" s="7">
        <f t="shared" si="45"/>
        <v>1.3031550068587106E-2</v>
      </c>
      <c r="K90" s="2"/>
      <c r="L90" s="6">
        <f t="shared" si="46"/>
        <v>0</v>
      </c>
      <c r="M90" s="2"/>
      <c r="N90" s="7">
        <f t="shared" si="47"/>
        <v>0</v>
      </c>
      <c r="O90" s="11"/>
      <c r="P90" s="6">
        <v>14250</v>
      </c>
      <c r="Q90" s="2"/>
      <c r="R90" s="7">
        <f t="shared" si="48"/>
        <v>1.1685319224224692E-2</v>
      </c>
      <c r="S90" s="2"/>
      <c r="T90" s="6">
        <v>14250</v>
      </c>
      <c r="U90" s="2"/>
      <c r="V90" s="7">
        <f t="shared" si="49"/>
        <v>1.2852519815428795E-2</v>
      </c>
      <c r="W90" s="2"/>
      <c r="X90" s="6">
        <f t="shared" si="50"/>
        <v>0</v>
      </c>
      <c r="Y90" s="2"/>
      <c r="Z90" s="7">
        <f t="shared" si="51"/>
        <v>0</v>
      </c>
    </row>
    <row r="91" spans="1:26" s="26" customFormat="1" outlineLevel="1" collapsed="1" x14ac:dyDescent="0.25">
      <c r="A91" s="27"/>
      <c r="B91" s="13" t="str">
        <f>CONCATENATE("     ","Professional Services                             ")</f>
        <v xml:space="preserve">     Professional Services                             </v>
      </c>
      <c r="C91" s="13"/>
      <c r="D91" s="1">
        <f>SUM(OSRRefD22_8x_0)</f>
        <v>0</v>
      </c>
      <c r="E91" s="1"/>
      <c r="F91" s="5">
        <f t="shared" si="44"/>
        <v>0</v>
      </c>
      <c r="G91" s="1"/>
      <c r="H91" s="1">
        <f>SUM(OSRRefH22_8x_0)</f>
        <v>0</v>
      </c>
      <c r="I91" s="1"/>
      <c r="J91" s="5">
        <f t="shared" si="45"/>
        <v>0</v>
      </c>
      <c r="K91" s="1"/>
      <c r="L91" s="1">
        <f t="shared" si="46"/>
        <v>0</v>
      </c>
      <c r="M91" s="1"/>
      <c r="N91" s="5">
        <f t="shared" si="47"/>
        <v>0</v>
      </c>
      <c r="O91" s="13"/>
      <c r="P91" s="1">
        <f>SUM(OSRRefP22_8x_0)</f>
        <v>0</v>
      </c>
      <c r="Q91" s="1"/>
      <c r="R91" s="5">
        <f t="shared" si="48"/>
        <v>0</v>
      </c>
      <c r="S91" s="1"/>
      <c r="T91" s="1">
        <f>SUM(OSRRefT22_8x_0)</f>
        <v>1750</v>
      </c>
      <c r="U91" s="1"/>
      <c r="V91" s="5">
        <f t="shared" si="49"/>
        <v>1.578379626456168E-3</v>
      </c>
      <c r="W91" s="1"/>
      <c r="X91" s="1">
        <f t="shared" si="50"/>
        <v>-1750</v>
      </c>
      <c r="Y91" s="1"/>
      <c r="Z91" s="5">
        <f t="shared" si="51"/>
        <v>-1</v>
      </c>
    </row>
    <row r="92" spans="1:26" s="24" customFormat="1" hidden="1" outlineLevel="2" x14ac:dyDescent="0.25">
      <c r="A92" s="25"/>
      <c r="B92" s="11" t="str">
        <f>CONCATENATE("          ", "6336", " - ", "PROFESSIONAL SERVICES")</f>
        <v xml:space="preserve">          6336 - PROFESSIONAL SERVICES</v>
      </c>
      <c r="C92" s="11"/>
      <c r="D92" s="6"/>
      <c r="E92" s="2"/>
      <c r="F92" s="7">
        <f t="shared" si="44"/>
        <v>0</v>
      </c>
      <c r="G92" s="2"/>
      <c r="H92" s="6">
        <v>0</v>
      </c>
      <c r="I92" s="2"/>
      <c r="J92" s="7">
        <f t="shared" si="45"/>
        <v>0</v>
      </c>
      <c r="K92" s="2"/>
      <c r="L92" s="6">
        <f t="shared" si="46"/>
        <v>0</v>
      </c>
      <c r="M92" s="2"/>
      <c r="N92" s="7">
        <f t="shared" si="47"/>
        <v>0</v>
      </c>
      <c r="O92" s="11"/>
      <c r="P92" s="6"/>
      <c r="Q92" s="2"/>
      <c r="R92" s="7">
        <f t="shared" si="48"/>
        <v>0</v>
      </c>
      <c r="S92" s="2"/>
      <c r="T92" s="6">
        <v>1750</v>
      </c>
      <c r="U92" s="2"/>
      <c r="V92" s="7">
        <f t="shared" si="49"/>
        <v>1.578379626456168E-3</v>
      </c>
      <c r="W92" s="2"/>
      <c r="X92" s="6">
        <f t="shared" si="50"/>
        <v>-1750</v>
      </c>
      <c r="Y92" s="2"/>
      <c r="Z92" s="7">
        <f t="shared" si="51"/>
        <v>-1</v>
      </c>
    </row>
    <row r="93" spans="1:26" s="26" customFormat="1" outlineLevel="1" collapsed="1" x14ac:dyDescent="0.25">
      <c r="A93" s="27"/>
      <c r="B93" s="13" t="str">
        <f>CONCATENATE("     ","Repair and Maintenance                            ")</f>
        <v xml:space="preserve">     Repair and Maintenance                            </v>
      </c>
      <c r="C93" s="13"/>
      <c r="D93" s="1">
        <f>SUM(OSRRefD22_9x_0)</f>
        <v>0</v>
      </c>
      <c r="E93" s="1"/>
      <c r="F93" s="5">
        <f t="shared" si="44"/>
        <v>0</v>
      </c>
      <c r="G93" s="1"/>
      <c r="H93" s="1">
        <f>SUM(OSRRefH22_9x_0)</f>
        <v>50</v>
      </c>
      <c r="I93" s="1"/>
      <c r="J93" s="5">
        <f t="shared" si="45"/>
        <v>2.2862368541380886E-4</v>
      </c>
      <c r="K93" s="1"/>
      <c r="L93" s="1">
        <f t="shared" si="46"/>
        <v>-50</v>
      </c>
      <c r="M93" s="1"/>
      <c r="N93" s="5">
        <f t="shared" si="47"/>
        <v>-1</v>
      </c>
      <c r="O93" s="13"/>
      <c r="P93" s="1">
        <f>SUM(OSRRefP22_9x_0)</f>
        <v>0</v>
      </c>
      <c r="Q93" s="1"/>
      <c r="R93" s="5">
        <f t="shared" si="48"/>
        <v>0</v>
      </c>
      <c r="S93" s="1"/>
      <c r="T93" s="1">
        <f>SUM(OSRRefT22_9x_0)</f>
        <v>250</v>
      </c>
      <c r="U93" s="1"/>
      <c r="V93" s="5">
        <f t="shared" si="49"/>
        <v>2.2548280377945258E-4</v>
      </c>
      <c r="W93" s="1"/>
      <c r="X93" s="1">
        <f t="shared" si="50"/>
        <v>-250</v>
      </c>
      <c r="Y93" s="1"/>
      <c r="Z93" s="5">
        <f t="shared" si="51"/>
        <v>-1</v>
      </c>
    </row>
    <row r="94" spans="1:26" s="24" customFormat="1" hidden="1" outlineLevel="2" x14ac:dyDescent="0.25">
      <c r="A94" s="25"/>
      <c r="B94" s="11" t="str">
        <f>CONCATENATE("          ", "6375", " - ", "OUTSIDE REPAIRS &amp; MAINTENANCE")</f>
        <v xml:space="preserve">          6375 - OUTSIDE REPAIRS &amp; MAINTENANCE</v>
      </c>
      <c r="C94" s="11"/>
      <c r="D94" s="6"/>
      <c r="E94" s="2"/>
      <c r="F94" s="7">
        <f t="shared" si="44"/>
        <v>0</v>
      </c>
      <c r="G94" s="2"/>
      <c r="H94" s="6">
        <v>50</v>
      </c>
      <c r="I94" s="2"/>
      <c r="J94" s="7">
        <f t="shared" si="45"/>
        <v>2.2862368541380886E-4</v>
      </c>
      <c r="K94" s="2"/>
      <c r="L94" s="6">
        <f t="shared" si="46"/>
        <v>-50</v>
      </c>
      <c r="M94" s="2"/>
      <c r="N94" s="7">
        <f t="shared" si="47"/>
        <v>-1</v>
      </c>
      <c r="O94" s="11"/>
      <c r="P94" s="6"/>
      <c r="Q94" s="2"/>
      <c r="R94" s="7">
        <f t="shared" si="48"/>
        <v>0</v>
      </c>
      <c r="S94" s="2"/>
      <c r="T94" s="6">
        <v>250</v>
      </c>
      <c r="U94" s="2"/>
      <c r="V94" s="7">
        <f t="shared" si="49"/>
        <v>2.2548280377945258E-4</v>
      </c>
      <c r="W94" s="2"/>
      <c r="X94" s="6">
        <f t="shared" si="50"/>
        <v>-250</v>
      </c>
      <c r="Y94" s="2"/>
      <c r="Z94" s="7">
        <f t="shared" si="51"/>
        <v>-1</v>
      </c>
    </row>
    <row r="95" spans="1:26" s="26" customFormat="1" outlineLevel="1" collapsed="1" x14ac:dyDescent="0.25">
      <c r="A95" s="27"/>
      <c r="B95" s="13" t="str">
        <f>CONCATENATE("     ","Royalty &amp; Commissions                             ")</f>
        <v xml:space="preserve">     Royalty &amp; Commissions                             </v>
      </c>
      <c r="C95" s="13"/>
      <c r="D95" s="1">
        <f>SUM(OSRRefD22_10x_0)</f>
        <v>803.23</v>
      </c>
      <c r="E95" s="1"/>
      <c r="F95" s="5">
        <f t="shared" si="44"/>
        <v>2.7550205905402057E-3</v>
      </c>
      <c r="G95" s="1"/>
      <c r="H95" s="1">
        <f>SUM(OSRRefH22_10x_0)</f>
        <v>5485</v>
      </c>
      <c r="I95" s="1"/>
      <c r="J95" s="5">
        <f t="shared" si="45"/>
        <v>2.5080018289894833E-2</v>
      </c>
      <c r="K95" s="1"/>
      <c r="L95" s="1">
        <f t="shared" si="46"/>
        <v>-4681.7700000000004</v>
      </c>
      <c r="M95" s="1"/>
      <c r="N95" s="5">
        <f t="shared" si="47"/>
        <v>-0.8535587967183228</v>
      </c>
      <c r="O95" s="13"/>
      <c r="P95" s="1">
        <f>SUM(OSRRefP22_10x_0)</f>
        <v>6668.07</v>
      </c>
      <c r="Q95" s="1"/>
      <c r="R95" s="5">
        <f t="shared" si="48"/>
        <v>5.4679667761035741E-3</v>
      </c>
      <c r="S95" s="1"/>
      <c r="T95" s="1">
        <f>SUM(OSRRefT22_10x_0)</f>
        <v>27425</v>
      </c>
      <c r="U95" s="1"/>
      <c r="V95" s="5">
        <f t="shared" si="49"/>
        <v>2.4735463574605945E-2</v>
      </c>
      <c r="W95" s="1"/>
      <c r="X95" s="1">
        <f t="shared" si="50"/>
        <v>-20756.93</v>
      </c>
      <c r="Y95" s="1"/>
      <c r="Z95" s="5">
        <f t="shared" si="51"/>
        <v>-0.75686162260711032</v>
      </c>
    </row>
    <row r="96" spans="1:26" s="24" customFormat="1" hidden="1" outlineLevel="2" x14ac:dyDescent="0.25">
      <c r="A96" s="25"/>
      <c r="B96" s="11" t="str">
        <f>CONCATENATE("          ", "6252", " - ", "ROYALTY DUE CSTV")</f>
        <v xml:space="preserve">          6252 - ROYALTY DUE CSTV</v>
      </c>
      <c r="C96" s="11"/>
      <c r="D96" s="6"/>
      <c r="E96" s="2"/>
      <c r="F96" s="7">
        <f t="shared" si="44"/>
        <v>0</v>
      </c>
      <c r="G96" s="2"/>
      <c r="H96" s="6">
        <v>1085</v>
      </c>
      <c r="I96" s="2"/>
      <c r="J96" s="7">
        <f t="shared" si="45"/>
        <v>4.9611339734796523E-3</v>
      </c>
      <c r="K96" s="2"/>
      <c r="L96" s="6">
        <f t="shared" si="46"/>
        <v>-1085</v>
      </c>
      <c r="M96" s="2"/>
      <c r="N96" s="7">
        <f t="shared" si="47"/>
        <v>-1</v>
      </c>
      <c r="O96" s="11"/>
      <c r="P96" s="6"/>
      <c r="Q96" s="2"/>
      <c r="R96" s="7">
        <f t="shared" si="48"/>
        <v>0</v>
      </c>
      <c r="S96" s="2"/>
      <c r="T96" s="6">
        <v>5425</v>
      </c>
      <c r="U96" s="2"/>
      <c r="V96" s="7">
        <f t="shared" si="49"/>
        <v>4.892976842014121E-3</v>
      </c>
      <c r="W96" s="2"/>
      <c r="X96" s="6">
        <f t="shared" si="50"/>
        <v>-5425</v>
      </c>
      <c r="Y96" s="2"/>
      <c r="Z96" s="7">
        <f t="shared" si="51"/>
        <v>-1</v>
      </c>
    </row>
    <row r="97" spans="1:26" s="24" customFormat="1" hidden="1" outlineLevel="2" x14ac:dyDescent="0.25">
      <c r="A97" s="25"/>
      <c r="B97" s="11" t="str">
        <f>CONCATENATE("          ", "6253", " - ", "ROYALTY DUE ATHLETICS-LRG")</f>
        <v xml:space="preserve">          6253 - ROYALTY DUE ATHLETICS-LRG</v>
      </c>
      <c r="C97" s="11"/>
      <c r="D97" s="6"/>
      <c r="E97" s="2"/>
      <c r="F97" s="7">
        <f t="shared" si="44"/>
        <v>0</v>
      </c>
      <c r="G97" s="2"/>
      <c r="H97" s="6">
        <v>3700</v>
      </c>
      <c r="I97" s="2"/>
      <c r="J97" s="7">
        <f t="shared" si="45"/>
        <v>1.6918152720621856E-2</v>
      </c>
      <c r="K97" s="2"/>
      <c r="L97" s="6">
        <f t="shared" si="46"/>
        <v>-3700</v>
      </c>
      <c r="M97" s="2"/>
      <c r="N97" s="7">
        <f t="shared" si="47"/>
        <v>-1</v>
      </c>
      <c r="O97" s="11"/>
      <c r="P97" s="6">
        <v>4366.95</v>
      </c>
      <c r="Q97" s="2"/>
      <c r="R97" s="7">
        <f t="shared" si="48"/>
        <v>3.5809968271037205E-3</v>
      </c>
      <c r="S97" s="2"/>
      <c r="T97" s="6">
        <v>18500</v>
      </c>
      <c r="U97" s="2"/>
      <c r="V97" s="7">
        <f t="shared" si="49"/>
        <v>1.6685727479679488E-2</v>
      </c>
      <c r="W97" s="2"/>
      <c r="X97" s="6">
        <f t="shared" si="50"/>
        <v>-14133.05</v>
      </c>
      <c r="Y97" s="2"/>
      <c r="Z97" s="7">
        <f t="shared" si="51"/>
        <v>-0.76394864864864864</v>
      </c>
    </row>
    <row r="98" spans="1:26" s="24" customFormat="1" hidden="1" outlineLevel="2" x14ac:dyDescent="0.25">
      <c r="A98" s="25"/>
      <c r="B98" s="11" t="str">
        <f>CONCATENATE("          ", "6254", " - ", "ROYALTY &amp; COMMISSIONS")</f>
        <v xml:space="preserve">          6254 - ROYALTY &amp; COMMISSIONS</v>
      </c>
      <c r="C98" s="11"/>
      <c r="D98" s="6">
        <v>803.23</v>
      </c>
      <c r="E98" s="2"/>
      <c r="F98" s="7">
        <f t="shared" si="44"/>
        <v>2.7550205905402057E-3</v>
      </c>
      <c r="G98" s="2"/>
      <c r="H98" s="6">
        <v>700</v>
      </c>
      <c r="I98" s="2"/>
      <c r="J98" s="7">
        <f t="shared" si="45"/>
        <v>3.200731595793324E-3</v>
      </c>
      <c r="K98" s="2"/>
      <c r="L98" s="6">
        <f t="shared" si="46"/>
        <v>103.23000000000002</v>
      </c>
      <c r="M98" s="2"/>
      <c r="N98" s="7">
        <f t="shared" si="47"/>
        <v>0.14747142857142859</v>
      </c>
      <c r="O98" s="11"/>
      <c r="P98" s="6">
        <v>2301.12</v>
      </c>
      <c r="Q98" s="2"/>
      <c r="R98" s="7">
        <f t="shared" si="48"/>
        <v>1.886969948999854E-3</v>
      </c>
      <c r="S98" s="2"/>
      <c r="T98" s="6">
        <v>3500</v>
      </c>
      <c r="U98" s="2"/>
      <c r="V98" s="7">
        <f t="shared" si="49"/>
        <v>3.1567592529123359E-3</v>
      </c>
      <c r="W98" s="2"/>
      <c r="X98" s="6">
        <f t="shared" si="50"/>
        <v>-1198.8800000000001</v>
      </c>
      <c r="Y98" s="2"/>
      <c r="Z98" s="7">
        <f t="shared" si="51"/>
        <v>-0.34253714285714287</v>
      </c>
    </row>
    <row r="99" spans="1:26" s="26" customFormat="1" outlineLevel="1" collapsed="1" x14ac:dyDescent="0.25">
      <c r="A99" s="27"/>
      <c r="B99" s="13" t="str">
        <f>CONCATENATE("     ","Subscriptions &amp; Dues                              ")</f>
        <v xml:space="preserve">     Subscriptions &amp; Dues                              </v>
      </c>
      <c r="C99" s="13"/>
      <c r="D99" s="1">
        <f>SUM(OSRRefD22_11x_0)</f>
        <v>0</v>
      </c>
      <c r="E99" s="1"/>
      <c r="F99" s="5">
        <f t="shared" ref="F99:F101" si="52">IF(D$12=0,0,D99/D$12)</f>
        <v>0</v>
      </c>
      <c r="G99" s="1"/>
      <c r="H99" s="1">
        <f>SUM(OSRRefH22_11x_0)</f>
        <v>0</v>
      </c>
      <c r="I99" s="1"/>
      <c r="J99" s="5">
        <f t="shared" ref="J99:J101" si="53">IF(H$12=0,0,H99/H$12)</f>
        <v>0</v>
      </c>
      <c r="K99" s="1"/>
      <c r="L99" s="1">
        <f t="shared" ref="L99:L101" si="54">+D99-H99</f>
        <v>0</v>
      </c>
      <c r="M99" s="1"/>
      <c r="N99" s="5">
        <f t="shared" ref="N99:N101" si="55">IF(H99=0,0,L99/H99)</f>
        <v>0</v>
      </c>
      <c r="O99" s="13"/>
      <c r="P99" s="1">
        <f>SUM(OSRRefP22_11x_0)</f>
        <v>296.64</v>
      </c>
      <c r="Q99" s="1"/>
      <c r="R99" s="5">
        <f t="shared" ref="R99:R101" si="56">IF(P$12=0,0,P99/P$12)</f>
        <v>2.4325144524028157E-4</v>
      </c>
      <c r="S99" s="1"/>
      <c r="T99" s="1">
        <f>SUM(OSRRefT22_11x_0)</f>
        <v>2100</v>
      </c>
      <c r="U99" s="1"/>
      <c r="V99" s="5">
        <f t="shared" ref="V99:V101" si="57">IF(T$12=0,0,T99/T$12)</f>
        <v>1.8940555517474016E-3</v>
      </c>
      <c r="W99" s="1"/>
      <c r="X99" s="1">
        <f t="shared" ref="X99:X101" si="58">+P99-T99</f>
        <v>-1803.3600000000001</v>
      </c>
      <c r="Y99" s="1"/>
      <c r="Z99" s="5">
        <f t="shared" ref="Z99:Z101" si="59">IF(T99=0,0,X99/T99)</f>
        <v>-0.85874285714285725</v>
      </c>
    </row>
    <row r="100" spans="1:26" s="24" customFormat="1" hidden="1" outlineLevel="2" x14ac:dyDescent="0.25">
      <c r="A100" s="25"/>
      <c r="B100" s="11" t="str">
        <f>CONCATENATE("          ", "6258", " - ", "MEMBERSHIP DUES")</f>
        <v xml:space="preserve">          6258 - MEMBERSHIP DUES</v>
      </c>
      <c r="C100" s="11"/>
      <c r="D100" s="6"/>
      <c r="E100" s="2"/>
      <c r="F100" s="7">
        <f t="shared" si="52"/>
        <v>0</v>
      </c>
      <c r="G100" s="2"/>
      <c r="H100" s="6">
        <v>0</v>
      </c>
      <c r="I100" s="2"/>
      <c r="J100" s="7">
        <f t="shared" si="53"/>
        <v>0</v>
      </c>
      <c r="K100" s="2"/>
      <c r="L100" s="6">
        <f t="shared" si="54"/>
        <v>0</v>
      </c>
      <c r="M100" s="2"/>
      <c r="N100" s="7">
        <f t="shared" si="55"/>
        <v>0</v>
      </c>
      <c r="O100" s="11"/>
      <c r="P100" s="6"/>
      <c r="Q100" s="2"/>
      <c r="R100" s="7">
        <f t="shared" si="56"/>
        <v>0</v>
      </c>
      <c r="S100" s="2"/>
      <c r="T100" s="6">
        <v>1000</v>
      </c>
      <c r="U100" s="2"/>
      <c r="V100" s="7">
        <f t="shared" si="57"/>
        <v>9.0193121511781031E-4</v>
      </c>
      <c r="W100" s="2"/>
      <c r="X100" s="6">
        <f t="shared" si="58"/>
        <v>-1000</v>
      </c>
      <c r="Y100" s="2"/>
      <c r="Z100" s="7">
        <f t="shared" si="59"/>
        <v>-1</v>
      </c>
    </row>
    <row r="101" spans="1:26" s="24" customFormat="1" hidden="1" outlineLevel="2" x14ac:dyDescent="0.25">
      <c r="A101" s="25"/>
      <c r="B101" s="11" t="str">
        <f>CONCATENATE("          ", "6275", " - ", "SUBSCRIPTIONS")</f>
        <v xml:space="preserve">          6275 - SUBSCRIPTIONS</v>
      </c>
      <c r="C101" s="11"/>
      <c r="D101" s="6"/>
      <c r="E101" s="2"/>
      <c r="F101" s="7">
        <f t="shared" si="52"/>
        <v>0</v>
      </c>
      <c r="G101" s="2"/>
      <c r="H101" s="6">
        <v>0</v>
      </c>
      <c r="I101" s="2"/>
      <c r="J101" s="7">
        <f t="shared" si="53"/>
        <v>0</v>
      </c>
      <c r="K101" s="2"/>
      <c r="L101" s="6">
        <f t="shared" si="54"/>
        <v>0</v>
      </c>
      <c r="M101" s="2"/>
      <c r="N101" s="7">
        <f t="shared" si="55"/>
        <v>0</v>
      </c>
      <c r="O101" s="11"/>
      <c r="P101" s="6">
        <v>296.64</v>
      </c>
      <c r="Q101" s="2"/>
      <c r="R101" s="7">
        <f t="shared" si="56"/>
        <v>2.4325144524028157E-4</v>
      </c>
      <c r="S101" s="2"/>
      <c r="T101" s="6">
        <v>1100</v>
      </c>
      <c r="U101" s="2"/>
      <c r="V101" s="7">
        <f t="shared" si="57"/>
        <v>9.9212433662959122E-4</v>
      </c>
      <c r="W101" s="2"/>
      <c r="X101" s="6">
        <f t="shared" si="58"/>
        <v>-803.36</v>
      </c>
      <c r="Y101" s="2"/>
      <c r="Z101" s="7">
        <f t="shared" si="59"/>
        <v>-0.73032727272727271</v>
      </c>
    </row>
    <row r="102" spans="1:26" s="26" customFormat="1" outlineLevel="1" collapsed="1" x14ac:dyDescent="0.25">
      <c r="A102" s="27"/>
      <c r="B102" s="13" t="str">
        <f>CONCATENATE("     ","Supplies                                          ")</f>
        <v xml:space="preserve">     Supplies                                          </v>
      </c>
      <c r="C102" s="13"/>
      <c r="D102" s="1">
        <f>SUM(OSRRefD22_12x_0)</f>
        <v>-252.70999999999992</v>
      </c>
      <c r="E102" s="1"/>
      <c r="F102" s="5">
        <f t="shared" ref="F102:F107" si="60">IF(D$12=0,0,D102/D$12)</f>
        <v>-8.6677695483910599E-4</v>
      </c>
      <c r="G102" s="1"/>
      <c r="H102" s="1">
        <f>SUM(OSRRefH22_12x_0)</f>
        <v>625</v>
      </c>
      <c r="I102" s="1"/>
      <c r="J102" s="5">
        <f t="shared" ref="J102:J107" si="61">IF(H$12=0,0,H102/H$12)</f>
        <v>2.8577960676726107E-3</v>
      </c>
      <c r="K102" s="1"/>
      <c r="L102" s="1">
        <f t="shared" ref="L102:L107" si="62">+D102-H102</f>
        <v>-877.70999999999992</v>
      </c>
      <c r="M102" s="1"/>
      <c r="N102" s="5">
        <f t="shared" ref="N102:N107" si="63">IF(H102=0,0,L102/H102)</f>
        <v>-1.4043359999999998</v>
      </c>
      <c r="O102" s="13"/>
      <c r="P102" s="1">
        <f>SUM(OSRRefP22_12x_0)</f>
        <v>1680.5899999999997</v>
      </c>
      <c r="Q102" s="1"/>
      <c r="R102" s="5">
        <f t="shared" ref="R102:R107" si="64">IF(P$12=0,0,P102/P$12)</f>
        <v>1.3781214480729665E-3</v>
      </c>
      <c r="S102" s="1"/>
      <c r="T102" s="1">
        <f>SUM(OSRRefT22_12x_0)</f>
        <v>4125</v>
      </c>
      <c r="U102" s="1"/>
      <c r="V102" s="5">
        <f t="shared" ref="V102:V107" si="65">IF(T$12=0,0,T102/T$12)</f>
        <v>3.7204662623609671E-3</v>
      </c>
      <c r="W102" s="1"/>
      <c r="X102" s="1">
        <f t="shared" ref="X102:X107" si="66">+P102-T102</f>
        <v>-2444.4100000000003</v>
      </c>
      <c r="Y102" s="1"/>
      <c r="Z102" s="5">
        <f t="shared" ref="Z102:Z107" si="67">IF(T102=0,0,X102/T102)</f>
        <v>-0.59258424242424246</v>
      </c>
    </row>
    <row r="103" spans="1:26" s="24" customFormat="1" hidden="1" outlineLevel="2" x14ac:dyDescent="0.25">
      <c r="A103" s="25"/>
      <c r="B103" s="11" t="str">
        <f>CONCATENATE("          ", "6234", " - ", "EXPENDABLE SUPPLIES &amp; EQUIPMEN")</f>
        <v xml:space="preserve">          6234 - EXPENDABLE SUPPLIES &amp; EQUIPMEN</v>
      </c>
      <c r="C103" s="11"/>
      <c r="D103" s="6">
        <v>36.31</v>
      </c>
      <c r="E103" s="2"/>
      <c r="F103" s="7">
        <f t="shared" si="60"/>
        <v>1.24540664121752E-4</v>
      </c>
      <c r="G103" s="2"/>
      <c r="H103" s="6">
        <v>200</v>
      </c>
      <c r="I103" s="2"/>
      <c r="J103" s="7">
        <f t="shared" si="61"/>
        <v>9.1449474165523545E-4</v>
      </c>
      <c r="K103" s="2"/>
      <c r="L103" s="6">
        <f t="shared" si="62"/>
        <v>-163.69</v>
      </c>
      <c r="M103" s="2"/>
      <c r="N103" s="7">
        <f t="shared" si="63"/>
        <v>-0.81845000000000001</v>
      </c>
      <c r="O103" s="11"/>
      <c r="P103" s="6">
        <v>20.36</v>
      </c>
      <c r="Q103" s="2"/>
      <c r="R103" s="7">
        <f t="shared" si="64"/>
        <v>1.6695656098611558E-5</v>
      </c>
      <c r="S103" s="2"/>
      <c r="T103" s="6">
        <v>2000</v>
      </c>
      <c r="U103" s="2"/>
      <c r="V103" s="7">
        <f t="shared" si="65"/>
        <v>1.8038624302356206E-3</v>
      </c>
      <c r="W103" s="2"/>
      <c r="X103" s="6">
        <f t="shared" si="66"/>
        <v>-1979.64</v>
      </c>
      <c r="Y103" s="2"/>
      <c r="Z103" s="7">
        <f t="shared" si="67"/>
        <v>-0.98982000000000003</v>
      </c>
    </row>
    <row r="104" spans="1:26" s="24" customFormat="1" hidden="1" outlineLevel="2" x14ac:dyDescent="0.25">
      <c r="A104" s="25"/>
      <c r="B104" s="11" t="str">
        <f>CONCATENATE("          ", "6237", " - ", "JANITORIAL SUPPLIES")</f>
        <v xml:space="preserve">          6237 - JANITORIAL SUPPLIES</v>
      </c>
      <c r="C104" s="11"/>
      <c r="D104" s="6"/>
      <c r="E104" s="2"/>
      <c r="F104" s="7">
        <f t="shared" si="60"/>
        <v>0</v>
      </c>
      <c r="G104" s="2"/>
      <c r="H104" s="6">
        <v>25</v>
      </c>
      <c r="I104" s="2"/>
      <c r="J104" s="7">
        <f t="shared" si="61"/>
        <v>1.1431184270690443E-4</v>
      </c>
      <c r="K104" s="2"/>
      <c r="L104" s="6">
        <f t="shared" si="62"/>
        <v>-25</v>
      </c>
      <c r="M104" s="2"/>
      <c r="N104" s="7">
        <f t="shared" si="63"/>
        <v>-1</v>
      </c>
      <c r="O104" s="11"/>
      <c r="P104" s="6"/>
      <c r="Q104" s="2"/>
      <c r="R104" s="7">
        <f t="shared" si="64"/>
        <v>0</v>
      </c>
      <c r="S104" s="2"/>
      <c r="T104" s="6">
        <v>125</v>
      </c>
      <c r="U104" s="2"/>
      <c r="V104" s="7">
        <f t="shared" si="65"/>
        <v>1.1274140188972629E-4</v>
      </c>
      <c r="W104" s="2"/>
      <c r="X104" s="6">
        <f t="shared" si="66"/>
        <v>-125</v>
      </c>
      <c r="Y104" s="2"/>
      <c r="Z104" s="7">
        <f t="shared" si="67"/>
        <v>-1</v>
      </c>
    </row>
    <row r="105" spans="1:26" s="24" customFormat="1" hidden="1" outlineLevel="2" x14ac:dyDescent="0.25">
      <c r="A105" s="25"/>
      <c r="B105" s="11" t="str">
        <f>CONCATENATE("          ", "6241", " - ", "OFFICE EXPENSE")</f>
        <v xml:space="preserve">          6241 - OFFICE EXPENSE</v>
      </c>
      <c r="C105" s="11"/>
      <c r="D105" s="6">
        <v>299.10000000000002</v>
      </c>
      <c r="E105" s="2"/>
      <c r="F105" s="7">
        <f t="shared" si="60"/>
        <v>1.0258912872160844E-3</v>
      </c>
      <c r="G105" s="2"/>
      <c r="H105" s="6">
        <v>200</v>
      </c>
      <c r="I105" s="2"/>
      <c r="J105" s="7">
        <f t="shared" si="61"/>
        <v>9.1449474165523545E-4</v>
      </c>
      <c r="K105" s="2"/>
      <c r="L105" s="6">
        <f t="shared" si="62"/>
        <v>99.100000000000023</v>
      </c>
      <c r="M105" s="2"/>
      <c r="N105" s="7">
        <f t="shared" si="63"/>
        <v>0.49550000000000011</v>
      </c>
      <c r="O105" s="11"/>
      <c r="P105" s="6">
        <v>1955.56</v>
      </c>
      <c r="Q105" s="2"/>
      <c r="R105" s="7">
        <f t="shared" si="64"/>
        <v>1.6036030078684096E-3</v>
      </c>
      <c r="S105" s="2"/>
      <c r="T105" s="6">
        <v>1000</v>
      </c>
      <c r="U105" s="2"/>
      <c r="V105" s="7">
        <f t="shared" si="65"/>
        <v>9.0193121511781031E-4</v>
      </c>
      <c r="W105" s="2"/>
      <c r="X105" s="6">
        <f t="shared" si="66"/>
        <v>955.56</v>
      </c>
      <c r="Y105" s="2"/>
      <c r="Z105" s="7">
        <f t="shared" si="67"/>
        <v>0.95555999999999996</v>
      </c>
    </row>
    <row r="106" spans="1:26" s="24" customFormat="1" hidden="1" outlineLevel="2" x14ac:dyDescent="0.25">
      <c r="A106" s="25"/>
      <c r="B106" s="11" t="str">
        <f>CONCATENATE("          ", "6245", " - ", "PRINTING")</f>
        <v xml:space="preserve">          6245 - PRINTING</v>
      </c>
      <c r="C106" s="11"/>
      <c r="D106" s="6">
        <v>-617.17999999999995</v>
      </c>
      <c r="E106" s="2"/>
      <c r="F106" s="7">
        <f t="shared" si="60"/>
        <v>-2.1168825966032191E-3</v>
      </c>
      <c r="G106" s="2"/>
      <c r="H106" s="6"/>
      <c r="I106" s="2"/>
      <c r="J106" s="7">
        <f t="shared" si="61"/>
        <v>0</v>
      </c>
      <c r="K106" s="2"/>
      <c r="L106" s="6">
        <f t="shared" si="62"/>
        <v>-617.17999999999995</v>
      </c>
      <c r="M106" s="2"/>
      <c r="N106" s="7">
        <f t="shared" si="63"/>
        <v>0</v>
      </c>
      <c r="O106" s="11"/>
      <c r="P106" s="6">
        <v>-617.17999999999995</v>
      </c>
      <c r="Q106" s="2"/>
      <c r="R106" s="7">
        <f t="shared" si="64"/>
        <v>-5.0610142588119263E-4</v>
      </c>
      <c r="S106" s="2"/>
      <c r="T106" s="6"/>
      <c r="U106" s="2"/>
      <c r="V106" s="7">
        <f t="shared" si="65"/>
        <v>0</v>
      </c>
      <c r="W106" s="2"/>
      <c r="X106" s="6">
        <f t="shared" si="66"/>
        <v>-617.17999999999995</v>
      </c>
      <c r="Y106" s="2"/>
      <c r="Z106" s="7">
        <f t="shared" si="67"/>
        <v>0</v>
      </c>
    </row>
    <row r="107" spans="1:26" s="24" customFormat="1" hidden="1" outlineLevel="2" x14ac:dyDescent="0.25">
      <c r="A107" s="25"/>
      <c r="B107" s="11" t="str">
        <f>CONCATENATE("          ", "6247", " - ", "STORE SUPPLIES")</f>
        <v xml:space="preserve">          6247 - STORE SUPPLIES</v>
      </c>
      <c r="C107" s="11"/>
      <c r="D107" s="6">
        <v>29.06</v>
      </c>
      <c r="E107" s="2"/>
      <c r="F107" s="7">
        <f t="shared" si="60"/>
        <v>9.9673690426276866E-5</v>
      </c>
      <c r="G107" s="2"/>
      <c r="H107" s="6">
        <v>200</v>
      </c>
      <c r="I107" s="2"/>
      <c r="J107" s="7">
        <f t="shared" si="61"/>
        <v>9.1449474165523545E-4</v>
      </c>
      <c r="K107" s="2"/>
      <c r="L107" s="6">
        <f t="shared" si="62"/>
        <v>-170.94</v>
      </c>
      <c r="M107" s="2"/>
      <c r="N107" s="7">
        <f t="shared" si="63"/>
        <v>-0.85470000000000002</v>
      </c>
      <c r="O107" s="11"/>
      <c r="P107" s="6">
        <v>321.85000000000002</v>
      </c>
      <c r="Q107" s="2"/>
      <c r="R107" s="7">
        <f t="shared" si="64"/>
        <v>2.6392420998713805E-4</v>
      </c>
      <c r="S107" s="2"/>
      <c r="T107" s="6">
        <v>1000</v>
      </c>
      <c r="U107" s="2"/>
      <c r="V107" s="7">
        <f t="shared" si="65"/>
        <v>9.0193121511781031E-4</v>
      </c>
      <c r="W107" s="2"/>
      <c r="X107" s="6">
        <f t="shared" si="66"/>
        <v>-678.15</v>
      </c>
      <c r="Y107" s="2"/>
      <c r="Z107" s="7">
        <f t="shared" si="67"/>
        <v>-0.67815000000000003</v>
      </c>
    </row>
    <row r="108" spans="1:26" s="26" customFormat="1" outlineLevel="1" collapsed="1" x14ac:dyDescent="0.25">
      <c r="A108" s="27"/>
      <c r="B108" s="13" t="str">
        <f>CONCATENATE("     ","Telephone/Data Lines                              ")</f>
        <v xml:space="preserve">     Telephone/Data Lines                              </v>
      </c>
      <c r="C108" s="13"/>
      <c r="D108" s="1">
        <f>SUM(OSRRefD22_13x_0)</f>
        <v>569.95000000000005</v>
      </c>
      <c r="E108" s="1"/>
      <c r="F108" s="5">
        <f t="shared" ref="F108:F114" si="68">IF(D$12=0,0,D108/D$12)</f>
        <v>1.9548871252049729E-3</v>
      </c>
      <c r="G108" s="1"/>
      <c r="H108" s="1">
        <f>SUM(OSRRefH22_13x_0)</f>
        <v>700</v>
      </c>
      <c r="I108" s="1"/>
      <c r="J108" s="5">
        <f t="shared" ref="J108:J114" si="69">IF(H$12=0,0,H108/H$12)</f>
        <v>3.200731595793324E-3</v>
      </c>
      <c r="K108" s="1"/>
      <c r="L108" s="1">
        <f t="shared" ref="L108:L114" si="70">+D108-H108</f>
        <v>-130.04999999999995</v>
      </c>
      <c r="M108" s="1"/>
      <c r="N108" s="5">
        <f t="shared" ref="N108:N114" si="71">IF(H108=0,0,L108/H108)</f>
        <v>-0.18578571428571422</v>
      </c>
      <c r="O108" s="13"/>
      <c r="P108" s="1">
        <f>SUM(OSRRefP22_13x_0)</f>
        <v>3173.87</v>
      </c>
      <c r="Q108" s="1"/>
      <c r="R108" s="5">
        <f t="shared" ref="R108:R114" si="72">IF(P$12=0,0,P108/P$12)</f>
        <v>2.6026445000835101E-3</v>
      </c>
      <c r="S108" s="1"/>
      <c r="T108" s="1">
        <f>SUM(OSRRefT22_13x_0)</f>
        <v>3000</v>
      </c>
      <c r="U108" s="1"/>
      <c r="V108" s="5">
        <f t="shared" ref="V108:V114" si="73">IF(T$12=0,0,T108/T$12)</f>
        <v>2.7057936453534306E-3</v>
      </c>
      <c r="W108" s="1"/>
      <c r="X108" s="1">
        <f t="shared" ref="X108:X114" si="74">+P108-T108</f>
        <v>173.86999999999989</v>
      </c>
      <c r="Y108" s="1"/>
      <c r="Z108" s="5">
        <f t="shared" ref="Z108:Z114" si="75">IF(T108=0,0,X108/T108)</f>
        <v>5.7956666666666629E-2</v>
      </c>
    </row>
    <row r="109" spans="1:26" s="24" customFormat="1" hidden="1" outlineLevel="2" x14ac:dyDescent="0.25">
      <c r="A109" s="25"/>
      <c r="B109" s="11" t="str">
        <f>CONCATENATE("          ", "6309", " - ", "TELEPHONE")</f>
        <v xml:space="preserve">          6309 - TELEPHONE</v>
      </c>
      <c r="C109" s="11"/>
      <c r="D109" s="6">
        <v>569.95000000000005</v>
      </c>
      <c r="E109" s="2"/>
      <c r="F109" s="7">
        <f t="shared" si="68"/>
        <v>1.9548871252049729E-3</v>
      </c>
      <c r="G109" s="2"/>
      <c r="H109" s="6">
        <v>700</v>
      </c>
      <c r="I109" s="2"/>
      <c r="J109" s="7">
        <f t="shared" si="69"/>
        <v>3.200731595793324E-3</v>
      </c>
      <c r="K109" s="2"/>
      <c r="L109" s="6">
        <f t="shared" si="70"/>
        <v>-130.04999999999995</v>
      </c>
      <c r="M109" s="2"/>
      <c r="N109" s="7">
        <f t="shared" si="71"/>
        <v>-0.18578571428571422</v>
      </c>
      <c r="O109" s="11"/>
      <c r="P109" s="6">
        <v>3173.87</v>
      </c>
      <c r="Q109" s="2"/>
      <c r="R109" s="7">
        <f t="shared" si="72"/>
        <v>2.6026445000835101E-3</v>
      </c>
      <c r="S109" s="2"/>
      <c r="T109" s="6">
        <v>3000</v>
      </c>
      <c r="U109" s="2"/>
      <c r="V109" s="7">
        <f t="shared" si="73"/>
        <v>2.7057936453534306E-3</v>
      </c>
      <c r="W109" s="2"/>
      <c r="X109" s="6">
        <f t="shared" si="74"/>
        <v>173.86999999999989</v>
      </c>
      <c r="Y109" s="2"/>
      <c r="Z109" s="7">
        <f t="shared" si="75"/>
        <v>5.7956666666666629E-2</v>
      </c>
    </row>
    <row r="110" spans="1:26" s="26" customFormat="1" outlineLevel="1" collapsed="1" x14ac:dyDescent="0.25">
      <c r="A110" s="27"/>
      <c r="B110" s="13" t="str">
        <f>CONCATENATE("     ","Training                                          ")</f>
        <v xml:space="preserve">     Training                                          </v>
      </c>
      <c r="C110" s="13"/>
      <c r="D110" s="1">
        <f>SUM(OSRRefD22_14x_0)</f>
        <v>233.12</v>
      </c>
      <c r="E110" s="1"/>
      <c r="F110" s="5">
        <f t="shared" si="68"/>
        <v>7.9958467695022937E-4</v>
      </c>
      <c r="G110" s="1"/>
      <c r="H110" s="1">
        <f>SUM(OSRRefH22_14x_0)</f>
        <v>1000</v>
      </c>
      <c r="I110" s="1"/>
      <c r="J110" s="5">
        <f t="shared" si="69"/>
        <v>4.5724737082761778E-3</v>
      </c>
      <c r="K110" s="1"/>
      <c r="L110" s="1">
        <f t="shared" si="70"/>
        <v>-766.88</v>
      </c>
      <c r="M110" s="1"/>
      <c r="N110" s="5">
        <f t="shared" si="71"/>
        <v>-0.76688000000000001</v>
      </c>
      <c r="O110" s="13"/>
      <c r="P110" s="1">
        <f>SUM(OSRRefP22_14x_0)</f>
        <v>1379.18</v>
      </c>
      <c r="Q110" s="1"/>
      <c r="R110" s="5">
        <f t="shared" si="72"/>
        <v>1.1309584959765763E-3</v>
      </c>
      <c r="S110" s="1"/>
      <c r="T110" s="1">
        <f>SUM(OSRRefT22_14x_0)</f>
        <v>1700</v>
      </c>
      <c r="U110" s="1"/>
      <c r="V110" s="5">
        <f t="shared" si="73"/>
        <v>1.5332830657002773E-3</v>
      </c>
      <c r="W110" s="1"/>
      <c r="X110" s="1">
        <f t="shared" si="74"/>
        <v>-320.81999999999994</v>
      </c>
      <c r="Y110" s="1"/>
      <c r="Z110" s="5">
        <f t="shared" si="75"/>
        <v>-0.18871764705882349</v>
      </c>
    </row>
    <row r="111" spans="1:26" s="24" customFormat="1" hidden="1" outlineLevel="2" x14ac:dyDescent="0.25">
      <c r="A111" s="25"/>
      <c r="B111" s="11" t="str">
        <f>CONCATENATE("          ", "6376", " - ", "TRAINING")</f>
        <v xml:space="preserve">          6376 - TRAINING</v>
      </c>
      <c r="C111" s="11"/>
      <c r="D111" s="6">
        <v>233.12</v>
      </c>
      <c r="E111" s="2"/>
      <c r="F111" s="7">
        <f t="shared" si="68"/>
        <v>7.9958467695022937E-4</v>
      </c>
      <c r="G111" s="2"/>
      <c r="H111" s="6">
        <v>1000</v>
      </c>
      <c r="I111" s="2"/>
      <c r="J111" s="7">
        <f t="shared" si="69"/>
        <v>4.5724737082761778E-3</v>
      </c>
      <c r="K111" s="2"/>
      <c r="L111" s="6">
        <f t="shared" si="70"/>
        <v>-766.88</v>
      </c>
      <c r="M111" s="2"/>
      <c r="N111" s="7">
        <f t="shared" si="71"/>
        <v>-0.76688000000000001</v>
      </c>
      <c r="O111" s="11"/>
      <c r="P111" s="6">
        <v>1379.18</v>
      </c>
      <c r="Q111" s="2"/>
      <c r="R111" s="7">
        <f t="shared" si="72"/>
        <v>1.1309584959765763E-3</v>
      </c>
      <c r="S111" s="2"/>
      <c r="T111" s="6">
        <v>1700</v>
      </c>
      <c r="U111" s="2"/>
      <c r="V111" s="7">
        <f t="shared" si="73"/>
        <v>1.5332830657002773E-3</v>
      </c>
      <c r="W111" s="2"/>
      <c r="X111" s="6">
        <f t="shared" si="74"/>
        <v>-320.81999999999994</v>
      </c>
      <c r="Y111" s="2"/>
      <c r="Z111" s="7">
        <f t="shared" si="75"/>
        <v>-0.18871764705882349</v>
      </c>
    </row>
    <row r="112" spans="1:26" s="26" customFormat="1" outlineLevel="1" collapsed="1" x14ac:dyDescent="0.25">
      <c r="A112" s="27"/>
      <c r="B112" s="13" t="str">
        <f>CONCATENATE("     ","Travel                                            ")</f>
        <v xml:space="preserve">     Travel                                            </v>
      </c>
      <c r="C112" s="13"/>
      <c r="D112" s="1">
        <f>SUM(OSRRefD22_15x_0)</f>
        <v>197.14</v>
      </c>
      <c r="E112" s="1"/>
      <c r="F112" s="5">
        <f t="shared" si="68"/>
        <v>6.7617588887254718E-4</v>
      </c>
      <c r="G112" s="1"/>
      <c r="H112" s="1">
        <f>SUM(OSRRefH22_15x_0)</f>
        <v>50</v>
      </c>
      <c r="I112" s="1"/>
      <c r="J112" s="5">
        <f t="shared" si="69"/>
        <v>2.2862368541380886E-4</v>
      </c>
      <c r="K112" s="1"/>
      <c r="L112" s="1">
        <f t="shared" si="70"/>
        <v>147.13999999999999</v>
      </c>
      <c r="M112" s="1"/>
      <c r="N112" s="5">
        <f t="shared" si="71"/>
        <v>2.9427999999999996</v>
      </c>
      <c r="O112" s="13"/>
      <c r="P112" s="1">
        <f>SUM(OSRRefP22_15x_0)</f>
        <v>304.18</v>
      </c>
      <c r="Q112" s="1"/>
      <c r="R112" s="5">
        <f t="shared" si="72"/>
        <v>2.4943441414909944E-4</v>
      </c>
      <c r="S112" s="1"/>
      <c r="T112" s="1">
        <f>SUM(OSRRefT22_15x_0)</f>
        <v>250</v>
      </c>
      <c r="U112" s="1"/>
      <c r="V112" s="5">
        <f t="shared" si="73"/>
        <v>2.2548280377945258E-4</v>
      </c>
      <c r="W112" s="1"/>
      <c r="X112" s="1">
        <f t="shared" si="74"/>
        <v>54.180000000000007</v>
      </c>
      <c r="Y112" s="1"/>
      <c r="Z112" s="5">
        <f t="shared" si="75"/>
        <v>0.21672000000000002</v>
      </c>
    </row>
    <row r="113" spans="1:26" s="24" customFormat="1" hidden="1" outlineLevel="2" x14ac:dyDescent="0.25">
      <c r="A113" s="25"/>
      <c r="B113" s="11" t="str">
        <f>CONCATENATE("          ", "6292", " - ", "TRAVEL/CONFERENCE")</f>
        <v xml:space="preserve">          6292 - TRAVEL/CONFERENCE</v>
      </c>
      <c r="C113" s="11"/>
      <c r="D113" s="6"/>
      <c r="E113" s="2"/>
      <c r="F113" s="7">
        <f t="shared" si="68"/>
        <v>0</v>
      </c>
      <c r="G113" s="2"/>
      <c r="H113" s="6"/>
      <c r="I113" s="2"/>
      <c r="J113" s="7">
        <f t="shared" si="69"/>
        <v>0</v>
      </c>
      <c r="K113" s="2"/>
      <c r="L113" s="6">
        <f t="shared" si="70"/>
        <v>0</v>
      </c>
      <c r="M113" s="2"/>
      <c r="N113" s="7">
        <f t="shared" si="71"/>
        <v>0</v>
      </c>
      <c r="O113" s="11"/>
      <c r="P113" s="6">
        <v>107.04</v>
      </c>
      <c r="Q113" s="2"/>
      <c r="R113" s="7">
        <f t="shared" si="72"/>
        <v>8.7775197877965687E-5</v>
      </c>
      <c r="S113" s="2"/>
      <c r="T113" s="6"/>
      <c r="U113" s="2"/>
      <c r="V113" s="7">
        <f t="shared" si="73"/>
        <v>0</v>
      </c>
      <c r="W113" s="2"/>
      <c r="X113" s="6">
        <f t="shared" si="74"/>
        <v>107.04</v>
      </c>
      <c r="Y113" s="2"/>
      <c r="Z113" s="7">
        <f t="shared" si="75"/>
        <v>0</v>
      </c>
    </row>
    <row r="114" spans="1:26" s="24" customFormat="1" hidden="1" outlineLevel="2" x14ac:dyDescent="0.25">
      <c r="A114" s="25"/>
      <c r="B114" s="11" t="str">
        <f>CONCATENATE("          ", "6294", " - ", "TRAVEL OPERATIONAL")</f>
        <v xml:space="preserve">          6294 - TRAVEL OPERATIONAL</v>
      </c>
      <c r="C114" s="11"/>
      <c r="D114" s="6">
        <v>197.14</v>
      </c>
      <c r="E114" s="2"/>
      <c r="F114" s="7">
        <f t="shared" si="68"/>
        <v>6.7617588887254718E-4</v>
      </c>
      <c r="G114" s="2"/>
      <c r="H114" s="6">
        <v>50</v>
      </c>
      <c r="I114" s="2"/>
      <c r="J114" s="7">
        <f t="shared" si="69"/>
        <v>2.2862368541380886E-4</v>
      </c>
      <c r="K114" s="2"/>
      <c r="L114" s="6">
        <f t="shared" si="70"/>
        <v>147.13999999999999</v>
      </c>
      <c r="M114" s="2"/>
      <c r="N114" s="7">
        <f t="shared" si="71"/>
        <v>2.9427999999999996</v>
      </c>
      <c r="O114" s="11"/>
      <c r="P114" s="6">
        <v>197.14</v>
      </c>
      <c r="Q114" s="2"/>
      <c r="R114" s="7">
        <f t="shared" si="72"/>
        <v>1.6165921627113371E-4</v>
      </c>
      <c r="S114" s="2"/>
      <c r="T114" s="6">
        <v>250</v>
      </c>
      <c r="U114" s="2"/>
      <c r="V114" s="7">
        <f t="shared" si="73"/>
        <v>2.2548280377945258E-4</v>
      </c>
      <c r="W114" s="2"/>
      <c r="X114" s="6">
        <f t="shared" si="74"/>
        <v>-52.860000000000014</v>
      </c>
      <c r="Y114" s="2"/>
      <c r="Z114" s="7">
        <f t="shared" si="75"/>
        <v>-0.21144000000000004</v>
      </c>
    </row>
    <row r="115" spans="1:26" s="59" customFormat="1" x14ac:dyDescent="0.25">
      <c r="A115" s="36"/>
      <c r="B115" s="36"/>
      <c r="C115" s="36"/>
      <c r="D115" s="1"/>
      <c r="E115" s="1"/>
      <c r="F115" s="5"/>
      <c r="G115" s="1"/>
      <c r="H115" s="1"/>
      <c r="I115" s="1"/>
      <c r="J115" s="5"/>
      <c r="K115" s="1"/>
      <c r="L115" s="1"/>
      <c r="M115" s="1"/>
      <c r="N115" s="5"/>
      <c r="O115" s="36"/>
      <c r="P115" s="1"/>
      <c r="Q115" s="1"/>
      <c r="R115" s="5"/>
      <c r="S115" s="1"/>
      <c r="T115" s="1"/>
      <c r="U115" s="1"/>
      <c r="V115" s="5"/>
      <c r="W115" s="1"/>
      <c r="X115" s="1"/>
      <c r="Y115" s="1"/>
      <c r="Z115" s="5"/>
    </row>
    <row r="116" spans="1:26" s="23" customFormat="1" collapsed="1" x14ac:dyDescent="0.25">
      <c r="A116" s="10"/>
      <c r="B116" s="29" t="s">
        <v>0</v>
      </c>
      <c r="C116" s="10"/>
      <c r="D116" s="4">
        <f>SUM(OSRRefD25x_0)</f>
        <v>433.18</v>
      </c>
      <c r="E116" s="4"/>
      <c r="F116" s="12">
        <f t="shared" ref="F116:F119" si="76">IF(D$12=0,0,D116/D$12)</f>
        <v>1.4857759538490921E-3</v>
      </c>
      <c r="G116" s="4"/>
      <c r="H116" s="4">
        <f>SUM(OSRRefH25x_0)</f>
        <v>8625</v>
      </c>
      <c r="I116" s="4"/>
      <c r="J116" s="12">
        <f t="shared" ref="J116:J119" si="77">IF(H$12=0,0,H116/H$12)</f>
        <v>3.9437585733882029E-2</v>
      </c>
      <c r="K116" s="4"/>
      <c r="L116" s="4">
        <f t="shared" ref="L116:L119" si="78">+D116-H116</f>
        <v>-8191.82</v>
      </c>
      <c r="M116" s="4"/>
      <c r="N116" s="12">
        <f t="shared" ref="N116:N119" si="79">IF(H116=0,0,L116/H116)</f>
        <v>-0.94977623188405791</v>
      </c>
      <c r="O116" s="10"/>
      <c r="P116" s="4">
        <f>SUM(OSRRefP25x_0)</f>
        <v>14830.16</v>
      </c>
      <c r="Q116" s="4"/>
      <c r="R116" s="12">
        <f t="shared" ref="R116:R119" si="80">IF(P$12=0,0,P116/P$12)</f>
        <v>1.2161063420794951E-2</v>
      </c>
      <c r="S116" s="4"/>
      <c r="T116" s="4">
        <f>SUM(OSRRefT25x_0)</f>
        <v>43125</v>
      </c>
      <c r="U116" s="4"/>
      <c r="V116" s="12">
        <f t="shared" ref="V116:V119" si="81">IF(T$12=0,0,T116/T$12)</f>
        <v>3.8895783651955569E-2</v>
      </c>
      <c r="W116" s="4"/>
      <c r="X116" s="4">
        <f t="shared" ref="X116:X119" si="82">+P116-T116</f>
        <v>-28294.84</v>
      </c>
      <c r="Y116" s="4"/>
      <c r="Z116" s="12">
        <f t="shared" ref="Z116:Z119" si="83">IF(T116=0,0,X116/T116)</f>
        <v>-0.65611223188405798</v>
      </c>
    </row>
    <row r="117" spans="1:26" s="24" customFormat="1" hidden="1" outlineLevel="1" x14ac:dyDescent="0.25">
      <c r="A117" s="44"/>
      <c r="B117" s="11" t="str">
        <f>CONCATENATE("          ", "9150", " - ", "MISC. INCOME")</f>
        <v xml:space="preserve">          9150 - MISC. INCOME</v>
      </c>
      <c r="C117" s="11"/>
      <c r="D117" s="2">
        <f>--433.18</f>
        <v>433.18</v>
      </c>
      <c r="E117" s="2"/>
      <c r="F117" s="19">
        <f t="shared" si="76"/>
        <v>1.4857759538490921E-3</v>
      </c>
      <c r="G117" s="2"/>
      <c r="H117" s="2">
        <v>7725</v>
      </c>
      <c r="I117" s="2"/>
      <c r="J117" s="19">
        <f t="shared" si="77"/>
        <v>3.5322359396433474E-2</v>
      </c>
      <c r="K117" s="2"/>
      <c r="L117" s="2">
        <f t="shared" si="78"/>
        <v>-7291.82</v>
      </c>
      <c r="M117" s="2"/>
      <c r="N117" s="19">
        <f t="shared" si="79"/>
        <v>-0.94392491909385112</v>
      </c>
      <c r="O117" s="11"/>
      <c r="P117" s="2">
        <f>--14830.16</f>
        <v>14830.16</v>
      </c>
      <c r="Q117" s="2"/>
      <c r="R117" s="19">
        <f t="shared" si="80"/>
        <v>1.2161063420794951E-2</v>
      </c>
      <c r="S117" s="2"/>
      <c r="T117" s="2">
        <v>38625</v>
      </c>
      <c r="U117" s="2"/>
      <c r="V117" s="19">
        <f t="shared" si="81"/>
        <v>3.4837093183925423E-2</v>
      </c>
      <c r="W117" s="2"/>
      <c r="X117" s="2">
        <f t="shared" si="82"/>
        <v>-23794.84</v>
      </c>
      <c r="Y117" s="2"/>
      <c r="Z117" s="19">
        <f t="shared" si="83"/>
        <v>-0.61604763754045311</v>
      </c>
    </row>
    <row r="118" spans="1:26" s="24" customFormat="1" hidden="1" outlineLevel="1" x14ac:dyDescent="0.25">
      <c r="A118" s="44"/>
      <c r="B118" s="11" t="str">
        <f>CONCATENATE("          ", "9151", " - ", "MISC. INCOME")</f>
        <v xml:space="preserve">          9151 - MISC. INCOME</v>
      </c>
      <c r="C118" s="11"/>
      <c r="D118" s="2">
        <f t="shared" ref="D118:D119" si="84">0</f>
        <v>0</v>
      </c>
      <c r="E118" s="2"/>
      <c r="F118" s="19">
        <f t="shared" si="76"/>
        <v>0</v>
      </c>
      <c r="G118" s="2"/>
      <c r="H118" s="2">
        <v>100</v>
      </c>
      <c r="I118" s="2"/>
      <c r="J118" s="19">
        <f t="shared" si="77"/>
        <v>4.5724737082761773E-4</v>
      </c>
      <c r="K118" s="2"/>
      <c r="L118" s="2">
        <f t="shared" si="78"/>
        <v>-100</v>
      </c>
      <c r="M118" s="2"/>
      <c r="N118" s="19">
        <f t="shared" si="79"/>
        <v>-1</v>
      </c>
      <c r="O118" s="11"/>
      <c r="P118" s="2">
        <f t="shared" ref="P118:P119" si="85">0</f>
        <v>0</v>
      </c>
      <c r="Q118" s="2"/>
      <c r="R118" s="19">
        <f t="shared" si="80"/>
        <v>0</v>
      </c>
      <c r="S118" s="2"/>
      <c r="T118" s="2">
        <v>500</v>
      </c>
      <c r="U118" s="2"/>
      <c r="V118" s="19">
        <f t="shared" si="81"/>
        <v>4.5096560755890515E-4</v>
      </c>
      <c r="W118" s="2"/>
      <c r="X118" s="2">
        <f t="shared" si="82"/>
        <v>-500</v>
      </c>
      <c r="Y118" s="2"/>
      <c r="Z118" s="19">
        <f t="shared" si="83"/>
        <v>-1</v>
      </c>
    </row>
    <row r="119" spans="1:26" s="24" customFormat="1" hidden="1" outlineLevel="1" x14ac:dyDescent="0.25">
      <c r="A119" s="44"/>
      <c r="B119" s="11" t="str">
        <f>CONCATENATE("          ", "9160", " - ", "MISC. INCOME")</f>
        <v xml:space="preserve">          9160 - MISC. INCOME</v>
      </c>
      <c r="C119" s="11"/>
      <c r="D119" s="2">
        <f t="shared" si="84"/>
        <v>0</v>
      </c>
      <c r="E119" s="2"/>
      <c r="F119" s="19">
        <f t="shared" si="76"/>
        <v>0</v>
      </c>
      <c r="G119" s="2"/>
      <c r="H119" s="2">
        <v>800</v>
      </c>
      <c r="I119" s="2"/>
      <c r="J119" s="19">
        <f t="shared" si="77"/>
        <v>3.6579789666209418E-3</v>
      </c>
      <c r="K119" s="2"/>
      <c r="L119" s="2">
        <f t="shared" si="78"/>
        <v>-800</v>
      </c>
      <c r="M119" s="2"/>
      <c r="N119" s="19">
        <f t="shared" si="79"/>
        <v>-1</v>
      </c>
      <c r="O119" s="11"/>
      <c r="P119" s="2">
        <f t="shared" si="85"/>
        <v>0</v>
      </c>
      <c r="Q119" s="2"/>
      <c r="R119" s="19">
        <f t="shared" si="80"/>
        <v>0</v>
      </c>
      <c r="S119" s="2"/>
      <c r="T119" s="2">
        <v>4000</v>
      </c>
      <c r="U119" s="2"/>
      <c r="V119" s="19">
        <f t="shared" si="81"/>
        <v>3.6077248604712412E-3</v>
      </c>
      <c r="W119" s="2"/>
      <c r="X119" s="2">
        <f t="shared" si="82"/>
        <v>-4000</v>
      </c>
      <c r="Y119" s="2"/>
      <c r="Z119" s="19">
        <f t="shared" si="83"/>
        <v>-1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10"/>
      <c r="B121" s="28" t="s">
        <v>3</v>
      </c>
      <c r="C121" s="28"/>
      <c r="D121" s="20">
        <f>+D53-D55+D116</f>
        <v>80912.889999999985</v>
      </c>
      <c r="E121" s="14"/>
      <c r="F121" s="22">
        <f>IF(D$12=0,0,D121/D$12)</f>
        <v>0.27752533893170656</v>
      </c>
      <c r="G121" s="14"/>
      <c r="H121" s="20">
        <f>+H53-H55+H116</f>
        <v>71195.15891375576</v>
      </c>
      <c r="I121" s="14"/>
      <c r="J121" s="22">
        <f>IF(H$12=0,0,H121/H$12)</f>
        <v>0.32553799228969255</v>
      </c>
      <c r="K121" s="16"/>
      <c r="L121" s="20">
        <f>+D121-H121</f>
        <v>9717.7310862442246</v>
      </c>
      <c r="M121" s="16"/>
      <c r="N121" s="22">
        <f>IF(H121=0,0,L121/H121)</f>
        <v>0.1364942677916636</v>
      </c>
      <c r="O121" s="29"/>
      <c r="P121" s="20">
        <f>+P53-P55+P116</f>
        <v>362092.32000000041</v>
      </c>
      <c r="Q121" s="14"/>
      <c r="R121" s="22">
        <f>IF(P$12=0,0,P121/P$12)</f>
        <v>0.29692381388351746</v>
      </c>
      <c r="S121" s="14"/>
      <c r="T121" s="20">
        <f>+T53-T55+T116</f>
        <v>362623.96586315671</v>
      </c>
      <c r="U121" s="14"/>
      <c r="V121" s="22">
        <f>IF(T$12=0,0,T121/T$12)</f>
        <v>0.32706187416179627</v>
      </c>
      <c r="W121" s="16"/>
      <c r="X121" s="20">
        <f>+P121-T121</f>
        <v>-531.64586315630004</v>
      </c>
      <c r="Y121" s="16"/>
      <c r="Z121" s="22">
        <f>IF(T121=0,0,X121/T121)</f>
        <v>-1.4661079057221691E-3</v>
      </c>
    </row>
    <row r="122" spans="1:26" x14ac:dyDescent="0.25">
      <c r="A122" s="9"/>
      <c r="B122" s="10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52"/>
      <c r="B123" s="10" t="s">
        <v>14</v>
      </c>
      <c r="C123" s="10"/>
      <c r="D123" s="4">
        <v>35727.009999999995</v>
      </c>
      <c r="E123" s="4"/>
      <c r="F123" s="12">
        <f>IF(D$12=0,0,D123/D$12)</f>
        <v>0.12254105074316922</v>
      </c>
      <c r="G123" s="4"/>
      <c r="H123" s="4">
        <v>33331</v>
      </c>
      <c r="I123" s="4"/>
      <c r="J123" s="12">
        <f>IF(H$12=0,0,H123/H$12)</f>
        <v>0.15240512117055327</v>
      </c>
      <c r="K123" s="4"/>
      <c r="L123" s="4">
        <f>+D123-H123</f>
        <v>2396.0099999999948</v>
      </c>
      <c r="M123" s="4"/>
      <c r="N123" s="12">
        <f>IF(H123=0,0,L123/H123)</f>
        <v>7.1885331973237973E-2</v>
      </c>
      <c r="O123" s="10"/>
      <c r="P123" s="4">
        <v>129134.56</v>
      </c>
      <c r="Q123" s="4"/>
      <c r="R123" s="12">
        <f>IF(P$12=0,0,P123/P$12)</f>
        <v>0.10589323203366996</v>
      </c>
      <c r="S123" s="4"/>
      <c r="T123" s="4">
        <v>140512</v>
      </c>
      <c r="U123" s="4"/>
      <c r="V123" s="12">
        <f>IF(T$12=0,0,T123/T$12)</f>
        <v>0.12673215889863376</v>
      </c>
      <c r="W123" s="4"/>
      <c r="X123" s="4">
        <f>+P123-T123</f>
        <v>-11377.440000000002</v>
      </c>
      <c r="Y123" s="4"/>
      <c r="Z123" s="12">
        <f>IF(T123=0,0,X123/T123)</f>
        <v>-8.0971304941926683E-2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8" t="s">
        <v>4</v>
      </c>
      <c r="C125" s="28"/>
      <c r="D125" s="30">
        <f>+D121-D123</f>
        <v>45185.87999999999</v>
      </c>
      <c r="E125" s="14"/>
      <c r="F125" s="32">
        <f>IF(D$12=0,0,D125/D$12)</f>
        <v>0.15498428818853732</v>
      </c>
      <c r="G125" s="14"/>
      <c r="H125" s="30">
        <f>+H121-H123</f>
        <v>37864.15891375576</v>
      </c>
      <c r="I125" s="14"/>
      <c r="J125" s="32">
        <f>IF(H$12=0,0,H125/H$12)</f>
        <v>0.17313287111913928</v>
      </c>
      <c r="K125" s="16"/>
      <c r="L125" s="30">
        <f>D125-H125</f>
        <v>7321.7210862442298</v>
      </c>
      <c r="M125" s="16"/>
      <c r="N125" s="32">
        <f>IF(H125=0,0,L125/H125)</f>
        <v>0.19336811634773443</v>
      </c>
      <c r="O125" s="29"/>
      <c r="P125" s="30">
        <f>+P121-P123</f>
        <v>232957.76000000042</v>
      </c>
      <c r="Q125" s="14"/>
      <c r="R125" s="32">
        <f>IF(P$12=0,0,P125/P$12)</f>
        <v>0.1910305818498475</v>
      </c>
      <c r="S125" s="14"/>
      <c r="T125" s="30">
        <f>+T121-T123</f>
        <v>222111.96586315671</v>
      </c>
      <c r="U125" s="14"/>
      <c r="V125" s="32">
        <f>IF(T$12=0,0,T125/T$12)</f>
        <v>0.20032971526316254</v>
      </c>
      <c r="W125" s="16"/>
      <c r="X125" s="30">
        <f>P125-T125</f>
        <v>10845.794136843702</v>
      </c>
      <c r="Y125" s="16"/>
      <c r="Z125" s="32">
        <f>IF(T125=0,0,X125/T125)</f>
        <v>4.8830300946171454E-2</v>
      </c>
    </row>
    <row r="126" spans="1:26" ht="15.75" thickTop="1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8" t="s">
        <v>5</v>
      </c>
      <c r="C128" s="28"/>
      <c r="D128" s="31">
        <f>SUM(D125:D127)</f>
        <v>45185.87999999999</v>
      </c>
      <c r="E128" s="14"/>
      <c r="F128" s="35">
        <f>IF(D$12=0,0,D128/D$12)</f>
        <v>0.15498428818853732</v>
      </c>
      <c r="G128" s="14"/>
      <c r="H128" s="31">
        <f>SUM(H125:H127)</f>
        <v>37864.15891375576</v>
      </c>
      <c r="I128" s="14"/>
      <c r="J128" s="35">
        <f>IF(H$12=0,0,H128/H$12)</f>
        <v>0.17313287111913928</v>
      </c>
      <c r="K128" s="16"/>
      <c r="L128" s="31">
        <f>+D128-H128</f>
        <v>7321.7210862442298</v>
      </c>
      <c r="M128" s="16"/>
      <c r="N128" s="35">
        <f>IF(H128=0,0,L128/H128)</f>
        <v>0.19336811634773443</v>
      </c>
      <c r="O128" s="29"/>
      <c r="P128" s="31">
        <f>SUM(P125:P127)</f>
        <v>232957.76000000042</v>
      </c>
      <c r="Q128" s="14"/>
      <c r="R128" s="35">
        <f>IF(P$12=0,0,P128/P$12)</f>
        <v>0.1910305818498475</v>
      </c>
      <c r="S128" s="14"/>
      <c r="T128" s="31">
        <f>SUM(T125:T127)</f>
        <v>222111.96586315671</v>
      </c>
      <c r="U128" s="14"/>
      <c r="V128" s="35">
        <f>IF(T$12=0,0,T128/T$12)</f>
        <v>0.20032971526316254</v>
      </c>
      <c r="W128" s="16"/>
      <c r="X128" s="31">
        <f>+P128-T128</f>
        <v>10845.794136843702</v>
      </c>
      <c r="Y128" s="16"/>
      <c r="Z128" s="35">
        <f>IF(T128=0,0,X128/T128)</f>
        <v>4.8830300946171454E-2</v>
      </c>
    </row>
    <row r="129" spans="1:24" ht="15.75" thickTop="1" x14ac:dyDescent="0.25">
      <c r="A129" s="9"/>
      <c r="C129" s="9"/>
      <c r="D129" s="17"/>
      <c r="E129" s="17"/>
      <c r="G129" s="17"/>
      <c r="H129" s="17"/>
      <c r="I129" s="17"/>
      <c r="J129" s="43"/>
      <c r="K129" s="17"/>
      <c r="L129" s="17"/>
      <c r="M129" s="17"/>
      <c r="P129" s="17"/>
      <c r="Q129" s="17"/>
      <c r="R129" s="43"/>
      <c r="S129" s="17"/>
      <c r="T129" s="17"/>
      <c r="U129" s="17"/>
      <c r="V129" s="43"/>
      <c r="W129" s="17"/>
      <c r="X129" s="17"/>
    </row>
    <row r="130" spans="1:24" x14ac:dyDescent="0.25">
      <c r="A130" s="9"/>
      <c r="B130" s="56">
        <v>43815.48374679398</v>
      </c>
      <c r="D130" s="17"/>
      <c r="E130" s="17"/>
      <c r="G130" s="17"/>
      <c r="H130" s="17"/>
      <c r="I130" s="17"/>
      <c r="J130" s="43"/>
      <c r="K130" s="17"/>
      <c r="L130" s="17"/>
      <c r="M130" s="17"/>
      <c r="P130" s="17"/>
      <c r="Q130" s="17"/>
      <c r="R130" s="43"/>
      <c r="S130" s="17"/>
      <c r="T130" s="17"/>
      <c r="U130" s="17"/>
      <c r="V130" s="43"/>
      <c r="W130" s="17"/>
      <c r="X130" s="17"/>
    </row>
    <row r="131" spans="1:24" x14ac:dyDescent="0.25">
      <c r="A131" s="9"/>
      <c r="B131" s="62" t="s">
        <v>314</v>
      </c>
      <c r="D131" s="17"/>
      <c r="E131" s="17"/>
      <c r="G131" s="17"/>
      <c r="H131" s="17"/>
      <c r="I131" s="17"/>
      <c r="J131" s="43"/>
      <c r="K131" s="17"/>
      <c r="L131" s="17"/>
      <c r="M131" s="17"/>
      <c r="P131" s="17"/>
      <c r="Q131" s="17"/>
      <c r="R131" s="43"/>
      <c r="S131" s="17"/>
      <c r="T131" s="17"/>
      <c r="U131" s="17"/>
      <c r="V131" s="43"/>
      <c r="W131" s="17"/>
      <c r="X131" s="17"/>
    </row>
    <row r="132" spans="1:24" x14ac:dyDescent="0.25">
      <c r="A132" s="9"/>
      <c r="B132" s="58"/>
      <c r="D132" s="17"/>
      <c r="E132" s="17"/>
      <c r="G132" s="17"/>
      <c r="H132" s="17"/>
      <c r="I132" s="17"/>
      <c r="J132" s="43"/>
      <c r="K132" s="17"/>
      <c r="L132" s="17"/>
      <c r="M132" s="17"/>
      <c r="P132" s="17"/>
      <c r="Q132" s="17"/>
      <c r="R132" s="43"/>
      <c r="S132" s="17"/>
      <c r="T132" s="17"/>
      <c r="U132" s="17"/>
      <c r="V132" s="43"/>
      <c r="W132" s="17"/>
      <c r="X132" s="17"/>
    </row>
    <row r="133" spans="1:24" x14ac:dyDescent="0.25">
      <c r="D133" s="17"/>
      <c r="E133" s="17"/>
      <c r="G133" s="17"/>
      <c r="H133" s="17"/>
      <c r="I133" s="17"/>
      <c r="J133" s="43"/>
      <c r="K133" s="17"/>
      <c r="L133" s="17"/>
      <c r="M133" s="17"/>
      <c r="P133" s="17"/>
      <c r="Q133" s="17"/>
      <c r="R133" s="43"/>
      <c r="S133" s="17"/>
      <c r="T133" s="17"/>
      <c r="U133" s="17"/>
      <c r="V133" s="43"/>
      <c r="W133" s="17"/>
      <c r="X133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","326", " - ", "2nd Street Store")</f>
        <v>Department 326 - 2nd Street Store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37838.999999999993</v>
      </c>
      <c r="E12" s="4"/>
      <c r="F12" s="12"/>
      <c r="G12" s="4"/>
      <c r="H12" s="4">
        <f>SUM(OSRRefH13x_0)</f>
        <v>47195.561440000005</v>
      </c>
      <c r="I12" s="4"/>
      <c r="J12" s="12"/>
      <c r="K12" s="4"/>
      <c r="L12" s="4">
        <f t="shared" ref="L12:L32" si="0">+D12-H12</f>
        <v>-9356.5614400000122</v>
      </c>
      <c r="M12" s="4"/>
      <c r="N12" s="12">
        <f t="shared" ref="N12:N32" si="1">IF(H12=0,0,L12/H12)</f>
        <v>-0.19825087687313697</v>
      </c>
      <c r="O12" s="10"/>
      <c r="P12" s="4">
        <f>SUM(OSRRefP13x_0)</f>
        <v>232307.43999999997</v>
      </c>
      <c r="Q12" s="4"/>
      <c r="R12" s="12"/>
      <c r="S12" s="4"/>
      <c r="T12" s="4">
        <f>SUM(OSRRefT13x_0)</f>
        <v>238123.44529999999</v>
      </c>
      <c r="U12" s="4"/>
      <c r="V12" s="12"/>
      <c r="W12" s="4"/>
      <c r="X12" s="4">
        <f t="shared" ref="X12:X32" si="2">+P12-T12</f>
        <v>-5816.0053000000189</v>
      </c>
      <c r="Y12" s="4"/>
      <c r="Z12" s="12">
        <f t="shared" ref="Z12:Z32" si="3">IF(T12=0,0,X12/T12)</f>
        <v>-2.4424328703428259E-2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47195.561440000005</v>
      </c>
      <c r="I13" s="2"/>
      <c r="J13" s="19"/>
      <c r="K13" s="2"/>
      <c r="L13" s="2">
        <f t="shared" si="0"/>
        <v>-47195.561440000005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238123.44529999999</v>
      </c>
      <c r="U13" s="2"/>
      <c r="V13" s="19"/>
      <c r="W13" s="2"/>
      <c r="X13" s="2">
        <f t="shared" si="2"/>
        <v>-238123.44529999999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--22.91</f>
        <v>22.91</v>
      </c>
      <c r="E14" s="2"/>
      <c r="F14" s="19"/>
      <c r="G14" s="2"/>
      <c r="H14" s="2"/>
      <c r="I14" s="2"/>
      <c r="J14" s="19"/>
      <c r="K14" s="2"/>
      <c r="L14" s="2">
        <f t="shared" si="0"/>
        <v>22.91</v>
      </c>
      <c r="M14" s="2"/>
      <c r="N14" s="19">
        <f t="shared" si="1"/>
        <v>0</v>
      </c>
      <c r="O14" s="11"/>
      <c r="P14" s="2">
        <f>--123.19</f>
        <v>123.19</v>
      </c>
      <c r="Q14" s="2"/>
      <c r="R14" s="19"/>
      <c r="S14" s="2"/>
      <c r="T14" s="2"/>
      <c r="U14" s="2"/>
      <c r="V14" s="19"/>
      <c r="W14" s="2"/>
      <c r="X14" s="2">
        <f t="shared" si="2"/>
        <v>123.19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0</f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--47.91</f>
        <v>47.91</v>
      </c>
      <c r="Q15" s="2"/>
      <c r="R15" s="19"/>
      <c r="S15" s="2"/>
      <c r="T15" s="2"/>
      <c r="U15" s="2"/>
      <c r="V15" s="19"/>
      <c r="W15" s="2"/>
      <c r="X15" s="2">
        <f t="shared" si="2"/>
        <v>47.91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"4040", " - ", "TAXABLE SALES-LOGO CLOTHING")</f>
        <v xml:space="preserve">          4040 - TAXABLE SALES-LOGO CLOTHING</v>
      </c>
      <c r="C16" s="11"/>
      <c r="D16" s="2">
        <f>--33220.2</f>
        <v>33220.199999999997</v>
      </c>
      <c r="E16" s="2"/>
      <c r="F16" s="19"/>
      <c r="G16" s="2"/>
      <c r="H16" s="2"/>
      <c r="I16" s="2"/>
      <c r="J16" s="19"/>
      <c r="K16" s="2"/>
      <c r="L16" s="2">
        <f t="shared" si="0"/>
        <v>33220.199999999997</v>
      </c>
      <c r="M16" s="2"/>
      <c r="N16" s="19">
        <f t="shared" si="1"/>
        <v>0</v>
      </c>
      <c r="O16" s="11"/>
      <c r="P16" s="2">
        <f>--196766.57</f>
        <v>196766.57</v>
      </c>
      <c r="Q16" s="2"/>
      <c r="R16" s="19"/>
      <c r="S16" s="2"/>
      <c r="T16" s="2"/>
      <c r="U16" s="2"/>
      <c r="V16" s="19"/>
      <c r="W16" s="2"/>
      <c r="X16" s="2">
        <f t="shared" si="2"/>
        <v>196766.57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"4041", " - ", "TAXABLE SALES-LOGO GIFTS")</f>
        <v xml:space="preserve">          4041 - TAXABLE SALES-LOGO GIFTS</v>
      </c>
      <c r="C17" s="11"/>
      <c r="D17" s="2">
        <f>--3871.09</f>
        <v>3871.09</v>
      </c>
      <c r="E17" s="2"/>
      <c r="F17" s="19"/>
      <c r="G17" s="2"/>
      <c r="H17" s="2"/>
      <c r="I17" s="2"/>
      <c r="J17" s="19"/>
      <c r="K17" s="2"/>
      <c r="L17" s="2">
        <f t="shared" si="0"/>
        <v>3871.09</v>
      </c>
      <c r="M17" s="2"/>
      <c r="N17" s="19">
        <f t="shared" si="1"/>
        <v>0</v>
      </c>
      <c r="O17" s="11"/>
      <c r="P17" s="2">
        <f>--25047.78</f>
        <v>25047.78</v>
      </c>
      <c r="Q17" s="2"/>
      <c r="R17" s="19"/>
      <c r="S17" s="2"/>
      <c r="T17" s="2"/>
      <c r="U17" s="2"/>
      <c r="V17" s="19"/>
      <c r="W17" s="2"/>
      <c r="X17" s="2">
        <f t="shared" si="2"/>
        <v>25047.78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"4042", " - ", "TAXABLE SALES-EVERYDAY GIFTS")</f>
        <v xml:space="preserve">          4042 - TAXABLE SALES-EVERYDAY GIFTS</v>
      </c>
      <c r="C18" s="11"/>
      <c r="D18" s="2">
        <f>--1692.75</f>
        <v>1692.75</v>
      </c>
      <c r="E18" s="2"/>
      <c r="F18" s="19"/>
      <c r="G18" s="2"/>
      <c r="H18" s="2"/>
      <c r="I18" s="2"/>
      <c r="J18" s="19"/>
      <c r="K18" s="2"/>
      <c r="L18" s="2">
        <f t="shared" si="0"/>
        <v>1692.75</v>
      </c>
      <c r="M18" s="2"/>
      <c r="N18" s="19">
        <f t="shared" si="1"/>
        <v>0</v>
      </c>
      <c r="O18" s="11"/>
      <c r="P18" s="2">
        <f>--15906.71</f>
        <v>15906.71</v>
      </c>
      <c r="Q18" s="2"/>
      <c r="R18" s="19"/>
      <c r="S18" s="2"/>
      <c r="T18" s="2"/>
      <c r="U18" s="2"/>
      <c r="V18" s="19"/>
      <c r="W18" s="2"/>
      <c r="X18" s="2">
        <f t="shared" si="2"/>
        <v>15906.71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"4043", " - ", "TAXABLE SALES-CARDS")</f>
        <v xml:space="preserve">          4043 - TAXABLE SALES-CARDS</v>
      </c>
      <c r="C19" s="11"/>
      <c r="D19" s="2">
        <f>--31.98</f>
        <v>31.98</v>
      </c>
      <c r="E19" s="2"/>
      <c r="F19" s="19"/>
      <c r="G19" s="2"/>
      <c r="H19" s="2"/>
      <c r="I19" s="2"/>
      <c r="J19" s="19"/>
      <c r="K19" s="2"/>
      <c r="L19" s="2">
        <f t="shared" si="0"/>
        <v>31.98</v>
      </c>
      <c r="M19" s="2"/>
      <c r="N19" s="19">
        <f t="shared" si="1"/>
        <v>0</v>
      </c>
      <c r="O19" s="11"/>
      <c r="P19" s="2">
        <f>--31.98</f>
        <v>31.98</v>
      </c>
      <c r="Q19" s="2"/>
      <c r="R19" s="19"/>
      <c r="S19" s="2"/>
      <c r="T19" s="2"/>
      <c r="U19" s="2"/>
      <c r="V19" s="19"/>
      <c r="W19" s="2"/>
      <c r="X19" s="2">
        <f t="shared" si="2"/>
        <v>31.98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"4044", " - ", "TAXABLE SALES-ACCESSORIES")</f>
        <v xml:space="preserve">          4044 - TAXABLE SALES-ACCESSORIES</v>
      </c>
      <c r="C20" s="11"/>
      <c r="D20" s="2">
        <f>--724.39</f>
        <v>724.39</v>
      </c>
      <c r="E20" s="2"/>
      <c r="F20" s="19"/>
      <c r="G20" s="2"/>
      <c r="H20" s="2"/>
      <c r="I20" s="2"/>
      <c r="J20" s="19"/>
      <c r="K20" s="2"/>
      <c r="L20" s="2">
        <f t="shared" si="0"/>
        <v>724.39</v>
      </c>
      <c r="M20" s="2"/>
      <c r="N20" s="19">
        <f t="shared" si="1"/>
        <v>0</v>
      </c>
      <c r="O20" s="11"/>
      <c r="P20" s="2">
        <f>--1937.34</f>
        <v>1937.34</v>
      </c>
      <c r="Q20" s="2"/>
      <c r="R20" s="19"/>
      <c r="S20" s="2"/>
      <c r="T20" s="2"/>
      <c r="U20" s="2"/>
      <c r="V20" s="19"/>
      <c r="W20" s="2"/>
      <c r="X20" s="2">
        <f t="shared" si="2"/>
        <v>1937.34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"4045", " - ", "TAXABLE SALES-SPECIAL ORDERS")</f>
        <v xml:space="preserve">          4045 - TAXABLE SALES-SPECIAL ORDERS</v>
      </c>
      <c r="C21" s="11"/>
      <c r="D21" s="2">
        <f>--89.85</f>
        <v>89.85</v>
      </c>
      <c r="E21" s="2"/>
      <c r="F21" s="19"/>
      <c r="G21" s="2"/>
      <c r="H21" s="2"/>
      <c r="I21" s="2"/>
      <c r="J21" s="19"/>
      <c r="K21" s="2"/>
      <c r="L21" s="2">
        <f t="shared" si="0"/>
        <v>89.85</v>
      </c>
      <c r="M21" s="2"/>
      <c r="N21" s="19">
        <f t="shared" si="1"/>
        <v>0</v>
      </c>
      <c r="O21" s="11"/>
      <c r="P21" s="2">
        <f>--457.61</f>
        <v>457.61</v>
      </c>
      <c r="Q21" s="2"/>
      <c r="R21" s="19"/>
      <c r="S21" s="2"/>
      <c r="T21" s="2"/>
      <c r="U21" s="2"/>
      <c r="V21" s="19"/>
      <c r="W21" s="2"/>
      <c r="X21" s="2">
        <f t="shared" si="2"/>
        <v>457.61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"4092", " - ", "TAXABLE SALES-GRAD MERCH")</f>
        <v xml:space="preserve">          4092 - TAXABLE SALES-GRAD MERCH</v>
      </c>
      <c r="C22" s="11"/>
      <c r="D22" s="2">
        <f>0</f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-39.95</f>
        <v>-39.950000000000003</v>
      </c>
      <c r="Q22" s="2"/>
      <c r="R22" s="19"/>
      <c r="S22" s="2"/>
      <c r="T22" s="2"/>
      <c r="U22" s="2"/>
      <c r="V22" s="19"/>
      <c r="W22" s="2"/>
      <c r="X22" s="2">
        <f t="shared" si="2"/>
        <v>-39.950000000000003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"4095", " - ", "TAXABLE SALES-CUSTOMER SERVICE")</f>
        <v xml:space="preserve">          4095 - TAXABLE SALES-CUSTOMER SERVICE</v>
      </c>
      <c r="C23" s="11"/>
      <c r="D23" s="2">
        <f>--0.99</f>
        <v>0.99</v>
      </c>
      <c r="E23" s="2"/>
      <c r="F23" s="19"/>
      <c r="G23" s="2"/>
      <c r="H23" s="2"/>
      <c r="I23" s="2"/>
      <c r="J23" s="19"/>
      <c r="K23" s="2"/>
      <c r="L23" s="2">
        <f t="shared" si="0"/>
        <v>0.99</v>
      </c>
      <c r="M23" s="2"/>
      <c r="N23" s="19">
        <f t="shared" si="1"/>
        <v>0</v>
      </c>
      <c r="O23" s="11"/>
      <c r="P23" s="2">
        <f>--27.72</f>
        <v>27.72</v>
      </c>
      <c r="Q23" s="2"/>
      <c r="R23" s="19"/>
      <c r="S23" s="2"/>
      <c r="T23" s="2"/>
      <c r="U23" s="2"/>
      <c r="V23" s="19"/>
      <c r="W23" s="2"/>
      <c r="X23" s="2">
        <f t="shared" si="2"/>
        <v>27.72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"4137", " - ", "NON-TAXABLE SALES-WATER")</f>
        <v xml:space="preserve">          4137 - NON-TAXABLE SALES-WATER</v>
      </c>
      <c r="C24" s="11"/>
      <c r="D24" s="2">
        <f>--1.5</f>
        <v>1.5</v>
      </c>
      <c r="E24" s="2"/>
      <c r="F24" s="19"/>
      <c r="G24" s="2"/>
      <c r="H24" s="2"/>
      <c r="I24" s="2"/>
      <c r="J24" s="19"/>
      <c r="K24" s="2"/>
      <c r="L24" s="2">
        <f t="shared" si="0"/>
        <v>1.5</v>
      </c>
      <c r="M24" s="2"/>
      <c r="N24" s="19">
        <f t="shared" si="1"/>
        <v>0</v>
      </c>
      <c r="O24" s="11"/>
      <c r="P24" s="2">
        <f>--87</f>
        <v>87</v>
      </c>
      <c r="Q24" s="2"/>
      <c r="R24" s="19"/>
      <c r="S24" s="2"/>
      <c r="T24" s="2"/>
      <c r="U24" s="2"/>
      <c r="V24" s="19"/>
      <c r="W24" s="2"/>
      <c r="X24" s="2">
        <f t="shared" si="2"/>
        <v>87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"4142", " - ", "NON-TAXABLE SALES-EVERYDAY GIF")</f>
        <v xml:space="preserve">          4142 - NON-TAXABLE SALES-EVERYDAY GIF</v>
      </c>
      <c r="C25" s="11"/>
      <c r="D25" s="2">
        <f>--1.26</f>
        <v>1.26</v>
      </c>
      <c r="E25" s="2"/>
      <c r="F25" s="19"/>
      <c r="G25" s="2"/>
      <c r="H25" s="2"/>
      <c r="I25" s="2"/>
      <c r="J25" s="19"/>
      <c r="K25" s="2"/>
      <c r="L25" s="2">
        <f t="shared" si="0"/>
        <v>1.26</v>
      </c>
      <c r="M25" s="2"/>
      <c r="N25" s="19">
        <f t="shared" si="1"/>
        <v>0</v>
      </c>
      <c r="O25" s="11"/>
      <c r="P25" s="2">
        <f>--158.83</f>
        <v>158.83000000000001</v>
      </c>
      <c r="Q25" s="2"/>
      <c r="R25" s="19"/>
      <c r="S25" s="2"/>
      <c r="T25" s="2"/>
      <c r="U25" s="2"/>
      <c r="V25" s="19"/>
      <c r="W25" s="2"/>
      <c r="X25" s="2">
        <f t="shared" si="2"/>
        <v>158.83000000000001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"4226", " - ", "SALES RETURN TAXABLE-WRITING I")</f>
        <v xml:space="preserve">          4226 - SALES RETURN TAXABLE-WRITING I</v>
      </c>
      <c r="C26" s="11"/>
      <c r="D26" s="2">
        <f>0</f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-134.8</f>
        <v>-134.80000000000001</v>
      </c>
      <c r="Q26" s="2"/>
      <c r="R26" s="19"/>
      <c r="S26" s="2"/>
      <c r="T26" s="2"/>
      <c r="U26" s="2"/>
      <c r="V26" s="19"/>
      <c r="W26" s="2"/>
      <c r="X26" s="2">
        <f t="shared" si="2"/>
        <v>-134.80000000000001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"4240", " - ", "SALES RETURN TAXABLE-LOGO CLOT")</f>
        <v xml:space="preserve">          4240 - SALES RETURN TAXABLE-LOGO CLOT</v>
      </c>
      <c r="C27" s="11"/>
      <c r="D27" s="2">
        <f>-1412.86</f>
        <v>-1412.86</v>
      </c>
      <c r="E27" s="2"/>
      <c r="F27" s="19"/>
      <c r="G27" s="2"/>
      <c r="H27" s="2"/>
      <c r="I27" s="2"/>
      <c r="J27" s="19"/>
      <c r="K27" s="2"/>
      <c r="L27" s="2">
        <f t="shared" si="0"/>
        <v>-1412.86</v>
      </c>
      <c r="M27" s="2"/>
      <c r="N27" s="19">
        <f t="shared" si="1"/>
        <v>0</v>
      </c>
      <c r="O27" s="11"/>
      <c r="P27" s="2">
        <f>-6651.1</f>
        <v>-6651.1</v>
      </c>
      <c r="Q27" s="2"/>
      <c r="R27" s="19"/>
      <c r="S27" s="2"/>
      <c r="T27" s="2"/>
      <c r="U27" s="2"/>
      <c r="V27" s="19"/>
      <c r="W27" s="2"/>
      <c r="X27" s="2">
        <f t="shared" si="2"/>
        <v>-6651.1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"4241", " - ", "SALES RETURN TAXABLE-LOGO GIFT")</f>
        <v xml:space="preserve">          4241 - SALES RETURN TAXABLE-LOGO GIFT</v>
      </c>
      <c r="C28" s="11"/>
      <c r="D28" s="2">
        <f>-135.16</f>
        <v>-135.16</v>
      </c>
      <c r="E28" s="2"/>
      <c r="F28" s="19"/>
      <c r="G28" s="2"/>
      <c r="H28" s="2"/>
      <c r="I28" s="2"/>
      <c r="J28" s="19"/>
      <c r="K28" s="2"/>
      <c r="L28" s="2">
        <f t="shared" si="0"/>
        <v>-135.16</v>
      </c>
      <c r="M28" s="2"/>
      <c r="N28" s="19">
        <f t="shared" si="1"/>
        <v>0</v>
      </c>
      <c r="O28" s="11"/>
      <c r="P28" s="2">
        <f>-869.41</f>
        <v>-869.41</v>
      </c>
      <c r="Q28" s="2"/>
      <c r="R28" s="19"/>
      <c r="S28" s="2"/>
      <c r="T28" s="2"/>
      <c r="U28" s="2"/>
      <c r="V28" s="19"/>
      <c r="W28" s="2"/>
      <c r="X28" s="2">
        <f t="shared" si="2"/>
        <v>-869.41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"4242", " - ", "SALES RETURN TAXABLE-EVERYDAY")</f>
        <v xml:space="preserve">          4242 - SALES RETURN TAXABLE-EVERYDAY</v>
      </c>
      <c r="C29" s="11"/>
      <c r="D29" s="2">
        <f>-227</f>
        <v>-227</v>
      </c>
      <c r="E29" s="2"/>
      <c r="F29" s="19"/>
      <c r="G29" s="2"/>
      <c r="H29" s="2"/>
      <c r="I29" s="2"/>
      <c r="J29" s="19"/>
      <c r="K29" s="2"/>
      <c r="L29" s="2">
        <f t="shared" si="0"/>
        <v>-227</v>
      </c>
      <c r="M29" s="2"/>
      <c r="N29" s="19">
        <f t="shared" si="1"/>
        <v>0</v>
      </c>
      <c r="O29" s="11"/>
      <c r="P29" s="2">
        <f>-515.09</f>
        <v>-515.09</v>
      </c>
      <c r="Q29" s="2"/>
      <c r="R29" s="19"/>
      <c r="S29" s="2"/>
      <c r="T29" s="2"/>
      <c r="U29" s="2"/>
      <c r="V29" s="19"/>
      <c r="W29" s="2"/>
      <c r="X29" s="2">
        <f t="shared" si="2"/>
        <v>-515.09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"4244", " - ", "SALES RETURN TAXABLE-ACCESSORI")</f>
        <v xml:space="preserve">          4244 - SALES RETURN TAXABLE-ACCESSORI</v>
      </c>
      <c r="C30" s="11"/>
      <c r="D30" s="2">
        <f>-42.9</f>
        <v>-42.9</v>
      </c>
      <c r="E30" s="2"/>
      <c r="F30" s="19"/>
      <c r="G30" s="2"/>
      <c r="H30" s="2"/>
      <c r="I30" s="2"/>
      <c r="J30" s="19"/>
      <c r="K30" s="2"/>
      <c r="L30" s="2">
        <f t="shared" si="0"/>
        <v>-42.9</v>
      </c>
      <c r="M30" s="2"/>
      <c r="N30" s="19">
        <f t="shared" si="1"/>
        <v>0</v>
      </c>
      <c r="O30" s="11"/>
      <c r="P30" s="2">
        <f>-65.85</f>
        <v>-65.849999999999994</v>
      </c>
      <c r="Q30" s="2"/>
      <c r="R30" s="19"/>
      <c r="S30" s="2"/>
      <c r="T30" s="2"/>
      <c r="U30" s="2"/>
      <c r="V30" s="19"/>
      <c r="W30" s="2"/>
      <c r="X30" s="2">
        <f t="shared" si="2"/>
        <v>-65.849999999999994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"4245", " - ", "SALES RETURN TAXABLE-SPECIAL O")</f>
        <v xml:space="preserve">          4245 - SALES RETURN TAXABLE-SPECIAL O</v>
      </c>
      <c r="C31" s="11"/>
      <c r="D31" s="2">
        <f t="shared" ref="D31:D32" si="4">0</f>
        <v>0</v>
      </c>
      <c r="E31" s="2"/>
      <c r="F31" s="19"/>
      <c r="G31" s="2"/>
      <c r="H31" s="2"/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-9.99</f>
        <v>-9.99</v>
      </c>
      <c r="Q31" s="2"/>
      <c r="R31" s="19"/>
      <c r="S31" s="2"/>
      <c r="T31" s="2"/>
      <c r="U31" s="2"/>
      <c r="V31" s="19"/>
      <c r="W31" s="2"/>
      <c r="X31" s="2">
        <f t="shared" si="2"/>
        <v>-9.99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"4295", " - ", "SALES RETURN TAXABLE-CUSTOMER")</f>
        <v xml:space="preserve">          4295 - SALES RETURN TAXABLE-CUSTOMER</v>
      </c>
      <c r="C32" s="11"/>
      <c r="D32" s="2">
        <f t="shared" si="4"/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--0.99</f>
        <v>0.99</v>
      </c>
      <c r="Q32" s="2"/>
      <c r="R32" s="19"/>
      <c r="S32" s="2"/>
      <c r="T32" s="2"/>
      <c r="U32" s="2"/>
      <c r="V32" s="19"/>
      <c r="W32" s="2"/>
      <c r="X32" s="2">
        <f t="shared" si="2"/>
        <v>0.99</v>
      </c>
      <c r="Y32" s="2"/>
      <c r="Z32" s="19">
        <f t="shared" si="3"/>
        <v>0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9" t="s">
        <v>8</v>
      </c>
      <c r="C34" s="10"/>
      <c r="D34" s="4">
        <f>SUM(OSRRefD16x_0)</f>
        <v>16040.850000000002</v>
      </c>
      <c r="E34" s="4"/>
      <c r="F34" s="12">
        <f t="shared" ref="F34:F49" si="5">IF(D$12=0,0,D34/D$12)</f>
        <v>0.42392372948545165</v>
      </c>
      <c r="G34" s="4"/>
      <c r="H34" s="4">
        <f>SUM(OSRRefH16x_0)</f>
        <v>20018.23172</v>
      </c>
      <c r="I34" s="4"/>
      <c r="J34" s="12">
        <f t="shared" ref="J34:J49" si="6">IF(H$12=0,0,H34/H$12)</f>
        <v>0.42415496519623558</v>
      </c>
      <c r="K34" s="4"/>
      <c r="L34" s="4">
        <f t="shared" ref="L34:L49" si="7">+D34-H34</f>
        <v>-3977.3817199999976</v>
      </c>
      <c r="M34" s="4"/>
      <c r="N34" s="12">
        <f t="shared" ref="N34:N49" si="8">IF(H34=0,0,L34/H34)</f>
        <v>-0.19868796483288972</v>
      </c>
      <c r="O34" s="10"/>
      <c r="P34" s="4">
        <f>SUM(OSRRefP16x_0)</f>
        <v>98562.07</v>
      </c>
      <c r="Q34" s="4"/>
      <c r="R34" s="12">
        <f t="shared" ref="R34:R49" si="9">IF(P$12=0,0,P34/P$12)</f>
        <v>0.42427427205947438</v>
      </c>
      <c r="S34" s="4"/>
      <c r="T34" s="4">
        <f>SUM(OSRRefT16x_0)</f>
        <v>101363.28019</v>
      </c>
      <c r="U34" s="4"/>
      <c r="V34" s="12">
        <f t="shared" ref="V34:V49" si="10">IF(T$12=0,0,T34/T$12)</f>
        <v>0.4256753469289738</v>
      </c>
      <c r="W34" s="4"/>
      <c r="X34" s="4">
        <f t="shared" ref="X34:X49" si="11">+P34-T34</f>
        <v>-2801.210189999998</v>
      </c>
      <c r="Y34" s="4"/>
      <c r="Z34" s="12">
        <f t="shared" ref="Z34:Z49" si="12">IF(T34=0,0,X34/T34)</f>
        <v>-2.7635354585499605E-2</v>
      </c>
    </row>
    <row r="35" spans="1:26" s="24" customFormat="1" hidden="1" outlineLevel="1" x14ac:dyDescent="0.25">
      <c r="A35" s="44"/>
      <c r="B35" s="11" t="str">
        <f>CONCATENATE("          ", "5000", " - ", "PURCHASES @ COST")</f>
        <v xml:space="preserve">          5000 - PURCHASES @ COST</v>
      </c>
      <c r="C35" s="11"/>
      <c r="D35" s="2"/>
      <c r="E35" s="2"/>
      <c r="F35" s="19">
        <f t="shared" si="5"/>
        <v>0</v>
      </c>
      <c r="G35" s="2"/>
      <c r="H35" s="2">
        <v>20018.23172</v>
      </c>
      <c r="I35" s="2"/>
      <c r="J35" s="19">
        <f t="shared" si="6"/>
        <v>0.42415496519623558</v>
      </c>
      <c r="K35" s="2"/>
      <c r="L35" s="2">
        <f t="shared" si="7"/>
        <v>-20018.23172</v>
      </c>
      <c r="M35" s="2"/>
      <c r="N35" s="19">
        <f t="shared" si="8"/>
        <v>-1</v>
      </c>
      <c r="O35" s="11"/>
      <c r="P35" s="2"/>
      <c r="Q35" s="2"/>
      <c r="R35" s="19">
        <f t="shared" si="9"/>
        <v>0</v>
      </c>
      <c r="S35" s="2"/>
      <c r="T35" s="2">
        <v>101363.28019</v>
      </c>
      <c r="U35" s="2"/>
      <c r="V35" s="19">
        <f t="shared" si="10"/>
        <v>0.4256753469289738</v>
      </c>
      <c r="W35" s="2"/>
      <c r="X35" s="2">
        <f t="shared" si="11"/>
        <v>-101363.28019</v>
      </c>
      <c r="Y35" s="2"/>
      <c r="Z35" s="19">
        <f t="shared" si="12"/>
        <v>-1</v>
      </c>
    </row>
    <row r="36" spans="1:26" s="24" customFormat="1" hidden="1" outlineLevel="1" x14ac:dyDescent="0.25">
      <c r="A36" s="44"/>
      <c r="B36" s="11" t="str">
        <f>CONCATENATE("          ", "5026", " - ", "PURCHASES @ COST-WRITING INSTR")</f>
        <v xml:space="preserve">          5026 - PURCHASES @ COST-WRITING INSTR</v>
      </c>
      <c r="C36" s="11"/>
      <c r="D36" s="2">
        <v>-0.9</v>
      </c>
      <c r="E36" s="2"/>
      <c r="F36" s="19">
        <f t="shared" si="5"/>
        <v>-2.3784983746927778E-5</v>
      </c>
      <c r="G36" s="2"/>
      <c r="H36" s="2"/>
      <c r="I36" s="2"/>
      <c r="J36" s="19">
        <f t="shared" si="6"/>
        <v>0</v>
      </c>
      <c r="K36" s="2"/>
      <c r="L36" s="2">
        <f t="shared" si="7"/>
        <v>-0.9</v>
      </c>
      <c r="M36" s="2"/>
      <c r="N36" s="19">
        <f t="shared" si="8"/>
        <v>0</v>
      </c>
      <c r="O36" s="11"/>
      <c r="P36" s="2">
        <v>-37.270000000000003</v>
      </c>
      <c r="Q36" s="2"/>
      <c r="R36" s="19">
        <f t="shared" si="9"/>
        <v>-1.6043394908058048E-4</v>
      </c>
      <c r="S36" s="2"/>
      <c r="T36" s="2"/>
      <c r="U36" s="2"/>
      <c r="V36" s="19">
        <f t="shared" si="10"/>
        <v>0</v>
      </c>
      <c r="W36" s="2"/>
      <c r="X36" s="2">
        <f t="shared" si="11"/>
        <v>-37.270000000000003</v>
      </c>
      <c r="Y36" s="2"/>
      <c r="Z36" s="19">
        <f t="shared" si="12"/>
        <v>0</v>
      </c>
    </row>
    <row r="37" spans="1:26" s="24" customFormat="1" hidden="1" outlineLevel="1" x14ac:dyDescent="0.25">
      <c r="A37" s="44"/>
      <c r="B37" s="11" t="str">
        <f>CONCATENATE("          ", "5027", " - ", "PURCHASES @ COST-SCHOOL SUPPLI")</f>
        <v xml:space="preserve">          5027 - PURCHASES @ COST-SCHOOL SUPPLI</v>
      </c>
      <c r="C37" s="11"/>
      <c r="D37" s="2">
        <v>4.29</v>
      </c>
      <c r="E37" s="2"/>
      <c r="F37" s="19">
        <f t="shared" si="5"/>
        <v>1.1337508919368907E-4</v>
      </c>
      <c r="G37" s="2"/>
      <c r="H37" s="2"/>
      <c r="I37" s="2"/>
      <c r="J37" s="19">
        <f t="shared" si="6"/>
        <v>0</v>
      </c>
      <c r="K37" s="2"/>
      <c r="L37" s="2">
        <f t="shared" si="7"/>
        <v>4.29</v>
      </c>
      <c r="M37" s="2"/>
      <c r="N37" s="19">
        <f t="shared" si="8"/>
        <v>0</v>
      </c>
      <c r="O37" s="11"/>
      <c r="P37" s="2">
        <v>51.29</v>
      </c>
      <c r="Q37" s="2"/>
      <c r="R37" s="19">
        <f t="shared" si="9"/>
        <v>2.2078500800490938E-4</v>
      </c>
      <c r="S37" s="2"/>
      <c r="T37" s="2"/>
      <c r="U37" s="2"/>
      <c r="V37" s="19">
        <f t="shared" si="10"/>
        <v>0</v>
      </c>
      <c r="W37" s="2"/>
      <c r="X37" s="2">
        <f t="shared" si="11"/>
        <v>51.29</v>
      </c>
      <c r="Y37" s="2"/>
      <c r="Z37" s="19">
        <f t="shared" si="12"/>
        <v>0</v>
      </c>
    </row>
    <row r="38" spans="1:26" s="24" customFormat="1" hidden="1" outlineLevel="1" x14ac:dyDescent="0.25">
      <c r="A38" s="44"/>
      <c r="B38" s="11" t="str">
        <f>CONCATENATE("          ", "5037", " - ", "PURCHASES @ COST-WATER")</f>
        <v xml:space="preserve">          5037 - PURCHASES @ COST-WATER</v>
      </c>
      <c r="C38" s="11"/>
      <c r="D38" s="2"/>
      <c r="E38" s="2"/>
      <c r="F38" s="19">
        <f t="shared" si="5"/>
        <v>0</v>
      </c>
      <c r="G38" s="2"/>
      <c r="H38" s="2"/>
      <c r="I38" s="2"/>
      <c r="J38" s="19">
        <f t="shared" si="6"/>
        <v>0</v>
      </c>
      <c r="K38" s="2"/>
      <c r="L38" s="2">
        <f t="shared" si="7"/>
        <v>0</v>
      </c>
      <c r="M38" s="2"/>
      <c r="N38" s="19">
        <f t="shared" si="8"/>
        <v>0</v>
      </c>
      <c r="O38" s="11"/>
      <c r="P38" s="2">
        <v>29.76</v>
      </c>
      <c r="Q38" s="2"/>
      <c r="R38" s="19">
        <f t="shared" si="9"/>
        <v>1.2810609940000202E-4</v>
      </c>
      <c r="S38" s="2"/>
      <c r="T38" s="2"/>
      <c r="U38" s="2"/>
      <c r="V38" s="19">
        <f t="shared" si="10"/>
        <v>0</v>
      </c>
      <c r="W38" s="2"/>
      <c r="X38" s="2">
        <f t="shared" si="11"/>
        <v>29.76</v>
      </c>
      <c r="Y38" s="2"/>
      <c r="Z38" s="19">
        <f t="shared" si="12"/>
        <v>0</v>
      </c>
    </row>
    <row r="39" spans="1:26" s="24" customFormat="1" hidden="1" outlineLevel="1" x14ac:dyDescent="0.25">
      <c r="A39" s="44"/>
      <c r="B39" s="11" t="str">
        <f>CONCATENATE("          ", "5040", " - ", "PURCHASES @ COST-LOGO CLOTHING")</f>
        <v xml:space="preserve">          5040 - PURCHASES @ COST-LOGO CLOTHING</v>
      </c>
      <c r="C39" s="11"/>
      <c r="D39" s="2">
        <v>24596.66</v>
      </c>
      <c r="E39" s="2"/>
      <c r="F39" s="19">
        <f t="shared" si="5"/>
        <v>0.65003462036523174</v>
      </c>
      <c r="G39" s="2"/>
      <c r="H39" s="2"/>
      <c r="I39" s="2"/>
      <c r="J39" s="19">
        <f t="shared" si="6"/>
        <v>0</v>
      </c>
      <c r="K39" s="2"/>
      <c r="L39" s="2">
        <f t="shared" si="7"/>
        <v>24596.66</v>
      </c>
      <c r="M39" s="2"/>
      <c r="N39" s="19">
        <f t="shared" si="8"/>
        <v>0</v>
      </c>
      <c r="O39" s="11"/>
      <c r="P39" s="2">
        <v>125372.19</v>
      </c>
      <c r="Q39" s="2"/>
      <c r="R39" s="19">
        <f t="shared" si="9"/>
        <v>0.53968219872768608</v>
      </c>
      <c r="S39" s="2"/>
      <c r="T39" s="2"/>
      <c r="U39" s="2"/>
      <c r="V39" s="19">
        <f t="shared" si="10"/>
        <v>0</v>
      </c>
      <c r="W39" s="2"/>
      <c r="X39" s="2">
        <f t="shared" si="11"/>
        <v>125372.19</v>
      </c>
      <c r="Y39" s="2"/>
      <c r="Z39" s="19">
        <f t="shared" si="12"/>
        <v>0</v>
      </c>
    </row>
    <row r="40" spans="1:26" s="24" customFormat="1" hidden="1" outlineLevel="1" x14ac:dyDescent="0.25">
      <c r="A40" s="44"/>
      <c r="B40" s="11" t="str">
        <f>CONCATENATE("          ", "5041", " - ", "PURCHASES @ COST-LOGO GIFTS")</f>
        <v xml:space="preserve">          5041 - PURCHASES @ COST-LOGO GIFTS</v>
      </c>
      <c r="C40" s="11"/>
      <c r="D40" s="2">
        <v>2659.72</v>
      </c>
      <c r="E40" s="2"/>
      <c r="F40" s="19">
        <f t="shared" si="5"/>
        <v>7.0290441079309721E-2</v>
      </c>
      <c r="G40" s="2"/>
      <c r="H40" s="2"/>
      <c r="I40" s="2"/>
      <c r="J40" s="19">
        <f t="shared" si="6"/>
        <v>0</v>
      </c>
      <c r="K40" s="2"/>
      <c r="L40" s="2">
        <f t="shared" si="7"/>
        <v>2659.72</v>
      </c>
      <c r="M40" s="2"/>
      <c r="N40" s="19">
        <f t="shared" si="8"/>
        <v>0</v>
      </c>
      <c r="O40" s="11"/>
      <c r="P40" s="2">
        <v>14714.36</v>
      </c>
      <c r="Q40" s="2"/>
      <c r="R40" s="19">
        <f t="shared" si="9"/>
        <v>6.3340029058044811E-2</v>
      </c>
      <c r="S40" s="2"/>
      <c r="T40" s="2"/>
      <c r="U40" s="2"/>
      <c r="V40" s="19">
        <f t="shared" si="10"/>
        <v>0</v>
      </c>
      <c r="W40" s="2"/>
      <c r="X40" s="2">
        <f t="shared" si="11"/>
        <v>14714.36</v>
      </c>
      <c r="Y40" s="2"/>
      <c r="Z40" s="19">
        <f t="shared" si="12"/>
        <v>0</v>
      </c>
    </row>
    <row r="41" spans="1:26" s="24" customFormat="1" hidden="1" outlineLevel="1" x14ac:dyDescent="0.25">
      <c r="A41" s="44"/>
      <c r="B41" s="11" t="str">
        <f>CONCATENATE("          ", "5042", " - ", "PURCHASES @ COST-EVERYDAY GIFT")</f>
        <v xml:space="preserve">          5042 - PURCHASES @ COST-EVERYDAY GIFT</v>
      </c>
      <c r="C41" s="11"/>
      <c r="D41" s="2">
        <v>4428.41</v>
      </c>
      <c r="E41" s="2"/>
      <c r="F41" s="19">
        <f t="shared" si="5"/>
        <v>0.11703295541636938</v>
      </c>
      <c r="G41" s="2"/>
      <c r="H41" s="2"/>
      <c r="I41" s="2"/>
      <c r="J41" s="19">
        <f t="shared" si="6"/>
        <v>0</v>
      </c>
      <c r="K41" s="2"/>
      <c r="L41" s="2">
        <f t="shared" si="7"/>
        <v>4428.41</v>
      </c>
      <c r="M41" s="2"/>
      <c r="N41" s="19">
        <f t="shared" si="8"/>
        <v>0</v>
      </c>
      <c r="O41" s="11"/>
      <c r="P41" s="2">
        <v>13868.95</v>
      </c>
      <c r="Q41" s="2"/>
      <c r="R41" s="19">
        <f t="shared" si="9"/>
        <v>5.9700842986346037E-2</v>
      </c>
      <c r="S41" s="2"/>
      <c r="T41" s="2"/>
      <c r="U41" s="2"/>
      <c r="V41" s="19">
        <f t="shared" si="10"/>
        <v>0</v>
      </c>
      <c r="W41" s="2"/>
      <c r="X41" s="2">
        <f t="shared" si="11"/>
        <v>13868.95</v>
      </c>
      <c r="Y41" s="2"/>
      <c r="Z41" s="19">
        <f t="shared" si="12"/>
        <v>0</v>
      </c>
    </row>
    <row r="42" spans="1:26" s="24" customFormat="1" hidden="1" outlineLevel="1" x14ac:dyDescent="0.25">
      <c r="A42" s="44"/>
      <c r="B42" s="11" t="str">
        <f>CONCATENATE("          ", "5043", " - ", "PURCHASES @ COST-CARDS")</f>
        <v xml:space="preserve">          5043 - PURCHASES @ COST-CARDS</v>
      </c>
      <c r="C42" s="11"/>
      <c r="D42" s="2">
        <v>93.4</v>
      </c>
      <c r="E42" s="2"/>
      <c r="F42" s="19">
        <f t="shared" si="5"/>
        <v>2.4683527577367271E-3</v>
      </c>
      <c r="G42" s="2"/>
      <c r="H42" s="2"/>
      <c r="I42" s="2"/>
      <c r="J42" s="19">
        <f t="shared" si="6"/>
        <v>0</v>
      </c>
      <c r="K42" s="2"/>
      <c r="L42" s="2">
        <f t="shared" si="7"/>
        <v>93.4</v>
      </c>
      <c r="M42" s="2"/>
      <c r="N42" s="19">
        <f t="shared" si="8"/>
        <v>0</v>
      </c>
      <c r="O42" s="11"/>
      <c r="P42" s="2">
        <v>93.4</v>
      </c>
      <c r="Q42" s="2"/>
      <c r="R42" s="19">
        <f t="shared" si="9"/>
        <v>4.020534167997375E-4</v>
      </c>
      <c r="S42" s="2"/>
      <c r="T42" s="2"/>
      <c r="U42" s="2"/>
      <c r="V42" s="19">
        <f t="shared" si="10"/>
        <v>0</v>
      </c>
      <c r="W42" s="2"/>
      <c r="X42" s="2">
        <f t="shared" si="11"/>
        <v>93.4</v>
      </c>
      <c r="Y42" s="2"/>
      <c r="Z42" s="19">
        <f t="shared" si="12"/>
        <v>0</v>
      </c>
    </row>
    <row r="43" spans="1:26" s="24" customFormat="1" hidden="1" outlineLevel="1" x14ac:dyDescent="0.25">
      <c r="A43" s="44"/>
      <c r="B43" s="11" t="str">
        <f>CONCATENATE("          ", "5044", " - ", "PURCHASES @ COST-ACCESSORIES")</f>
        <v xml:space="preserve">          5044 - PURCHASES @ COST-ACCESSORIES</v>
      </c>
      <c r="C43" s="11"/>
      <c r="D43" s="2">
        <v>-7717.73</v>
      </c>
      <c r="E43" s="2"/>
      <c r="F43" s="19">
        <f t="shared" si="5"/>
        <v>-0.20396231401464102</v>
      </c>
      <c r="G43" s="2"/>
      <c r="H43" s="2"/>
      <c r="I43" s="2"/>
      <c r="J43" s="19">
        <f t="shared" si="6"/>
        <v>0</v>
      </c>
      <c r="K43" s="2"/>
      <c r="L43" s="2">
        <f t="shared" si="7"/>
        <v>-7717.73</v>
      </c>
      <c r="M43" s="2"/>
      <c r="N43" s="19">
        <f t="shared" si="8"/>
        <v>0</v>
      </c>
      <c r="O43" s="11"/>
      <c r="P43" s="2">
        <v>-5365.16</v>
      </c>
      <c r="Q43" s="2"/>
      <c r="R43" s="19">
        <f t="shared" si="9"/>
        <v>-2.3095084686052245E-2</v>
      </c>
      <c r="S43" s="2"/>
      <c r="T43" s="2"/>
      <c r="U43" s="2"/>
      <c r="V43" s="19">
        <f t="shared" si="10"/>
        <v>0</v>
      </c>
      <c r="W43" s="2"/>
      <c r="X43" s="2">
        <f t="shared" si="11"/>
        <v>-5365.16</v>
      </c>
      <c r="Y43" s="2"/>
      <c r="Z43" s="19">
        <f t="shared" si="12"/>
        <v>0</v>
      </c>
    </row>
    <row r="44" spans="1:26" s="24" customFormat="1" hidden="1" outlineLevel="1" x14ac:dyDescent="0.25">
      <c r="A44" s="44"/>
      <c r="B44" s="11" t="str">
        <f>CONCATENATE("          ", "5045", " - ", "PURCHASES @ COST-SPECIAL ORDER")</f>
        <v xml:space="preserve">          5045 - PURCHASES @ COST-SPECIAL ORDER</v>
      </c>
      <c r="C44" s="11"/>
      <c r="D44" s="2">
        <v>-15</v>
      </c>
      <c r="E44" s="2"/>
      <c r="F44" s="19">
        <f t="shared" si="5"/>
        <v>-3.9641639578212964E-4</v>
      </c>
      <c r="G44" s="2"/>
      <c r="H44" s="2"/>
      <c r="I44" s="2"/>
      <c r="J44" s="19">
        <f t="shared" si="6"/>
        <v>0</v>
      </c>
      <c r="K44" s="2"/>
      <c r="L44" s="2">
        <f t="shared" si="7"/>
        <v>-15</v>
      </c>
      <c r="M44" s="2"/>
      <c r="N44" s="19">
        <f t="shared" si="8"/>
        <v>0</v>
      </c>
      <c r="O44" s="11"/>
      <c r="P44" s="2">
        <v>-983.2</v>
      </c>
      <c r="Q44" s="2"/>
      <c r="R44" s="19">
        <f t="shared" si="9"/>
        <v>-4.2323224774893139E-3</v>
      </c>
      <c r="S44" s="2"/>
      <c r="T44" s="2"/>
      <c r="U44" s="2"/>
      <c r="V44" s="19">
        <f t="shared" si="10"/>
        <v>0</v>
      </c>
      <c r="W44" s="2"/>
      <c r="X44" s="2">
        <f t="shared" si="11"/>
        <v>-983.2</v>
      </c>
      <c r="Y44" s="2"/>
      <c r="Z44" s="19">
        <f t="shared" si="12"/>
        <v>0</v>
      </c>
    </row>
    <row r="45" spans="1:26" s="24" customFormat="1" hidden="1" outlineLevel="1" x14ac:dyDescent="0.25">
      <c r="A45" s="44"/>
      <c r="B45" s="11" t="str">
        <f>CONCATENATE("          ", "5083", " - ", "PURCHASES @ COST-COMPUTER EQUI")</f>
        <v xml:space="preserve">          5083 - PURCHASES @ COST-COMPUTER EQUI</v>
      </c>
      <c r="C45" s="11"/>
      <c r="D45" s="2"/>
      <c r="E45" s="2"/>
      <c r="F45" s="19">
        <f t="shared" si="5"/>
        <v>0</v>
      </c>
      <c r="G45" s="2"/>
      <c r="H45" s="2"/>
      <c r="I45" s="2"/>
      <c r="J45" s="19">
        <f t="shared" si="6"/>
        <v>0</v>
      </c>
      <c r="K45" s="2"/>
      <c r="L45" s="2">
        <f t="shared" si="7"/>
        <v>0</v>
      </c>
      <c r="M45" s="2"/>
      <c r="N45" s="19">
        <f t="shared" si="8"/>
        <v>0</v>
      </c>
      <c r="O45" s="11"/>
      <c r="P45" s="2">
        <v>39.950000000000003</v>
      </c>
      <c r="Q45" s="2"/>
      <c r="R45" s="19">
        <f t="shared" si="9"/>
        <v>1.7197038545127959E-4</v>
      </c>
      <c r="S45" s="2"/>
      <c r="T45" s="2"/>
      <c r="U45" s="2"/>
      <c r="V45" s="19">
        <f t="shared" si="10"/>
        <v>0</v>
      </c>
      <c r="W45" s="2"/>
      <c r="X45" s="2">
        <f t="shared" si="11"/>
        <v>39.950000000000003</v>
      </c>
      <c r="Y45" s="2"/>
      <c r="Z45" s="19">
        <f t="shared" si="12"/>
        <v>0</v>
      </c>
    </row>
    <row r="46" spans="1:26" s="24" customFormat="1" hidden="1" outlineLevel="1" x14ac:dyDescent="0.25">
      <c r="A46" s="44"/>
      <c r="B46" s="11" t="str">
        <f>CONCATENATE("          ", "5092", " - ", "PURCHASES @ COST-GRAD MERCH")</f>
        <v xml:space="preserve">          5092 - PURCHASES @ COST-GRAD MERCH</v>
      </c>
      <c r="C46" s="11"/>
      <c r="D46" s="2"/>
      <c r="E46" s="2"/>
      <c r="F46" s="19">
        <f t="shared" si="5"/>
        <v>0</v>
      </c>
      <c r="G46" s="2"/>
      <c r="H46" s="2"/>
      <c r="I46" s="2"/>
      <c r="J46" s="19">
        <f t="shared" si="6"/>
        <v>0</v>
      </c>
      <c r="K46" s="2"/>
      <c r="L46" s="2">
        <f t="shared" si="7"/>
        <v>0</v>
      </c>
      <c r="M46" s="2"/>
      <c r="N46" s="19">
        <f t="shared" si="8"/>
        <v>0</v>
      </c>
      <c r="O46" s="11"/>
      <c r="P46" s="2">
        <v>-60.35</v>
      </c>
      <c r="Q46" s="2"/>
      <c r="R46" s="19">
        <f t="shared" si="9"/>
        <v>-2.5978505036257127E-4</v>
      </c>
      <c r="S46" s="2"/>
      <c r="T46" s="2"/>
      <c r="U46" s="2"/>
      <c r="V46" s="19">
        <f t="shared" si="10"/>
        <v>0</v>
      </c>
      <c r="W46" s="2"/>
      <c r="X46" s="2">
        <f t="shared" si="11"/>
        <v>-60.35</v>
      </c>
      <c r="Y46" s="2"/>
      <c r="Z46" s="19">
        <f t="shared" si="12"/>
        <v>0</v>
      </c>
    </row>
    <row r="47" spans="1:26" s="24" customFormat="1" hidden="1" outlineLevel="1" x14ac:dyDescent="0.25">
      <c r="A47" s="44"/>
      <c r="B47" s="11" t="str">
        <f>CONCATENATE("          ", "5095", " - ", "PURCHASES @ COST-CUSTOMER SERV")</f>
        <v xml:space="preserve">          5095 - PURCHASES @ COST-CUSTOMER SERV</v>
      </c>
      <c r="C47" s="11"/>
      <c r="D47" s="2"/>
      <c r="E47" s="2"/>
      <c r="F47" s="19">
        <f t="shared" si="5"/>
        <v>0</v>
      </c>
      <c r="G47" s="2"/>
      <c r="H47" s="2"/>
      <c r="I47" s="2"/>
      <c r="J47" s="19">
        <f t="shared" si="6"/>
        <v>0</v>
      </c>
      <c r="K47" s="2"/>
      <c r="L47" s="2">
        <f t="shared" si="7"/>
        <v>0</v>
      </c>
      <c r="M47" s="2"/>
      <c r="N47" s="19">
        <f t="shared" si="8"/>
        <v>0</v>
      </c>
      <c r="O47" s="11"/>
      <c r="P47" s="2">
        <v>-11.85</v>
      </c>
      <c r="Q47" s="2"/>
      <c r="R47" s="19">
        <f t="shared" si="9"/>
        <v>-5.1009989176412092E-5</v>
      </c>
      <c r="S47" s="2"/>
      <c r="T47" s="2"/>
      <c r="U47" s="2"/>
      <c r="V47" s="19">
        <f t="shared" si="10"/>
        <v>0</v>
      </c>
      <c r="W47" s="2"/>
      <c r="X47" s="2">
        <f t="shared" si="11"/>
        <v>-11.85</v>
      </c>
      <c r="Y47" s="2"/>
      <c r="Z47" s="19">
        <f t="shared" si="12"/>
        <v>0</v>
      </c>
    </row>
    <row r="48" spans="1:26" s="24" customFormat="1" hidden="1" outlineLevel="1" x14ac:dyDescent="0.25">
      <c r="A48" s="44"/>
      <c r="B48" s="11" t="str">
        <f>CONCATENATE("          ", "5200", " - ", "PURCHASES OFFSET")</f>
        <v xml:space="preserve">          5200 - PURCHASES OFFSET</v>
      </c>
      <c r="C48" s="11"/>
      <c r="D48" s="2">
        <v>-24048</v>
      </c>
      <c r="E48" s="2"/>
      <c r="F48" s="19">
        <f t="shared" si="5"/>
        <v>-0.63553476571791023</v>
      </c>
      <c r="G48" s="2"/>
      <c r="H48" s="2"/>
      <c r="I48" s="2"/>
      <c r="J48" s="19">
        <f t="shared" si="6"/>
        <v>0</v>
      </c>
      <c r="K48" s="2"/>
      <c r="L48" s="2">
        <f t="shared" si="7"/>
        <v>-24048</v>
      </c>
      <c r="M48" s="2"/>
      <c r="N48" s="19">
        <f t="shared" si="8"/>
        <v>0</v>
      </c>
      <c r="O48" s="11"/>
      <c r="P48" s="2">
        <v>-147712</v>
      </c>
      <c r="Q48" s="2"/>
      <c r="R48" s="19">
        <f t="shared" si="9"/>
        <v>-0.63584704820474114</v>
      </c>
      <c r="S48" s="2"/>
      <c r="T48" s="2"/>
      <c r="U48" s="2"/>
      <c r="V48" s="19">
        <f t="shared" si="10"/>
        <v>0</v>
      </c>
      <c r="W48" s="2"/>
      <c r="X48" s="2">
        <f t="shared" si="11"/>
        <v>-147712</v>
      </c>
      <c r="Y48" s="2"/>
      <c r="Z48" s="19">
        <f t="shared" si="12"/>
        <v>0</v>
      </c>
    </row>
    <row r="49" spans="1:26" s="24" customFormat="1" hidden="1" outlineLevel="1" x14ac:dyDescent="0.25">
      <c r="A49" s="44"/>
      <c r="B49" s="11" t="str">
        <f>CONCATENATE("          ", "5300", " - ", "COG$ OFFSET")</f>
        <v xml:space="preserve">          5300 - COG$ OFFSET</v>
      </c>
      <c r="C49" s="11"/>
      <c r="D49" s="2">
        <v>16040</v>
      </c>
      <c r="E49" s="2"/>
      <c r="F49" s="19">
        <f t="shared" si="5"/>
        <v>0.42390126588969063</v>
      </c>
      <c r="G49" s="2"/>
      <c r="H49" s="2"/>
      <c r="I49" s="2"/>
      <c r="J49" s="19">
        <f t="shared" si="6"/>
        <v>0</v>
      </c>
      <c r="K49" s="2"/>
      <c r="L49" s="2">
        <f t="shared" si="7"/>
        <v>16040</v>
      </c>
      <c r="M49" s="2"/>
      <c r="N49" s="19">
        <f t="shared" si="8"/>
        <v>0</v>
      </c>
      <c r="O49" s="11"/>
      <c r="P49" s="2">
        <v>98562</v>
      </c>
      <c r="Q49" s="2"/>
      <c r="R49" s="19">
        <f t="shared" si="9"/>
        <v>0.42427397073464374</v>
      </c>
      <c r="S49" s="2"/>
      <c r="T49" s="2"/>
      <c r="U49" s="2"/>
      <c r="V49" s="19">
        <f t="shared" si="10"/>
        <v>0</v>
      </c>
      <c r="W49" s="2"/>
      <c r="X49" s="2">
        <f t="shared" si="11"/>
        <v>98562</v>
      </c>
      <c r="Y49" s="2"/>
      <c r="Z49" s="19">
        <f t="shared" si="12"/>
        <v>0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8" t="s">
        <v>6</v>
      </c>
      <c r="C51" s="28"/>
      <c r="D51" s="20">
        <f>D12-D34</f>
        <v>21798.149999999991</v>
      </c>
      <c r="E51" s="14"/>
      <c r="F51" s="22">
        <f>IF(D$12=0,0,D51/D$12)</f>
        <v>0.57607627051454835</v>
      </c>
      <c r="G51" s="14"/>
      <c r="H51" s="20">
        <f>H12-H34</f>
        <v>27177.329720000005</v>
      </c>
      <c r="I51" s="14"/>
      <c r="J51" s="22">
        <f>IF(H$12=0,0,H51/H$12)</f>
        <v>0.57584503480376448</v>
      </c>
      <c r="K51" s="16"/>
      <c r="L51" s="20">
        <f>+D51-H51</f>
        <v>-5379.1797200000146</v>
      </c>
      <c r="M51" s="16"/>
      <c r="N51" s="22">
        <f>IF(H51=0,0,L51/H51)</f>
        <v>-0.19792892736041817</v>
      </c>
      <c r="O51" s="29"/>
      <c r="P51" s="20">
        <f>P12-P34</f>
        <v>133745.36999999997</v>
      </c>
      <c r="Q51" s="14"/>
      <c r="R51" s="22">
        <f>IF(P$12=0,0,P51/P$12)</f>
        <v>0.57572572794052568</v>
      </c>
      <c r="S51" s="14"/>
      <c r="T51" s="20">
        <f>T12-T34</f>
        <v>136760.16511</v>
      </c>
      <c r="U51" s="14"/>
      <c r="V51" s="22">
        <f>IF(T$12=0,0,T51/T$12)</f>
        <v>0.57432465307102631</v>
      </c>
      <c r="W51" s="16"/>
      <c r="X51" s="20">
        <f>+P51-T51</f>
        <v>-3014.7951100000355</v>
      </c>
      <c r="Y51" s="16"/>
      <c r="Z51" s="22">
        <f>IF(T51=0,0,X51/T51)</f>
        <v>-2.2044395073486142E-2</v>
      </c>
    </row>
    <row r="52" spans="1:26" x14ac:dyDescent="0.25">
      <c r="A52" s="9"/>
      <c r="B52" s="10"/>
      <c r="C52" s="9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6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x14ac:dyDescent="0.25">
      <c r="A53" s="10"/>
      <c r="B53" s="29" t="s">
        <v>9</v>
      </c>
      <c r="C53" s="10"/>
      <c r="D53" s="21">
        <f>SUM(OSRRefD22x_0)</f>
        <v>33063.490000000005</v>
      </c>
      <c r="E53" s="21"/>
      <c r="F53" s="33">
        <f t="shared" ref="F53:F63" si="13">IF(D$12=0,0,D53/D$12)</f>
        <v>0.87379396918523244</v>
      </c>
      <c r="G53" s="21"/>
      <c r="H53" s="21">
        <f>SUM(OSRRefH22x_0)</f>
        <v>26149.18201333077</v>
      </c>
      <c r="I53" s="21"/>
      <c r="J53" s="33">
        <f t="shared" ref="J53:J63" si="14">IF(H$12=0,0,H53/H$12)</f>
        <v>0.55406019582104937</v>
      </c>
      <c r="K53" s="4"/>
      <c r="L53" s="21">
        <f t="shared" ref="L53:L63" si="15">+D53-H53</f>
        <v>6914.3079866692351</v>
      </c>
      <c r="M53" s="4"/>
      <c r="N53" s="33">
        <f t="shared" ref="N53:N63" si="16">IF(H53=0,0,L53/H53)</f>
        <v>0.26441775437351511</v>
      </c>
      <c r="O53" s="10"/>
      <c r="P53" s="21">
        <f>SUM(OSRRefP22x_0)</f>
        <v>152683.87999999998</v>
      </c>
      <c r="Q53" s="21"/>
      <c r="R53" s="33">
        <f t="shared" ref="R53:R63" si="17">IF(P$12=0,0,P53/P$12)</f>
        <v>0.65724920389979757</v>
      </c>
      <c r="S53" s="21"/>
      <c r="T53" s="21">
        <f>SUM(OSRRefT22x_0)</f>
        <v>132759.92468831921</v>
      </c>
      <c r="U53" s="21"/>
      <c r="V53" s="33">
        <f t="shared" ref="V53:V63" si="18">IF(T$12=0,0,T53/T$12)</f>
        <v>0.55752563348418516</v>
      </c>
      <c r="W53" s="4"/>
      <c r="X53" s="21">
        <f t="shared" ref="X53:X63" si="19">+P53-T53</f>
        <v>19923.955311680766</v>
      </c>
      <c r="Y53" s="4"/>
      <c r="Z53" s="33">
        <f t="shared" ref="Z53:Z63" si="20">IF(T53=0,0,X53/T53)</f>
        <v>0.15007507241704365</v>
      </c>
    </row>
    <row r="54" spans="1:26" s="26" customFormat="1" outlineLevel="1" collapsed="1" x14ac:dyDescent="0.25">
      <c r="A54" s="27"/>
      <c r="B54" s="13" t="str">
        <f>CONCATENATE("     ","*Benefits                                         ")</f>
        <v xml:space="preserve">     *Benefits                                         </v>
      </c>
      <c r="C54" s="13"/>
      <c r="D54" s="1">
        <f>SUM(OSRRefD22_0x_0)</f>
        <v>3069.3700000000003</v>
      </c>
      <c r="E54" s="1"/>
      <c r="F54" s="5">
        <f t="shared" si="13"/>
        <v>8.1116572848119683E-2</v>
      </c>
      <c r="G54" s="1"/>
      <c r="H54" s="1">
        <f>SUM(OSRRefH22_0x_0)</f>
        <v>1793.6562440999999</v>
      </c>
      <c r="I54" s="1"/>
      <c r="J54" s="5">
        <f t="shared" si="14"/>
        <v>3.8004765477369848E-2</v>
      </c>
      <c r="K54" s="1"/>
      <c r="L54" s="1">
        <f t="shared" si="15"/>
        <v>1275.7137559000005</v>
      </c>
      <c r="M54" s="1"/>
      <c r="N54" s="5">
        <f t="shared" si="16"/>
        <v>0.71123648140288631</v>
      </c>
      <c r="O54" s="13"/>
      <c r="P54" s="1">
        <f>SUM(OSRRefP22_0x_0)</f>
        <v>10668.31</v>
      </c>
      <c r="Q54" s="1"/>
      <c r="R54" s="5">
        <f t="shared" si="17"/>
        <v>4.5923238618616781E-2</v>
      </c>
      <c r="S54" s="1"/>
      <c r="T54" s="1">
        <f>SUM(OSRRefT22_0x_0)</f>
        <v>10461.782957549996</v>
      </c>
      <c r="U54" s="1"/>
      <c r="V54" s="5">
        <f t="shared" si="18"/>
        <v>4.3934283515718965E-2</v>
      </c>
      <c r="W54" s="1"/>
      <c r="X54" s="1">
        <f t="shared" si="19"/>
        <v>206.52704245000314</v>
      </c>
      <c r="Y54" s="1"/>
      <c r="Z54" s="5">
        <f t="shared" si="20"/>
        <v>1.9741094160336977E-2</v>
      </c>
    </row>
    <row r="55" spans="1:26" s="24" customFormat="1" hidden="1" outlineLevel="2" x14ac:dyDescent="0.25">
      <c r="A55" s="25"/>
      <c r="B55" s="11" t="str">
        <f>CONCATENATE("          ", "6111", " - ", "F.I.C.A.")</f>
        <v xml:space="preserve">          6111 - F.I.C.A.</v>
      </c>
      <c r="C55" s="11"/>
      <c r="D55" s="6">
        <v>343</v>
      </c>
      <c r="E55" s="2"/>
      <c r="F55" s="7">
        <f t="shared" si="13"/>
        <v>9.0647215835513648E-3</v>
      </c>
      <c r="G55" s="2"/>
      <c r="H55" s="6">
        <v>292.98280133076901</v>
      </c>
      <c r="I55" s="2"/>
      <c r="J55" s="7">
        <f t="shared" si="14"/>
        <v>6.2078465091095431E-3</v>
      </c>
      <c r="K55" s="2"/>
      <c r="L55" s="6">
        <f t="shared" si="15"/>
        <v>50.017198669230993</v>
      </c>
      <c r="M55" s="2"/>
      <c r="N55" s="7">
        <f t="shared" si="16"/>
        <v>0.17071718354130638</v>
      </c>
      <c r="O55" s="11"/>
      <c r="P55" s="6">
        <v>2506.1</v>
      </c>
      <c r="Q55" s="2"/>
      <c r="R55" s="7">
        <f t="shared" si="17"/>
        <v>1.0787859398734712E-2</v>
      </c>
      <c r="S55" s="2"/>
      <c r="T55" s="6">
        <v>2607.4816223192302</v>
      </c>
      <c r="U55" s="2"/>
      <c r="V55" s="7">
        <f t="shared" si="18"/>
        <v>1.0950125549519883E-2</v>
      </c>
      <c r="W55" s="2"/>
      <c r="X55" s="6">
        <f t="shared" si="19"/>
        <v>-101.38162231923025</v>
      </c>
      <c r="Y55" s="2"/>
      <c r="Z55" s="7">
        <f t="shared" si="20"/>
        <v>-3.8881049611792139E-2</v>
      </c>
    </row>
    <row r="56" spans="1:26" s="24" customFormat="1" hidden="1" outlineLevel="2" x14ac:dyDescent="0.25">
      <c r="A56" s="25"/>
      <c r="B56" s="11" t="str">
        <f>CONCATENATE("          ", "6112", " - ", "COMPENSATION INSURANCE")</f>
        <v xml:space="preserve">          6112 - COMPENSATION INSURANCE</v>
      </c>
      <c r="C56" s="11"/>
      <c r="D56" s="6">
        <v>203.94</v>
      </c>
      <c r="E56" s="2"/>
      <c r="F56" s="7">
        <f t="shared" si="13"/>
        <v>5.3896773170538344E-3</v>
      </c>
      <c r="G56" s="2"/>
      <c r="H56" s="6">
        <v>155.95844538461498</v>
      </c>
      <c r="I56" s="2"/>
      <c r="J56" s="7">
        <f t="shared" si="14"/>
        <v>3.3045150990074746E-3</v>
      </c>
      <c r="K56" s="2"/>
      <c r="L56" s="6">
        <f t="shared" si="15"/>
        <v>47.981554615385022</v>
      </c>
      <c r="M56" s="2"/>
      <c r="N56" s="7">
        <f t="shared" si="16"/>
        <v>0.30765602014726362</v>
      </c>
      <c r="O56" s="11"/>
      <c r="P56" s="6">
        <v>697.68</v>
      </c>
      <c r="Q56" s="2"/>
      <c r="R56" s="7">
        <f t="shared" si="17"/>
        <v>3.0032615399661761E-3</v>
      </c>
      <c r="S56" s="2"/>
      <c r="T56" s="6">
        <v>914.79994961538307</v>
      </c>
      <c r="U56" s="2"/>
      <c r="V56" s="7">
        <f t="shared" si="18"/>
        <v>3.8417046606346204E-3</v>
      </c>
      <c r="W56" s="2"/>
      <c r="X56" s="6">
        <f t="shared" si="19"/>
        <v>-217.11994961538312</v>
      </c>
      <c r="Y56" s="2"/>
      <c r="Z56" s="7">
        <f t="shared" si="20"/>
        <v>-0.23734145340373997</v>
      </c>
    </row>
    <row r="57" spans="1:26" s="24" customFormat="1" hidden="1" outlineLevel="2" x14ac:dyDescent="0.25">
      <c r="A57" s="25"/>
      <c r="B57" s="11" t="str">
        <f>CONCATENATE("          ", "6113", " - ", "GROUP INSURANCE")</f>
        <v xml:space="preserve">          6113 - GROUP INSURANCE</v>
      </c>
      <c r="C57" s="11"/>
      <c r="D57" s="6">
        <v>1923.74</v>
      </c>
      <c r="E57" s="2"/>
      <c r="F57" s="7">
        <f t="shared" si="13"/>
        <v>5.0840138481460934E-2</v>
      </c>
      <c r="G57" s="2"/>
      <c r="H57" s="6">
        <v>988.5</v>
      </c>
      <c r="I57" s="2"/>
      <c r="J57" s="7">
        <f t="shared" si="14"/>
        <v>2.0944766199183496E-2</v>
      </c>
      <c r="K57" s="2"/>
      <c r="L57" s="6">
        <f t="shared" si="15"/>
        <v>935.24</v>
      </c>
      <c r="M57" s="2"/>
      <c r="N57" s="7">
        <f t="shared" si="16"/>
        <v>0.94612038442083968</v>
      </c>
      <c r="O57" s="11"/>
      <c r="P57" s="6">
        <v>4408.46</v>
      </c>
      <c r="Q57" s="2"/>
      <c r="R57" s="7">
        <f t="shared" si="17"/>
        <v>1.8976835180138873E-2</v>
      </c>
      <c r="S57" s="2"/>
      <c r="T57" s="6">
        <v>4942.5</v>
      </c>
      <c r="U57" s="2"/>
      <c r="V57" s="7">
        <f t="shared" si="18"/>
        <v>2.075604102642303E-2</v>
      </c>
      <c r="W57" s="2"/>
      <c r="X57" s="6">
        <f t="shared" si="19"/>
        <v>-534.04</v>
      </c>
      <c r="Y57" s="2"/>
      <c r="Z57" s="7">
        <f t="shared" si="20"/>
        <v>-0.10805058168942842</v>
      </c>
    </row>
    <row r="58" spans="1:26" s="24" customFormat="1" hidden="1" outlineLevel="2" x14ac:dyDescent="0.25">
      <c r="A58" s="25"/>
      <c r="B58" s="11" t="str">
        <f>CONCATENATE("          ", "6114", " - ", "STATE UNEMPLOYMENT INSURANCE")</f>
        <v xml:space="preserve">          6114 - STATE UNEMPLOYMENT INSURANCE</v>
      </c>
      <c r="C58" s="11"/>
      <c r="D58" s="6">
        <v>27.91</v>
      </c>
      <c r="E58" s="2"/>
      <c r="F58" s="7">
        <f t="shared" si="13"/>
        <v>7.3759877375194924E-4</v>
      </c>
      <c r="G58" s="2"/>
      <c r="H58" s="6">
        <v>21.341681999999999</v>
      </c>
      <c r="I58" s="2"/>
      <c r="J58" s="7">
        <f t="shared" si="14"/>
        <v>4.5219680302207666E-4</v>
      </c>
      <c r="K58" s="2"/>
      <c r="L58" s="6">
        <f t="shared" si="15"/>
        <v>6.5683180000000014</v>
      </c>
      <c r="M58" s="2"/>
      <c r="N58" s="7">
        <f t="shared" si="16"/>
        <v>0.30776946259437293</v>
      </c>
      <c r="O58" s="11"/>
      <c r="P58" s="6">
        <v>128.18</v>
      </c>
      <c r="Q58" s="2"/>
      <c r="R58" s="7">
        <f t="shared" si="17"/>
        <v>5.5176881119261623E-4</v>
      </c>
      <c r="S58" s="2"/>
      <c r="T58" s="6">
        <v>125.183151</v>
      </c>
      <c r="U58" s="2"/>
      <c r="V58" s="7">
        <f t="shared" si="18"/>
        <v>5.2570695356052787E-4</v>
      </c>
      <c r="W58" s="2"/>
      <c r="X58" s="6">
        <f t="shared" si="19"/>
        <v>2.9968490000000116</v>
      </c>
      <c r="Y58" s="2"/>
      <c r="Z58" s="7">
        <f t="shared" si="20"/>
        <v>2.3939715337569764E-2</v>
      </c>
    </row>
    <row r="59" spans="1:26" s="24" customFormat="1" hidden="1" outlineLevel="2" x14ac:dyDescent="0.25">
      <c r="A59" s="25"/>
      <c r="B59" s="11" t="str">
        <f>CONCATENATE("          ", "6115", " - ", "P.E.R.S.")</f>
        <v xml:space="preserve">          6115 - P.E.R.S.</v>
      </c>
      <c r="C59" s="11"/>
      <c r="D59" s="6">
        <v>299.39</v>
      </c>
      <c r="E59" s="2"/>
      <c r="F59" s="7">
        <f t="shared" si="13"/>
        <v>7.9122069822141188E-3</v>
      </c>
      <c r="G59" s="2"/>
      <c r="H59" s="6">
        <v>172.53915384615402</v>
      </c>
      <c r="I59" s="2"/>
      <c r="J59" s="7">
        <f t="shared" si="14"/>
        <v>3.6558343323344943E-3</v>
      </c>
      <c r="K59" s="2"/>
      <c r="L59" s="6">
        <f t="shared" si="15"/>
        <v>126.85084615384596</v>
      </c>
      <c r="M59" s="2"/>
      <c r="N59" s="7">
        <f t="shared" si="16"/>
        <v>0.73520034917380883</v>
      </c>
      <c r="O59" s="11"/>
      <c r="P59" s="6">
        <v>997.93</v>
      </c>
      <c r="Q59" s="2"/>
      <c r="R59" s="7">
        <f t="shared" si="17"/>
        <v>4.2957298311237903E-3</v>
      </c>
      <c r="S59" s="2"/>
      <c r="T59" s="6">
        <v>948.96534615384599</v>
      </c>
      <c r="U59" s="2"/>
      <c r="V59" s="7">
        <f t="shared" si="18"/>
        <v>3.9851823282595769E-3</v>
      </c>
      <c r="W59" s="2"/>
      <c r="X59" s="6">
        <f t="shared" si="19"/>
        <v>48.964653846153965</v>
      </c>
      <c r="Y59" s="2"/>
      <c r="Z59" s="7">
        <f t="shared" si="20"/>
        <v>5.159793668399755E-2</v>
      </c>
    </row>
    <row r="60" spans="1:26" s="24" customFormat="1" hidden="1" outlineLevel="2" x14ac:dyDescent="0.25">
      <c r="A60" s="25"/>
      <c r="B60" s="11" t="str">
        <f>CONCATENATE("          ", "6116", " - ", "EDUCATIONAL BENEFITS")</f>
        <v xml:space="preserve">          6116 - EDUCATIONAL BENEFITS</v>
      </c>
      <c r="C60" s="11"/>
      <c r="D60" s="6"/>
      <c r="E60" s="2"/>
      <c r="F60" s="7">
        <f t="shared" si="13"/>
        <v>0</v>
      </c>
      <c r="G60" s="2"/>
      <c r="H60" s="6">
        <v>0</v>
      </c>
      <c r="I60" s="2"/>
      <c r="J60" s="7">
        <f t="shared" si="14"/>
        <v>0</v>
      </c>
      <c r="K60" s="2"/>
      <c r="L60" s="6">
        <f t="shared" si="15"/>
        <v>0</v>
      </c>
      <c r="M60" s="2"/>
      <c r="N60" s="7">
        <f t="shared" si="16"/>
        <v>0</v>
      </c>
      <c r="O60" s="11"/>
      <c r="P60" s="6"/>
      <c r="Q60" s="2"/>
      <c r="R60" s="7">
        <f t="shared" si="17"/>
        <v>0</v>
      </c>
      <c r="S60" s="2"/>
      <c r="T60" s="6">
        <v>0</v>
      </c>
      <c r="U60" s="2"/>
      <c r="V60" s="7">
        <f t="shared" si="18"/>
        <v>0</v>
      </c>
      <c r="W60" s="2"/>
      <c r="X60" s="6">
        <f t="shared" si="19"/>
        <v>0</v>
      </c>
      <c r="Y60" s="2"/>
      <c r="Z60" s="7">
        <f t="shared" si="20"/>
        <v>0</v>
      </c>
    </row>
    <row r="61" spans="1:26" s="24" customFormat="1" hidden="1" outlineLevel="2" x14ac:dyDescent="0.25">
      <c r="A61" s="25"/>
      <c r="B61" s="11" t="str">
        <f>CONCATENATE("          ", "6118", " - ", "VACATION")</f>
        <v xml:space="preserve">          6118 - VACATION</v>
      </c>
      <c r="C61" s="11"/>
      <c r="D61" s="6">
        <v>540.57000000000005</v>
      </c>
      <c r="E61" s="2"/>
      <c r="F61" s="7">
        <f t="shared" si="13"/>
        <v>1.4286054071196388E-2</v>
      </c>
      <c r="G61" s="2"/>
      <c r="H61" s="6">
        <v>60.188076923076899</v>
      </c>
      <c r="I61" s="2"/>
      <c r="J61" s="7">
        <f t="shared" si="14"/>
        <v>1.2752910461631939E-3</v>
      </c>
      <c r="K61" s="2"/>
      <c r="L61" s="6">
        <f t="shared" si="15"/>
        <v>480.38192307692316</v>
      </c>
      <c r="M61" s="2"/>
      <c r="N61" s="7">
        <f t="shared" si="16"/>
        <v>7.9813469317332251</v>
      </c>
      <c r="O61" s="11"/>
      <c r="P61" s="6">
        <v>1159.32</v>
      </c>
      <c r="Q61" s="2"/>
      <c r="R61" s="7">
        <f t="shared" si="17"/>
        <v>4.9904557512234649E-3</v>
      </c>
      <c r="S61" s="2"/>
      <c r="T61" s="6">
        <v>331.03442307692308</v>
      </c>
      <c r="U61" s="2"/>
      <c r="V61" s="7">
        <f t="shared" si="18"/>
        <v>1.3901798819510155E-3</v>
      </c>
      <c r="W61" s="2"/>
      <c r="X61" s="6">
        <f t="shared" si="19"/>
        <v>828.28557692307686</v>
      </c>
      <c r="Y61" s="2"/>
      <c r="Z61" s="7">
        <f t="shared" si="20"/>
        <v>2.5021131313905882</v>
      </c>
    </row>
    <row r="62" spans="1:26" s="24" customFormat="1" hidden="1" outlineLevel="2" x14ac:dyDescent="0.25">
      <c r="A62" s="25"/>
      <c r="B62" s="11" t="str">
        <f>CONCATENATE("          ", "6119", " - ", "SICK LEAVE")</f>
        <v xml:space="preserve">          6119 - SICK LEAVE</v>
      </c>
      <c r="C62" s="11"/>
      <c r="D62" s="6">
        <v>-269.18</v>
      </c>
      <c r="E62" s="2"/>
      <c r="F62" s="7">
        <f t="shared" si="13"/>
        <v>-7.1138243611089105E-3</v>
      </c>
      <c r="G62" s="2"/>
      <c r="H62" s="6">
        <v>102.14608461538499</v>
      </c>
      <c r="I62" s="2"/>
      <c r="J62" s="7">
        <f t="shared" si="14"/>
        <v>2.1643154885495727E-3</v>
      </c>
      <c r="K62" s="2"/>
      <c r="L62" s="6">
        <f t="shared" si="15"/>
        <v>-371.32608461538501</v>
      </c>
      <c r="M62" s="2"/>
      <c r="N62" s="7">
        <f t="shared" si="16"/>
        <v>-3.6352454038111688</v>
      </c>
      <c r="O62" s="11"/>
      <c r="P62" s="6">
        <v>281.14</v>
      </c>
      <c r="Q62" s="2"/>
      <c r="R62" s="7">
        <f t="shared" si="17"/>
        <v>1.2102066124098309E-3</v>
      </c>
      <c r="S62" s="2"/>
      <c r="T62" s="6">
        <v>591.81846538461696</v>
      </c>
      <c r="U62" s="2"/>
      <c r="V62" s="7">
        <f t="shared" si="18"/>
        <v>2.4853431153703241E-3</v>
      </c>
      <c r="W62" s="2"/>
      <c r="X62" s="6">
        <f t="shared" si="19"/>
        <v>-310.67846538461697</v>
      </c>
      <c r="Y62" s="2"/>
      <c r="Z62" s="7">
        <f t="shared" si="20"/>
        <v>-0.52495568076388111</v>
      </c>
    </row>
    <row r="63" spans="1:26" s="24" customFormat="1" hidden="1" outlineLevel="2" x14ac:dyDescent="0.25">
      <c r="A63" s="25"/>
      <c r="B63" s="11" t="str">
        <f>CONCATENATE("          ", "6156", " - ", "EMPLOYEE MEALS")</f>
        <v xml:space="preserve">          6156 - EMPLOYEE MEALS</v>
      </c>
      <c r="C63" s="11"/>
      <c r="D63" s="6"/>
      <c r="E63" s="2"/>
      <c r="F63" s="7">
        <f t="shared" si="13"/>
        <v>0</v>
      </c>
      <c r="G63" s="2"/>
      <c r="H63" s="6"/>
      <c r="I63" s="2"/>
      <c r="J63" s="7">
        <f t="shared" si="14"/>
        <v>0</v>
      </c>
      <c r="K63" s="2"/>
      <c r="L63" s="6">
        <f t="shared" si="15"/>
        <v>0</v>
      </c>
      <c r="M63" s="2"/>
      <c r="N63" s="7">
        <f t="shared" si="16"/>
        <v>0</v>
      </c>
      <c r="O63" s="11"/>
      <c r="P63" s="6">
        <v>489.5</v>
      </c>
      <c r="Q63" s="2"/>
      <c r="R63" s="7">
        <f t="shared" si="17"/>
        <v>2.107121493827318E-3</v>
      </c>
      <c r="S63" s="2"/>
      <c r="T63" s="6"/>
      <c r="U63" s="2"/>
      <c r="V63" s="7">
        <f t="shared" si="18"/>
        <v>0</v>
      </c>
      <c r="W63" s="2"/>
      <c r="X63" s="6">
        <f t="shared" si="19"/>
        <v>489.5</v>
      </c>
      <c r="Y63" s="2"/>
      <c r="Z63" s="7">
        <f t="shared" si="20"/>
        <v>0</v>
      </c>
    </row>
    <row r="64" spans="1:26" s="26" customFormat="1" outlineLevel="1" collapsed="1" x14ac:dyDescent="0.25">
      <c r="A64" s="27"/>
      <c r="B64" s="13" t="str">
        <f>CONCATENATE("     ","*Payroll                                          ")</f>
        <v xml:space="preserve">     *Payroll                                          </v>
      </c>
      <c r="C64" s="13"/>
      <c r="D64" s="1">
        <f>SUM(OSRRefD22_1x_0)</f>
        <v>11070.96</v>
      </c>
      <c r="E64" s="1"/>
      <c r="F64" s="5">
        <f t="shared" ref="F64:F74" si="21">IF(D$12=0,0,D64/D$12)</f>
        <v>0.2925806707365417</v>
      </c>
      <c r="G64" s="1"/>
      <c r="H64" s="1">
        <f>SUM(OSRRefH22_1x_0)</f>
        <v>8108.0257692307696</v>
      </c>
      <c r="I64" s="1"/>
      <c r="J64" s="5">
        <f t="shared" ref="J64:J74" si="22">IF(H$12=0,0,H64/H$12)</f>
        <v>0.17179636223924469</v>
      </c>
      <c r="K64" s="1"/>
      <c r="L64" s="1">
        <f t="shared" ref="L64:L74" si="23">+D64-H64</f>
        <v>2962.9342307692295</v>
      </c>
      <c r="M64" s="1"/>
      <c r="N64" s="5">
        <f t="shared" ref="N64:N74" si="24">IF(H64=0,0,L64/H64)</f>
        <v>0.36543226613971791</v>
      </c>
      <c r="O64" s="13"/>
      <c r="P64" s="1">
        <f>SUM(OSRRefP22_1x_0)</f>
        <v>55389.24</v>
      </c>
      <c r="Q64" s="1"/>
      <c r="R64" s="5">
        <f t="shared" ref="R64:R74" si="25">IF(P$12=0,0,P64/P$12)</f>
        <v>0.23843076226917229</v>
      </c>
      <c r="S64" s="1"/>
      <c r="T64" s="1">
        <f>SUM(OSRRefT22_1x_0)</f>
        <v>47595.641730769232</v>
      </c>
      <c r="U64" s="1"/>
      <c r="V64" s="5">
        <f t="shared" ref="V64:V74" si="26">IF(T$12=0,0,T64/T$12)</f>
        <v>0.19987801566874622</v>
      </c>
      <c r="W64" s="1"/>
      <c r="X64" s="1">
        <f t="shared" ref="X64:X74" si="27">+P64-T64</f>
        <v>7793.5982692307662</v>
      </c>
      <c r="Y64" s="1"/>
      <c r="Z64" s="5">
        <f t="shared" ref="Z64:Z74" si="28">IF(T64=0,0,X64/T64)</f>
        <v>0.16374604871001089</v>
      </c>
    </row>
    <row r="65" spans="1:26" s="24" customFormat="1" hidden="1" outlineLevel="2" x14ac:dyDescent="0.25">
      <c r="A65" s="25"/>
      <c r="B65" s="11" t="str">
        <f>CONCATENATE("          ", "6001", " - ", "ADMINISTRATIVE SALARIES")</f>
        <v xml:space="preserve">          6001 - ADMINISTRATIVE SALARIES</v>
      </c>
      <c r="C65" s="11"/>
      <c r="D65" s="6"/>
      <c r="E65" s="2"/>
      <c r="F65" s="7">
        <f t="shared" si="21"/>
        <v>0</v>
      </c>
      <c r="G65" s="2"/>
      <c r="H65" s="6">
        <v>0</v>
      </c>
      <c r="I65" s="2"/>
      <c r="J65" s="7">
        <f t="shared" si="22"/>
        <v>0</v>
      </c>
      <c r="K65" s="2"/>
      <c r="L65" s="6">
        <f t="shared" si="23"/>
        <v>0</v>
      </c>
      <c r="M65" s="2"/>
      <c r="N65" s="7">
        <f t="shared" si="24"/>
        <v>0</v>
      </c>
      <c r="O65" s="11"/>
      <c r="P65" s="6"/>
      <c r="Q65" s="2"/>
      <c r="R65" s="7">
        <f t="shared" si="25"/>
        <v>0</v>
      </c>
      <c r="S65" s="2"/>
      <c r="T65" s="6">
        <v>0</v>
      </c>
      <c r="U65" s="2"/>
      <c r="V65" s="7">
        <f t="shared" si="26"/>
        <v>0</v>
      </c>
      <c r="W65" s="2"/>
      <c r="X65" s="6">
        <f t="shared" si="27"/>
        <v>0</v>
      </c>
      <c r="Y65" s="2"/>
      <c r="Z65" s="7">
        <f t="shared" si="28"/>
        <v>0</v>
      </c>
    </row>
    <row r="66" spans="1:26" s="24" customFormat="1" hidden="1" outlineLevel="2" x14ac:dyDescent="0.25">
      <c r="A66" s="25"/>
      <c r="B66" s="11" t="str">
        <f>CONCATENATE("          ", "6002", " - ", "STAFF SALARIES")</f>
        <v xml:space="preserve">          6002 - STAFF SALARIES</v>
      </c>
      <c r="C66" s="11"/>
      <c r="D66" s="6">
        <v>2563.84</v>
      </c>
      <c r="E66" s="2"/>
      <c r="F66" s="7">
        <f t="shared" si="21"/>
        <v>6.7756547477470355E-2</v>
      </c>
      <c r="G66" s="2"/>
      <c r="H66" s="6">
        <v>1905.9557692307701</v>
      </c>
      <c r="I66" s="2"/>
      <c r="J66" s="7">
        <f t="shared" si="22"/>
        <v>4.0384216461834509E-2</v>
      </c>
      <c r="K66" s="2"/>
      <c r="L66" s="6">
        <f t="shared" si="23"/>
        <v>657.88423076923004</v>
      </c>
      <c r="M66" s="2"/>
      <c r="N66" s="7">
        <f t="shared" si="24"/>
        <v>0.34517287409809483</v>
      </c>
      <c r="O66" s="11"/>
      <c r="P66" s="6">
        <v>9425.74</v>
      </c>
      <c r="Q66" s="2"/>
      <c r="R66" s="7">
        <f t="shared" si="25"/>
        <v>4.0574421551027383E-2</v>
      </c>
      <c r="S66" s="2"/>
      <c r="T66" s="6">
        <v>10482.75673076923</v>
      </c>
      <c r="U66" s="2"/>
      <c r="V66" s="7">
        <f t="shared" si="26"/>
        <v>4.402236292844882E-2</v>
      </c>
      <c r="W66" s="2"/>
      <c r="X66" s="6">
        <f t="shared" si="27"/>
        <v>-1057.01673076923</v>
      </c>
      <c r="Y66" s="2"/>
      <c r="Z66" s="7">
        <f t="shared" si="28"/>
        <v>-0.100833851048613</v>
      </c>
    </row>
    <row r="67" spans="1:26" s="24" customFormat="1" hidden="1" outlineLevel="2" x14ac:dyDescent="0.25">
      <c r="A67" s="25"/>
      <c r="B67" s="11" t="str">
        <f>CONCATENATE("          ", "6003", " - ", "STAFF HOURLY-9 MONTH")</f>
        <v xml:space="preserve">          6003 - STAFF HOURLY-9 MONTH</v>
      </c>
      <c r="C67" s="11"/>
      <c r="D67" s="6"/>
      <c r="E67" s="2"/>
      <c r="F67" s="7">
        <f t="shared" si="21"/>
        <v>0</v>
      </c>
      <c r="G67" s="2"/>
      <c r="H67" s="6">
        <v>0</v>
      </c>
      <c r="I67" s="2"/>
      <c r="J67" s="7">
        <f t="shared" si="22"/>
        <v>0</v>
      </c>
      <c r="K67" s="2"/>
      <c r="L67" s="6">
        <f t="shared" si="23"/>
        <v>0</v>
      </c>
      <c r="M67" s="2"/>
      <c r="N67" s="7">
        <f t="shared" si="24"/>
        <v>0</v>
      </c>
      <c r="O67" s="11"/>
      <c r="P67" s="6"/>
      <c r="Q67" s="2"/>
      <c r="R67" s="7">
        <f t="shared" si="25"/>
        <v>0</v>
      </c>
      <c r="S67" s="2"/>
      <c r="T67" s="6">
        <v>0</v>
      </c>
      <c r="U67" s="2"/>
      <c r="V67" s="7">
        <f t="shared" si="26"/>
        <v>0</v>
      </c>
      <c r="W67" s="2"/>
      <c r="X67" s="6">
        <f t="shared" si="27"/>
        <v>0</v>
      </c>
      <c r="Y67" s="2"/>
      <c r="Z67" s="7">
        <f t="shared" si="28"/>
        <v>0</v>
      </c>
    </row>
    <row r="68" spans="1:26" s="24" customFormat="1" hidden="1" outlineLevel="2" x14ac:dyDescent="0.25">
      <c r="A68" s="25"/>
      <c r="B68" s="11" t="str">
        <f>CONCATENATE("          ", "6004", " - ", "STAFF HOURLY")</f>
        <v xml:space="preserve">          6004 - STAFF HOURLY</v>
      </c>
      <c r="C68" s="11"/>
      <c r="D68" s="6"/>
      <c r="E68" s="2"/>
      <c r="F68" s="7">
        <f t="shared" si="21"/>
        <v>0</v>
      </c>
      <c r="G68" s="2"/>
      <c r="H68" s="6">
        <v>1822.07</v>
      </c>
      <c r="I68" s="2"/>
      <c r="J68" s="7">
        <f t="shared" si="22"/>
        <v>3.8606808445671492E-2</v>
      </c>
      <c r="K68" s="2"/>
      <c r="L68" s="6">
        <f t="shared" si="23"/>
        <v>-1822.07</v>
      </c>
      <c r="M68" s="2"/>
      <c r="N68" s="7">
        <f t="shared" si="24"/>
        <v>-1</v>
      </c>
      <c r="O68" s="11"/>
      <c r="P68" s="6"/>
      <c r="Q68" s="2"/>
      <c r="R68" s="7">
        <f t="shared" si="25"/>
        <v>0</v>
      </c>
      <c r="S68" s="2"/>
      <c r="T68" s="6">
        <v>10021.384999999998</v>
      </c>
      <c r="U68" s="2"/>
      <c r="V68" s="7">
        <f t="shared" si="26"/>
        <v>4.2084831199105784E-2</v>
      </c>
      <c r="W68" s="2"/>
      <c r="X68" s="6">
        <f t="shared" si="27"/>
        <v>-10021.384999999998</v>
      </c>
      <c r="Y68" s="2"/>
      <c r="Z68" s="7">
        <f t="shared" si="28"/>
        <v>-1</v>
      </c>
    </row>
    <row r="69" spans="1:26" s="24" customFormat="1" hidden="1" outlineLevel="2" x14ac:dyDescent="0.25">
      <c r="A69" s="25"/>
      <c r="B69" s="11" t="str">
        <f>CONCATENATE("          ", "6005", " - ", "TEMPORARY WAGES-HOURLY")</f>
        <v xml:space="preserve">          6005 - TEMPORARY WAGES-HOURLY</v>
      </c>
      <c r="C69" s="11"/>
      <c r="D69" s="6">
        <v>1561.92</v>
      </c>
      <c r="E69" s="2"/>
      <c r="F69" s="7">
        <f t="shared" si="21"/>
        <v>4.1278046460001598E-2</v>
      </c>
      <c r="G69" s="2"/>
      <c r="H69" s="6">
        <v>0</v>
      </c>
      <c r="I69" s="2"/>
      <c r="J69" s="7">
        <f t="shared" si="22"/>
        <v>0</v>
      </c>
      <c r="K69" s="2"/>
      <c r="L69" s="6">
        <f t="shared" si="23"/>
        <v>1561.92</v>
      </c>
      <c r="M69" s="2"/>
      <c r="N69" s="7">
        <f t="shared" si="24"/>
        <v>0</v>
      </c>
      <c r="O69" s="11"/>
      <c r="P69" s="6">
        <v>2444.52</v>
      </c>
      <c r="Q69" s="2"/>
      <c r="R69" s="7">
        <f t="shared" si="25"/>
        <v>1.0522779640634843E-2</v>
      </c>
      <c r="S69" s="2"/>
      <c r="T69" s="6">
        <v>0</v>
      </c>
      <c r="U69" s="2"/>
      <c r="V69" s="7">
        <f t="shared" si="26"/>
        <v>0</v>
      </c>
      <c r="W69" s="2"/>
      <c r="X69" s="6">
        <f t="shared" si="27"/>
        <v>2444.52</v>
      </c>
      <c r="Y69" s="2"/>
      <c r="Z69" s="7">
        <f t="shared" si="28"/>
        <v>0</v>
      </c>
    </row>
    <row r="70" spans="1:26" s="24" customFormat="1" hidden="1" outlineLevel="2" x14ac:dyDescent="0.25">
      <c r="A70" s="25"/>
      <c r="B70" s="11" t="str">
        <f>CONCATENATE("          ", "6006", " - ", "TEMPORARY PART TIME")</f>
        <v xml:space="preserve">          6006 - TEMPORARY PART TIME</v>
      </c>
      <c r="C70" s="11"/>
      <c r="D70" s="6"/>
      <c r="E70" s="2"/>
      <c r="F70" s="7">
        <f t="shared" si="21"/>
        <v>0</v>
      </c>
      <c r="G70" s="2"/>
      <c r="H70" s="6">
        <v>0</v>
      </c>
      <c r="I70" s="2"/>
      <c r="J70" s="7">
        <f t="shared" si="22"/>
        <v>0</v>
      </c>
      <c r="K70" s="2"/>
      <c r="L70" s="6">
        <f t="shared" si="23"/>
        <v>0</v>
      </c>
      <c r="M70" s="2"/>
      <c r="N70" s="7">
        <f t="shared" si="24"/>
        <v>0</v>
      </c>
      <c r="O70" s="11"/>
      <c r="P70" s="6"/>
      <c r="Q70" s="2"/>
      <c r="R70" s="7">
        <f t="shared" si="25"/>
        <v>0</v>
      </c>
      <c r="S70" s="2"/>
      <c r="T70" s="6">
        <v>0</v>
      </c>
      <c r="U70" s="2"/>
      <c r="V70" s="7">
        <f t="shared" si="26"/>
        <v>0</v>
      </c>
      <c r="W70" s="2"/>
      <c r="X70" s="6">
        <f t="shared" si="27"/>
        <v>0</v>
      </c>
      <c r="Y70" s="2"/>
      <c r="Z70" s="7">
        <f t="shared" si="28"/>
        <v>0</v>
      </c>
    </row>
    <row r="71" spans="1:26" s="24" customFormat="1" hidden="1" outlineLevel="2" x14ac:dyDescent="0.25">
      <c r="A71" s="25"/>
      <c r="B71" s="11" t="str">
        <f>CONCATENATE("          ", "6007", " - ", "STUDENT HOURLY")</f>
        <v xml:space="preserve">          6007 - STUDENT HOURLY</v>
      </c>
      <c r="C71" s="11"/>
      <c r="D71" s="6">
        <v>6945.2</v>
      </c>
      <c r="E71" s="2"/>
      <c r="F71" s="7">
        <f t="shared" si="21"/>
        <v>0.18354607679906979</v>
      </c>
      <c r="G71" s="2"/>
      <c r="H71" s="6">
        <v>0</v>
      </c>
      <c r="I71" s="2"/>
      <c r="J71" s="7">
        <f t="shared" si="22"/>
        <v>0</v>
      </c>
      <c r="K71" s="2"/>
      <c r="L71" s="6">
        <f t="shared" si="23"/>
        <v>6945.2</v>
      </c>
      <c r="M71" s="2"/>
      <c r="N71" s="7">
        <f t="shared" si="24"/>
        <v>0</v>
      </c>
      <c r="O71" s="11"/>
      <c r="P71" s="6">
        <v>43518.979999999996</v>
      </c>
      <c r="Q71" s="2"/>
      <c r="R71" s="7">
        <f t="shared" si="25"/>
        <v>0.18733356107751004</v>
      </c>
      <c r="S71" s="2"/>
      <c r="T71" s="6">
        <v>13015.5</v>
      </c>
      <c r="U71" s="2"/>
      <c r="V71" s="7">
        <f t="shared" si="26"/>
        <v>5.4658624578534938E-2</v>
      </c>
      <c r="W71" s="2"/>
      <c r="X71" s="6">
        <f t="shared" si="27"/>
        <v>30503.479999999996</v>
      </c>
      <c r="Y71" s="2"/>
      <c r="Z71" s="7">
        <f t="shared" si="28"/>
        <v>2.3436272137067338</v>
      </c>
    </row>
    <row r="72" spans="1:26" s="24" customFormat="1" hidden="1" outlineLevel="2" x14ac:dyDescent="0.25">
      <c r="A72" s="25"/>
      <c r="B72" s="11" t="str">
        <f>CONCATENATE("          ", "6008", " - ", "STUDENT HOURLY-FICA EXEMPT")</f>
        <v xml:space="preserve">          6008 - STUDENT HOURLY-FICA EXEMPT</v>
      </c>
      <c r="C72" s="11"/>
      <c r="D72" s="6"/>
      <c r="E72" s="2"/>
      <c r="F72" s="7">
        <f t="shared" si="21"/>
        <v>0</v>
      </c>
      <c r="G72" s="2"/>
      <c r="H72" s="6">
        <v>4380</v>
      </c>
      <c r="I72" s="2"/>
      <c r="J72" s="7">
        <f t="shared" si="22"/>
        <v>9.2805337331738708E-2</v>
      </c>
      <c r="K72" s="2"/>
      <c r="L72" s="6">
        <f t="shared" si="23"/>
        <v>-4380</v>
      </c>
      <c r="M72" s="2"/>
      <c r="N72" s="7">
        <f t="shared" si="24"/>
        <v>-1</v>
      </c>
      <c r="O72" s="11"/>
      <c r="P72" s="6"/>
      <c r="Q72" s="2"/>
      <c r="R72" s="7">
        <f t="shared" si="25"/>
        <v>0</v>
      </c>
      <c r="S72" s="2"/>
      <c r="T72" s="6">
        <v>14076</v>
      </c>
      <c r="U72" s="2"/>
      <c r="V72" s="7">
        <f t="shared" si="26"/>
        <v>5.9112196962656662E-2</v>
      </c>
      <c r="W72" s="2"/>
      <c r="X72" s="6">
        <f t="shared" si="27"/>
        <v>-14076</v>
      </c>
      <c r="Y72" s="2"/>
      <c r="Z72" s="7">
        <f t="shared" si="28"/>
        <v>-1</v>
      </c>
    </row>
    <row r="73" spans="1:26" s="24" customFormat="1" hidden="1" outlineLevel="2" x14ac:dyDescent="0.25">
      <c r="A73" s="25"/>
      <c r="B73" s="11" t="str">
        <f>CONCATENATE("          ", "6009", " - ", "TEMPORARY-SEASONAL")</f>
        <v xml:space="preserve">          6009 - TEMPORARY-SEASONAL</v>
      </c>
      <c r="C73" s="11"/>
      <c r="D73" s="6"/>
      <c r="E73" s="2"/>
      <c r="F73" s="7">
        <f t="shared" si="21"/>
        <v>0</v>
      </c>
      <c r="G73" s="2"/>
      <c r="H73" s="6">
        <v>0</v>
      </c>
      <c r="I73" s="2"/>
      <c r="J73" s="7">
        <f t="shared" si="22"/>
        <v>0</v>
      </c>
      <c r="K73" s="2"/>
      <c r="L73" s="6">
        <f t="shared" si="23"/>
        <v>0</v>
      </c>
      <c r="M73" s="2"/>
      <c r="N73" s="7">
        <f t="shared" si="24"/>
        <v>0</v>
      </c>
      <c r="O73" s="11"/>
      <c r="P73" s="6"/>
      <c r="Q73" s="2"/>
      <c r="R73" s="7">
        <f t="shared" si="25"/>
        <v>0</v>
      </c>
      <c r="S73" s="2"/>
      <c r="T73" s="6">
        <v>0</v>
      </c>
      <c r="U73" s="2"/>
      <c r="V73" s="7">
        <f t="shared" si="26"/>
        <v>0</v>
      </c>
      <c r="W73" s="2"/>
      <c r="X73" s="6">
        <f t="shared" si="27"/>
        <v>0</v>
      </c>
      <c r="Y73" s="2"/>
      <c r="Z73" s="7">
        <f t="shared" si="28"/>
        <v>0</v>
      </c>
    </row>
    <row r="74" spans="1:26" s="24" customFormat="1" hidden="1" outlineLevel="2" x14ac:dyDescent="0.25">
      <c r="A74" s="25"/>
      <c r="B74" s="11" t="str">
        <f>CONCATENATE("          ", "6010", " - ", "GRATUITY")</f>
        <v xml:space="preserve">          6010 - GRATUITY</v>
      </c>
      <c r="C74" s="11"/>
      <c r="D74" s="6"/>
      <c r="E74" s="2"/>
      <c r="F74" s="7">
        <f t="shared" si="21"/>
        <v>0</v>
      </c>
      <c r="G74" s="2"/>
      <c r="H74" s="6">
        <v>0</v>
      </c>
      <c r="I74" s="2"/>
      <c r="J74" s="7">
        <f t="shared" si="22"/>
        <v>0</v>
      </c>
      <c r="K74" s="2"/>
      <c r="L74" s="6">
        <f t="shared" si="23"/>
        <v>0</v>
      </c>
      <c r="M74" s="2"/>
      <c r="N74" s="7">
        <f t="shared" si="24"/>
        <v>0</v>
      </c>
      <c r="O74" s="11"/>
      <c r="P74" s="6"/>
      <c r="Q74" s="2"/>
      <c r="R74" s="7">
        <f t="shared" si="25"/>
        <v>0</v>
      </c>
      <c r="S74" s="2"/>
      <c r="T74" s="6">
        <v>0</v>
      </c>
      <c r="U74" s="2"/>
      <c r="V74" s="7">
        <f t="shared" si="26"/>
        <v>0</v>
      </c>
      <c r="W74" s="2"/>
      <c r="X74" s="6">
        <f t="shared" si="27"/>
        <v>0</v>
      </c>
      <c r="Y74" s="2"/>
      <c r="Z74" s="7">
        <f t="shared" si="28"/>
        <v>0</v>
      </c>
    </row>
    <row r="75" spans="1:26" s="26" customFormat="1" outlineLevel="1" collapsed="1" x14ac:dyDescent="0.25">
      <c r="A75" s="27"/>
      <c r="B75" s="13" t="str">
        <f>CONCATENATE("     ","Advertising/Promo                                 ")</f>
        <v xml:space="preserve">     Advertising/Promo                                 </v>
      </c>
      <c r="C75" s="13"/>
      <c r="D75" s="1">
        <f>SUM(OSRRefD22_2x_0)</f>
        <v>508.5</v>
      </c>
      <c r="E75" s="1"/>
      <c r="F75" s="5">
        <f t="shared" ref="F75:F79" si="29">IF(D$12=0,0,D75/D$12)</f>
        <v>1.3438515817014194E-2</v>
      </c>
      <c r="G75" s="1"/>
      <c r="H75" s="1">
        <f>SUM(OSRRefH22_2x_0)</f>
        <v>1000</v>
      </c>
      <c r="I75" s="1"/>
      <c r="J75" s="5">
        <f t="shared" ref="J75:J79" si="30">IF(H$12=0,0,H75/H$12)</f>
        <v>2.1188433180762259E-2</v>
      </c>
      <c r="K75" s="1"/>
      <c r="L75" s="1">
        <f t="shared" ref="L75:L79" si="31">+D75-H75</f>
        <v>-491.5</v>
      </c>
      <c r="M75" s="1"/>
      <c r="N75" s="5">
        <f t="shared" ref="N75:N79" si="32">IF(H75=0,0,L75/H75)</f>
        <v>-0.49149999999999999</v>
      </c>
      <c r="O75" s="13"/>
      <c r="P75" s="1">
        <f>SUM(OSRRefP22_2x_0)</f>
        <v>1766.23</v>
      </c>
      <c r="Q75" s="1"/>
      <c r="R75" s="5">
        <f t="shared" ref="R75:R79" si="33">IF(P$12=0,0,P75/P$12)</f>
        <v>7.6029850787387616E-3</v>
      </c>
      <c r="S75" s="1"/>
      <c r="T75" s="1">
        <f>SUM(OSRRefT22_2x_0)</f>
        <v>2650</v>
      </c>
      <c r="U75" s="1"/>
      <c r="V75" s="5">
        <f t="shared" ref="V75:V79" si="34">IF(T$12=0,0,T75/T$12)</f>
        <v>1.11286815821995E-2</v>
      </c>
      <c r="W75" s="1"/>
      <c r="X75" s="1">
        <f t="shared" ref="X75:X79" si="35">+P75-T75</f>
        <v>-883.77</v>
      </c>
      <c r="Y75" s="1"/>
      <c r="Z75" s="5">
        <f t="shared" ref="Z75:Z79" si="36">IF(T75=0,0,X75/T75)</f>
        <v>-0.33349811320754719</v>
      </c>
    </row>
    <row r="76" spans="1:26" s="24" customFormat="1" hidden="1" outlineLevel="2" x14ac:dyDescent="0.25">
      <c r="A76" s="25"/>
      <c r="B76" s="11" t="str">
        <f>CONCATENATE("          ", "6362", " - ", "ADVERTISING EXPENSE")</f>
        <v xml:space="preserve">          6362 - ADVERTISING EXPENSE</v>
      </c>
      <c r="C76" s="11"/>
      <c r="D76" s="6">
        <v>508.5</v>
      </c>
      <c r="E76" s="2"/>
      <c r="F76" s="7">
        <f t="shared" si="29"/>
        <v>1.3438515817014194E-2</v>
      </c>
      <c r="G76" s="2"/>
      <c r="H76" s="6">
        <v>1000</v>
      </c>
      <c r="I76" s="2"/>
      <c r="J76" s="7">
        <f t="shared" si="30"/>
        <v>2.1188433180762259E-2</v>
      </c>
      <c r="K76" s="2"/>
      <c r="L76" s="6">
        <f t="shared" si="31"/>
        <v>-491.5</v>
      </c>
      <c r="M76" s="2"/>
      <c r="N76" s="7">
        <f t="shared" si="32"/>
        <v>-0.49149999999999999</v>
      </c>
      <c r="O76" s="11"/>
      <c r="P76" s="6">
        <v>1766.23</v>
      </c>
      <c r="Q76" s="2"/>
      <c r="R76" s="7">
        <f t="shared" si="33"/>
        <v>7.6029850787387616E-3</v>
      </c>
      <c r="S76" s="2"/>
      <c r="T76" s="6">
        <v>2650</v>
      </c>
      <c r="U76" s="2"/>
      <c r="V76" s="7">
        <f t="shared" si="34"/>
        <v>1.11286815821995E-2</v>
      </c>
      <c r="W76" s="2"/>
      <c r="X76" s="6">
        <f t="shared" si="35"/>
        <v>-883.77</v>
      </c>
      <c r="Y76" s="2"/>
      <c r="Z76" s="7">
        <f t="shared" si="36"/>
        <v>-0.33349811320754719</v>
      </c>
    </row>
    <row r="77" spans="1:26" s="26" customFormat="1" outlineLevel="1" collapsed="1" x14ac:dyDescent="0.25">
      <c r="A77" s="27"/>
      <c r="B77" s="13" t="str">
        <f>CONCATENATE("     ","Bad Debts/Over/Short                              ")</f>
        <v xml:space="preserve">     Bad Debts/Over/Short                              </v>
      </c>
      <c r="C77" s="13"/>
      <c r="D77" s="1">
        <f>SUM(OSRRefD22_3x_0)</f>
        <v>4.0999999999999996</v>
      </c>
      <c r="E77" s="1"/>
      <c r="F77" s="5">
        <f t="shared" si="29"/>
        <v>1.0835381484711543E-4</v>
      </c>
      <c r="G77" s="1"/>
      <c r="H77" s="1">
        <f>SUM(OSRRefH22_3x_0)</f>
        <v>10</v>
      </c>
      <c r="I77" s="1"/>
      <c r="J77" s="5">
        <f t="shared" si="30"/>
        <v>2.118843318076226E-4</v>
      </c>
      <c r="K77" s="1"/>
      <c r="L77" s="1">
        <f t="shared" si="31"/>
        <v>-5.9</v>
      </c>
      <c r="M77" s="1"/>
      <c r="N77" s="5">
        <f t="shared" si="32"/>
        <v>-0.59000000000000008</v>
      </c>
      <c r="O77" s="13"/>
      <c r="P77" s="1">
        <f>SUM(OSRRefP22_3x_0)</f>
        <v>27.13</v>
      </c>
      <c r="Q77" s="1"/>
      <c r="R77" s="5">
        <f t="shared" si="33"/>
        <v>1.167848950511443E-4</v>
      </c>
      <c r="S77" s="1"/>
      <c r="T77" s="1">
        <f>SUM(OSRRefT22_3x_0)</f>
        <v>50</v>
      </c>
      <c r="U77" s="1"/>
      <c r="V77" s="5">
        <f t="shared" si="34"/>
        <v>2.0997512419244341E-4</v>
      </c>
      <c r="W77" s="1"/>
      <c r="X77" s="1">
        <f t="shared" si="35"/>
        <v>-22.87</v>
      </c>
      <c r="Y77" s="1"/>
      <c r="Z77" s="5">
        <f t="shared" si="36"/>
        <v>-0.45740000000000003</v>
      </c>
    </row>
    <row r="78" spans="1:26" s="24" customFormat="1" hidden="1" outlineLevel="2" x14ac:dyDescent="0.25">
      <c r="A78" s="25"/>
      <c r="B78" s="11" t="str">
        <f>CONCATENATE("          ", "6272", " - ", "CASH (OVER/SHORT)")</f>
        <v xml:space="preserve">          6272 - CASH (OVER/SHORT)</v>
      </c>
      <c r="C78" s="11"/>
      <c r="D78" s="6">
        <v>4.0999999999999996</v>
      </c>
      <c r="E78" s="2"/>
      <c r="F78" s="7">
        <f t="shared" si="29"/>
        <v>1.0835381484711543E-4</v>
      </c>
      <c r="G78" s="2"/>
      <c r="H78" s="6"/>
      <c r="I78" s="2"/>
      <c r="J78" s="7">
        <f t="shared" si="30"/>
        <v>0</v>
      </c>
      <c r="K78" s="2"/>
      <c r="L78" s="6">
        <f t="shared" si="31"/>
        <v>4.0999999999999996</v>
      </c>
      <c r="M78" s="2"/>
      <c r="N78" s="7">
        <f t="shared" si="32"/>
        <v>0</v>
      </c>
      <c r="O78" s="11"/>
      <c r="P78" s="6">
        <v>27.13</v>
      </c>
      <c r="Q78" s="2"/>
      <c r="R78" s="7">
        <f t="shared" si="33"/>
        <v>1.167848950511443E-4</v>
      </c>
      <c r="S78" s="2"/>
      <c r="T78" s="6"/>
      <c r="U78" s="2"/>
      <c r="V78" s="7">
        <f t="shared" si="34"/>
        <v>0</v>
      </c>
      <c r="W78" s="2"/>
      <c r="X78" s="6">
        <f t="shared" si="35"/>
        <v>27.13</v>
      </c>
      <c r="Y78" s="2"/>
      <c r="Z78" s="7">
        <f t="shared" si="36"/>
        <v>0</v>
      </c>
    </row>
    <row r="79" spans="1:26" s="24" customFormat="1" hidden="1" outlineLevel="2" x14ac:dyDescent="0.25">
      <c r="A79" s="25"/>
      <c r="B79" s="11" t="str">
        <f>CONCATENATE("          ", "6342", " - ", "BAD DEBT")</f>
        <v xml:space="preserve">          6342 - BAD DEBT</v>
      </c>
      <c r="C79" s="11"/>
      <c r="D79" s="6"/>
      <c r="E79" s="2"/>
      <c r="F79" s="7">
        <f t="shared" si="29"/>
        <v>0</v>
      </c>
      <c r="G79" s="2"/>
      <c r="H79" s="6">
        <v>10</v>
      </c>
      <c r="I79" s="2"/>
      <c r="J79" s="7">
        <f t="shared" si="30"/>
        <v>2.118843318076226E-4</v>
      </c>
      <c r="K79" s="2"/>
      <c r="L79" s="6">
        <f t="shared" si="31"/>
        <v>-10</v>
      </c>
      <c r="M79" s="2"/>
      <c r="N79" s="7">
        <f t="shared" si="32"/>
        <v>-1</v>
      </c>
      <c r="O79" s="11"/>
      <c r="P79" s="6"/>
      <c r="Q79" s="2"/>
      <c r="R79" s="7">
        <f t="shared" si="33"/>
        <v>0</v>
      </c>
      <c r="S79" s="2"/>
      <c r="T79" s="6">
        <v>50</v>
      </c>
      <c r="U79" s="2"/>
      <c r="V79" s="7">
        <f t="shared" si="34"/>
        <v>2.0997512419244341E-4</v>
      </c>
      <c r="W79" s="2"/>
      <c r="X79" s="6">
        <f t="shared" si="35"/>
        <v>-50</v>
      </c>
      <c r="Y79" s="2"/>
      <c r="Z79" s="7">
        <f t="shared" si="36"/>
        <v>-1</v>
      </c>
    </row>
    <row r="80" spans="1:26" s="26" customFormat="1" outlineLevel="1" collapsed="1" x14ac:dyDescent="0.25">
      <c r="A80" s="27"/>
      <c r="B80" s="13" t="str">
        <f>CONCATENATE("     ","Bank/card Fees                                    ")</f>
        <v xml:space="preserve">     Bank/card Fees                                    </v>
      </c>
      <c r="C80" s="13"/>
      <c r="D80" s="1">
        <f>SUM(OSRRefD22_4x_0)</f>
        <v>591.74</v>
      </c>
      <c r="E80" s="1"/>
      <c r="F80" s="5">
        <f t="shared" ref="F80:F100" si="37">IF(D$12=0,0,D80/D$12)</f>
        <v>1.5638362536007824E-2</v>
      </c>
      <c r="G80" s="1"/>
      <c r="H80" s="1">
        <f>SUM(OSRRefH22_4x_0)</f>
        <v>600</v>
      </c>
      <c r="I80" s="1"/>
      <c r="J80" s="5">
        <f t="shared" ref="J80:J100" si="38">IF(H$12=0,0,H80/H$12)</f>
        <v>1.2713059908457357E-2</v>
      </c>
      <c r="K80" s="1"/>
      <c r="L80" s="1">
        <f t="shared" ref="L80:L100" si="39">+D80-H80</f>
        <v>-8.2599999999999909</v>
      </c>
      <c r="M80" s="1"/>
      <c r="N80" s="5">
        <f t="shared" ref="N80:N100" si="40">IF(H80=0,0,L80/H80)</f>
        <v>-1.3766666666666651E-2</v>
      </c>
      <c r="O80" s="13"/>
      <c r="P80" s="1">
        <f>SUM(OSRRefP22_4x_0)</f>
        <v>3180.98</v>
      </c>
      <c r="Q80" s="1"/>
      <c r="R80" s="5">
        <f t="shared" ref="R80:R100" si="41">IF(P$12=0,0,P80/P$12)</f>
        <v>1.369297513674121E-2</v>
      </c>
      <c r="S80" s="1"/>
      <c r="T80" s="1">
        <f>SUM(OSRRefT22_4x_0)</f>
        <v>2845</v>
      </c>
      <c r="U80" s="1"/>
      <c r="V80" s="5">
        <f t="shared" ref="V80:V100" si="42">IF(T$12=0,0,T80/T$12)</f>
        <v>1.194758456655003E-2</v>
      </c>
      <c r="W80" s="1"/>
      <c r="X80" s="1">
        <f t="shared" ref="X80:X100" si="43">+P80-T80</f>
        <v>335.98</v>
      </c>
      <c r="Y80" s="1"/>
      <c r="Z80" s="5">
        <f t="shared" ref="Z80:Z100" si="44">IF(T80=0,0,X80/T80)</f>
        <v>0.11809490333919156</v>
      </c>
    </row>
    <row r="81" spans="1:26" s="24" customFormat="1" hidden="1" outlineLevel="2" x14ac:dyDescent="0.25">
      <c r="A81" s="25"/>
      <c r="B81" s="11" t="str">
        <f>CONCATENATE("          ", "6381", " - ", "BANK/CREDIT CARD FEES")</f>
        <v xml:space="preserve">          6381 - BANK/CREDIT CARD FEES</v>
      </c>
      <c r="C81" s="11"/>
      <c r="D81" s="6">
        <v>591.74</v>
      </c>
      <c r="E81" s="2"/>
      <c r="F81" s="7">
        <f t="shared" si="37"/>
        <v>1.5638362536007824E-2</v>
      </c>
      <c r="G81" s="2"/>
      <c r="H81" s="6">
        <v>600</v>
      </c>
      <c r="I81" s="2"/>
      <c r="J81" s="7">
        <f t="shared" si="38"/>
        <v>1.2713059908457357E-2</v>
      </c>
      <c r="K81" s="2"/>
      <c r="L81" s="6">
        <f t="shared" si="39"/>
        <v>-8.2599999999999909</v>
      </c>
      <c r="M81" s="2"/>
      <c r="N81" s="7">
        <f t="shared" si="40"/>
        <v>-1.3766666666666651E-2</v>
      </c>
      <c r="O81" s="11"/>
      <c r="P81" s="6">
        <v>3180.98</v>
      </c>
      <c r="Q81" s="2"/>
      <c r="R81" s="7">
        <f t="shared" si="41"/>
        <v>1.369297513674121E-2</v>
      </c>
      <c r="S81" s="2"/>
      <c r="T81" s="6">
        <v>2845</v>
      </c>
      <c r="U81" s="2"/>
      <c r="V81" s="7">
        <f t="shared" si="42"/>
        <v>1.194758456655003E-2</v>
      </c>
      <c r="W81" s="2"/>
      <c r="X81" s="6">
        <f t="shared" si="43"/>
        <v>335.98</v>
      </c>
      <c r="Y81" s="2"/>
      <c r="Z81" s="7">
        <f t="shared" si="44"/>
        <v>0.11809490333919156</v>
      </c>
    </row>
    <row r="82" spans="1:26" s="26" customFormat="1" outlineLevel="1" collapsed="1" x14ac:dyDescent="0.25">
      <c r="A82" s="27"/>
      <c r="B82" s="13" t="str">
        <f>CONCATENATE("     ","Discounts and Markdowns                           ")</f>
        <v xml:space="preserve">     Discounts and Markdowns                           </v>
      </c>
      <c r="C82" s="13"/>
      <c r="D82" s="1">
        <f>SUM(OSRRefD22_5x_0)</f>
        <v>8973.75</v>
      </c>
      <c r="E82" s="1"/>
      <c r="F82" s="5">
        <f t="shared" si="37"/>
        <v>0.23715610877665905</v>
      </c>
      <c r="G82" s="1"/>
      <c r="H82" s="1">
        <f>SUM(OSRRefH22_5x_0)</f>
        <v>5000</v>
      </c>
      <c r="I82" s="1"/>
      <c r="J82" s="5">
        <f t="shared" si="38"/>
        <v>0.10594216590381131</v>
      </c>
      <c r="K82" s="1"/>
      <c r="L82" s="1">
        <f t="shared" si="39"/>
        <v>3973.75</v>
      </c>
      <c r="M82" s="1"/>
      <c r="N82" s="5">
        <f t="shared" si="40"/>
        <v>0.79474999999999996</v>
      </c>
      <c r="O82" s="13"/>
      <c r="P82" s="1">
        <f>SUM(OSRRefP22_5x_0)</f>
        <v>37198.579999999994</v>
      </c>
      <c r="Q82" s="1"/>
      <c r="R82" s="5">
        <f t="shared" si="41"/>
        <v>0.1601265116605822</v>
      </c>
      <c r="S82" s="1"/>
      <c r="T82" s="1">
        <f>SUM(OSRRefT22_5x_0)</f>
        <v>19000</v>
      </c>
      <c r="U82" s="1"/>
      <c r="V82" s="5">
        <f t="shared" si="42"/>
        <v>7.9790547193128489E-2</v>
      </c>
      <c r="W82" s="1"/>
      <c r="X82" s="1">
        <f t="shared" si="43"/>
        <v>18198.579999999994</v>
      </c>
      <c r="Y82" s="1"/>
      <c r="Z82" s="5">
        <f t="shared" si="44"/>
        <v>0.95781999999999967</v>
      </c>
    </row>
    <row r="83" spans="1:26" s="24" customFormat="1" hidden="1" outlineLevel="2" x14ac:dyDescent="0.25">
      <c r="A83" s="25"/>
      <c r="B83" s="11" t="str">
        <f>CONCATENATE("          ", "6382", " - ", "DISCOUNTS/MARK DOWNS")</f>
        <v xml:space="preserve">          6382 - DISCOUNTS/MARK DOWNS</v>
      </c>
      <c r="C83" s="11"/>
      <c r="D83" s="6">
        <v>8973.75</v>
      </c>
      <c r="E83" s="2"/>
      <c r="F83" s="7">
        <f t="shared" si="37"/>
        <v>0.23715610877665905</v>
      </c>
      <c r="G83" s="2"/>
      <c r="H83" s="6">
        <v>5000</v>
      </c>
      <c r="I83" s="2"/>
      <c r="J83" s="7">
        <f t="shared" si="38"/>
        <v>0.10594216590381131</v>
      </c>
      <c r="K83" s="2"/>
      <c r="L83" s="6">
        <f t="shared" si="39"/>
        <v>3973.75</v>
      </c>
      <c r="M83" s="2"/>
      <c r="N83" s="7">
        <f t="shared" si="40"/>
        <v>0.79474999999999996</v>
      </c>
      <c r="O83" s="11"/>
      <c r="P83" s="6">
        <v>37198.579999999994</v>
      </c>
      <c r="Q83" s="2"/>
      <c r="R83" s="7">
        <f t="shared" si="41"/>
        <v>0.1601265116605822</v>
      </c>
      <c r="S83" s="2"/>
      <c r="T83" s="6">
        <v>19000</v>
      </c>
      <c r="U83" s="2"/>
      <c r="V83" s="7">
        <f t="shared" si="42"/>
        <v>7.9790547193128489E-2</v>
      </c>
      <c r="W83" s="2"/>
      <c r="X83" s="6">
        <f t="shared" si="43"/>
        <v>18198.579999999994</v>
      </c>
      <c r="Y83" s="2"/>
      <c r="Z83" s="7">
        <f t="shared" si="44"/>
        <v>0.95781999999999967</v>
      </c>
    </row>
    <row r="84" spans="1:26" s="26" customFormat="1" outlineLevel="1" collapsed="1" x14ac:dyDescent="0.25">
      <c r="A84" s="27"/>
      <c r="B84" s="13" t="str">
        <f>CONCATENATE("     ","Donations                                         ")</f>
        <v xml:space="preserve">     Donations                                         </v>
      </c>
      <c r="C84" s="13"/>
      <c r="D84" s="1">
        <f>SUM(OSRRefD22_6x_0)</f>
        <v>0</v>
      </c>
      <c r="E84" s="1"/>
      <c r="F84" s="5">
        <f t="shared" si="37"/>
        <v>0</v>
      </c>
      <c r="G84" s="1"/>
      <c r="H84" s="1">
        <f>SUM(OSRRefH22_6x_0)</f>
        <v>25</v>
      </c>
      <c r="I84" s="1"/>
      <c r="J84" s="5">
        <f t="shared" si="38"/>
        <v>5.2971082951905649E-4</v>
      </c>
      <c r="K84" s="1"/>
      <c r="L84" s="1">
        <f t="shared" si="39"/>
        <v>-25</v>
      </c>
      <c r="M84" s="1"/>
      <c r="N84" s="5">
        <f t="shared" si="40"/>
        <v>-1</v>
      </c>
      <c r="O84" s="13"/>
      <c r="P84" s="1">
        <f>SUM(OSRRefP22_6x_0)</f>
        <v>0</v>
      </c>
      <c r="Q84" s="1"/>
      <c r="R84" s="5">
        <f t="shared" si="41"/>
        <v>0</v>
      </c>
      <c r="S84" s="1"/>
      <c r="T84" s="1">
        <f>SUM(OSRRefT22_6x_0)</f>
        <v>200</v>
      </c>
      <c r="U84" s="1"/>
      <c r="V84" s="5">
        <f t="shared" si="42"/>
        <v>8.3990049676977362E-4</v>
      </c>
      <c r="W84" s="1"/>
      <c r="X84" s="1">
        <f t="shared" si="43"/>
        <v>-200</v>
      </c>
      <c r="Y84" s="1"/>
      <c r="Z84" s="5">
        <f t="shared" si="44"/>
        <v>-1</v>
      </c>
    </row>
    <row r="85" spans="1:26" s="24" customFormat="1" hidden="1" outlineLevel="2" x14ac:dyDescent="0.25">
      <c r="A85" s="25"/>
      <c r="B85" s="11" t="str">
        <f>CONCATENATE("          ", "6395", " - ", "DONATION-OFF CAMPUS")</f>
        <v xml:space="preserve">          6395 - DONATION-OFF CAMPUS</v>
      </c>
      <c r="C85" s="11"/>
      <c r="D85" s="6"/>
      <c r="E85" s="2"/>
      <c r="F85" s="7">
        <f t="shared" si="37"/>
        <v>0</v>
      </c>
      <c r="G85" s="2"/>
      <c r="H85" s="6">
        <v>25</v>
      </c>
      <c r="I85" s="2"/>
      <c r="J85" s="7">
        <f t="shared" si="38"/>
        <v>5.2971082951905649E-4</v>
      </c>
      <c r="K85" s="2"/>
      <c r="L85" s="6">
        <f t="shared" si="39"/>
        <v>-25</v>
      </c>
      <c r="M85" s="2"/>
      <c r="N85" s="7">
        <f t="shared" si="40"/>
        <v>-1</v>
      </c>
      <c r="O85" s="11"/>
      <c r="P85" s="6"/>
      <c r="Q85" s="2"/>
      <c r="R85" s="7">
        <f t="shared" si="41"/>
        <v>0</v>
      </c>
      <c r="S85" s="2"/>
      <c r="T85" s="6">
        <v>200</v>
      </c>
      <c r="U85" s="2"/>
      <c r="V85" s="7">
        <f t="shared" si="42"/>
        <v>8.3990049676977362E-4</v>
      </c>
      <c r="W85" s="2"/>
      <c r="X85" s="6">
        <f t="shared" si="43"/>
        <v>-200</v>
      </c>
      <c r="Y85" s="2"/>
      <c r="Z85" s="7">
        <f t="shared" si="44"/>
        <v>-1</v>
      </c>
    </row>
    <row r="86" spans="1:26" s="26" customFormat="1" outlineLevel="1" collapsed="1" x14ac:dyDescent="0.25">
      <c r="A86" s="27"/>
      <c r="B86" s="13" t="str">
        <f>CONCATENATE("     ","Employees' Appreciation                           ")</f>
        <v xml:space="preserve">     Employees' Appreciation                           </v>
      </c>
      <c r="C86" s="13"/>
      <c r="D86" s="1">
        <f>SUM(OSRRefD22_7x_0)</f>
        <v>0</v>
      </c>
      <c r="E86" s="1"/>
      <c r="F86" s="5">
        <f t="shared" si="37"/>
        <v>0</v>
      </c>
      <c r="G86" s="1"/>
      <c r="H86" s="1">
        <f>SUM(OSRRefH22_7x_0)</f>
        <v>50</v>
      </c>
      <c r="I86" s="1"/>
      <c r="J86" s="5">
        <f t="shared" si="38"/>
        <v>1.059421659038113E-3</v>
      </c>
      <c r="K86" s="1"/>
      <c r="L86" s="1">
        <f t="shared" si="39"/>
        <v>-50</v>
      </c>
      <c r="M86" s="1"/>
      <c r="N86" s="5">
        <f t="shared" si="40"/>
        <v>-1</v>
      </c>
      <c r="O86" s="13"/>
      <c r="P86" s="1">
        <f>SUM(OSRRefP22_7x_0)</f>
        <v>120.93</v>
      </c>
      <c r="Q86" s="1"/>
      <c r="R86" s="5">
        <f t="shared" si="41"/>
        <v>5.2056016802561305E-4</v>
      </c>
      <c r="S86" s="1"/>
      <c r="T86" s="1">
        <f>SUM(OSRRefT22_7x_0)</f>
        <v>250</v>
      </c>
      <c r="U86" s="1"/>
      <c r="V86" s="5">
        <f t="shared" si="42"/>
        <v>1.049875620962217E-3</v>
      </c>
      <c r="W86" s="1"/>
      <c r="X86" s="1">
        <f t="shared" si="43"/>
        <v>-129.07</v>
      </c>
      <c r="Y86" s="1"/>
      <c r="Z86" s="5">
        <f t="shared" si="44"/>
        <v>-0.51627999999999996</v>
      </c>
    </row>
    <row r="87" spans="1:26" s="24" customFormat="1" hidden="1" outlineLevel="2" x14ac:dyDescent="0.25">
      <c r="A87" s="25"/>
      <c r="B87" s="11" t="str">
        <f>CONCATENATE("          ", "6277", " - ", "EMPLOYEE APPRECIATION")</f>
        <v xml:space="preserve">          6277 - EMPLOYEE APPRECIATION</v>
      </c>
      <c r="C87" s="11"/>
      <c r="D87" s="6"/>
      <c r="E87" s="2"/>
      <c r="F87" s="7">
        <f t="shared" si="37"/>
        <v>0</v>
      </c>
      <c r="G87" s="2"/>
      <c r="H87" s="6">
        <v>50</v>
      </c>
      <c r="I87" s="2"/>
      <c r="J87" s="7">
        <f t="shared" si="38"/>
        <v>1.059421659038113E-3</v>
      </c>
      <c r="K87" s="2"/>
      <c r="L87" s="6">
        <f t="shared" si="39"/>
        <v>-50</v>
      </c>
      <c r="M87" s="2"/>
      <c r="N87" s="7">
        <f t="shared" si="40"/>
        <v>-1</v>
      </c>
      <c r="O87" s="11"/>
      <c r="P87" s="6">
        <v>120.93</v>
      </c>
      <c r="Q87" s="2"/>
      <c r="R87" s="7">
        <f t="shared" si="41"/>
        <v>5.2056016802561305E-4</v>
      </c>
      <c r="S87" s="2"/>
      <c r="T87" s="6">
        <v>250</v>
      </c>
      <c r="U87" s="2"/>
      <c r="V87" s="7">
        <f t="shared" si="42"/>
        <v>1.049875620962217E-3</v>
      </c>
      <c r="W87" s="2"/>
      <c r="X87" s="6">
        <f t="shared" si="43"/>
        <v>-129.07</v>
      </c>
      <c r="Y87" s="2"/>
      <c r="Z87" s="7">
        <f t="shared" si="44"/>
        <v>-0.51627999999999996</v>
      </c>
    </row>
    <row r="88" spans="1:26" s="26" customFormat="1" outlineLevel="1" collapsed="1" x14ac:dyDescent="0.25">
      <c r="A88" s="27"/>
      <c r="B88" s="13" t="str">
        <f>CONCATENATE("     ","General                                           ")</f>
        <v xml:space="preserve">     General                                           </v>
      </c>
      <c r="C88" s="13"/>
      <c r="D88" s="1">
        <f>SUM(OSRRefD22_8x_0)</f>
        <v>1111.44</v>
      </c>
      <c r="E88" s="1"/>
      <c r="F88" s="5">
        <f t="shared" si="37"/>
        <v>2.9372869261872679E-2</v>
      </c>
      <c r="G88" s="1"/>
      <c r="H88" s="1">
        <f>SUM(OSRRefH22_8x_0)</f>
        <v>600</v>
      </c>
      <c r="I88" s="1"/>
      <c r="J88" s="5">
        <f t="shared" si="38"/>
        <v>1.2713059908457357E-2</v>
      </c>
      <c r="K88" s="1"/>
      <c r="L88" s="1">
        <f t="shared" si="39"/>
        <v>511.44000000000005</v>
      </c>
      <c r="M88" s="1"/>
      <c r="N88" s="5">
        <f t="shared" si="40"/>
        <v>0.85240000000000005</v>
      </c>
      <c r="O88" s="13"/>
      <c r="P88" s="1">
        <f>SUM(OSRRefP22_8x_0)</f>
        <v>1111.44</v>
      </c>
      <c r="Q88" s="1"/>
      <c r="R88" s="5">
        <f t="shared" si="41"/>
        <v>4.7843495671081402E-3</v>
      </c>
      <c r="S88" s="1"/>
      <c r="T88" s="1">
        <f>SUM(OSRRefT22_8x_0)</f>
        <v>840</v>
      </c>
      <c r="U88" s="1"/>
      <c r="V88" s="5">
        <f t="shared" si="42"/>
        <v>3.5275820864330491E-3</v>
      </c>
      <c r="W88" s="1"/>
      <c r="X88" s="1">
        <f t="shared" si="43"/>
        <v>271.44000000000005</v>
      </c>
      <c r="Y88" s="1"/>
      <c r="Z88" s="5">
        <f t="shared" si="44"/>
        <v>0.32314285714285723</v>
      </c>
    </row>
    <row r="89" spans="1:26" s="24" customFormat="1" hidden="1" outlineLevel="2" x14ac:dyDescent="0.25">
      <c r="A89" s="25"/>
      <c r="B89" s="11" t="str">
        <f>CONCATENATE("          ", "6279", " - ", "GENERAL EXPENSE")</f>
        <v xml:space="preserve">          6279 - GENERAL EXPENSE</v>
      </c>
      <c r="C89" s="11"/>
      <c r="D89" s="6">
        <v>1111.44</v>
      </c>
      <c r="E89" s="2"/>
      <c r="F89" s="7">
        <f t="shared" si="37"/>
        <v>2.9372869261872679E-2</v>
      </c>
      <c r="G89" s="2"/>
      <c r="H89" s="6">
        <v>600</v>
      </c>
      <c r="I89" s="2"/>
      <c r="J89" s="7">
        <f t="shared" si="38"/>
        <v>1.2713059908457357E-2</v>
      </c>
      <c r="K89" s="2"/>
      <c r="L89" s="6">
        <f t="shared" si="39"/>
        <v>511.44000000000005</v>
      </c>
      <c r="M89" s="2"/>
      <c r="N89" s="7">
        <f t="shared" si="40"/>
        <v>0.85240000000000005</v>
      </c>
      <c r="O89" s="11"/>
      <c r="P89" s="6">
        <v>1111.44</v>
      </c>
      <c r="Q89" s="2"/>
      <c r="R89" s="7">
        <f t="shared" si="41"/>
        <v>4.7843495671081402E-3</v>
      </c>
      <c r="S89" s="2"/>
      <c r="T89" s="6">
        <v>840</v>
      </c>
      <c r="U89" s="2"/>
      <c r="V89" s="7">
        <f t="shared" si="42"/>
        <v>3.5275820864330491E-3</v>
      </c>
      <c r="W89" s="2"/>
      <c r="X89" s="6">
        <f t="shared" si="43"/>
        <v>271.44000000000005</v>
      </c>
      <c r="Y89" s="2"/>
      <c r="Z89" s="7">
        <f t="shared" si="44"/>
        <v>0.32314285714285723</v>
      </c>
    </row>
    <row r="90" spans="1:26" s="26" customFormat="1" outlineLevel="1" collapsed="1" x14ac:dyDescent="0.25">
      <c r="A90" s="27"/>
      <c r="B90" s="13" t="str">
        <f>CONCATENATE("     ","Insurance                                         ")</f>
        <v xml:space="preserve">     Insurance                                         </v>
      </c>
      <c r="C90" s="13"/>
      <c r="D90" s="1">
        <f>SUM(OSRRefD22_9x_0)</f>
        <v>161.18</v>
      </c>
      <c r="E90" s="1"/>
      <c r="F90" s="5">
        <f t="shared" si="37"/>
        <v>4.2596263114775771E-3</v>
      </c>
      <c r="G90" s="1"/>
      <c r="H90" s="1">
        <f>SUM(OSRRefH22_9x_0)</f>
        <v>155</v>
      </c>
      <c r="I90" s="1"/>
      <c r="J90" s="5">
        <f t="shared" si="38"/>
        <v>3.2842071430181502E-3</v>
      </c>
      <c r="K90" s="1"/>
      <c r="L90" s="1">
        <f t="shared" si="39"/>
        <v>6.1800000000000068</v>
      </c>
      <c r="M90" s="1"/>
      <c r="N90" s="5">
        <f t="shared" si="40"/>
        <v>3.9870967741935527E-2</v>
      </c>
      <c r="O90" s="13"/>
      <c r="P90" s="1">
        <f>SUM(OSRRefP22_9x_0)</f>
        <v>805.9</v>
      </c>
      <c r="Q90" s="1"/>
      <c r="R90" s="5">
        <f t="shared" si="41"/>
        <v>3.4691097280397051E-3</v>
      </c>
      <c r="S90" s="1"/>
      <c r="T90" s="1">
        <f>SUM(OSRRefT22_9x_0)</f>
        <v>775</v>
      </c>
      <c r="U90" s="1"/>
      <c r="V90" s="5">
        <f t="shared" si="42"/>
        <v>3.2546144249828725E-3</v>
      </c>
      <c r="W90" s="1"/>
      <c r="X90" s="1">
        <f t="shared" si="43"/>
        <v>30.899999999999977</v>
      </c>
      <c r="Y90" s="1"/>
      <c r="Z90" s="5">
        <f t="shared" si="44"/>
        <v>3.9870967741935458E-2</v>
      </c>
    </row>
    <row r="91" spans="1:26" s="24" customFormat="1" hidden="1" outlineLevel="2" x14ac:dyDescent="0.25">
      <c r="A91" s="25"/>
      <c r="B91" s="11" t="str">
        <f>CONCATENATE("          ", "6314", " - ", "LIABILITY INSURANCE")</f>
        <v xml:space="preserve">          6314 - LIABILITY INSURANCE</v>
      </c>
      <c r="C91" s="11"/>
      <c r="D91" s="6">
        <v>161.18</v>
      </c>
      <c r="E91" s="2"/>
      <c r="F91" s="7">
        <f t="shared" si="37"/>
        <v>4.2596263114775771E-3</v>
      </c>
      <c r="G91" s="2"/>
      <c r="H91" s="6">
        <v>155</v>
      </c>
      <c r="I91" s="2"/>
      <c r="J91" s="7">
        <f t="shared" si="38"/>
        <v>3.2842071430181502E-3</v>
      </c>
      <c r="K91" s="2"/>
      <c r="L91" s="6">
        <f t="shared" si="39"/>
        <v>6.1800000000000068</v>
      </c>
      <c r="M91" s="2"/>
      <c r="N91" s="7">
        <f t="shared" si="40"/>
        <v>3.9870967741935527E-2</v>
      </c>
      <c r="O91" s="11"/>
      <c r="P91" s="6">
        <v>805.9</v>
      </c>
      <c r="Q91" s="2"/>
      <c r="R91" s="7">
        <f t="shared" si="41"/>
        <v>3.4691097280397051E-3</v>
      </c>
      <c r="S91" s="2"/>
      <c r="T91" s="6">
        <v>775</v>
      </c>
      <c r="U91" s="2"/>
      <c r="V91" s="7">
        <f t="shared" si="42"/>
        <v>3.2546144249828725E-3</v>
      </c>
      <c r="W91" s="2"/>
      <c r="X91" s="6">
        <f t="shared" si="43"/>
        <v>30.899999999999977</v>
      </c>
      <c r="Y91" s="2"/>
      <c r="Z91" s="7">
        <f t="shared" si="44"/>
        <v>3.9870967741935458E-2</v>
      </c>
    </row>
    <row r="92" spans="1:26" s="26" customFormat="1" outlineLevel="1" collapsed="1" x14ac:dyDescent="0.25">
      <c r="A92" s="27"/>
      <c r="B92" s="13" t="str">
        <f>CONCATENATE("     ","Inventory Adjustment                              ")</f>
        <v xml:space="preserve">     Inventory Adjustment                              </v>
      </c>
      <c r="C92" s="13"/>
      <c r="D92" s="1">
        <f>SUM(OSRRefD22_10x_0)</f>
        <v>300</v>
      </c>
      <c r="E92" s="1"/>
      <c r="F92" s="5">
        <f t="shared" si="37"/>
        <v>7.9283279156425919E-3</v>
      </c>
      <c r="G92" s="1"/>
      <c r="H92" s="1">
        <f>SUM(OSRRefH22_10x_0)</f>
        <v>300</v>
      </c>
      <c r="I92" s="1"/>
      <c r="J92" s="5">
        <f t="shared" si="38"/>
        <v>6.3565299542286784E-3</v>
      </c>
      <c r="K92" s="1"/>
      <c r="L92" s="1">
        <f t="shared" si="39"/>
        <v>0</v>
      </c>
      <c r="M92" s="1"/>
      <c r="N92" s="5">
        <f t="shared" si="40"/>
        <v>0</v>
      </c>
      <c r="O92" s="13"/>
      <c r="P92" s="1">
        <f>SUM(OSRRefP22_10x_0)</f>
        <v>1500</v>
      </c>
      <c r="Q92" s="1"/>
      <c r="R92" s="5">
        <f t="shared" si="41"/>
        <v>6.4569606552420371E-3</v>
      </c>
      <c r="S92" s="1"/>
      <c r="T92" s="1">
        <f>SUM(OSRRefT22_10x_0)</f>
        <v>1500</v>
      </c>
      <c r="U92" s="1"/>
      <c r="V92" s="5">
        <f t="shared" si="42"/>
        <v>6.299253725773302E-3</v>
      </c>
      <c r="W92" s="1"/>
      <c r="X92" s="1">
        <f t="shared" si="43"/>
        <v>0</v>
      </c>
      <c r="Y92" s="1"/>
      <c r="Z92" s="5">
        <f t="shared" si="44"/>
        <v>0</v>
      </c>
    </row>
    <row r="93" spans="1:26" s="24" customFormat="1" hidden="1" outlineLevel="2" x14ac:dyDescent="0.25">
      <c r="A93" s="25"/>
      <c r="B93" s="11" t="str">
        <f>CONCATENATE("          ", "6408", " - ", "INVENTORY ADJUSTMENT")</f>
        <v xml:space="preserve">          6408 - INVENTORY ADJUSTMENT</v>
      </c>
      <c r="C93" s="11"/>
      <c r="D93" s="6">
        <v>300</v>
      </c>
      <c r="E93" s="2"/>
      <c r="F93" s="7">
        <f t="shared" si="37"/>
        <v>7.9283279156425919E-3</v>
      </c>
      <c r="G93" s="2"/>
      <c r="H93" s="6">
        <v>300</v>
      </c>
      <c r="I93" s="2"/>
      <c r="J93" s="7">
        <f t="shared" si="38"/>
        <v>6.3565299542286784E-3</v>
      </c>
      <c r="K93" s="2"/>
      <c r="L93" s="6">
        <f t="shared" si="39"/>
        <v>0</v>
      </c>
      <c r="M93" s="2"/>
      <c r="N93" s="7">
        <f t="shared" si="40"/>
        <v>0</v>
      </c>
      <c r="O93" s="11"/>
      <c r="P93" s="6">
        <v>1500</v>
      </c>
      <c r="Q93" s="2"/>
      <c r="R93" s="7">
        <f t="shared" si="41"/>
        <v>6.4569606552420371E-3</v>
      </c>
      <c r="S93" s="2"/>
      <c r="T93" s="6">
        <v>1500</v>
      </c>
      <c r="U93" s="2"/>
      <c r="V93" s="7">
        <f t="shared" si="42"/>
        <v>6.299253725773302E-3</v>
      </c>
      <c r="W93" s="2"/>
      <c r="X93" s="6">
        <f t="shared" si="43"/>
        <v>0</v>
      </c>
      <c r="Y93" s="2"/>
      <c r="Z93" s="7">
        <f t="shared" si="44"/>
        <v>0</v>
      </c>
    </row>
    <row r="94" spans="1:26" s="26" customFormat="1" outlineLevel="1" collapsed="1" x14ac:dyDescent="0.25">
      <c r="A94" s="27"/>
      <c r="B94" s="13" t="str">
        <f>CONCATENATE("     ","Professional Services                             ")</f>
        <v xml:space="preserve">     Professional Services                             </v>
      </c>
      <c r="C94" s="13"/>
      <c r="D94" s="1">
        <f>SUM(OSRRefD22_11x_0)</f>
        <v>0</v>
      </c>
      <c r="E94" s="1"/>
      <c r="F94" s="5">
        <f t="shared" si="37"/>
        <v>0</v>
      </c>
      <c r="G94" s="1"/>
      <c r="H94" s="1">
        <f>SUM(OSRRefH22_11x_0)</f>
        <v>0</v>
      </c>
      <c r="I94" s="1"/>
      <c r="J94" s="5">
        <f t="shared" si="38"/>
        <v>0</v>
      </c>
      <c r="K94" s="1"/>
      <c r="L94" s="1">
        <f t="shared" si="39"/>
        <v>0</v>
      </c>
      <c r="M94" s="1"/>
      <c r="N94" s="5">
        <f t="shared" si="40"/>
        <v>0</v>
      </c>
      <c r="O94" s="13"/>
      <c r="P94" s="1">
        <f>SUM(OSRRefP22_11x_0)</f>
        <v>750</v>
      </c>
      <c r="Q94" s="1"/>
      <c r="R94" s="5">
        <f t="shared" si="41"/>
        <v>3.2284803276210186E-3</v>
      </c>
      <c r="S94" s="1"/>
      <c r="T94" s="1">
        <f>SUM(OSRRefT22_11x_0)</f>
        <v>900</v>
      </c>
      <c r="U94" s="1"/>
      <c r="V94" s="5">
        <f t="shared" si="42"/>
        <v>3.779552235463981E-3</v>
      </c>
      <c r="W94" s="1"/>
      <c r="X94" s="1">
        <f t="shared" si="43"/>
        <v>-150</v>
      </c>
      <c r="Y94" s="1"/>
      <c r="Z94" s="5">
        <f t="shared" si="44"/>
        <v>-0.16666666666666666</v>
      </c>
    </row>
    <row r="95" spans="1:26" s="24" customFormat="1" hidden="1" outlineLevel="2" x14ac:dyDescent="0.25">
      <c r="A95" s="25"/>
      <c r="B95" s="11" t="str">
        <f>CONCATENATE("          ", "6336", " - ", "PROFESSIONAL SERVICES")</f>
        <v xml:space="preserve">          6336 - PROFESSIONAL SERVICES</v>
      </c>
      <c r="C95" s="11"/>
      <c r="D95" s="6"/>
      <c r="E95" s="2"/>
      <c r="F95" s="7">
        <f t="shared" si="37"/>
        <v>0</v>
      </c>
      <c r="G95" s="2"/>
      <c r="H95" s="6">
        <v>0</v>
      </c>
      <c r="I95" s="2"/>
      <c r="J95" s="7">
        <f t="shared" si="38"/>
        <v>0</v>
      </c>
      <c r="K95" s="2"/>
      <c r="L95" s="6">
        <f t="shared" si="39"/>
        <v>0</v>
      </c>
      <c r="M95" s="2"/>
      <c r="N95" s="7">
        <f t="shared" si="40"/>
        <v>0</v>
      </c>
      <c r="O95" s="11"/>
      <c r="P95" s="6">
        <v>750</v>
      </c>
      <c r="Q95" s="2"/>
      <c r="R95" s="7">
        <f t="shared" si="41"/>
        <v>3.2284803276210186E-3</v>
      </c>
      <c r="S95" s="2"/>
      <c r="T95" s="6">
        <v>900</v>
      </c>
      <c r="U95" s="2"/>
      <c r="V95" s="7">
        <f t="shared" si="42"/>
        <v>3.779552235463981E-3</v>
      </c>
      <c r="W95" s="2"/>
      <c r="X95" s="6">
        <f t="shared" si="43"/>
        <v>-150</v>
      </c>
      <c r="Y95" s="2"/>
      <c r="Z95" s="7">
        <f t="shared" si="44"/>
        <v>-0.16666666666666666</v>
      </c>
    </row>
    <row r="96" spans="1:26" s="26" customFormat="1" outlineLevel="1" collapsed="1" x14ac:dyDescent="0.25">
      <c r="A96" s="27"/>
      <c r="B96" s="13" t="str">
        <f>CONCATENATE("     ","Rent                                              ")</f>
        <v xml:space="preserve">     Rent                                              </v>
      </c>
      <c r="C96" s="13"/>
      <c r="D96" s="1">
        <f>SUM(OSRRefD22_12x_0)</f>
        <v>6900</v>
      </c>
      <c r="E96" s="1"/>
      <c r="F96" s="5">
        <f t="shared" si="37"/>
        <v>0.18235154205977963</v>
      </c>
      <c r="G96" s="1"/>
      <c r="H96" s="1">
        <f>SUM(OSRRefH22_12x_0)</f>
        <v>7200</v>
      </c>
      <c r="I96" s="1"/>
      <c r="J96" s="5">
        <f t="shared" si="38"/>
        <v>0.15255671890148828</v>
      </c>
      <c r="K96" s="1"/>
      <c r="L96" s="1">
        <f t="shared" si="39"/>
        <v>-300</v>
      </c>
      <c r="M96" s="1"/>
      <c r="N96" s="5">
        <f t="shared" si="40"/>
        <v>-4.1666666666666664E-2</v>
      </c>
      <c r="O96" s="13"/>
      <c r="P96" s="1">
        <f>SUM(OSRRefP22_12x_0)</f>
        <v>34500</v>
      </c>
      <c r="Q96" s="1"/>
      <c r="R96" s="5">
        <f t="shared" si="41"/>
        <v>0.14851009507056684</v>
      </c>
      <c r="S96" s="1"/>
      <c r="T96" s="1">
        <f>SUM(OSRRefT22_12x_0)</f>
        <v>36000</v>
      </c>
      <c r="U96" s="1"/>
      <c r="V96" s="5">
        <f t="shared" si="42"/>
        <v>0.15118208941855923</v>
      </c>
      <c r="W96" s="1"/>
      <c r="X96" s="1">
        <f t="shared" si="43"/>
        <v>-1500</v>
      </c>
      <c r="Y96" s="1"/>
      <c r="Z96" s="5">
        <f t="shared" si="44"/>
        <v>-4.1666666666666664E-2</v>
      </c>
    </row>
    <row r="97" spans="1:26" s="24" customFormat="1" hidden="1" outlineLevel="2" x14ac:dyDescent="0.25">
      <c r="A97" s="25"/>
      <c r="B97" s="11" t="str">
        <f>CONCATENATE("          ", "6273", " - ", "RENT")</f>
        <v xml:space="preserve">          6273 - RENT</v>
      </c>
      <c r="C97" s="11"/>
      <c r="D97" s="6">
        <v>6900</v>
      </c>
      <c r="E97" s="2"/>
      <c r="F97" s="7">
        <f t="shared" si="37"/>
        <v>0.18235154205977963</v>
      </c>
      <c r="G97" s="2"/>
      <c r="H97" s="6">
        <v>7200</v>
      </c>
      <c r="I97" s="2"/>
      <c r="J97" s="7">
        <f t="shared" si="38"/>
        <v>0.15255671890148828</v>
      </c>
      <c r="K97" s="2"/>
      <c r="L97" s="6">
        <f t="shared" si="39"/>
        <v>-300</v>
      </c>
      <c r="M97" s="2"/>
      <c r="N97" s="7">
        <f t="shared" si="40"/>
        <v>-4.1666666666666664E-2</v>
      </c>
      <c r="O97" s="11"/>
      <c r="P97" s="6">
        <v>34500</v>
      </c>
      <c r="Q97" s="2"/>
      <c r="R97" s="7">
        <f t="shared" si="41"/>
        <v>0.14851009507056684</v>
      </c>
      <c r="S97" s="2"/>
      <c r="T97" s="6">
        <v>36000</v>
      </c>
      <c r="U97" s="2"/>
      <c r="V97" s="7">
        <f t="shared" si="42"/>
        <v>0.15118208941855923</v>
      </c>
      <c r="W97" s="2"/>
      <c r="X97" s="6">
        <f t="shared" si="43"/>
        <v>-1500</v>
      </c>
      <c r="Y97" s="2"/>
      <c r="Z97" s="7">
        <f t="shared" si="44"/>
        <v>-4.1666666666666664E-2</v>
      </c>
    </row>
    <row r="98" spans="1:26" s="26" customFormat="1" outlineLevel="1" collapsed="1" x14ac:dyDescent="0.25">
      <c r="A98" s="27"/>
      <c r="B98" s="13" t="str">
        <f>CONCATENATE("     ","Repair and Maintenance                            ")</f>
        <v xml:space="preserve">     Repair and Maintenance                            </v>
      </c>
      <c r="C98" s="13"/>
      <c r="D98" s="1">
        <f>SUM(OSRRefD22_13x_0)</f>
        <v>0</v>
      </c>
      <c r="E98" s="1"/>
      <c r="F98" s="5">
        <f t="shared" si="37"/>
        <v>0</v>
      </c>
      <c r="G98" s="1"/>
      <c r="H98" s="1">
        <f>SUM(OSRRefH22_13x_0)</f>
        <v>100</v>
      </c>
      <c r="I98" s="1"/>
      <c r="J98" s="5">
        <f t="shared" si="38"/>
        <v>2.118843318076226E-3</v>
      </c>
      <c r="K98" s="1"/>
      <c r="L98" s="1">
        <f t="shared" si="39"/>
        <v>-100</v>
      </c>
      <c r="M98" s="1"/>
      <c r="N98" s="5">
        <f t="shared" si="40"/>
        <v>-1</v>
      </c>
      <c r="O98" s="13"/>
      <c r="P98" s="1">
        <f>SUM(OSRRefP22_13x_0)</f>
        <v>104.28999999999999</v>
      </c>
      <c r="Q98" s="1"/>
      <c r="R98" s="5">
        <f t="shared" si="41"/>
        <v>4.4893095115679466E-4</v>
      </c>
      <c r="S98" s="1"/>
      <c r="T98" s="1">
        <f>SUM(OSRRefT22_13x_0)</f>
        <v>850</v>
      </c>
      <c r="U98" s="1"/>
      <c r="V98" s="5">
        <f t="shared" si="42"/>
        <v>3.5695771112715375E-3</v>
      </c>
      <c r="W98" s="1"/>
      <c r="X98" s="1">
        <f t="shared" si="43"/>
        <v>-745.71</v>
      </c>
      <c r="Y98" s="1"/>
      <c r="Z98" s="5">
        <f t="shared" si="44"/>
        <v>-0.87730588235294127</v>
      </c>
    </row>
    <row r="99" spans="1:26" s="24" customFormat="1" hidden="1" outlineLevel="2" x14ac:dyDescent="0.25">
      <c r="A99" s="25"/>
      <c r="B99" s="11" t="str">
        <f>CONCATENATE("          ", "6373", " - ", "MAINTENANCE CONTRACTS")</f>
        <v xml:space="preserve">          6373 - MAINTENANCE CONTRACTS</v>
      </c>
      <c r="C99" s="11"/>
      <c r="D99" s="6"/>
      <c r="E99" s="2"/>
      <c r="F99" s="7">
        <f t="shared" si="37"/>
        <v>0</v>
      </c>
      <c r="G99" s="2"/>
      <c r="H99" s="6">
        <v>0</v>
      </c>
      <c r="I99" s="2"/>
      <c r="J99" s="7">
        <f t="shared" si="38"/>
        <v>0</v>
      </c>
      <c r="K99" s="2"/>
      <c r="L99" s="6">
        <f t="shared" si="39"/>
        <v>0</v>
      </c>
      <c r="M99" s="2"/>
      <c r="N99" s="7">
        <f t="shared" si="40"/>
        <v>0</v>
      </c>
      <c r="O99" s="11"/>
      <c r="P99" s="6">
        <v>45.65</v>
      </c>
      <c r="Q99" s="2"/>
      <c r="R99" s="7">
        <f t="shared" si="41"/>
        <v>1.9650683594119931E-4</v>
      </c>
      <c r="S99" s="2"/>
      <c r="T99" s="6">
        <v>75</v>
      </c>
      <c r="U99" s="2"/>
      <c r="V99" s="7">
        <f t="shared" si="42"/>
        <v>3.1496268628866507E-4</v>
      </c>
      <c r="W99" s="2"/>
      <c r="X99" s="6">
        <f t="shared" si="43"/>
        <v>-29.35</v>
      </c>
      <c r="Y99" s="2"/>
      <c r="Z99" s="7">
        <f t="shared" si="44"/>
        <v>-0.39133333333333337</v>
      </c>
    </row>
    <row r="100" spans="1:26" s="24" customFormat="1" hidden="1" outlineLevel="2" x14ac:dyDescent="0.25">
      <c r="A100" s="25"/>
      <c r="B100" s="11" t="str">
        <f>CONCATENATE("          ", "6375", " - ", "OUTSIDE REPAIRS &amp; MAINTENANCE")</f>
        <v xml:space="preserve">          6375 - OUTSIDE REPAIRS &amp; MAINTENANCE</v>
      </c>
      <c r="C100" s="11"/>
      <c r="D100" s="6"/>
      <c r="E100" s="2"/>
      <c r="F100" s="7">
        <f t="shared" si="37"/>
        <v>0</v>
      </c>
      <c r="G100" s="2"/>
      <c r="H100" s="6">
        <v>100</v>
      </c>
      <c r="I100" s="2"/>
      <c r="J100" s="7">
        <f t="shared" si="38"/>
        <v>2.118843318076226E-3</v>
      </c>
      <c r="K100" s="2"/>
      <c r="L100" s="6">
        <f t="shared" si="39"/>
        <v>-100</v>
      </c>
      <c r="M100" s="2"/>
      <c r="N100" s="7">
        <f t="shared" si="40"/>
        <v>-1</v>
      </c>
      <c r="O100" s="11"/>
      <c r="P100" s="6">
        <v>58.64</v>
      </c>
      <c r="Q100" s="2"/>
      <c r="R100" s="7">
        <f t="shared" si="41"/>
        <v>2.5242411521559537E-4</v>
      </c>
      <c r="S100" s="2"/>
      <c r="T100" s="6">
        <v>775</v>
      </c>
      <c r="U100" s="2"/>
      <c r="V100" s="7">
        <f t="shared" si="42"/>
        <v>3.2546144249828725E-3</v>
      </c>
      <c r="W100" s="2"/>
      <c r="X100" s="6">
        <f t="shared" si="43"/>
        <v>-716.36</v>
      </c>
      <c r="Y100" s="2"/>
      <c r="Z100" s="7">
        <f t="shared" si="44"/>
        <v>-0.92433548387096776</v>
      </c>
    </row>
    <row r="101" spans="1:26" s="26" customFormat="1" outlineLevel="1" collapsed="1" x14ac:dyDescent="0.25">
      <c r="A101" s="27"/>
      <c r="B101" s="13" t="str">
        <f>CONCATENATE("     ","Services                                          ")</f>
        <v xml:space="preserve">     Services                                          </v>
      </c>
      <c r="C101" s="13"/>
      <c r="D101" s="1">
        <f>SUM(OSRRefD22_14x_0)</f>
        <v>181.82</v>
      </c>
      <c r="E101" s="1"/>
      <c r="F101" s="5">
        <f t="shared" ref="F101:F104" si="45">IF(D$12=0,0,D101/D$12)</f>
        <v>4.8050952720737868E-3</v>
      </c>
      <c r="G101" s="1"/>
      <c r="H101" s="1">
        <f>SUM(OSRRefH22_14x_0)</f>
        <v>232.5</v>
      </c>
      <c r="I101" s="1"/>
      <c r="J101" s="5">
        <f t="shared" ref="J101:J104" si="46">IF(H$12=0,0,H101/H$12)</f>
        <v>4.9263107145272253E-3</v>
      </c>
      <c r="K101" s="1"/>
      <c r="L101" s="1">
        <f t="shared" ref="L101:L104" si="47">+D101-H101</f>
        <v>-50.680000000000007</v>
      </c>
      <c r="M101" s="1"/>
      <c r="N101" s="5">
        <f t="shared" ref="N101:N104" si="48">IF(H101=0,0,L101/H101)</f>
        <v>-0.21797849462365596</v>
      </c>
      <c r="O101" s="13"/>
      <c r="P101" s="1">
        <f>SUM(OSRRefP22_14x_0)</f>
        <v>1820.46</v>
      </c>
      <c r="Q101" s="1"/>
      <c r="R101" s="5">
        <f t="shared" ref="R101:R104" si="49">IF(P$12=0,0,P101/P$12)</f>
        <v>7.8364257296279459E-3</v>
      </c>
      <c r="S101" s="1"/>
      <c r="T101" s="1">
        <f>SUM(OSRRefT22_14x_0)</f>
        <v>1162.5</v>
      </c>
      <c r="U101" s="1"/>
      <c r="V101" s="5">
        <f t="shared" ref="V101:V104" si="50">IF(T$12=0,0,T101/T$12)</f>
        <v>4.8819216374743086E-3</v>
      </c>
      <c r="W101" s="1"/>
      <c r="X101" s="1">
        <f t="shared" ref="X101:X104" si="51">+P101-T101</f>
        <v>657.96</v>
      </c>
      <c r="Y101" s="1"/>
      <c r="Z101" s="5">
        <f t="shared" ref="Z101:Z104" si="52">IF(T101=0,0,X101/T101)</f>
        <v>0.56598709677419357</v>
      </c>
    </row>
    <row r="102" spans="1:26" s="24" customFormat="1" hidden="1" outlineLevel="2" x14ac:dyDescent="0.25">
      <c r="A102" s="25"/>
      <c r="B102" s="11" t="str">
        <f>CONCATENATE("          ", "6283", " - ", "PLANT SERVICE")</f>
        <v xml:space="preserve">          6283 - PLANT SERVICE</v>
      </c>
      <c r="C102" s="11"/>
      <c r="D102" s="6"/>
      <c r="E102" s="2"/>
      <c r="F102" s="7">
        <f t="shared" si="45"/>
        <v>0</v>
      </c>
      <c r="G102" s="2"/>
      <c r="H102" s="6">
        <v>60</v>
      </c>
      <c r="I102" s="2"/>
      <c r="J102" s="7">
        <f t="shared" si="46"/>
        <v>1.2713059908457357E-3</v>
      </c>
      <c r="K102" s="2"/>
      <c r="L102" s="6">
        <f t="shared" si="47"/>
        <v>-60</v>
      </c>
      <c r="M102" s="2"/>
      <c r="N102" s="7">
        <f t="shared" si="48"/>
        <v>-1</v>
      </c>
      <c r="O102" s="11"/>
      <c r="P102" s="6">
        <v>178.65</v>
      </c>
      <c r="Q102" s="2"/>
      <c r="R102" s="7">
        <f t="shared" si="49"/>
        <v>7.6902401403932666E-4</v>
      </c>
      <c r="S102" s="2"/>
      <c r="T102" s="6">
        <v>300</v>
      </c>
      <c r="U102" s="2"/>
      <c r="V102" s="7">
        <f t="shared" si="50"/>
        <v>1.2598507451546603E-3</v>
      </c>
      <c r="W102" s="2"/>
      <c r="X102" s="6">
        <f t="shared" si="51"/>
        <v>-121.35</v>
      </c>
      <c r="Y102" s="2"/>
      <c r="Z102" s="7">
        <f t="shared" si="52"/>
        <v>-0.40449999999999997</v>
      </c>
    </row>
    <row r="103" spans="1:26" s="24" customFormat="1" hidden="1" outlineLevel="2" x14ac:dyDescent="0.25">
      <c r="A103" s="25"/>
      <c r="B103" s="11" t="str">
        <f>CONCATENATE("          ", "6284", " - ", "TRASH REMOVAL EXPENSE")</f>
        <v xml:space="preserve">          6284 - TRASH REMOVAL EXPENSE</v>
      </c>
      <c r="C103" s="11"/>
      <c r="D103" s="6">
        <v>134.82</v>
      </c>
      <c r="E103" s="2"/>
      <c r="F103" s="7">
        <f t="shared" si="45"/>
        <v>3.562990565289781E-3</v>
      </c>
      <c r="G103" s="2"/>
      <c r="H103" s="6">
        <v>62.5</v>
      </c>
      <c r="I103" s="2"/>
      <c r="J103" s="7">
        <f t="shared" si="46"/>
        <v>1.3242770737976412E-3</v>
      </c>
      <c r="K103" s="2"/>
      <c r="L103" s="6">
        <f t="shared" si="47"/>
        <v>72.319999999999993</v>
      </c>
      <c r="M103" s="2"/>
      <c r="N103" s="7">
        <f t="shared" si="48"/>
        <v>1.1571199999999999</v>
      </c>
      <c r="O103" s="11"/>
      <c r="P103" s="6">
        <v>674.1</v>
      </c>
      <c r="Q103" s="2"/>
      <c r="R103" s="7">
        <f t="shared" si="49"/>
        <v>2.9017581184657714E-3</v>
      </c>
      <c r="S103" s="2"/>
      <c r="T103" s="6">
        <v>312.5</v>
      </c>
      <c r="U103" s="2"/>
      <c r="V103" s="7">
        <f t="shared" si="50"/>
        <v>1.3123445262027713E-3</v>
      </c>
      <c r="W103" s="2"/>
      <c r="X103" s="6">
        <f t="shared" si="51"/>
        <v>361.6</v>
      </c>
      <c r="Y103" s="2"/>
      <c r="Z103" s="7">
        <f t="shared" si="52"/>
        <v>1.1571200000000001</v>
      </c>
    </row>
    <row r="104" spans="1:26" s="24" customFormat="1" hidden="1" outlineLevel="2" x14ac:dyDescent="0.25">
      <c r="A104" s="25"/>
      <c r="B104" s="11" t="str">
        <f>CONCATENATE("          ", "6285", " - ", "JANITORIAL SERVICES")</f>
        <v xml:space="preserve">          6285 - JANITORIAL SERVICES</v>
      </c>
      <c r="C104" s="11"/>
      <c r="D104" s="6">
        <v>47</v>
      </c>
      <c r="E104" s="2"/>
      <c r="F104" s="7">
        <f t="shared" si="45"/>
        <v>1.2421047067840061E-3</v>
      </c>
      <c r="G104" s="2"/>
      <c r="H104" s="6">
        <v>110</v>
      </c>
      <c r="I104" s="2"/>
      <c r="J104" s="7">
        <f t="shared" si="46"/>
        <v>2.3307276498838489E-3</v>
      </c>
      <c r="K104" s="2"/>
      <c r="L104" s="6">
        <f t="shared" si="47"/>
        <v>-63</v>
      </c>
      <c r="M104" s="2"/>
      <c r="N104" s="7">
        <f t="shared" si="48"/>
        <v>-0.57272727272727275</v>
      </c>
      <c r="O104" s="11"/>
      <c r="P104" s="6">
        <v>967.71</v>
      </c>
      <c r="Q104" s="2"/>
      <c r="R104" s="7">
        <f t="shared" si="49"/>
        <v>4.1656435971228478E-3</v>
      </c>
      <c r="S104" s="2"/>
      <c r="T104" s="6">
        <v>550</v>
      </c>
      <c r="U104" s="2"/>
      <c r="V104" s="7">
        <f t="shared" si="50"/>
        <v>2.3097263661168775E-3</v>
      </c>
      <c r="W104" s="2"/>
      <c r="X104" s="6">
        <f t="shared" si="51"/>
        <v>417.71000000000004</v>
      </c>
      <c r="Y104" s="2"/>
      <c r="Z104" s="7">
        <f t="shared" si="52"/>
        <v>0.7594727272727273</v>
      </c>
    </row>
    <row r="105" spans="1:26" s="26" customFormat="1" outlineLevel="1" collapsed="1" x14ac:dyDescent="0.25">
      <c r="A105" s="27"/>
      <c r="B105" s="13" t="str">
        <f>CONCATENATE("     ","Subscriptions &amp; Dues                              ")</f>
        <v xml:space="preserve">     Subscriptions &amp; Dues                              </v>
      </c>
      <c r="C105" s="13"/>
      <c r="D105" s="1">
        <f>SUM(OSRRefD22_15x_0)</f>
        <v>0</v>
      </c>
      <c r="E105" s="1"/>
      <c r="F105" s="5">
        <f t="shared" ref="F105:F107" si="53">IF(D$12=0,0,D105/D$12)</f>
        <v>0</v>
      </c>
      <c r="G105" s="1"/>
      <c r="H105" s="1">
        <f>SUM(OSRRefH22_15x_0)</f>
        <v>215</v>
      </c>
      <c r="I105" s="1"/>
      <c r="J105" s="5">
        <f t="shared" ref="J105:J107" si="54">IF(H$12=0,0,H105/H$12)</f>
        <v>4.5555131338638859E-3</v>
      </c>
      <c r="K105" s="1"/>
      <c r="L105" s="1">
        <f t="shared" ref="L105:L107" si="55">+D105-H105</f>
        <v>-215</v>
      </c>
      <c r="M105" s="1"/>
      <c r="N105" s="5">
        <f t="shared" ref="N105:N107" si="56">IF(H105=0,0,L105/H105)</f>
        <v>-1</v>
      </c>
      <c r="O105" s="13"/>
      <c r="P105" s="1">
        <f>SUM(OSRRefP22_15x_0)</f>
        <v>88.42</v>
      </c>
      <c r="Q105" s="1"/>
      <c r="R105" s="5">
        <f t="shared" ref="R105:R107" si="57">IF(P$12=0,0,P105/P$12)</f>
        <v>3.8061630742433394E-4</v>
      </c>
      <c r="S105" s="1"/>
      <c r="T105" s="1">
        <f>SUM(OSRRefT22_15x_0)</f>
        <v>1620</v>
      </c>
      <c r="U105" s="1"/>
      <c r="V105" s="5">
        <f t="shared" ref="V105:V107" si="58">IF(T$12=0,0,T105/T$12)</f>
        <v>6.8031940238351659E-3</v>
      </c>
      <c r="W105" s="1"/>
      <c r="X105" s="1">
        <f t="shared" ref="X105:X107" si="59">+P105-T105</f>
        <v>-1531.58</v>
      </c>
      <c r="Y105" s="1"/>
      <c r="Z105" s="5">
        <f t="shared" ref="Z105:Z107" si="60">IF(T105=0,0,X105/T105)</f>
        <v>-0.94541975308641968</v>
      </c>
    </row>
    <row r="106" spans="1:26" s="24" customFormat="1" hidden="1" outlineLevel="2" x14ac:dyDescent="0.25">
      <c r="A106" s="25"/>
      <c r="B106" s="11" t="str">
        <f>CONCATENATE("          ", "6258", " - ", "MEMBERSHIP DUES")</f>
        <v xml:space="preserve">          6258 - MEMBERSHIP DUES</v>
      </c>
      <c r="C106" s="11"/>
      <c r="D106" s="6"/>
      <c r="E106" s="2"/>
      <c r="F106" s="7">
        <f t="shared" si="53"/>
        <v>0</v>
      </c>
      <c r="G106" s="2"/>
      <c r="H106" s="6">
        <v>0</v>
      </c>
      <c r="I106" s="2"/>
      <c r="J106" s="7">
        <f t="shared" si="54"/>
        <v>0</v>
      </c>
      <c r="K106" s="2"/>
      <c r="L106" s="6">
        <f t="shared" si="55"/>
        <v>0</v>
      </c>
      <c r="M106" s="2"/>
      <c r="N106" s="7">
        <f t="shared" si="56"/>
        <v>0</v>
      </c>
      <c r="O106" s="11"/>
      <c r="P106" s="6"/>
      <c r="Q106" s="2"/>
      <c r="R106" s="7">
        <f t="shared" si="57"/>
        <v>0</v>
      </c>
      <c r="S106" s="2"/>
      <c r="T106" s="6">
        <v>395</v>
      </c>
      <c r="U106" s="2"/>
      <c r="V106" s="7">
        <f t="shared" si="58"/>
        <v>1.6588034811203028E-3</v>
      </c>
      <c r="W106" s="2"/>
      <c r="X106" s="6">
        <f t="shared" si="59"/>
        <v>-395</v>
      </c>
      <c r="Y106" s="2"/>
      <c r="Z106" s="7">
        <f t="shared" si="60"/>
        <v>-1</v>
      </c>
    </row>
    <row r="107" spans="1:26" s="24" customFormat="1" hidden="1" outlineLevel="2" x14ac:dyDescent="0.25">
      <c r="A107" s="25"/>
      <c r="B107" s="11" t="str">
        <f>CONCATENATE("          ", "6275", " - ", "SUBSCRIPTIONS")</f>
        <v xml:space="preserve">          6275 - SUBSCRIPTIONS</v>
      </c>
      <c r="C107" s="11"/>
      <c r="D107" s="6"/>
      <c r="E107" s="2"/>
      <c r="F107" s="7">
        <f t="shared" si="53"/>
        <v>0</v>
      </c>
      <c r="G107" s="2"/>
      <c r="H107" s="6">
        <v>215</v>
      </c>
      <c r="I107" s="2"/>
      <c r="J107" s="7">
        <f t="shared" si="54"/>
        <v>4.5555131338638859E-3</v>
      </c>
      <c r="K107" s="2"/>
      <c r="L107" s="6">
        <f t="shared" si="55"/>
        <v>-215</v>
      </c>
      <c r="M107" s="2"/>
      <c r="N107" s="7">
        <f t="shared" si="56"/>
        <v>-1</v>
      </c>
      <c r="O107" s="11"/>
      <c r="P107" s="6">
        <v>88.42</v>
      </c>
      <c r="Q107" s="2"/>
      <c r="R107" s="7">
        <f t="shared" si="57"/>
        <v>3.8061630742433394E-4</v>
      </c>
      <c r="S107" s="2"/>
      <c r="T107" s="6">
        <v>1225</v>
      </c>
      <c r="U107" s="2"/>
      <c r="V107" s="7">
        <f t="shared" si="58"/>
        <v>5.1443905427148631E-3</v>
      </c>
      <c r="W107" s="2"/>
      <c r="X107" s="6">
        <f t="shared" si="59"/>
        <v>-1136.58</v>
      </c>
      <c r="Y107" s="2"/>
      <c r="Z107" s="7">
        <f t="shared" si="60"/>
        <v>-0.92782040816326528</v>
      </c>
    </row>
    <row r="108" spans="1:26" s="26" customFormat="1" outlineLevel="1" collapsed="1" x14ac:dyDescent="0.25">
      <c r="A108" s="27"/>
      <c r="B108" s="13" t="str">
        <f>CONCATENATE("     ","Supplies                                          ")</f>
        <v xml:space="preserve">     Supplies                                          </v>
      </c>
      <c r="C108" s="13"/>
      <c r="D108" s="1">
        <f>SUM(OSRRefD22_16x_0)</f>
        <v>43.09</v>
      </c>
      <c r="E108" s="1"/>
      <c r="F108" s="5">
        <f t="shared" ref="F108:F113" si="61">IF(D$12=0,0,D108/D$12)</f>
        <v>1.1387721662834646E-3</v>
      </c>
      <c r="G108" s="1"/>
      <c r="H108" s="1">
        <f>SUM(OSRRefH22_16x_0)</f>
        <v>235</v>
      </c>
      <c r="I108" s="1"/>
      <c r="J108" s="5">
        <f t="shared" ref="J108:J113" si="62">IF(H$12=0,0,H108/H$12)</f>
        <v>4.9792817974791308E-3</v>
      </c>
      <c r="K108" s="1"/>
      <c r="L108" s="1">
        <f t="shared" ref="L108:L113" si="63">+D108-H108</f>
        <v>-191.91</v>
      </c>
      <c r="M108" s="1"/>
      <c r="N108" s="5">
        <f t="shared" ref="N108:N113" si="64">IF(H108=0,0,L108/H108)</f>
        <v>-0.81663829787234044</v>
      </c>
      <c r="O108" s="13"/>
      <c r="P108" s="1">
        <f>SUM(OSRRefP22_16x_0)</f>
        <v>1458.1299999999999</v>
      </c>
      <c r="Q108" s="1"/>
      <c r="R108" s="5">
        <f t="shared" ref="R108:R113" si="65">IF(P$12=0,0,P108/P$12)</f>
        <v>6.2767253601520474E-3</v>
      </c>
      <c r="S108" s="1"/>
      <c r="T108" s="1">
        <f>SUM(OSRRefT22_16x_0)</f>
        <v>2275</v>
      </c>
      <c r="U108" s="1"/>
      <c r="V108" s="5">
        <f t="shared" ref="V108:V113" si="66">IF(T$12=0,0,T108/T$12)</f>
        <v>9.553868150756175E-3</v>
      </c>
      <c r="W108" s="1"/>
      <c r="X108" s="1">
        <f t="shared" ref="X108:X113" si="67">+P108-T108</f>
        <v>-816.87000000000012</v>
      </c>
      <c r="Y108" s="1"/>
      <c r="Z108" s="5">
        <f t="shared" ref="Z108:Z113" si="68">IF(T108=0,0,X108/T108)</f>
        <v>-0.35906373626373633</v>
      </c>
    </row>
    <row r="109" spans="1:26" s="24" customFormat="1" hidden="1" outlineLevel="2" x14ac:dyDescent="0.25">
      <c r="A109" s="25"/>
      <c r="B109" s="11" t="str">
        <f>CONCATENATE("          ", "6234", " - ", "EXPENDABLE SUPPLIES &amp; EQUIPMEN")</f>
        <v xml:space="preserve">          6234 - EXPENDABLE SUPPLIES &amp; EQUIPMEN</v>
      </c>
      <c r="C109" s="11"/>
      <c r="D109" s="6"/>
      <c r="E109" s="2"/>
      <c r="F109" s="7">
        <f t="shared" si="61"/>
        <v>0</v>
      </c>
      <c r="G109" s="2"/>
      <c r="H109" s="6">
        <v>100</v>
      </c>
      <c r="I109" s="2"/>
      <c r="J109" s="7">
        <f t="shared" si="62"/>
        <v>2.118843318076226E-3</v>
      </c>
      <c r="K109" s="2"/>
      <c r="L109" s="6">
        <f t="shared" si="63"/>
        <v>-100</v>
      </c>
      <c r="M109" s="2"/>
      <c r="N109" s="7">
        <f t="shared" si="64"/>
        <v>-1</v>
      </c>
      <c r="O109" s="11"/>
      <c r="P109" s="6"/>
      <c r="Q109" s="2"/>
      <c r="R109" s="7">
        <f t="shared" si="65"/>
        <v>0</v>
      </c>
      <c r="S109" s="2"/>
      <c r="T109" s="6">
        <v>850</v>
      </c>
      <c r="U109" s="2"/>
      <c r="V109" s="7">
        <f t="shared" si="66"/>
        <v>3.5695771112715375E-3</v>
      </c>
      <c r="W109" s="2"/>
      <c r="X109" s="6">
        <f t="shared" si="67"/>
        <v>-850</v>
      </c>
      <c r="Y109" s="2"/>
      <c r="Z109" s="7">
        <f t="shared" si="68"/>
        <v>-1</v>
      </c>
    </row>
    <row r="110" spans="1:26" s="24" customFormat="1" hidden="1" outlineLevel="2" x14ac:dyDescent="0.25">
      <c r="A110" s="25"/>
      <c r="B110" s="11" t="str">
        <f>CONCATENATE("          ", "6237", " - ", "JANITORIAL SUPPLIES")</f>
        <v xml:space="preserve">          6237 - JANITORIAL SUPPLIES</v>
      </c>
      <c r="C110" s="11"/>
      <c r="D110" s="6"/>
      <c r="E110" s="2"/>
      <c r="F110" s="7">
        <f t="shared" si="61"/>
        <v>0</v>
      </c>
      <c r="G110" s="2"/>
      <c r="H110" s="6">
        <v>10</v>
      </c>
      <c r="I110" s="2"/>
      <c r="J110" s="7">
        <f t="shared" si="62"/>
        <v>2.118843318076226E-4</v>
      </c>
      <c r="K110" s="2"/>
      <c r="L110" s="6">
        <f t="shared" si="63"/>
        <v>-10</v>
      </c>
      <c r="M110" s="2"/>
      <c r="N110" s="7">
        <f t="shared" si="64"/>
        <v>-1</v>
      </c>
      <c r="O110" s="11"/>
      <c r="P110" s="6">
        <v>287.72000000000003</v>
      </c>
      <c r="Q110" s="2"/>
      <c r="R110" s="7">
        <f t="shared" si="65"/>
        <v>1.2385311464841594E-3</v>
      </c>
      <c r="S110" s="2"/>
      <c r="T110" s="6">
        <v>100</v>
      </c>
      <c r="U110" s="2"/>
      <c r="V110" s="7">
        <f t="shared" si="66"/>
        <v>4.1995024838488681E-4</v>
      </c>
      <c r="W110" s="2"/>
      <c r="X110" s="6">
        <f t="shared" si="67"/>
        <v>187.72000000000003</v>
      </c>
      <c r="Y110" s="2"/>
      <c r="Z110" s="7">
        <f t="shared" si="68"/>
        <v>1.8772000000000002</v>
      </c>
    </row>
    <row r="111" spans="1:26" s="24" customFormat="1" hidden="1" outlineLevel="2" x14ac:dyDescent="0.25">
      <c r="A111" s="25"/>
      <c r="B111" s="11" t="str">
        <f>CONCATENATE("          ", "6241", " - ", "OFFICE EXPENSE")</f>
        <v xml:space="preserve">          6241 - OFFICE EXPENSE</v>
      </c>
      <c r="C111" s="11"/>
      <c r="D111" s="6">
        <v>22.97</v>
      </c>
      <c r="E111" s="2"/>
      <c r="F111" s="7">
        <f t="shared" si="61"/>
        <v>6.0704564074103452E-4</v>
      </c>
      <c r="G111" s="2"/>
      <c r="H111" s="6">
        <v>100</v>
      </c>
      <c r="I111" s="2"/>
      <c r="J111" s="7">
        <f t="shared" si="62"/>
        <v>2.118843318076226E-3</v>
      </c>
      <c r="K111" s="2"/>
      <c r="L111" s="6">
        <f t="shared" si="63"/>
        <v>-77.03</v>
      </c>
      <c r="M111" s="2"/>
      <c r="N111" s="7">
        <f t="shared" si="64"/>
        <v>-0.77029999999999998</v>
      </c>
      <c r="O111" s="11"/>
      <c r="P111" s="6">
        <v>1150.29</v>
      </c>
      <c r="Q111" s="2"/>
      <c r="R111" s="7">
        <f t="shared" si="65"/>
        <v>4.9515848480789085E-3</v>
      </c>
      <c r="S111" s="2"/>
      <c r="T111" s="6">
        <v>1200</v>
      </c>
      <c r="U111" s="2"/>
      <c r="V111" s="7">
        <f t="shared" si="66"/>
        <v>5.0394029806186411E-3</v>
      </c>
      <c r="W111" s="2"/>
      <c r="X111" s="6">
        <f t="shared" si="67"/>
        <v>-49.710000000000036</v>
      </c>
      <c r="Y111" s="2"/>
      <c r="Z111" s="7">
        <f t="shared" si="68"/>
        <v>-4.1425000000000031E-2</v>
      </c>
    </row>
    <row r="112" spans="1:26" s="24" customFormat="1" hidden="1" outlineLevel="2" x14ac:dyDescent="0.25">
      <c r="A112" s="25"/>
      <c r="B112" s="11" t="str">
        <f>CONCATENATE("          ", "6247", " - ", "STORE SUPPLIES")</f>
        <v xml:space="preserve">          6247 - STORE SUPPLIES</v>
      </c>
      <c r="C112" s="11"/>
      <c r="D112" s="6">
        <v>20.12</v>
      </c>
      <c r="E112" s="2"/>
      <c r="F112" s="7">
        <f t="shared" si="61"/>
        <v>5.3172652554242994E-4</v>
      </c>
      <c r="G112" s="2"/>
      <c r="H112" s="6">
        <v>25</v>
      </c>
      <c r="I112" s="2"/>
      <c r="J112" s="7">
        <f t="shared" si="62"/>
        <v>5.2971082951905649E-4</v>
      </c>
      <c r="K112" s="2"/>
      <c r="L112" s="6">
        <f t="shared" si="63"/>
        <v>-4.879999999999999</v>
      </c>
      <c r="M112" s="2"/>
      <c r="N112" s="7">
        <f t="shared" si="64"/>
        <v>-0.19519999999999996</v>
      </c>
      <c r="O112" s="11"/>
      <c r="P112" s="6">
        <v>20.12</v>
      </c>
      <c r="Q112" s="2"/>
      <c r="R112" s="7">
        <f t="shared" si="65"/>
        <v>8.6609365588979863E-5</v>
      </c>
      <c r="S112" s="2"/>
      <c r="T112" s="6">
        <v>125</v>
      </c>
      <c r="U112" s="2"/>
      <c r="V112" s="7">
        <f t="shared" si="66"/>
        <v>5.249378104811085E-4</v>
      </c>
      <c r="W112" s="2"/>
      <c r="X112" s="6">
        <f t="shared" si="67"/>
        <v>-104.88</v>
      </c>
      <c r="Y112" s="2"/>
      <c r="Z112" s="7">
        <f t="shared" si="68"/>
        <v>-0.83904000000000001</v>
      </c>
    </row>
    <row r="113" spans="1:26" s="24" customFormat="1" hidden="1" outlineLevel="2" x14ac:dyDescent="0.25">
      <c r="A113" s="25"/>
      <c r="B113" s="11" t="str">
        <f>CONCATENATE("          ", "6248", " - ", "UNIFORMS")</f>
        <v xml:space="preserve">          6248 - UNIFORMS</v>
      </c>
      <c r="C113" s="11"/>
      <c r="D113" s="6"/>
      <c r="E113" s="2"/>
      <c r="F113" s="7">
        <f t="shared" si="61"/>
        <v>0</v>
      </c>
      <c r="G113" s="2"/>
      <c r="H113" s="6">
        <v>0</v>
      </c>
      <c r="I113" s="2"/>
      <c r="J113" s="7">
        <f t="shared" si="62"/>
        <v>0</v>
      </c>
      <c r="K113" s="2"/>
      <c r="L113" s="6">
        <f t="shared" si="63"/>
        <v>0</v>
      </c>
      <c r="M113" s="2"/>
      <c r="N113" s="7">
        <f t="shared" si="64"/>
        <v>0</v>
      </c>
      <c r="O113" s="11"/>
      <c r="P113" s="6"/>
      <c r="Q113" s="2"/>
      <c r="R113" s="7">
        <f t="shared" si="65"/>
        <v>0</v>
      </c>
      <c r="S113" s="2"/>
      <c r="T113" s="6">
        <v>0</v>
      </c>
      <c r="U113" s="2"/>
      <c r="V113" s="7">
        <f t="shared" si="66"/>
        <v>0</v>
      </c>
      <c r="W113" s="2"/>
      <c r="X113" s="6">
        <f t="shared" si="67"/>
        <v>0</v>
      </c>
      <c r="Y113" s="2"/>
      <c r="Z113" s="7">
        <f t="shared" si="68"/>
        <v>0</v>
      </c>
    </row>
    <row r="114" spans="1:26" s="26" customFormat="1" outlineLevel="1" collapsed="1" x14ac:dyDescent="0.25">
      <c r="A114" s="27"/>
      <c r="B114" s="13" t="str">
        <f>CONCATENATE("     ","Telephone/Data Lines                              ")</f>
        <v xml:space="preserve">     Telephone/Data Lines                              </v>
      </c>
      <c r="C114" s="13"/>
      <c r="D114" s="1">
        <f>SUM(OSRRefD22_17x_0)</f>
        <v>71.760000000000005</v>
      </c>
      <c r="E114" s="1"/>
      <c r="F114" s="5">
        <f t="shared" ref="F114:F116" si="69">IF(D$12=0,0,D114/D$12)</f>
        <v>1.8964560374217082E-3</v>
      </c>
      <c r="G114" s="1"/>
      <c r="H114" s="1">
        <f>SUM(OSRRefH22_17x_0)</f>
        <v>400</v>
      </c>
      <c r="I114" s="1"/>
      <c r="J114" s="5">
        <f t="shared" ref="J114:J116" si="70">IF(H$12=0,0,H114/H$12)</f>
        <v>8.4753732723049039E-3</v>
      </c>
      <c r="K114" s="1"/>
      <c r="L114" s="1">
        <f t="shared" ref="L114:L116" si="71">+D114-H114</f>
        <v>-328.24</v>
      </c>
      <c r="M114" s="1"/>
      <c r="N114" s="5">
        <f t="shared" ref="N114:N116" si="72">IF(H114=0,0,L114/H114)</f>
        <v>-0.8206</v>
      </c>
      <c r="O114" s="13"/>
      <c r="P114" s="1">
        <f>SUM(OSRRefP22_17x_0)</f>
        <v>1485.93</v>
      </c>
      <c r="Q114" s="1"/>
      <c r="R114" s="5">
        <f t="shared" ref="R114:R116" si="73">IF(P$12=0,0,P114/P$12)</f>
        <v>6.3963943642958666E-3</v>
      </c>
      <c r="S114" s="1"/>
      <c r="T114" s="1">
        <f>SUM(OSRRefT22_17x_0)</f>
        <v>3075</v>
      </c>
      <c r="U114" s="1"/>
      <c r="V114" s="5">
        <f t="shared" ref="V114:V116" si="74">IF(T$12=0,0,T114/T$12)</f>
        <v>1.2913470137835269E-2</v>
      </c>
      <c r="W114" s="1"/>
      <c r="X114" s="1">
        <f t="shared" ref="X114:X116" si="75">+P114-T114</f>
        <v>-1589.07</v>
      </c>
      <c r="Y114" s="1"/>
      <c r="Z114" s="5">
        <f t="shared" ref="Z114:Z116" si="76">IF(T114=0,0,X114/T114)</f>
        <v>-0.51677073170731702</v>
      </c>
    </row>
    <row r="115" spans="1:26" s="24" customFormat="1" hidden="1" outlineLevel="2" x14ac:dyDescent="0.25">
      <c r="A115" s="25"/>
      <c r="B115" s="11" t="str">
        <f>CONCATENATE("          ", "6303", " - ", "DATA PHONE LINES")</f>
        <v xml:space="preserve">          6303 - DATA PHONE LINES</v>
      </c>
      <c r="C115" s="11"/>
      <c r="D115" s="6"/>
      <c r="E115" s="2"/>
      <c r="F115" s="7">
        <f t="shared" si="69"/>
        <v>0</v>
      </c>
      <c r="G115" s="2"/>
      <c r="H115" s="6">
        <v>400</v>
      </c>
      <c r="I115" s="2"/>
      <c r="J115" s="7">
        <f t="shared" si="70"/>
        <v>8.4753732723049039E-3</v>
      </c>
      <c r="K115" s="2"/>
      <c r="L115" s="6">
        <f t="shared" si="71"/>
        <v>-400</v>
      </c>
      <c r="M115" s="2"/>
      <c r="N115" s="7">
        <f t="shared" si="72"/>
        <v>-1</v>
      </c>
      <c r="O115" s="11"/>
      <c r="P115" s="6"/>
      <c r="Q115" s="2"/>
      <c r="R115" s="7">
        <f t="shared" si="73"/>
        <v>0</v>
      </c>
      <c r="S115" s="2"/>
      <c r="T115" s="6">
        <v>3075</v>
      </c>
      <c r="U115" s="2"/>
      <c r="V115" s="7">
        <f t="shared" si="74"/>
        <v>1.2913470137835269E-2</v>
      </c>
      <c r="W115" s="2"/>
      <c r="X115" s="6">
        <f t="shared" si="75"/>
        <v>-3075</v>
      </c>
      <c r="Y115" s="2"/>
      <c r="Z115" s="7">
        <f t="shared" si="76"/>
        <v>-1</v>
      </c>
    </row>
    <row r="116" spans="1:26" s="24" customFormat="1" hidden="1" outlineLevel="2" x14ac:dyDescent="0.25">
      <c r="A116" s="25"/>
      <c r="B116" s="11" t="str">
        <f>CONCATENATE("          ", "6309", " - ", "TELEPHONE")</f>
        <v xml:space="preserve">          6309 - TELEPHONE</v>
      </c>
      <c r="C116" s="11"/>
      <c r="D116" s="6">
        <v>71.760000000000005</v>
      </c>
      <c r="E116" s="2"/>
      <c r="F116" s="7">
        <f t="shared" si="69"/>
        <v>1.8964560374217082E-3</v>
      </c>
      <c r="G116" s="2"/>
      <c r="H116" s="6"/>
      <c r="I116" s="2"/>
      <c r="J116" s="7">
        <f t="shared" si="70"/>
        <v>0</v>
      </c>
      <c r="K116" s="2"/>
      <c r="L116" s="6">
        <f t="shared" si="71"/>
        <v>71.760000000000005</v>
      </c>
      <c r="M116" s="2"/>
      <c r="N116" s="7">
        <f t="shared" si="72"/>
        <v>0</v>
      </c>
      <c r="O116" s="11"/>
      <c r="P116" s="6">
        <v>1485.93</v>
      </c>
      <c r="Q116" s="2"/>
      <c r="R116" s="7">
        <f t="shared" si="73"/>
        <v>6.3963943642958666E-3</v>
      </c>
      <c r="S116" s="2"/>
      <c r="T116" s="6"/>
      <c r="U116" s="2"/>
      <c r="V116" s="7">
        <f t="shared" si="74"/>
        <v>0</v>
      </c>
      <c r="W116" s="2"/>
      <c r="X116" s="6">
        <f t="shared" si="75"/>
        <v>1485.93</v>
      </c>
      <c r="Y116" s="2"/>
      <c r="Z116" s="7">
        <f t="shared" si="76"/>
        <v>0</v>
      </c>
    </row>
    <row r="117" spans="1:26" s="26" customFormat="1" outlineLevel="1" collapsed="1" x14ac:dyDescent="0.25">
      <c r="A117" s="27"/>
      <c r="B117" s="13" t="str">
        <f>CONCATENATE("     ","Training                                          ")</f>
        <v xml:space="preserve">     Training                                          </v>
      </c>
      <c r="C117" s="13"/>
      <c r="D117" s="1">
        <f>SUM(OSRRefD22_18x_0)</f>
        <v>0</v>
      </c>
      <c r="E117" s="1"/>
      <c r="F117" s="5">
        <f t="shared" ref="F117:F122" si="77">IF(D$12=0,0,D117/D$12)</f>
        <v>0</v>
      </c>
      <c r="G117" s="1"/>
      <c r="H117" s="1">
        <f>SUM(OSRRefH22_18x_0)</f>
        <v>0</v>
      </c>
      <c r="I117" s="1"/>
      <c r="J117" s="5">
        <f t="shared" ref="J117:J122" si="78">IF(H$12=0,0,H117/H$12)</f>
        <v>0</v>
      </c>
      <c r="K117" s="1"/>
      <c r="L117" s="1">
        <f t="shared" ref="L117:L122" si="79">+D117-H117</f>
        <v>0</v>
      </c>
      <c r="M117" s="1"/>
      <c r="N117" s="5">
        <f t="shared" ref="N117:N122" si="80">IF(H117=0,0,L117/H117)</f>
        <v>0</v>
      </c>
      <c r="O117" s="13"/>
      <c r="P117" s="1">
        <f>SUM(OSRRefP22_18x_0)</f>
        <v>0</v>
      </c>
      <c r="Q117" s="1"/>
      <c r="R117" s="5">
        <f t="shared" ref="R117:R122" si="81">IF(P$12=0,0,P117/P$12)</f>
        <v>0</v>
      </c>
      <c r="S117" s="1"/>
      <c r="T117" s="1">
        <f>SUM(OSRRefT22_18x_0)</f>
        <v>0</v>
      </c>
      <c r="U117" s="1"/>
      <c r="V117" s="5">
        <f t="shared" ref="V117:V122" si="82">IF(T$12=0,0,T117/T$12)</f>
        <v>0</v>
      </c>
      <c r="W117" s="1"/>
      <c r="X117" s="1">
        <f t="shared" ref="X117:X122" si="83">+P117-T117</f>
        <v>0</v>
      </c>
      <c r="Y117" s="1"/>
      <c r="Z117" s="5">
        <f t="shared" ref="Z117:Z122" si="84">IF(T117=0,0,X117/T117)</f>
        <v>0</v>
      </c>
    </row>
    <row r="118" spans="1:26" s="24" customFormat="1" hidden="1" outlineLevel="2" x14ac:dyDescent="0.25">
      <c r="A118" s="25"/>
      <c r="B118" s="11" t="str">
        <f>CONCATENATE("          ", "6376", " - ", "TRAINING")</f>
        <v xml:space="preserve">          6376 - TRAINING</v>
      </c>
      <c r="C118" s="11"/>
      <c r="D118" s="6"/>
      <c r="E118" s="2"/>
      <c r="F118" s="7">
        <f t="shared" si="77"/>
        <v>0</v>
      </c>
      <c r="G118" s="2"/>
      <c r="H118" s="6">
        <v>0</v>
      </c>
      <c r="I118" s="2"/>
      <c r="J118" s="7">
        <f t="shared" si="78"/>
        <v>0</v>
      </c>
      <c r="K118" s="2"/>
      <c r="L118" s="6">
        <f t="shared" si="79"/>
        <v>0</v>
      </c>
      <c r="M118" s="2"/>
      <c r="N118" s="7">
        <f t="shared" si="80"/>
        <v>0</v>
      </c>
      <c r="O118" s="11"/>
      <c r="P118" s="6"/>
      <c r="Q118" s="2"/>
      <c r="R118" s="7">
        <f t="shared" si="81"/>
        <v>0</v>
      </c>
      <c r="S118" s="2"/>
      <c r="T118" s="6">
        <v>0</v>
      </c>
      <c r="U118" s="2"/>
      <c r="V118" s="7">
        <f t="shared" si="82"/>
        <v>0</v>
      </c>
      <c r="W118" s="2"/>
      <c r="X118" s="6">
        <f t="shared" si="83"/>
        <v>0</v>
      </c>
      <c r="Y118" s="2"/>
      <c r="Z118" s="7">
        <f t="shared" si="84"/>
        <v>0</v>
      </c>
    </row>
    <row r="119" spans="1:26" s="26" customFormat="1" outlineLevel="1" collapsed="1" x14ac:dyDescent="0.25">
      <c r="A119" s="27"/>
      <c r="B119" s="13" t="str">
        <f>CONCATENATE("     ","Travel                                            ")</f>
        <v xml:space="preserve">     Travel                                            </v>
      </c>
      <c r="C119" s="13"/>
      <c r="D119" s="1">
        <f>SUM(OSRRefD22_19x_0)</f>
        <v>44.52</v>
      </c>
      <c r="E119" s="1"/>
      <c r="F119" s="5">
        <f t="shared" si="77"/>
        <v>1.1765638626813609E-3</v>
      </c>
      <c r="G119" s="1"/>
      <c r="H119" s="1">
        <f>SUM(OSRRefH22_19x_0)</f>
        <v>25</v>
      </c>
      <c r="I119" s="1"/>
      <c r="J119" s="5">
        <f t="shared" si="78"/>
        <v>5.2971082951905649E-4</v>
      </c>
      <c r="K119" s="1"/>
      <c r="L119" s="1">
        <f t="shared" si="79"/>
        <v>19.520000000000003</v>
      </c>
      <c r="M119" s="1"/>
      <c r="N119" s="5">
        <f t="shared" si="80"/>
        <v>0.78080000000000016</v>
      </c>
      <c r="O119" s="13"/>
      <c r="P119" s="1">
        <f>SUM(OSRRefP22_19x_0)</f>
        <v>480.99</v>
      </c>
      <c r="Q119" s="1"/>
      <c r="R119" s="5">
        <f t="shared" si="81"/>
        <v>2.0704890037099117E-3</v>
      </c>
      <c r="S119" s="1"/>
      <c r="T119" s="1">
        <f>SUM(OSRRefT22_19x_0)</f>
        <v>260</v>
      </c>
      <c r="U119" s="1"/>
      <c r="V119" s="5">
        <f t="shared" si="82"/>
        <v>1.0918706458007057E-3</v>
      </c>
      <c r="W119" s="1"/>
      <c r="X119" s="1">
        <f t="shared" si="83"/>
        <v>220.99</v>
      </c>
      <c r="Y119" s="1"/>
      <c r="Z119" s="5">
        <f t="shared" si="84"/>
        <v>0.84996153846153855</v>
      </c>
    </row>
    <row r="120" spans="1:26" s="24" customFormat="1" hidden="1" outlineLevel="2" x14ac:dyDescent="0.25">
      <c r="A120" s="25"/>
      <c r="B120" s="11" t="str">
        <f>CONCATENATE("          ", "6294", " - ", "TRAVEL OPERATIONAL")</f>
        <v xml:space="preserve">          6294 - TRAVEL OPERATIONAL</v>
      </c>
      <c r="C120" s="11"/>
      <c r="D120" s="6">
        <v>44.52</v>
      </c>
      <c r="E120" s="2"/>
      <c r="F120" s="7">
        <f t="shared" si="77"/>
        <v>1.1765638626813609E-3</v>
      </c>
      <c r="G120" s="2"/>
      <c r="H120" s="6">
        <v>25</v>
      </c>
      <c r="I120" s="2"/>
      <c r="J120" s="7">
        <f t="shared" si="78"/>
        <v>5.2971082951905649E-4</v>
      </c>
      <c r="K120" s="2"/>
      <c r="L120" s="6">
        <f t="shared" si="79"/>
        <v>19.520000000000003</v>
      </c>
      <c r="M120" s="2"/>
      <c r="N120" s="7">
        <f t="shared" si="80"/>
        <v>0.78080000000000016</v>
      </c>
      <c r="O120" s="11"/>
      <c r="P120" s="6">
        <v>480.99</v>
      </c>
      <c r="Q120" s="2"/>
      <c r="R120" s="7">
        <f t="shared" si="81"/>
        <v>2.0704890037099117E-3</v>
      </c>
      <c r="S120" s="2"/>
      <c r="T120" s="6">
        <v>260</v>
      </c>
      <c r="U120" s="2"/>
      <c r="V120" s="7">
        <f t="shared" si="82"/>
        <v>1.0918706458007057E-3</v>
      </c>
      <c r="W120" s="2"/>
      <c r="X120" s="6">
        <f t="shared" si="83"/>
        <v>220.99</v>
      </c>
      <c r="Y120" s="2"/>
      <c r="Z120" s="7">
        <f t="shared" si="84"/>
        <v>0.84996153846153855</v>
      </c>
    </row>
    <row r="121" spans="1:26" s="26" customFormat="1" outlineLevel="1" collapsed="1" x14ac:dyDescent="0.25">
      <c r="A121" s="27"/>
      <c r="B121" s="13" t="str">
        <f>CONCATENATE("     ","Utilities                                         ")</f>
        <v xml:space="preserve">     Utilities                                         </v>
      </c>
      <c r="C121" s="13"/>
      <c r="D121" s="1">
        <f>SUM(OSRRefD22_20x_0)</f>
        <v>31.26</v>
      </c>
      <c r="E121" s="1"/>
      <c r="F121" s="5">
        <f t="shared" si="77"/>
        <v>8.2613176880995821E-4</v>
      </c>
      <c r="G121" s="1"/>
      <c r="H121" s="1">
        <f>SUM(OSRRefH22_20x_0)</f>
        <v>100</v>
      </c>
      <c r="I121" s="1"/>
      <c r="J121" s="5">
        <f t="shared" si="78"/>
        <v>2.118843318076226E-3</v>
      </c>
      <c r="K121" s="1"/>
      <c r="L121" s="1">
        <f t="shared" si="79"/>
        <v>-68.739999999999995</v>
      </c>
      <c r="M121" s="1"/>
      <c r="N121" s="5">
        <f t="shared" si="80"/>
        <v>-0.6873999999999999</v>
      </c>
      <c r="O121" s="13"/>
      <c r="P121" s="1">
        <f>SUM(OSRRefP22_20x_0)</f>
        <v>226.92</v>
      </c>
      <c r="Q121" s="1"/>
      <c r="R121" s="5">
        <f t="shared" si="81"/>
        <v>9.7680900792501539E-4</v>
      </c>
      <c r="S121" s="1"/>
      <c r="T121" s="1">
        <f>SUM(OSRRefT22_20x_0)</f>
        <v>450</v>
      </c>
      <c r="U121" s="1"/>
      <c r="V121" s="5">
        <f t="shared" si="82"/>
        <v>1.8897761177319905E-3</v>
      </c>
      <c r="W121" s="1"/>
      <c r="X121" s="1">
        <f t="shared" si="83"/>
        <v>-223.08</v>
      </c>
      <c r="Y121" s="1"/>
      <c r="Z121" s="5">
        <f t="shared" si="84"/>
        <v>-0.49573333333333336</v>
      </c>
    </row>
    <row r="122" spans="1:26" s="24" customFormat="1" hidden="1" outlineLevel="2" x14ac:dyDescent="0.25">
      <c r="A122" s="25"/>
      <c r="B122" s="11" t="str">
        <f>CONCATENATE("          ", "6274", " - ", "UTILITIES")</f>
        <v xml:space="preserve">          6274 - UTILITIES</v>
      </c>
      <c r="C122" s="11"/>
      <c r="D122" s="6">
        <v>31.26</v>
      </c>
      <c r="E122" s="2"/>
      <c r="F122" s="7">
        <f t="shared" si="77"/>
        <v>8.2613176880995821E-4</v>
      </c>
      <c r="G122" s="2"/>
      <c r="H122" s="6">
        <v>100</v>
      </c>
      <c r="I122" s="2"/>
      <c r="J122" s="7">
        <f t="shared" si="78"/>
        <v>2.118843318076226E-3</v>
      </c>
      <c r="K122" s="2"/>
      <c r="L122" s="6">
        <f t="shared" si="79"/>
        <v>-68.739999999999995</v>
      </c>
      <c r="M122" s="2"/>
      <c r="N122" s="7">
        <f t="shared" si="80"/>
        <v>-0.6873999999999999</v>
      </c>
      <c r="O122" s="11"/>
      <c r="P122" s="6">
        <v>226.92</v>
      </c>
      <c r="Q122" s="2"/>
      <c r="R122" s="7">
        <f t="shared" si="81"/>
        <v>9.7680900792501539E-4</v>
      </c>
      <c r="S122" s="2"/>
      <c r="T122" s="6">
        <v>450</v>
      </c>
      <c r="U122" s="2"/>
      <c r="V122" s="7">
        <f t="shared" si="82"/>
        <v>1.8897761177319905E-3</v>
      </c>
      <c r="W122" s="2"/>
      <c r="X122" s="6">
        <f t="shared" si="83"/>
        <v>-223.08</v>
      </c>
      <c r="Y122" s="2"/>
      <c r="Z122" s="7">
        <f t="shared" si="84"/>
        <v>-0.49573333333333336</v>
      </c>
    </row>
    <row r="123" spans="1:26" s="59" customFormat="1" x14ac:dyDescent="0.25">
      <c r="A123" s="36"/>
      <c r="B123" s="36"/>
      <c r="C123" s="36"/>
      <c r="D123" s="1"/>
      <c r="E123" s="1"/>
      <c r="F123" s="5"/>
      <c r="G123" s="1"/>
      <c r="H123" s="1"/>
      <c r="I123" s="1"/>
      <c r="J123" s="5"/>
      <c r="K123" s="1"/>
      <c r="L123" s="1"/>
      <c r="M123" s="1"/>
      <c r="N123" s="5"/>
      <c r="O123" s="36"/>
      <c r="P123" s="1"/>
      <c r="Q123" s="1"/>
      <c r="R123" s="5"/>
      <c r="S123" s="1"/>
      <c r="T123" s="1"/>
      <c r="U123" s="1"/>
      <c r="V123" s="5"/>
      <c r="W123" s="1"/>
      <c r="X123" s="1"/>
      <c r="Y123" s="1"/>
      <c r="Z123" s="5"/>
    </row>
    <row r="124" spans="1:26" s="23" customFormat="1" x14ac:dyDescent="0.25">
      <c r="A124" s="10"/>
      <c r="B124" s="29" t="s">
        <v>0</v>
      </c>
      <c r="C124" s="10"/>
      <c r="D124" s="4">
        <f>SUM(0)</f>
        <v>0</v>
      </c>
      <c r="E124" s="4"/>
      <c r="F124" s="12">
        <f>IF(D$12=0,0,D124/D$12)</f>
        <v>0</v>
      </c>
      <c r="G124" s="4"/>
      <c r="H124" s="4">
        <f>SUM(0)</f>
        <v>0</v>
      </c>
      <c r="I124" s="4"/>
      <c r="J124" s="12">
        <f>IF(H$12=0,0,H124/H$12)</f>
        <v>0</v>
      </c>
      <c r="K124" s="4"/>
      <c r="L124" s="4">
        <f>+D124-H124</f>
        <v>0</v>
      </c>
      <c r="M124" s="4"/>
      <c r="N124" s="12">
        <f>IF(H124=0,0,L124/H124)</f>
        <v>0</v>
      </c>
      <c r="O124" s="10"/>
      <c r="P124" s="4">
        <f>SUM(0)</f>
        <v>0</v>
      </c>
      <c r="Q124" s="4"/>
      <c r="R124" s="12">
        <f>IF(P$12=0,0,P124/P$12)</f>
        <v>0</v>
      </c>
      <c r="S124" s="4"/>
      <c r="T124" s="4">
        <f>SUM(0)</f>
        <v>0</v>
      </c>
      <c r="U124" s="4"/>
      <c r="V124" s="12">
        <f>IF(T$12=0,0,T124/T$12)</f>
        <v>0</v>
      </c>
      <c r="W124" s="4"/>
      <c r="X124" s="4">
        <f>+P124-T124</f>
        <v>0</v>
      </c>
      <c r="Y124" s="4"/>
      <c r="Z124" s="12">
        <f>IF(T124=0,0,X124/T124)</f>
        <v>0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10"/>
      <c r="B126" s="28" t="s">
        <v>3</v>
      </c>
      <c r="C126" s="28"/>
      <c r="D126" s="20">
        <f>+D51-D53+D124</f>
        <v>-11265.340000000015</v>
      </c>
      <c r="E126" s="14"/>
      <c r="F126" s="22">
        <f>IF(D$12=0,0,D126/D$12)</f>
        <v>-0.29771769867068415</v>
      </c>
      <c r="G126" s="14"/>
      <c r="H126" s="20">
        <f>+H51-H53+H124</f>
        <v>1028.147706669235</v>
      </c>
      <c r="I126" s="14"/>
      <c r="J126" s="22">
        <f>IF(H$12=0,0,H126/H$12)</f>
        <v>2.1784838982715042E-2</v>
      </c>
      <c r="K126" s="16"/>
      <c r="L126" s="20">
        <f>+D126-H126</f>
        <v>-12293.48770666925</v>
      </c>
      <c r="M126" s="16"/>
      <c r="N126" s="22">
        <f>IF(H126=0,0,L126/H126)</f>
        <v>-11.956927615483348</v>
      </c>
      <c r="O126" s="29"/>
      <c r="P126" s="20">
        <f>+P51-P53+P124</f>
        <v>-18938.510000000009</v>
      </c>
      <c r="Q126" s="14"/>
      <c r="R126" s="22">
        <f>IF(P$12=0,0,P126/P$12)</f>
        <v>-8.1523475959271952E-2</v>
      </c>
      <c r="S126" s="14"/>
      <c r="T126" s="20">
        <f>+T51-T53+T124</f>
        <v>4000.2404216807918</v>
      </c>
      <c r="U126" s="14"/>
      <c r="V126" s="22">
        <f>IF(T$12=0,0,T126/T$12)</f>
        <v>1.6799019586841126E-2</v>
      </c>
      <c r="W126" s="16"/>
      <c r="X126" s="20">
        <f>+P126-T126</f>
        <v>-22938.750421680801</v>
      </c>
      <c r="Y126" s="16"/>
      <c r="Z126" s="22">
        <f>IF(T126=0,0,X126/T126)</f>
        <v>-5.7343429403282125</v>
      </c>
    </row>
    <row r="127" spans="1:26" x14ac:dyDescent="0.25">
      <c r="A127" s="9"/>
      <c r="B127" s="10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x14ac:dyDescent="0.25">
      <c r="A128" s="52"/>
      <c r="B128" s="10" t="s">
        <v>14</v>
      </c>
      <c r="C128" s="10"/>
      <c r="D128" s="4">
        <v>5024.1000000000004</v>
      </c>
      <c r="E128" s="4"/>
      <c r="F128" s="12">
        <f>IF(D$12=0,0,D128/D$12)</f>
        <v>0.13277570760326651</v>
      </c>
      <c r="G128" s="4"/>
      <c r="H128" s="4">
        <v>7186</v>
      </c>
      <c r="I128" s="4"/>
      <c r="J128" s="12">
        <f>IF(H$12=0,0,H128/H$12)</f>
        <v>0.15226008083695761</v>
      </c>
      <c r="K128" s="4"/>
      <c r="L128" s="4">
        <f>+D128-H128</f>
        <v>-2161.8999999999996</v>
      </c>
      <c r="M128" s="4"/>
      <c r="N128" s="12">
        <f>IF(H128=0,0,L128/H128)</f>
        <v>-0.30084887280823819</v>
      </c>
      <c r="O128" s="10"/>
      <c r="P128" s="4">
        <v>24599.79</v>
      </c>
      <c r="Q128" s="4"/>
      <c r="R128" s="12">
        <f>IF(P$12=0,0,P128/P$12)</f>
        <v>0.10589325077147768</v>
      </c>
      <c r="S128" s="4"/>
      <c r="T128" s="4">
        <v>30179</v>
      </c>
      <c r="U128" s="4"/>
      <c r="V128" s="12">
        <f>IF(T$12=0,0,T128/T$12)</f>
        <v>0.126736785460075</v>
      </c>
      <c r="W128" s="4"/>
      <c r="X128" s="4">
        <f>+P128-T128</f>
        <v>-5579.2099999999991</v>
      </c>
      <c r="Y128" s="4"/>
      <c r="Z128" s="12">
        <f>IF(T128=0,0,X128/T128)</f>
        <v>-0.18487060538785244</v>
      </c>
    </row>
    <row r="129" spans="1:26" x14ac:dyDescent="0.25">
      <c r="A129" s="9"/>
      <c r="B129" s="10"/>
      <c r="C129" s="10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O129" s="10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8" t="s">
        <v>4</v>
      </c>
      <c r="C130" s="28"/>
      <c r="D130" s="30">
        <f>+D126-D128</f>
        <v>-16289.440000000015</v>
      </c>
      <c r="E130" s="14"/>
      <c r="F130" s="32">
        <f>IF(D$12=0,0,D130/D$12)</f>
        <v>-0.43049340627395066</v>
      </c>
      <c r="G130" s="14"/>
      <c r="H130" s="30">
        <f>+H126-H128</f>
        <v>-6157.852293330765</v>
      </c>
      <c r="I130" s="14"/>
      <c r="J130" s="32">
        <f>IF(H$12=0,0,H130/H$12)</f>
        <v>-0.13047524185424256</v>
      </c>
      <c r="K130" s="16"/>
      <c r="L130" s="30">
        <f>D130-H130</f>
        <v>-10131.58770666925</v>
      </c>
      <c r="M130" s="16"/>
      <c r="N130" s="32">
        <f>IF(H130=0,0,L130/H130)</f>
        <v>1.6453119081213139</v>
      </c>
      <c r="O130" s="29"/>
      <c r="P130" s="30">
        <f>+P126-P128</f>
        <v>-43538.30000000001</v>
      </c>
      <c r="Q130" s="14"/>
      <c r="R130" s="32">
        <f>IF(P$12=0,0,P130/P$12)</f>
        <v>-0.18741672673074963</v>
      </c>
      <c r="S130" s="14"/>
      <c r="T130" s="30">
        <f>+T126-T128</f>
        <v>-26178.759578319208</v>
      </c>
      <c r="U130" s="14"/>
      <c r="V130" s="32">
        <f>IF(T$12=0,0,T130/T$12)</f>
        <v>-0.10993776587323385</v>
      </c>
      <c r="W130" s="16"/>
      <c r="X130" s="30">
        <f>P130-T130</f>
        <v>-17359.540421680802</v>
      </c>
      <c r="Y130" s="16"/>
      <c r="Z130" s="32">
        <f>IF(T130=0,0,X130/T130)</f>
        <v>0.66311546846771419</v>
      </c>
    </row>
    <row r="131" spans="1:26" ht="15.75" thickTop="1" x14ac:dyDescent="0.25">
      <c r="A131" s="9"/>
      <c r="B131" s="9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x14ac:dyDescent="0.25">
      <c r="A132" s="9"/>
      <c r="B132" s="9"/>
      <c r="C132" s="9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.75" thickBot="1" x14ac:dyDescent="0.3">
      <c r="A133" s="10"/>
      <c r="B133" s="28" t="s">
        <v>5</v>
      </c>
      <c r="C133" s="28"/>
      <c r="D133" s="31">
        <f>SUM(D130:D132)</f>
        <v>-16289.440000000015</v>
      </c>
      <c r="E133" s="14"/>
      <c r="F133" s="35">
        <f>IF(D$12=0,0,D133/D$12)</f>
        <v>-0.43049340627395066</v>
      </c>
      <c r="G133" s="14"/>
      <c r="H133" s="31">
        <f>SUM(H130:H132)</f>
        <v>-6157.852293330765</v>
      </c>
      <c r="I133" s="14"/>
      <c r="J133" s="35">
        <f>IF(H$12=0,0,H133/H$12)</f>
        <v>-0.13047524185424256</v>
      </c>
      <c r="K133" s="16"/>
      <c r="L133" s="31">
        <f>+D133-H133</f>
        <v>-10131.58770666925</v>
      </c>
      <c r="M133" s="16"/>
      <c r="N133" s="35">
        <f>IF(H133=0,0,L133/H133)</f>
        <v>1.6453119081213139</v>
      </c>
      <c r="O133" s="29"/>
      <c r="P133" s="31">
        <f>SUM(P130:P132)</f>
        <v>-43538.30000000001</v>
      </c>
      <c r="Q133" s="14"/>
      <c r="R133" s="35">
        <f>IF(P$12=0,0,P133/P$12)</f>
        <v>-0.18741672673074963</v>
      </c>
      <c r="S133" s="14"/>
      <c r="T133" s="31">
        <f>SUM(T130:T132)</f>
        <v>-26178.759578319208</v>
      </c>
      <c r="U133" s="14"/>
      <c r="V133" s="35">
        <f>IF(T$12=0,0,T133/T$12)</f>
        <v>-0.10993776587323385</v>
      </c>
      <c r="W133" s="16"/>
      <c r="X133" s="31">
        <f>+P133-T133</f>
        <v>-17359.540421680802</v>
      </c>
      <c r="Y133" s="16"/>
      <c r="Z133" s="35">
        <f>IF(T133=0,0,X133/T133)</f>
        <v>0.66311546846771419</v>
      </c>
    </row>
    <row r="134" spans="1:26" ht="15.75" thickTop="1" x14ac:dyDescent="0.25">
      <c r="A134" s="9"/>
      <c r="C134" s="9"/>
      <c r="D134" s="17"/>
      <c r="E134" s="17"/>
      <c r="G134" s="17"/>
      <c r="H134" s="17"/>
      <c r="I134" s="17"/>
      <c r="J134" s="43"/>
      <c r="K134" s="17"/>
      <c r="L134" s="17"/>
      <c r="M134" s="17"/>
      <c r="P134" s="17"/>
      <c r="Q134" s="17"/>
      <c r="R134" s="43"/>
      <c r="S134" s="17"/>
      <c r="T134" s="17"/>
      <c r="U134" s="17"/>
      <c r="V134" s="43"/>
      <c r="W134" s="17"/>
      <c r="X134" s="17"/>
    </row>
    <row r="135" spans="1:26" x14ac:dyDescent="0.25">
      <c r="A135" s="9"/>
      <c r="B135" s="56">
        <v>43815.483891701391</v>
      </c>
      <c r="D135" s="17"/>
      <c r="E135" s="17"/>
      <c r="G135" s="17"/>
      <c r="H135" s="17"/>
      <c r="I135" s="17"/>
      <c r="J135" s="43"/>
      <c r="K135" s="17"/>
      <c r="L135" s="17"/>
      <c r="M135" s="17"/>
      <c r="P135" s="17"/>
      <c r="Q135" s="17"/>
      <c r="R135" s="43"/>
      <c r="S135" s="17"/>
      <c r="T135" s="17"/>
      <c r="U135" s="17"/>
      <c r="V135" s="43"/>
      <c r="W135" s="17"/>
      <c r="X135" s="17"/>
    </row>
    <row r="136" spans="1:26" x14ac:dyDescent="0.25">
      <c r="A136" s="9"/>
      <c r="B136" s="62" t="s">
        <v>314</v>
      </c>
      <c r="D136" s="17"/>
      <c r="E136" s="17"/>
      <c r="G136" s="17"/>
      <c r="H136" s="17"/>
      <c r="I136" s="17"/>
      <c r="J136" s="43"/>
      <c r="K136" s="17"/>
      <c r="L136" s="17"/>
      <c r="M136" s="17"/>
      <c r="P136" s="17"/>
      <c r="Q136" s="17"/>
      <c r="R136" s="43"/>
      <c r="S136" s="17"/>
      <c r="T136" s="17"/>
      <c r="U136" s="17"/>
      <c r="V136" s="43"/>
      <c r="W136" s="17"/>
      <c r="X136" s="17"/>
    </row>
    <row r="137" spans="1:26" x14ac:dyDescent="0.25">
      <c r="A137" s="9"/>
      <c r="B137" s="58"/>
      <c r="D137" s="17"/>
      <c r="E137" s="17"/>
      <c r="G137" s="17"/>
      <c r="H137" s="17"/>
      <c r="I137" s="17"/>
      <c r="J137" s="43"/>
      <c r="K137" s="17"/>
      <c r="L137" s="17"/>
      <c r="M137" s="17"/>
      <c r="P137" s="17"/>
      <c r="Q137" s="17"/>
      <c r="R137" s="43"/>
      <c r="S137" s="17"/>
      <c r="T137" s="17"/>
      <c r="U137" s="17"/>
      <c r="V137" s="43"/>
      <c r="W137" s="17"/>
      <c r="X137" s="17"/>
    </row>
    <row r="138" spans="1:26" x14ac:dyDescent="0.25">
      <c r="D138" s="17"/>
      <c r="E138" s="17"/>
      <c r="G138" s="17"/>
      <c r="H138" s="17"/>
      <c r="I138" s="17"/>
      <c r="J138" s="43"/>
      <c r="K138" s="17"/>
      <c r="L138" s="17"/>
      <c r="M138" s="17"/>
      <c r="P138" s="17"/>
      <c r="Q138" s="17"/>
      <c r="R138" s="43"/>
      <c r="S138" s="17"/>
      <c r="T138" s="17"/>
      <c r="U138" s="17"/>
      <c r="V138" s="43"/>
      <c r="W138" s="17"/>
      <c r="X138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305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41064.650000000009</v>
      </c>
      <c r="E12" s="4"/>
      <c r="F12" s="12"/>
      <c r="G12" s="4"/>
      <c r="H12" s="4">
        <f>SUM(OSRRefH13x_0)</f>
        <v>43700</v>
      </c>
      <c r="I12" s="4"/>
      <c r="J12" s="12"/>
      <c r="K12" s="4"/>
      <c r="L12" s="4">
        <f t="shared" ref="L12:L28" si="0">+D12-H12</f>
        <v>-2635.3499999999913</v>
      </c>
      <c r="M12" s="4"/>
      <c r="N12" s="12">
        <f t="shared" ref="N12:N28" si="1">IF(H12=0,0,L12/H12)</f>
        <v>-6.0305491990846484E-2</v>
      </c>
      <c r="O12" s="10"/>
      <c r="P12" s="4">
        <f>SUM(OSRRefP13x_0)</f>
        <v>270556.36</v>
      </c>
      <c r="Q12" s="4"/>
      <c r="R12" s="12"/>
      <c r="S12" s="4"/>
      <c r="T12" s="4">
        <f>SUM(OSRRefT13x_0)</f>
        <v>304712.5</v>
      </c>
      <c r="U12" s="4"/>
      <c r="V12" s="12"/>
      <c r="W12" s="4"/>
      <c r="X12" s="4">
        <f t="shared" ref="X12:X28" si="2">+P12-T12</f>
        <v>-34156.140000000014</v>
      </c>
      <c r="Y12" s="4"/>
      <c r="Z12" s="12">
        <f t="shared" ref="Z12:Z28" si="3">IF(T12=0,0,X12/T12)</f>
        <v>-0.11209300570209628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39900</v>
      </c>
      <c r="I13" s="2"/>
      <c r="J13" s="19"/>
      <c r="K13" s="2"/>
      <c r="L13" s="2">
        <f t="shared" si="0"/>
        <v>-39900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251037.50000000003</v>
      </c>
      <c r="U13" s="2"/>
      <c r="V13" s="19"/>
      <c r="W13" s="2"/>
      <c r="X13" s="2">
        <f t="shared" si="2"/>
        <v>-251037.50000000003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--194.1</f>
        <v>194.1</v>
      </c>
      <c r="E14" s="2"/>
      <c r="F14" s="19"/>
      <c r="G14" s="2"/>
      <c r="H14" s="2"/>
      <c r="I14" s="2"/>
      <c r="J14" s="19"/>
      <c r="K14" s="2"/>
      <c r="L14" s="2">
        <f t="shared" si="0"/>
        <v>194.1</v>
      </c>
      <c r="M14" s="2"/>
      <c r="N14" s="19">
        <f t="shared" si="1"/>
        <v>0</v>
      </c>
      <c r="O14" s="11"/>
      <c r="P14" s="2">
        <f>--96968.35</f>
        <v>96968.35</v>
      </c>
      <c r="Q14" s="2"/>
      <c r="R14" s="19"/>
      <c r="S14" s="2"/>
      <c r="T14" s="2"/>
      <c r="U14" s="2"/>
      <c r="V14" s="19"/>
      <c r="W14" s="2"/>
      <c r="X14" s="2">
        <f t="shared" si="2"/>
        <v>96968.35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--7977.42</f>
        <v>7977.42</v>
      </c>
      <c r="E15" s="2"/>
      <c r="F15" s="19"/>
      <c r="G15" s="2"/>
      <c r="H15" s="2"/>
      <c r="I15" s="2"/>
      <c r="J15" s="19"/>
      <c r="K15" s="2"/>
      <c r="L15" s="2">
        <f t="shared" si="0"/>
        <v>7977.42</v>
      </c>
      <c r="M15" s="2"/>
      <c r="N15" s="19">
        <f t="shared" si="1"/>
        <v>0</v>
      </c>
      <c r="O15" s="11"/>
      <c r="P15" s="2">
        <f>--39895.64</f>
        <v>39895.64</v>
      </c>
      <c r="Q15" s="2"/>
      <c r="R15" s="19"/>
      <c r="S15" s="2"/>
      <c r="T15" s="2"/>
      <c r="U15" s="2"/>
      <c r="V15" s="19"/>
      <c r="W15" s="2"/>
      <c r="X15" s="2">
        <f t="shared" si="2"/>
        <v>39895.64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--3.7</f>
        <v>3.7</v>
      </c>
      <c r="E16" s="2"/>
      <c r="F16" s="19"/>
      <c r="G16" s="2"/>
      <c r="H16" s="2"/>
      <c r="I16" s="2"/>
      <c r="J16" s="19"/>
      <c r="K16" s="2"/>
      <c r="L16" s="2">
        <f t="shared" si="0"/>
        <v>3.7</v>
      </c>
      <c r="M16" s="2"/>
      <c r="N16" s="19">
        <f t="shared" si="1"/>
        <v>0</v>
      </c>
      <c r="O16" s="11"/>
      <c r="P16" s="2">
        <f>--101.98</f>
        <v>101.98</v>
      </c>
      <c r="Q16" s="2"/>
      <c r="R16" s="19"/>
      <c r="S16" s="2"/>
      <c r="T16" s="2"/>
      <c r="U16" s="2"/>
      <c r="V16" s="19"/>
      <c r="W16" s="2"/>
      <c r="X16" s="2">
        <f t="shared" si="2"/>
        <v>101.98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>--304.55</f>
        <v>304.55</v>
      </c>
      <c r="E17" s="2"/>
      <c r="F17" s="19"/>
      <c r="G17" s="2"/>
      <c r="H17" s="2"/>
      <c r="I17" s="2"/>
      <c r="J17" s="19"/>
      <c r="K17" s="2"/>
      <c r="L17" s="2">
        <f t="shared" si="0"/>
        <v>304.55</v>
      </c>
      <c r="M17" s="2"/>
      <c r="N17" s="19">
        <f t="shared" si="1"/>
        <v>0</v>
      </c>
      <c r="O17" s="11"/>
      <c r="P17" s="2">
        <f>--1678.55</f>
        <v>1678.55</v>
      </c>
      <c r="Q17" s="2"/>
      <c r="R17" s="19"/>
      <c r="S17" s="2"/>
      <c r="T17" s="2"/>
      <c r="U17" s="2"/>
      <c r="V17" s="19"/>
      <c r="W17" s="2"/>
      <c r="X17" s="2">
        <f t="shared" si="2"/>
        <v>1678.55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"4092", " - ", "TAXABLE SALES-GRAD MERCH")</f>
        <v xml:space="preserve">          4092 - TAXABLE SALES-GRAD MERCH</v>
      </c>
      <c r="C18" s="11"/>
      <c r="D18" s="2">
        <f>--2389.54</f>
        <v>2389.54</v>
      </c>
      <c r="E18" s="2"/>
      <c r="F18" s="19"/>
      <c r="G18" s="2"/>
      <c r="H18" s="2"/>
      <c r="I18" s="2"/>
      <c r="J18" s="19"/>
      <c r="K18" s="2"/>
      <c r="L18" s="2">
        <f t="shared" si="0"/>
        <v>2389.54</v>
      </c>
      <c r="M18" s="2"/>
      <c r="N18" s="19">
        <f t="shared" si="1"/>
        <v>0</v>
      </c>
      <c r="O18" s="11"/>
      <c r="P18" s="2">
        <f>--7480.57</f>
        <v>7480.57</v>
      </c>
      <c r="Q18" s="2"/>
      <c r="R18" s="19"/>
      <c r="S18" s="2"/>
      <c r="T18" s="2"/>
      <c r="U18" s="2"/>
      <c r="V18" s="19"/>
      <c r="W18" s="2"/>
      <c r="X18" s="2">
        <f t="shared" si="2"/>
        <v>7480.57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"4095", " - ", "TAXABLE SALES-CUSTOMER SERVICE")</f>
        <v xml:space="preserve">          4095 - TAXABLE SALES-CUSTOMER SERVICE</v>
      </c>
      <c r="C19" s="11"/>
      <c r="D19" s="2">
        <f>--30.84</f>
        <v>30.84</v>
      </c>
      <c r="E19" s="2"/>
      <c r="F19" s="19"/>
      <c r="G19" s="2"/>
      <c r="H19" s="2"/>
      <c r="I19" s="2"/>
      <c r="J19" s="19"/>
      <c r="K19" s="2"/>
      <c r="L19" s="2">
        <f t="shared" si="0"/>
        <v>30.84</v>
      </c>
      <c r="M19" s="2"/>
      <c r="N19" s="19">
        <f t="shared" si="1"/>
        <v>0</v>
      </c>
      <c r="O19" s="11"/>
      <c r="P19" s="2">
        <f>--248.72</f>
        <v>248.72</v>
      </c>
      <c r="Q19" s="2"/>
      <c r="R19" s="19"/>
      <c r="S19" s="2"/>
      <c r="T19" s="2"/>
      <c r="U19" s="2"/>
      <c r="V19" s="19"/>
      <c r="W19" s="2"/>
      <c r="X19" s="2">
        <f t="shared" si="2"/>
        <v>248.72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 t="shared" ref="D20:D21" si="4">0</f>
        <v>0</v>
      </c>
      <c r="E20" s="2"/>
      <c r="F20" s="19"/>
      <c r="G20" s="2"/>
      <c r="H20" s="2">
        <v>3800</v>
      </c>
      <c r="I20" s="2"/>
      <c r="J20" s="19"/>
      <c r="K20" s="2"/>
      <c r="L20" s="2">
        <f t="shared" si="0"/>
        <v>-3800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v>53675</v>
      </c>
      <c r="U20" s="2"/>
      <c r="V20" s="19"/>
      <c r="W20" s="2"/>
      <c r="X20" s="2">
        <f t="shared" si="2"/>
        <v>-53675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"4141", " - ", "NON-TAXABLE SALES-LOGO GIFTS")</f>
        <v xml:space="preserve">          4141 - NON-TAXABLE SALES-LOGO GIFTS</v>
      </c>
      <c r="C21" s="11"/>
      <c r="D21" s="2">
        <f t="shared" si="4"/>
        <v>0</v>
      </c>
      <c r="E21" s="2"/>
      <c r="F21" s="19"/>
      <c r="G21" s="2"/>
      <c r="H21" s="2"/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--152.75</f>
        <v>152.75</v>
      </c>
      <c r="Q21" s="2"/>
      <c r="R21" s="19"/>
      <c r="S21" s="2"/>
      <c r="T21" s="2"/>
      <c r="U21" s="2"/>
      <c r="V21" s="19"/>
      <c r="W21" s="2"/>
      <c r="X21" s="2">
        <f t="shared" si="2"/>
        <v>152.75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>--1168.7</f>
        <v>1168.7</v>
      </c>
      <c r="E22" s="2"/>
      <c r="F22" s="19"/>
      <c r="G22" s="2"/>
      <c r="H22" s="2"/>
      <c r="I22" s="2"/>
      <c r="J22" s="19"/>
      <c r="K22" s="2"/>
      <c r="L22" s="2">
        <f t="shared" si="0"/>
        <v>1168.7</v>
      </c>
      <c r="M22" s="2"/>
      <c r="N22" s="19">
        <f t="shared" si="1"/>
        <v>0</v>
      </c>
      <c r="O22" s="11"/>
      <c r="P22" s="2">
        <f>--5517</f>
        <v>5517</v>
      </c>
      <c r="Q22" s="2"/>
      <c r="R22" s="19"/>
      <c r="S22" s="2"/>
      <c r="T22" s="2"/>
      <c r="U22" s="2"/>
      <c r="V22" s="19"/>
      <c r="W22" s="2"/>
      <c r="X22" s="2">
        <f t="shared" si="2"/>
        <v>5517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"4146", " - ", "NON-TAXABLE SALES-COIN OP MACH")</f>
        <v xml:space="preserve">          4146 - NON-TAXABLE SALES-COIN OP MACH</v>
      </c>
      <c r="C23" s="11"/>
      <c r="D23" s="2">
        <f>--28930.75</f>
        <v>28930.75</v>
      </c>
      <c r="E23" s="2"/>
      <c r="F23" s="19"/>
      <c r="G23" s="2"/>
      <c r="H23" s="2"/>
      <c r="I23" s="2"/>
      <c r="J23" s="19"/>
      <c r="K23" s="2"/>
      <c r="L23" s="2">
        <f t="shared" si="0"/>
        <v>28930.75</v>
      </c>
      <c r="M23" s="2"/>
      <c r="N23" s="19">
        <f t="shared" si="1"/>
        <v>0</v>
      </c>
      <c r="O23" s="11"/>
      <c r="P23" s="2">
        <f>--119341.05</f>
        <v>119341.05</v>
      </c>
      <c r="Q23" s="2"/>
      <c r="R23" s="19"/>
      <c r="S23" s="2"/>
      <c r="T23" s="2"/>
      <c r="U23" s="2"/>
      <c r="V23" s="19"/>
      <c r="W23" s="2"/>
      <c r="X23" s="2">
        <f t="shared" si="2"/>
        <v>119341.05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"4147", " - ", "NON-TAXABLE SALES-MISC")</f>
        <v xml:space="preserve">          4147 - NON-TAXABLE SALES-MISC</v>
      </c>
      <c r="C24" s="11"/>
      <c r="D24" s="2">
        <f>--75</f>
        <v>75</v>
      </c>
      <c r="E24" s="2"/>
      <c r="F24" s="19"/>
      <c r="G24" s="2"/>
      <c r="H24" s="2"/>
      <c r="I24" s="2"/>
      <c r="J24" s="19"/>
      <c r="K24" s="2"/>
      <c r="L24" s="2">
        <f t="shared" si="0"/>
        <v>75</v>
      </c>
      <c r="M24" s="2"/>
      <c r="N24" s="19">
        <f t="shared" si="1"/>
        <v>0</v>
      </c>
      <c r="O24" s="11"/>
      <c r="P24" s="2">
        <f>--249.9</f>
        <v>249.9</v>
      </c>
      <c r="Q24" s="2"/>
      <c r="R24" s="19"/>
      <c r="S24" s="2"/>
      <c r="T24" s="2"/>
      <c r="U24" s="2"/>
      <c r="V24" s="19"/>
      <c r="W24" s="2"/>
      <c r="X24" s="2">
        <f t="shared" si="2"/>
        <v>249.9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"4241", " - ", "SALES RETURN TAXABLE-LOGO GIFT")</f>
        <v xml:space="preserve">          4241 - SALES RETURN TAXABLE-LOGO GIFT</v>
      </c>
      <c r="C25" s="11"/>
      <c r="D25" s="2">
        <f t="shared" ref="D25:D26" si="5">0</f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-634.75</f>
        <v>-634.75</v>
      </c>
      <c r="Q25" s="2"/>
      <c r="R25" s="19"/>
      <c r="S25" s="2"/>
      <c r="T25" s="2"/>
      <c r="U25" s="2"/>
      <c r="V25" s="19"/>
      <c r="W25" s="2"/>
      <c r="X25" s="2">
        <f t="shared" si="2"/>
        <v>-634.75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"4242", " - ", "SALES RETURN TAXABLE-EVERYDAY")</f>
        <v xml:space="preserve">          4242 - SALES RETURN TAXABLE-EVERYDAY</v>
      </c>
      <c r="C26" s="11"/>
      <c r="D26" s="2">
        <f t="shared" si="5"/>
        <v>0</v>
      </c>
      <c r="E26" s="2"/>
      <c r="F26" s="19"/>
      <c r="G26" s="2"/>
      <c r="H26" s="2"/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>-16.2</f>
        <v>-16.2</v>
      </c>
      <c r="Q26" s="2"/>
      <c r="R26" s="19"/>
      <c r="S26" s="2"/>
      <c r="T26" s="2"/>
      <c r="U26" s="2"/>
      <c r="V26" s="19"/>
      <c r="W26" s="2"/>
      <c r="X26" s="2">
        <f t="shared" si="2"/>
        <v>-16.2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"4292", " - ", "SALES RETURN TAXABLE-GRAD MERC")</f>
        <v xml:space="preserve">          4292 - SALES RETURN TAXABLE-GRAD MERC</v>
      </c>
      <c r="C27" s="11"/>
      <c r="D27" s="2">
        <f>-9.95</f>
        <v>-9.9499999999999993</v>
      </c>
      <c r="E27" s="2"/>
      <c r="F27" s="19"/>
      <c r="G27" s="2"/>
      <c r="H27" s="2"/>
      <c r="I27" s="2"/>
      <c r="J27" s="19"/>
      <c r="K27" s="2"/>
      <c r="L27" s="2">
        <f t="shared" si="0"/>
        <v>-9.9499999999999993</v>
      </c>
      <c r="M27" s="2"/>
      <c r="N27" s="19">
        <f t="shared" si="1"/>
        <v>0</v>
      </c>
      <c r="O27" s="11"/>
      <c r="P27" s="2">
        <f>-419.05</f>
        <v>-419.05</v>
      </c>
      <c r="Q27" s="2"/>
      <c r="R27" s="19"/>
      <c r="S27" s="2"/>
      <c r="T27" s="2"/>
      <c r="U27" s="2"/>
      <c r="V27" s="19"/>
      <c r="W27" s="2"/>
      <c r="X27" s="2">
        <f t="shared" si="2"/>
        <v>-419.05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"4346", " - ", "SALES RETURN NON TAXABLE-COIN-")</f>
        <v xml:space="preserve">          4346 - SALES RETURN NON TAXABLE-COIN-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-8.15</f>
        <v>-8.15</v>
      </c>
      <c r="Q28" s="2"/>
      <c r="R28" s="19"/>
      <c r="S28" s="2"/>
      <c r="T28" s="2"/>
      <c r="U28" s="2"/>
      <c r="V28" s="19"/>
      <c r="W28" s="2"/>
      <c r="X28" s="2">
        <f t="shared" si="2"/>
        <v>-8.15</v>
      </c>
      <c r="Y28" s="2"/>
      <c r="Z28" s="19">
        <f t="shared" si="3"/>
        <v>0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collapsed="1" x14ac:dyDescent="0.25">
      <c r="A30" s="10"/>
      <c r="B30" s="29" t="s">
        <v>8</v>
      </c>
      <c r="C30" s="10"/>
      <c r="D30" s="4">
        <f>SUM(OSRRefD16x_0)</f>
        <v>1226</v>
      </c>
      <c r="E30" s="4"/>
      <c r="F30" s="12">
        <f t="shared" ref="F30:F35" si="6">IF(D$12=0,0,D30/D$12)</f>
        <v>2.9855362215433463E-2</v>
      </c>
      <c r="G30" s="4"/>
      <c r="H30" s="4">
        <f>SUM(OSRRefH16x_0)</f>
        <v>0</v>
      </c>
      <c r="I30" s="4"/>
      <c r="J30" s="12">
        <f t="shared" ref="J30:J35" si="7">IF(H$12=0,0,H30/H$12)</f>
        <v>0</v>
      </c>
      <c r="K30" s="4"/>
      <c r="L30" s="4">
        <f t="shared" ref="L30:L35" si="8">+D30-H30</f>
        <v>1226</v>
      </c>
      <c r="M30" s="4"/>
      <c r="N30" s="12">
        <f t="shared" ref="N30:N35" si="9">IF(H30=0,0,L30/H30)</f>
        <v>0</v>
      </c>
      <c r="O30" s="10"/>
      <c r="P30" s="4">
        <f>SUM(OSRRefP16x_0)</f>
        <v>3688.1200000000003</v>
      </c>
      <c r="Q30" s="4"/>
      <c r="R30" s="12">
        <f t="shared" ref="R30:R35" si="10">IF(P$12=0,0,P30/P$12)</f>
        <v>1.3631614499840256E-2</v>
      </c>
      <c r="S30" s="4"/>
      <c r="T30" s="4">
        <f>SUM(OSRRefT16x_0)</f>
        <v>0</v>
      </c>
      <c r="U30" s="4"/>
      <c r="V30" s="12">
        <f t="shared" ref="V30:V35" si="11">IF(T$12=0,0,T30/T$12)</f>
        <v>0</v>
      </c>
      <c r="W30" s="4"/>
      <c r="X30" s="4">
        <f t="shared" ref="X30:X35" si="12">+P30-T30</f>
        <v>3688.1200000000003</v>
      </c>
      <c r="Y30" s="4"/>
      <c r="Z30" s="12">
        <f t="shared" ref="Z30:Z35" si="13">IF(T30=0,0,X30/T30)</f>
        <v>0</v>
      </c>
    </row>
    <row r="31" spans="1:26" s="24" customFormat="1" hidden="1" outlineLevel="1" x14ac:dyDescent="0.25">
      <c r="A31" s="44"/>
      <c r="B31" s="11" t="str">
        <f>CONCATENATE("          ", "5092", " - ", "PURCHASES @ COST-GRAD MERCH")</f>
        <v xml:space="preserve">          5092 - PURCHASES @ COST-GRAD MERCH</v>
      </c>
      <c r="C31" s="11"/>
      <c r="D31" s="2">
        <v>628</v>
      </c>
      <c r="E31" s="2"/>
      <c r="F31" s="19">
        <f t="shared" si="6"/>
        <v>1.5292958785719587E-2</v>
      </c>
      <c r="G31" s="2"/>
      <c r="H31" s="2"/>
      <c r="I31" s="2"/>
      <c r="J31" s="19">
        <f t="shared" si="7"/>
        <v>0</v>
      </c>
      <c r="K31" s="2"/>
      <c r="L31" s="2">
        <f t="shared" si="8"/>
        <v>628</v>
      </c>
      <c r="M31" s="2"/>
      <c r="N31" s="19">
        <f t="shared" si="9"/>
        <v>0</v>
      </c>
      <c r="O31" s="11"/>
      <c r="P31" s="2">
        <v>1984.49</v>
      </c>
      <c r="Q31" s="2"/>
      <c r="R31" s="19">
        <f t="shared" si="10"/>
        <v>7.3348488278006108E-3</v>
      </c>
      <c r="S31" s="2"/>
      <c r="T31" s="2"/>
      <c r="U31" s="2"/>
      <c r="V31" s="19">
        <f t="shared" si="11"/>
        <v>0</v>
      </c>
      <c r="W31" s="2"/>
      <c r="X31" s="2">
        <f t="shared" si="12"/>
        <v>1984.49</v>
      </c>
      <c r="Y31" s="2"/>
      <c r="Z31" s="19">
        <f t="shared" si="13"/>
        <v>0</v>
      </c>
    </row>
    <row r="32" spans="1:26" s="24" customFormat="1" hidden="1" outlineLevel="1" x14ac:dyDescent="0.25">
      <c r="A32" s="44"/>
      <c r="B32" s="11" t="str">
        <f>CONCATENATE("          ", "5095", " - ", "PURCHASES @ COST-CUSTOMER SERV")</f>
        <v xml:space="preserve">          5095 - PURCHASES @ COST-CUSTOMER SERV</v>
      </c>
      <c r="C32" s="11"/>
      <c r="D32" s="2"/>
      <c r="E32" s="2"/>
      <c r="F32" s="19">
        <f t="shared" si="6"/>
        <v>0</v>
      </c>
      <c r="G32" s="2"/>
      <c r="H32" s="2"/>
      <c r="I32" s="2"/>
      <c r="J32" s="19">
        <f t="shared" si="7"/>
        <v>0</v>
      </c>
      <c r="K32" s="2"/>
      <c r="L32" s="2">
        <f t="shared" si="8"/>
        <v>0</v>
      </c>
      <c r="M32" s="2"/>
      <c r="N32" s="19">
        <f t="shared" si="9"/>
        <v>0</v>
      </c>
      <c r="O32" s="11"/>
      <c r="P32" s="2">
        <v>11.85</v>
      </c>
      <c r="Q32" s="2"/>
      <c r="R32" s="19">
        <f t="shared" si="10"/>
        <v>4.3798637740395388E-5</v>
      </c>
      <c r="S32" s="2"/>
      <c r="T32" s="2"/>
      <c r="U32" s="2"/>
      <c r="V32" s="19">
        <f t="shared" si="11"/>
        <v>0</v>
      </c>
      <c r="W32" s="2"/>
      <c r="X32" s="2">
        <f t="shared" si="12"/>
        <v>11.85</v>
      </c>
      <c r="Y32" s="2"/>
      <c r="Z32" s="19">
        <f t="shared" si="13"/>
        <v>0</v>
      </c>
    </row>
    <row r="33" spans="1:26" s="24" customFormat="1" hidden="1" outlineLevel="1" x14ac:dyDescent="0.25">
      <c r="A33" s="44"/>
      <c r="B33" s="11" t="str">
        <f>CONCATENATE("          ", "5200", " - ", "PURCHASES OFFSET")</f>
        <v xml:space="preserve">          5200 - PURCHASES OFFSET</v>
      </c>
      <c r="C33" s="11"/>
      <c r="D33" s="2">
        <v>-663</v>
      </c>
      <c r="E33" s="2"/>
      <c r="F33" s="19">
        <f t="shared" si="6"/>
        <v>-1.6145273367726254E-2</v>
      </c>
      <c r="G33" s="2"/>
      <c r="H33" s="2"/>
      <c r="I33" s="2"/>
      <c r="J33" s="19">
        <f t="shared" si="7"/>
        <v>0</v>
      </c>
      <c r="K33" s="2"/>
      <c r="L33" s="2">
        <f t="shared" si="8"/>
        <v>-663</v>
      </c>
      <c r="M33" s="2"/>
      <c r="N33" s="19">
        <f t="shared" si="9"/>
        <v>0</v>
      </c>
      <c r="O33" s="11"/>
      <c r="P33" s="2">
        <v>-2103</v>
      </c>
      <c r="Q33" s="2"/>
      <c r="R33" s="19">
        <f t="shared" si="10"/>
        <v>-7.7728721660802955E-3</v>
      </c>
      <c r="S33" s="2"/>
      <c r="T33" s="2"/>
      <c r="U33" s="2"/>
      <c r="V33" s="19">
        <f t="shared" si="11"/>
        <v>0</v>
      </c>
      <c r="W33" s="2"/>
      <c r="X33" s="2">
        <f t="shared" si="12"/>
        <v>-2103</v>
      </c>
      <c r="Y33" s="2"/>
      <c r="Z33" s="19">
        <f t="shared" si="13"/>
        <v>0</v>
      </c>
    </row>
    <row r="34" spans="1:26" s="24" customFormat="1" hidden="1" outlineLevel="1" x14ac:dyDescent="0.25">
      <c r="A34" s="44"/>
      <c r="B34" s="11" t="str">
        <f>CONCATENATE("          ", "5300", " - ", "COG$ OFFSET")</f>
        <v xml:space="preserve">          5300 - COG$ OFFSET</v>
      </c>
      <c r="C34" s="11"/>
      <c r="D34" s="2">
        <v>1226</v>
      </c>
      <c r="E34" s="2"/>
      <c r="F34" s="19">
        <f t="shared" si="6"/>
        <v>2.9855362215433463E-2</v>
      </c>
      <c r="G34" s="2"/>
      <c r="H34" s="2"/>
      <c r="I34" s="2"/>
      <c r="J34" s="19">
        <f t="shared" si="7"/>
        <v>0</v>
      </c>
      <c r="K34" s="2"/>
      <c r="L34" s="2">
        <f t="shared" si="8"/>
        <v>1226</v>
      </c>
      <c r="M34" s="2"/>
      <c r="N34" s="19">
        <f t="shared" si="9"/>
        <v>0</v>
      </c>
      <c r="O34" s="11"/>
      <c r="P34" s="2">
        <v>3689</v>
      </c>
      <c r="Q34" s="2"/>
      <c r="R34" s="19">
        <f t="shared" si="10"/>
        <v>1.3634867056904521E-2</v>
      </c>
      <c r="S34" s="2"/>
      <c r="T34" s="2"/>
      <c r="U34" s="2"/>
      <c r="V34" s="19">
        <f t="shared" si="11"/>
        <v>0</v>
      </c>
      <c r="W34" s="2"/>
      <c r="X34" s="2">
        <f t="shared" si="12"/>
        <v>3689</v>
      </c>
      <c r="Y34" s="2"/>
      <c r="Z34" s="19">
        <f t="shared" si="13"/>
        <v>0</v>
      </c>
    </row>
    <row r="35" spans="1:26" s="24" customFormat="1" hidden="1" outlineLevel="1" x14ac:dyDescent="0.25">
      <c r="A35" s="44"/>
      <c r="B35" s="11" t="str">
        <f>CONCATENATE("          ", "5592", " - ", "FREIGHT-IN-GRAD MERCH")</f>
        <v xml:space="preserve">          5592 - FREIGHT-IN-GRAD MERCH</v>
      </c>
      <c r="C35" s="11"/>
      <c r="D35" s="2">
        <v>35</v>
      </c>
      <c r="E35" s="2"/>
      <c r="F35" s="19">
        <f t="shared" si="6"/>
        <v>8.5231458200666493E-4</v>
      </c>
      <c r="G35" s="2"/>
      <c r="H35" s="2"/>
      <c r="I35" s="2"/>
      <c r="J35" s="19">
        <f t="shared" si="7"/>
        <v>0</v>
      </c>
      <c r="K35" s="2"/>
      <c r="L35" s="2">
        <f t="shared" si="8"/>
        <v>35</v>
      </c>
      <c r="M35" s="2"/>
      <c r="N35" s="19">
        <f t="shared" si="9"/>
        <v>0</v>
      </c>
      <c r="O35" s="11"/>
      <c r="P35" s="2">
        <v>105.78</v>
      </c>
      <c r="Q35" s="2"/>
      <c r="R35" s="19">
        <f t="shared" si="10"/>
        <v>3.909721434750231E-4</v>
      </c>
      <c r="S35" s="2"/>
      <c r="T35" s="2"/>
      <c r="U35" s="2"/>
      <c r="V35" s="19">
        <f t="shared" si="11"/>
        <v>0</v>
      </c>
      <c r="W35" s="2"/>
      <c r="X35" s="2">
        <f t="shared" si="12"/>
        <v>105.78</v>
      </c>
      <c r="Y35" s="2"/>
      <c r="Z35" s="19">
        <f t="shared" si="13"/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8" t="s">
        <v>6</v>
      </c>
      <c r="C37" s="28"/>
      <c r="D37" s="20">
        <f>D12-D30</f>
        <v>39838.650000000009</v>
      </c>
      <c r="E37" s="14"/>
      <c r="F37" s="22">
        <f>IF(D$12=0,0,D37/D$12)</f>
        <v>0.9701446377845665</v>
      </c>
      <c r="G37" s="14"/>
      <c r="H37" s="20">
        <f>H12-H30</f>
        <v>43700</v>
      </c>
      <c r="I37" s="14"/>
      <c r="J37" s="22">
        <f>IF(H$12=0,0,H37/H$12)</f>
        <v>1</v>
      </c>
      <c r="K37" s="16"/>
      <c r="L37" s="20">
        <f>+D37-H37</f>
        <v>-3861.3499999999913</v>
      </c>
      <c r="M37" s="16"/>
      <c r="N37" s="22">
        <f>IF(H37=0,0,L37/H37)</f>
        <v>-8.8360411899313304E-2</v>
      </c>
      <c r="O37" s="29"/>
      <c r="P37" s="20">
        <f>P12-P30</f>
        <v>266868.24</v>
      </c>
      <c r="Q37" s="14"/>
      <c r="R37" s="22">
        <f>IF(P$12=0,0,P37/P$12)</f>
        <v>0.98636838550015982</v>
      </c>
      <c r="S37" s="14"/>
      <c r="T37" s="20">
        <f>T12-T30</f>
        <v>304712.5</v>
      </c>
      <c r="U37" s="14"/>
      <c r="V37" s="22">
        <f>IF(T$12=0,0,T37/T$12)</f>
        <v>1</v>
      </c>
      <c r="W37" s="16"/>
      <c r="X37" s="20">
        <f>+P37-T37</f>
        <v>-37844.260000000009</v>
      </c>
      <c r="Y37" s="16"/>
      <c r="Z37" s="22">
        <f>IF(T37=0,0,X37/T37)</f>
        <v>-0.12419661156007715</v>
      </c>
    </row>
    <row r="38" spans="1:26" x14ac:dyDescent="0.25">
      <c r="A38" s="9"/>
      <c r="B38" s="10"/>
      <c r="C38" s="9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6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x14ac:dyDescent="0.25">
      <c r="A39" s="10"/>
      <c r="B39" s="29" t="s">
        <v>9</v>
      </c>
      <c r="C39" s="10"/>
      <c r="D39" s="21">
        <f>SUM(OSRRefD22x_0)</f>
        <v>50305.890000000007</v>
      </c>
      <c r="E39" s="21"/>
      <c r="F39" s="33">
        <f t="shared" ref="F39:F49" si="14">IF(D$12=0,0,D39/D$12)</f>
        <v>1.2250412459378077</v>
      </c>
      <c r="G39" s="21"/>
      <c r="H39" s="21">
        <f>SUM(OSRRefH22x_0)</f>
        <v>50590.724824141791</v>
      </c>
      <c r="I39" s="21"/>
      <c r="J39" s="33">
        <f t="shared" ref="J39:J49" si="15">IF(H$12=0,0,H39/H$12)</f>
        <v>1.1576824902549609</v>
      </c>
      <c r="K39" s="4"/>
      <c r="L39" s="21">
        <f t="shared" ref="L39:L49" si="16">+D39-H39</f>
        <v>-284.83482414178434</v>
      </c>
      <c r="M39" s="4"/>
      <c r="N39" s="33">
        <f t="shared" ref="N39:N49" si="17">IF(H39=0,0,L39/H39)</f>
        <v>-5.630178755728397E-3</v>
      </c>
      <c r="O39" s="10"/>
      <c r="P39" s="21">
        <f>SUM(OSRRefP22x_0)</f>
        <v>227017.93</v>
      </c>
      <c r="Q39" s="21"/>
      <c r="R39" s="33">
        <f t="shared" ref="R39:R49" si="18">IF(P$12=0,0,P39/P$12)</f>
        <v>0.83907814992780061</v>
      </c>
      <c r="S39" s="21"/>
      <c r="T39" s="21">
        <f>SUM(OSRRefT22x_0)</f>
        <v>238786.05870867343</v>
      </c>
      <c r="U39" s="21"/>
      <c r="V39" s="33">
        <f t="shared" ref="V39:V49" si="19">IF(T$12=0,0,T39/T$12)</f>
        <v>0.7836437911430395</v>
      </c>
      <c r="W39" s="4"/>
      <c r="X39" s="21">
        <f t="shared" ref="X39:X49" si="20">+P39-T39</f>
        <v>-11768.128708673437</v>
      </c>
      <c r="Y39" s="4"/>
      <c r="Z39" s="33">
        <f t="shared" ref="Z39:Z49" si="21">IF(T39=0,0,X39/T39)</f>
        <v>-4.9283148154938679E-2</v>
      </c>
    </row>
    <row r="40" spans="1:26" s="26" customFormat="1" outlineLevel="1" collapsed="1" x14ac:dyDescent="0.25">
      <c r="A40" s="27"/>
      <c r="B40" s="13" t="str">
        <f>CONCATENATE("     ","*Benefits                                         ")</f>
        <v xml:space="preserve">     *Benefits                                         </v>
      </c>
      <c r="C40" s="13"/>
      <c r="D40" s="1">
        <f>SUM(OSRRefD22_0x_0)</f>
        <v>7441.55</v>
      </c>
      <c r="E40" s="1"/>
      <c r="F40" s="5">
        <f t="shared" si="14"/>
        <v>0.18121547364947707</v>
      </c>
      <c r="G40" s="1"/>
      <c r="H40" s="1">
        <f>SUM(OSRRefH22_0x_0)</f>
        <v>6616.2171059294797</v>
      </c>
      <c r="I40" s="1"/>
      <c r="J40" s="5">
        <f t="shared" si="15"/>
        <v>0.15140084910593776</v>
      </c>
      <c r="K40" s="1"/>
      <c r="L40" s="1">
        <f t="shared" si="16"/>
        <v>825.33289407052052</v>
      </c>
      <c r="M40" s="1"/>
      <c r="N40" s="5">
        <f t="shared" si="17"/>
        <v>0.12474392554785634</v>
      </c>
      <c r="O40" s="13"/>
      <c r="P40" s="1">
        <f>SUM(OSRRefP22_0x_0)</f>
        <v>40563.9</v>
      </c>
      <c r="Q40" s="1"/>
      <c r="R40" s="5">
        <f t="shared" si="18"/>
        <v>0.149927726703597</v>
      </c>
      <c r="S40" s="1"/>
      <c r="T40" s="1">
        <f>SUM(OSRRefT22_0x_0)</f>
        <v>35148.371522165704</v>
      </c>
      <c r="U40" s="1"/>
      <c r="V40" s="5">
        <f t="shared" si="19"/>
        <v>0.11534929325894311</v>
      </c>
      <c r="W40" s="1"/>
      <c r="X40" s="1">
        <f t="shared" si="20"/>
        <v>5415.5284778342975</v>
      </c>
      <c r="Y40" s="1"/>
      <c r="Z40" s="5">
        <f t="shared" si="21"/>
        <v>0.15407622724196737</v>
      </c>
    </row>
    <row r="41" spans="1:26" s="24" customFormat="1" hidden="1" outlineLevel="2" x14ac:dyDescent="0.25">
      <c r="A41" s="25"/>
      <c r="B41" s="11" t="str">
        <f>CONCATENATE("          ", "6111", " - ", "F.I.C.A.")</f>
        <v xml:space="preserve">          6111 - F.I.C.A.</v>
      </c>
      <c r="C41" s="11"/>
      <c r="D41" s="6">
        <v>1059.4000000000001</v>
      </c>
      <c r="E41" s="2"/>
      <c r="F41" s="7">
        <f t="shared" si="14"/>
        <v>2.5798344805081738E-2</v>
      </c>
      <c r="G41" s="2"/>
      <c r="H41" s="6">
        <v>1179.869956569235</v>
      </c>
      <c r="I41" s="2"/>
      <c r="J41" s="7">
        <f t="shared" si="15"/>
        <v>2.699931250730515E-2</v>
      </c>
      <c r="K41" s="2"/>
      <c r="L41" s="6">
        <f t="shared" si="16"/>
        <v>-120.46995656923491</v>
      </c>
      <c r="M41" s="2"/>
      <c r="N41" s="7">
        <f t="shared" si="17"/>
        <v>-0.10210443608508453</v>
      </c>
      <c r="O41" s="11"/>
      <c r="P41" s="6">
        <v>6962.43</v>
      </c>
      <c r="Q41" s="2"/>
      <c r="R41" s="7">
        <f t="shared" si="18"/>
        <v>2.5733751001085322E-2</v>
      </c>
      <c r="S41" s="2"/>
      <c r="T41" s="6">
        <v>6741.9207270064771</v>
      </c>
      <c r="U41" s="2"/>
      <c r="V41" s="7">
        <f t="shared" si="19"/>
        <v>2.212551413875859E-2</v>
      </c>
      <c r="W41" s="2"/>
      <c r="X41" s="6">
        <f t="shared" si="20"/>
        <v>220.50927299352315</v>
      </c>
      <c r="Y41" s="2"/>
      <c r="Z41" s="7">
        <f t="shared" si="21"/>
        <v>3.2707188636943954E-2</v>
      </c>
    </row>
    <row r="42" spans="1:26" s="24" customFormat="1" hidden="1" outlineLevel="2" x14ac:dyDescent="0.25">
      <c r="A42" s="25"/>
      <c r="B42" s="11" t="str">
        <f>CONCATENATE("          ", "6112", " - ", "COMPENSATION INSURANCE")</f>
        <v xml:space="preserve">          6112 - COMPENSATION INSURANCE</v>
      </c>
      <c r="C42" s="11"/>
      <c r="D42" s="6">
        <v>235.76</v>
      </c>
      <c r="E42" s="2"/>
      <c r="F42" s="7">
        <f t="shared" si="14"/>
        <v>5.7411910243968948E-3</v>
      </c>
      <c r="G42" s="2"/>
      <c r="H42" s="6">
        <v>238.39472461538469</v>
      </c>
      <c r="I42" s="2"/>
      <c r="J42" s="7">
        <f t="shared" si="15"/>
        <v>5.4552568561872924E-3</v>
      </c>
      <c r="K42" s="2"/>
      <c r="L42" s="6">
        <f t="shared" si="16"/>
        <v>-2.6347246153846982</v>
      </c>
      <c r="M42" s="2"/>
      <c r="N42" s="7">
        <f t="shared" si="17"/>
        <v>-1.1051941772769696E-2</v>
      </c>
      <c r="O42" s="11"/>
      <c r="P42" s="6">
        <v>913.96</v>
      </c>
      <c r="Q42" s="2"/>
      <c r="R42" s="7">
        <f t="shared" si="18"/>
        <v>3.3780761982457187E-3</v>
      </c>
      <c r="S42" s="2"/>
      <c r="T42" s="6">
        <v>1311.1709853846153</v>
      </c>
      <c r="U42" s="2"/>
      <c r="V42" s="7">
        <f t="shared" si="19"/>
        <v>4.3029773487619155E-3</v>
      </c>
      <c r="W42" s="2"/>
      <c r="X42" s="6">
        <f t="shared" si="20"/>
        <v>-397.21098538461524</v>
      </c>
      <c r="Y42" s="2"/>
      <c r="Z42" s="7">
        <f t="shared" si="21"/>
        <v>-0.30294369675065563</v>
      </c>
    </row>
    <row r="43" spans="1:26" s="24" customFormat="1" hidden="1" outlineLevel="2" x14ac:dyDescent="0.25">
      <c r="A43" s="25"/>
      <c r="B43" s="11" t="str">
        <f>CONCATENATE("          ", "6113", " - ", "GROUP INSURANCE")</f>
        <v xml:space="preserve">          6113 - GROUP INSURANCE</v>
      </c>
      <c r="C43" s="11"/>
      <c r="D43" s="6">
        <v>3051.28</v>
      </c>
      <c r="E43" s="2"/>
      <c r="F43" s="7">
        <f t="shared" si="14"/>
        <v>7.4304298222437046E-2</v>
      </c>
      <c r="G43" s="2"/>
      <c r="H43" s="6">
        <v>2704</v>
      </c>
      <c r="I43" s="2"/>
      <c r="J43" s="7">
        <f t="shared" si="15"/>
        <v>6.1876430205949656E-2</v>
      </c>
      <c r="K43" s="2"/>
      <c r="L43" s="6">
        <f t="shared" si="16"/>
        <v>347.2800000000002</v>
      </c>
      <c r="M43" s="2"/>
      <c r="N43" s="7">
        <f t="shared" si="17"/>
        <v>0.12843195266272198</v>
      </c>
      <c r="O43" s="11"/>
      <c r="P43" s="6">
        <v>14637.42</v>
      </c>
      <c r="Q43" s="2"/>
      <c r="R43" s="7">
        <f t="shared" si="18"/>
        <v>5.410118616320829E-2</v>
      </c>
      <c r="S43" s="2"/>
      <c r="T43" s="6">
        <v>13520</v>
      </c>
      <c r="U43" s="2"/>
      <c r="V43" s="7">
        <f t="shared" si="19"/>
        <v>4.4369692743159536E-2</v>
      </c>
      <c r="W43" s="2"/>
      <c r="X43" s="6">
        <f t="shared" si="20"/>
        <v>1117.42</v>
      </c>
      <c r="Y43" s="2"/>
      <c r="Z43" s="7">
        <f t="shared" si="21"/>
        <v>8.2649408284023673E-2</v>
      </c>
    </row>
    <row r="44" spans="1:26" s="24" customFormat="1" hidden="1" outlineLevel="2" x14ac:dyDescent="0.25">
      <c r="A44" s="25"/>
      <c r="B44" s="11" t="str">
        <f>CONCATENATE("          ", "6114", " - ", "STATE UNEMPLOYMENT INSURANCE")</f>
        <v xml:space="preserve">          6114 - STATE UNEMPLOYMENT INSURANCE</v>
      </c>
      <c r="C44" s="11"/>
      <c r="D44" s="6">
        <v>45.79</v>
      </c>
      <c r="E44" s="2"/>
      <c r="F44" s="7">
        <f t="shared" si="14"/>
        <v>1.1150709917167195E-3</v>
      </c>
      <c r="G44" s="2"/>
      <c r="H44" s="6">
        <v>48.823514947352002</v>
      </c>
      <c r="I44" s="2"/>
      <c r="J44" s="7">
        <f t="shared" si="15"/>
        <v>1.1172429049737301E-3</v>
      </c>
      <c r="K44" s="2"/>
      <c r="L44" s="6">
        <f t="shared" si="16"/>
        <v>-3.0335149473520033</v>
      </c>
      <c r="M44" s="2"/>
      <c r="N44" s="7">
        <f t="shared" si="17"/>
        <v>-6.213225226866894E-2</v>
      </c>
      <c r="O44" s="11"/>
      <c r="P44" s="6">
        <v>253.12</v>
      </c>
      <c r="Q44" s="2"/>
      <c r="R44" s="7">
        <f t="shared" si="18"/>
        <v>9.3555368648513761E-4</v>
      </c>
      <c r="S44" s="2"/>
      <c r="T44" s="6">
        <v>270.29185852492003</v>
      </c>
      <c r="U44" s="2"/>
      <c r="V44" s="7">
        <f t="shared" si="19"/>
        <v>8.8703895811599468E-4</v>
      </c>
      <c r="W44" s="2"/>
      <c r="X44" s="6">
        <f t="shared" si="20"/>
        <v>-17.171858524920026</v>
      </c>
      <c r="Y44" s="2"/>
      <c r="Z44" s="7">
        <f t="shared" si="21"/>
        <v>-6.3530801921423158E-2</v>
      </c>
    </row>
    <row r="45" spans="1:26" s="24" customFormat="1" hidden="1" outlineLevel="2" x14ac:dyDescent="0.25">
      <c r="A45" s="25"/>
      <c r="B45" s="11" t="str">
        <f>CONCATENATE("          ", "6115", " - ", "P.E.R.S.")</f>
        <v xml:space="preserve">          6115 - P.E.R.S.</v>
      </c>
      <c r="C45" s="11"/>
      <c r="D45" s="6">
        <v>1187.75</v>
      </c>
      <c r="E45" s="2"/>
      <c r="F45" s="7">
        <f t="shared" si="14"/>
        <v>2.892390413652618E-2</v>
      </c>
      <c r="G45" s="2"/>
      <c r="H45" s="6">
        <v>1079.049806153846</v>
      </c>
      <c r="I45" s="2"/>
      <c r="J45" s="7">
        <f t="shared" si="15"/>
        <v>2.4692215243795102E-2</v>
      </c>
      <c r="K45" s="2"/>
      <c r="L45" s="6">
        <f t="shared" si="16"/>
        <v>108.70019384615398</v>
      </c>
      <c r="M45" s="2"/>
      <c r="N45" s="7">
        <f t="shared" si="17"/>
        <v>0.10073695692843301</v>
      </c>
      <c r="O45" s="11"/>
      <c r="P45" s="6">
        <v>6767.78</v>
      </c>
      <c r="Q45" s="2"/>
      <c r="R45" s="7">
        <f t="shared" si="18"/>
        <v>2.5014307554995195E-2</v>
      </c>
      <c r="S45" s="2"/>
      <c r="T45" s="6">
        <v>5934.7739338461506</v>
      </c>
      <c r="U45" s="2"/>
      <c r="V45" s="7">
        <f t="shared" si="19"/>
        <v>1.9476634315448663E-2</v>
      </c>
      <c r="W45" s="2"/>
      <c r="X45" s="6">
        <f t="shared" si="20"/>
        <v>833.00606615384913</v>
      </c>
      <c r="Y45" s="2"/>
      <c r="Z45" s="7">
        <f t="shared" si="21"/>
        <v>0.14036020165876861</v>
      </c>
    </row>
    <row r="46" spans="1:26" s="24" customFormat="1" hidden="1" outlineLevel="2" x14ac:dyDescent="0.25">
      <c r="A46" s="25"/>
      <c r="B46" s="11" t="str">
        <f>CONCATENATE("          ", "6116", " - ", "EDUCATIONAL BENEFITS")</f>
        <v xml:space="preserve">          6116 - EDUCATIONAL BENEFITS</v>
      </c>
      <c r="C46" s="11"/>
      <c r="D46" s="6"/>
      <c r="E46" s="2"/>
      <c r="F46" s="7">
        <f t="shared" si="14"/>
        <v>0</v>
      </c>
      <c r="G46" s="2"/>
      <c r="H46" s="6">
        <v>0</v>
      </c>
      <c r="I46" s="2"/>
      <c r="J46" s="7">
        <f t="shared" si="15"/>
        <v>0</v>
      </c>
      <c r="K46" s="2"/>
      <c r="L46" s="6">
        <f t="shared" si="16"/>
        <v>0</v>
      </c>
      <c r="M46" s="2"/>
      <c r="N46" s="7">
        <f t="shared" si="17"/>
        <v>0</v>
      </c>
      <c r="O46" s="11"/>
      <c r="P46" s="6"/>
      <c r="Q46" s="2"/>
      <c r="R46" s="7">
        <f t="shared" si="18"/>
        <v>0</v>
      </c>
      <c r="S46" s="2"/>
      <c r="T46" s="6">
        <v>0</v>
      </c>
      <c r="U46" s="2"/>
      <c r="V46" s="7">
        <f t="shared" si="19"/>
        <v>0</v>
      </c>
      <c r="W46" s="2"/>
      <c r="X46" s="6">
        <f t="shared" si="20"/>
        <v>0</v>
      </c>
      <c r="Y46" s="2"/>
      <c r="Z46" s="7">
        <f t="shared" si="21"/>
        <v>0</v>
      </c>
    </row>
    <row r="47" spans="1:26" s="24" customFormat="1" hidden="1" outlineLevel="2" x14ac:dyDescent="0.25">
      <c r="A47" s="25"/>
      <c r="B47" s="11" t="str">
        <f>CONCATENATE("          ", "6118", " - ", "VACATION")</f>
        <v xml:space="preserve">          6118 - VACATION</v>
      </c>
      <c r="C47" s="11"/>
      <c r="D47" s="6">
        <v>995.36</v>
      </c>
      <c r="E47" s="2"/>
      <c r="F47" s="7">
        <f t="shared" si="14"/>
        <v>2.4238852638461542E-2</v>
      </c>
      <c r="G47" s="2"/>
      <c r="H47" s="6">
        <v>627.35453846153882</v>
      </c>
      <c r="I47" s="2"/>
      <c r="J47" s="7">
        <f t="shared" si="15"/>
        <v>1.4355939095229722E-2</v>
      </c>
      <c r="K47" s="2"/>
      <c r="L47" s="6">
        <f t="shared" si="16"/>
        <v>368.00546153846119</v>
      </c>
      <c r="M47" s="2"/>
      <c r="N47" s="7">
        <f t="shared" si="17"/>
        <v>0.58659886711096532</v>
      </c>
      <c r="O47" s="11"/>
      <c r="P47" s="6">
        <v>6051.59</v>
      </c>
      <c r="Q47" s="2"/>
      <c r="R47" s="7">
        <f t="shared" si="18"/>
        <v>2.2367206596067453E-2</v>
      </c>
      <c r="S47" s="2"/>
      <c r="T47" s="6">
        <v>3450.4499615384625</v>
      </c>
      <c r="U47" s="2"/>
      <c r="V47" s="7">
        <f t="shared" si="19"/>
        <v>1.1323624602005046E-2</v>
      </c>
      <c r="W47" s="2"/>
      <c r="X47" s="6">
        <f t="shared" si="20"/>
        <v>2601.1400384615376</v>
      </c>
      <c r="Y47" s="2"/>
      <c r="Z47" s="7">
        <f t="shared" si="21"/>
        <v>0.7538553137868893</v>
      </c>
    </row>
    <row r="48" spans="1:26" s="24" customFormat="1" hidden="1" outlineLevel="2" x14ac:dyDescent="0.25">
      <c r="A48" s="25"/>
      <c r="B48" s="11" t="str">
        <f>CONCATENATE("          ", "6119", " - ", "SICK LEAVE")</f>
        <v xml:space="preserve">          6119 - SICK LEAVE</v>
      </c>
      <c r="C48" s="11"/>
      <c r="D48" s="6">
        <v>556.54</v>
      </c>
      <c r="E48" s="2"/>
      <c r="F48" s="7">
        <f t="shared" si="14"/>
        <v>1.3552775927713978E-2</v>
      </c>
      <c r="G48" s="2"/>
      <c r="H48" s="6">
        <v>438.72456518212351</v>
      </c>
      <c r="I48" s="2"/>
      <c r="J48" s="7">
        <f t="shared" si="15"/>
        <v>1.0039463734144704E-2</v>
      </c>
      <c r="K48" s="2"/>
      <c r="L48" s="6">
        <f t="shared" si="16"/>
        <v>117.81543481787645</v>
      </c>
      <c r="M48" s="2"/>
      <c r="N48" s="7">
        <f t="shared" si="17"/>
        <v>0.26854077516486652</v>
      </c>
      <c r="O48" s="11"/>
      <c r="P48" s="6">
        <v>3628.32</v>
      </c>
      <c r="Q48" s="2"/>
      <c r="R48" s="7">
        <f t="shared" si="18"/>
        <v>1.3410588462973114E-2</v>
      </c>
      <c r="S48" s="2"/>
      <c r="T48" s="6">
        <v>2419.7640558650787</v>
      </c>
      <c r="U48" s="2"/>
      <c r="V48" s="7">
        <f t="shared" si="19"/>
        <v>7.9411381412481559E-3</v>
      </c>
      <c r="W48" s="2"/>
      <c r="X48" s="6">
        <f t="shared" si="20"/>
        <v>1208.5559441349214</v>
      </c>
      <c r="Y48" s="2"/>
      <c r="Z48" s="7">
        <f t="shared" si="21"/>
        <v>0.49945197805777647</v>
      </c>
    </row>
    <row r="49" spans="1:26" s="24" customFormat="1" hidden="1" outlineLevel="2" x14ac:dyDescent="0.25">
      <c r="A49" s="25"/>
      <c r="B49" s="11" t="str">
        <f>CONCATENATE("          ", "6156", " - ", "EMPLOYEE MEALS")</f>
        <v xml:space="preserve">          6156 - EMPLOYEE MEALS</v>
      </c>
      <c r="C49" s="11"/>
      <c r="D49" s="6">
        <v>309.67</v>
      </c>
      <c r="E49" s="2"/>
      <c r="F49" s="7">
        <f t="shared" si="14"/>
        <v>7.5410359031429699E-3</v>
      </c>
      <c r="G49" s="2"/>
      <c r="H49" s="6">
        <v>300</v>
      </c>
      <c r="I49" s="2"/>
      <c r="J49" s="7">
        <f t="shared" si="15"/>
        <v>6.8649885583524023E-3</v>
      </c>
      <c r="K49" s="2"/>
      <c r="L49" s="6">
        <f t="shared" si="16"/>
        <v>9.6700000000000159</v>
      </c>
      <c r="M49" s="2"/>
      <c r="N49" s="7">
        <f t="shared" si="17"/>
        <v>3.2233333333333385E-2</v>
      </c>
      <c r="O49" s="11"/>
      <c r="P49" s="6">
        <v>1349.28</v>
      </c>
      <c r="Q49" s="2"/>
      <c r="R49" s="7">
        <f t="shared" si="18"/>
        <v>4.9870570405367671E-3</v>
      </c>
      <c r="S49" s="2"/>
      <c r="T49" s="6">
        <v>1500</v>
      </c>
      <c r="U49" s="2"/>
      <c r="V49" s="7">
        <f t="shared" si="19"/>
        <v>4.9226730114452144E-3</v>
      </c>
      <c r="W49" s="2"/>
      <c r="X49" s="6">
        <f t="shared" si="20"/>
        <v>-150.72000000000003</v>
      </c>
      <c r="Y49" s="2"/>
      <c r="Z49" s="7">
        <f t="shared" si="21"/>
        <v>-0.10048000000000001</v>
      </c>
    </row>
    <row r="50" spans="1:26" s="26" customFormat="1" outlineLevel="1" collapsed="1" x14ac:dyDescent="0.25">
      <c r="A50" s="27"/>
      <c r="B50" s="13" t="str">
        <f>CONCATENATE("     ","*Payroll                                          ")</f>
        <v xml:space="preserve">     *Payroll                                          </v>
      </c>
      <c r="C50" s="13"/>
      <c r="D50" s="1">
        <f>SUM(OSRRefD22_1x_0)</f>
        <v>14617.57</v>
      </c>
      <c r="E50" s="1"/>
      <c r="F50" s="5">
        <f t="shared" ref="F50:F60" si="22">IF(D$12=0,0,D50/D$12)</f>
        <v>0.35596480184294754</v>
      </c>
      <c r="G50" s="1"/>
      <c r="H50" s="1">
        <f>SUM(OSRRefH22_1x_0)</f>
        <v>17774.50771821231</v>
      </c>
      <c r="I50" s="1"/>
      <c r="J50" s="5">
        <f t="shared" ref="J50:J60" si="23">IF(H$12=0,0,H50/H$12)</f>
        <v>0.40673930705291328</v>
      </c>
      <c r="K50" s="1"/>
      <c r="L50" s="1">
        <f t="shared" ref="L50:L60" si="24">+D50-H50</f>
        <v>-3156.9377182123098</v>
      </c>
      <c r="M50" s="1"/>
      <c r="N50" s="5">
        <f t="shared" ref="N50:N60" si="25">IF(H50=0,0,L50/H50)</f>
        <v>-0.17761041646051406</v>
      </c>
      <c r="O50" s="13"/>
      <c r="P50" s="1">
        <f>SUM(OSRRefP22_1x_0)</f>
        <v>87785.209999999992</v>
      </c>
      <c r="Q50" s="1"/>
      <c r="R50" s="5">
        <f t="shared" ref="R50:R60" si="26">IF(P$12=0,0,P50/P$12)</f>
        <v>0.32446182377675392</v>
      </c>
      <c r="S50" s="1"/>
      <c r="T50" s="1">
        <f>SUM(OSRRefT22_1x_0)</f>
        <v>98437.687186507712</v>
      </c>
      <c r="U50" s="1"/>
      <c r="V50" s="5">
        <f t="shared" ref="V50:V60" si="27">IF(T$12=0,0,T50/T$12)</f>
        <v>0.32305103068140528</v>
      </c>
      <c r="W50" s="1"/>
      <c r="X50" s="1">
        <f t="shared" ref="X50:X60" si="28">+P50-T50</f>
        <v>-10652.47718650772</v>
      </c>
      <c r="Y50" s="1"/>
      <c r="Z50" s="5">
        <f t="shared" ref="Z50:Z60" si="29">IF(T50=0,0,X50/T50)</f>
        <v>-0.10821543547975387</v>
      </c>
    </row>
    <row r="51" spans="1:26" s="24" customFormat="1" hidden="1" outlineLevel="2" x14ac:dyDescent="0.25">
      <c r="A51" s="25"/>
      <c r="B51" s="11" t="str">
        <f>CONCATENATE("          ", "6001", " - ", "ADMINISTRATIVE SALARIES")</f>
        <v xml:space="preserve">          6001 - ADMINISTRATIVE SALARIES</v>
      </c>
      <c r="C51" s="11"/>
      <c r="D51" s="6"/>
      <c r="E51" s="2"/>
      <c r="F51" s="7">
        <f t="shared" si="22"/>
        <v>0</v>
      </c>
      <c r="G51" s="2"/>
      <c r="H51" s="6">
        <v>5990.5432000000001</v>
      </c>
      <c r="I51" s="2"/>
      <c r="J51" s="7">
        <f t="shared" si="23"/>
        <v>0.13708336842105262</v>
      </c>
      <c r="K51" s="2"/>
      <c r="L51" s="6">
        <f t="shared" si="24"/>
        <v>-5990.5432000000001</v>
      </c>
      <c r="M51" s="2"/>
      <c r="N51" s="7">
        <f t="shared" si="25"/>
        <v>-1</v>
      </c>
      <c r="O51" s="11"/>
      <c r="P51" s="6"/>
      <c r="Q51" s="2"/>
      <c r="R51" s="7">
        <f t="shared" si="26"/>
        <v>0</v>
      </c>
      <c r="S51" s="2"/>
      <c r="T51" s="6">
        <v>32947.9876</v>
      </c>
      <c r="U51" s="2"/>
      <c r="V51" s="7">
        <f t="shared" si="27"/>
        <v>0.10812811289330107</v>
      </c>
      <c r="W51" s="2"/>
      <c r="X51" s="6">
        <f t="shared" si="28"/>
        <v>-32947.9876</v>
      </c>
      <c r="Y51" s="2"/>
      <c r="Z51" s="7">
        <f t="shared" si="29"/>
        <v>-1</v>
      </c>
    </row>
    <row r="52" spans="1:26" s="24" customFormat="1" hidden="1" outlineLevel="2" x14ac:dyDescent="0.25">
      <c r="A52" s="25"/>
      <c r="B52" s="11" t="str">
        <f>CONCATENATE("          ", "6002", " - ", "STAFF SALARIES")</f>
        <v xml:space="preserve">          6002 - STAFF SALARIES</v>
      </c>
      <c r="C52" s="11"/>
      <c r="D52" s="6">
        <v>9872.81</v>
      </c>
      <c r="E52" s="2"/>
      <c r="F52" s="7">
        <f t="shared" si="22"/>
        <v>0.24042114081089203</v>
      </c>
      <c r="G52" s="2"/>
      <c r="H52" s="6">
        <v>5552.7803076923101</v>
      </c>
      <c r="I52" s="2"/>
      <c r="J52" s="7">
        <f t="shared" si="23"/>
        <v>0.12706591093117414</v>
      </c>
      <c r="K52" s="2"/>
      <c r="L52" s="6">
        <f t="shared" si="24"/>
        <v>4320.0296923076894</v>
      </c>
      <c r="M52" s="2"/>
      <c r="N52" s="7">
        <f t="shared" si="25"/>
        <v>0.77799398732255232</v>
      </c>
      <c r="O52" s="11"/>
      <c r="P52" s="6">
        <v>57718.559999999998</v>
      </c>
      <c r="Q52" s="2"/>
      <c r="R52" s="7">
        <f t="shared" si="26"/>
        <v>0.21333285234913715</v>
      </c>
      <c r="S52" s="2"/>
      <c r="T52" s="6">
        <v>30540.29169230771</v>
      </c>
      <c r="U52" s="2"/>
      <c r="V52" s="7">
        <f t="shared" si="27"/>
        <v>0.10022657978359178</v>
      </c>
      <c r="W52" s="2"/>
      <c r="X52" s="6">
        <f t="shared" si="28"/>
        <v>27178.268307692288</v>
      </c>
      <c r="Y52" s="2"/>
      <c r="Z52" s="7">
        <f t="shared" si="29"/>
        <v>0.88991515148291045</v>
      </c>
    </row>
    <row r="53" spans="1:26" s="24" customFormat="1" hidden="1" outlineLevel="2" x14ac:dyDescent="0.25">
      <c r="A53" s="25"/>
      <c r="B53" s="11" t="str">
        <f>CONCATENATE("          ", "6003", " - ", "STAFF HOURLY-9 MONTH")</f>
        <v xml:space="preserve">          6003 - STAFF HOURLY-9 MONTH</v>
      </c>
      <c r="C53" s="11"/>
      <c r="D53" s="6"/>
      <c r="E53" s="2"/>
      <c r="F53" s="7">
        <f t="shared" si="22"/>
        <v>0</v>
      </c>
      <c r="G53" s="2"/>
      <c r="H53" s="6">
        <v>0</v>
      </c>
      <c r="I53" s="2"/>
      <c r="J53" s="7">
        <f t="shared" si="23"/>
        <v>0</v>
      </c>
      <c r="K53" s="2"/>
      <c r="L53" s="6">
        <f t="shared" si="24"/>
        <v>0</v>
      </c>
      <c r="M53" s="2"/>
      <c r="N53" s="7">
        <f t="shared" si="25"/>
        <v>0</v>
      </c>
      <c r="O53" s="11"/>
      <c r="P53" s="6"/>
      <c r="Q53" s="2"/>
      <c r="R53" s="7">
        <f t="shared" si="26"/>
        <v>0</v>
      </c>
      <c r="S53" s="2"/>
      <c r="T53" s="6">
        <v>0</v>
      </c>
      <c r="U53" s="2"/>
      <c r="V53" s="7">
        <f t="shared" si="27"/>
        <v>0</v>
      </c>
      <c r="W53" s="2"/>
      <c r="X53" s="6">
        <f t="shared" si="28"/>
        <v>0</v>
      </c>
      <c r="Y53" s="2"/>
      <c r="Z53" s="7">
        <f t="shared" si="29"/>
        <v>0</v>
      </c>
    </row>
    <row r="54" spans="1:26" s="24" customFormat="1" hidden="1" outlineLevel="2" x14ac:dyDescent="0.25">
      <c r="A54" s="25"/>
      <c r="B54" s="11" t="str">
        <f>CONCATENATE("          ", "6004", " - ", "STAFF HOURLY")</f>
        <v xml:space="preserve">          6004 - STAFF HOURLY</v>
      </c>
      <c r="C54" s="11"/>
      <c r="D54" s="6"/>
      <c r="E54" s="2"/>
      <c r="F54" s="7">
        <f t="shared" si="22"/>
        <v>0</v>
      </c>
      <c r="G54" s="2"/>
      <c r="H54" s="6">
        <v>2870</v>
      </c>
      <c r="I54" s="2"/>
      <c r="J54" s="7">
        <f t="shared" si="23"/>
        <v>6.5675057208237991E-2</v>
      </c>
      <c r="K54" s="2"/>
      <c r="L54" s="6">
        <f t="shared" si="24"/>
        <v>-2870</v>
      </c>
      <c r="M54" s="2"/>
      <c r="N54" s="7">
        <f t="shared" si="25"/>
        <v>-1</v>
      </c>
      <c r="O54" s="11"/>
      <c r="P54" s="6"/>
      <c r="Q54" s="2"/>
      <c r="R54" s="7">
        <f t="shared" si="26"/>
        <v>0</v>
      </c>
      <c r="S54" s="2"/>
      <c r="T54" s="6">
        <v>15330</v>
      </c>
      <c r="U54" s="2"/>
      <c r="V54" s="7">
        <f t="shared" si="27"/>
        <v>5.0309718176970095E-2</v>
      </c>
      <c r="W54" s="2"/>
      <c r="X54" s="6">
        <f t="shared" si="28"/>
        <v>-15330</v>
      </c>
      <c r="Y54" s="2"/>
      <c r="Z54" s="7">
        <f t="shared" si="29"/>
        <v>-1</v>
      </c>
    </row>
    <row r="55" spans="1:26" s="24" customFormat="1" hidden="1" outlineLevel="2" x14ac:dyDescent="0.25">
      <c r="A55" s="25"/>
      <c r="B55" s="11" t="str">
        <f>CONCATENATE("          ", "6005", " - ", "TEMPORARY WAGES-HOURLY")</f>
        <v xml:space="preserve">          6005 - TEMPORARY WAGES-HOURLY</v>
      </c>
      <c r="C55" s="11"/>
      <c r="D55" s="6">
        <v>1765.75</v>
      </c>
      <c r="E55" s="2"/>
      <c r="F55" s="7">
        <f t="shared" si="22"/>
        <v>4.2999270662236244E-2</v>
      </c>
      <c r="G55" s="2"/>
      <c r="H55" s="6">
        <v>0</v>
      </c>
      <c r="I55" s="2"/>
      <c r="J55" s="7">
        <f t="shared" si="23"/>
        <v>0</v>
      </c>
      <c r="K55" s="2"/>
      <c r="L55" s="6">
        <f t="shared" si="24"/>
        <v>1765.75</v>
      </c>
      <c r="M55" s="2"/>
      <c r="N55" s="7">
        <f t="shared" si="25"/>
        <v>0</v>
      </c>
      <c r="O55" s="11"/>
      <c r="P55" s="6">
        <v>9961</v>
      </c>
      <c r="Q55" s="2"/>
      <c r="R55" s="7">
        <f t="shared" si="26"/>
        <v>3.6816728314943328E-2</v>
      </c>
      <c r="S55" s="2"/>
      <c r="T55" s="6">
        <v>0</v>
      </c>
      <c r="U55" s="2"/>
      <c r="V55" s="7">
        <f t="shared" si="27"/>
        <v>0</v>
      </c>
      <c r="W55" s="2"/>
      <c r="X55" s="6">
        <f t="shared" si="28"/>
        <v>9961</v>
      </c>
      <c r="Y55" s="2"/>
      <c r="Z55" s="7">
        <f t="shared" si="29"/>
        <v>0</v>
      </c>
    </row>
    <row r="56" spans="1:26" s="24" customFormat="1" hidden="1" outlineLevel="2" x14ac:dyDescent="0.25">
      <c r="A56" s="25"/>
      <c r="B56" s="11" t="str">
        <f>CONCATENATE("          ", "6006", " - ", "TEMPORARY PART TIME")</f>
        <v xml:space="preserve">          6006 - TEMPORARY PART TIME</v>
      </c>
      <c r="C56" s="11"/>
      <c r="D56" s="6"/>
      <c r="E56" s="2"/>
      <c r="F56" s="7">
        <f t="shared" si="22"/>
        <v>0</v>
      </c>
      <c r="G56" s="2"/>
      <c r="H56" s="6">
        <v>0</v>
      </c>
      <c r="I56" s="2"/>
      <c r="J56" s="7">
        <f t="shared" si="23"/>
        <v>0</v>
      </c>
      <c r="K56" s="2"/>
      <c r="L56" s="6">
        <f t="shared" si="24"/>
        <v>0</v>
      </c>
      <c r="M56" s="2"/>
      <c r="N56" s="7">
        <f t="shared" si="25"/>
        <v>0</v>
      </c>
      <c r="O56" s="11"/>
      <c r="P56" s="6">
        <v>57.37</v>
      </c>
      <c r="Q56" s="2"/>
      <c r="R56" s="7">
        <f t="shared" si="26"/>
        <v>2.1204454406468213E-4</v>
      </c>
      <c r="S56" s="2"/>
      <c r="T56" s="6">
        <v>0</v>
      </c>
      <c r="U56" s="2"/>
      <c r="V56" s="7">
        <f t="shared" si="27"/>
        <v>0</v>
      </c>
      <c r="W56" s="2"/>
      <c r="X56" s="6">
        <f t="shared" si="28"/>
        <v>57.37</v>
      </c>
      <c r="Y56" s="2"/>
      <c r="Z56" s="7">
        <f t="shared" si="29"/>
        <v>0</v>
      </c>
    </row>
    <row r="57" spans="1:26" s="24" customFormat="1" hidden="1" outlineLevel="2" x14ac:dyDescent="0.25">
      <c r="A57" s="25"/>
      <c r="B57" s="11" t="str">
        <f>CONCATENATE("          ", "6007", " - ", "STUDENT HOURLY")</f>
        <v xml:space="preserve">          6007 - STUDENT HOURLY</v>
      </c>
      <c r="C57" s="11"/>
      <c r="D57" s="6">
        <v>2979.01</v>
      </c>
      <c r="E57" s="2"/>
      <c r="F57" s="7">
        <f t="shared" si="22"/>
        <v>7.2544390369819287E-2</v>
      </c>
      <c r="G57" s="2"/>
      <c r="H57" s="6">
        <v>0</v>
      </c>
      <c r="I57" s="2"/>
      <c r="J57" s="7">
        <f t="shared" si="23"/>
        <v>0</v>
      </c>
      <c r="K57" s="2"/>
      <c r="L57" s="6">
        <f t="shared" si="24"/>
        <v>2979.01</v>
      </c>
      <c r="M57" s="2"/>
      <c r="N57" s="7">
        <f t="shared" si="25"/>
        <v>0</v>
      </c>
      <c r="O57" s="11"/>
      <c r="P57" s="6">
        <v>20048.28</v>
      </c>
      <c r="Q57" s="2"/>
      <c r="R57" s="7">
        <f t="shared" si="26"/>
        <v>7.4100198568608777E-2</v>
      </c>
      <c r="S57" s="2"/>
      <c r="T57" s="6">
        <v>3756.1363631999998</v>
      </c>
      <c r="U57" s="2"/>
      <c r="V57" s="7">
        <f t="shared" si="27"/>
        <v>1.232682073495508E-2</v>
      </c>
      <c r="W57" s="2"/>
      <c r="X57" s="6">
        <f t="shared" si="28"/>
        <v>16292.1436368</v>
      </c>
      <c r="Y57" s="2"/>
      <c r="Z57" s="7">
        <f t="shared" si="29"/>
        <v>4.337473952335448</v>
      </c>
    </row>
    <row r="58" spans="1:26" s="24" customFormat="1" hidden="1" outlineLevel="2" x14ac:dyDescent="0.25">
      <c r="A58" s="25"/>
      <c r="B58" s="11" t="str">
        <f>CONCATENATE("          ", "6008", " - ", "STUDENT HOURLY-FICA EXEMPT")</f>
        <v xml:space="preserve">          6008 - STUDENT HOURLY-FICA EXEMPT</v>
      </c>
      <c r="C58" s="11"/>
      <c r="D58" s="6"/>
      <c r="E58" s="2"/>
      <c r="F58" s="7">
        <f t="shared" si="22"/>
        <v>0</v>
      </c>
      <c r="G58" s="2"/>
      <c r="H58" s="6">
        <v>3361.1842105200003</v>
      </c>
      <c r="I58" s="2"/>
      <c r="J58" s="7">
        <f t="shared" si="23"/>
        <v>7.6914970492448526E-2</v>
      </c>
      <c r="K58" s="2"/>
      <c r="L58" s="6">
        <f t="shared" si="24"/>
        <v>-3361.1842105200003</v>
      </c>
      <c r="M58" s="2"/>
      <c r="N58" s="7">
        <f t="shared" si="25"/>
        <v>-1</v>
      </c>
      <c r="O58" s="11"/>
      <c r="P58" s="6"/>
      <c r="Q58" s="2"/>
      <c r="R58" s="7">
        <f t="shared" si="26"/>
        <v>0</v>
      </c>
      <c r="S58" s="2"/>
      <c r="T58" s="6">
        <v>15863.271531000002</v>
      </c>
      <c r="U58" s="2"/>
      <c r="V58" s="7">
        <f t="shared" si="27"/>
        <v>5.2059799092587282E-2</v>
      </c>
      <c r="W58" s="2"/>
      <c r="X58" s="6">
        <f t="shared" si="28"/>
        <v>-15863.271531000002</v>
      </c>
      <c r="Y58" s="2"/>
      <c r="Z58" s="7">
        <f t="shared" si="29"/>
        <v>-1</v>
      </c>
    </row>
    <row r="59" spans="1:26" s="24" customFormat="1" hidden="1" outlineLevel="2" x14ac:dyDescent="0.25">
      <c r="A59" s="25"/>
      <c r="B59" s="11" t="str">
        <f>CONCATENATE("          ", "6009", " - ", "TEMPORARY-SEASONAL")</f>
        <v xml:space="preserve">          6009 - TEMPORARY-SEASONAL</v>
      </c>
      <c r="C59" s="11"/>
      <c r="D59" s="6"/>
      <c r="E59" s="2"/>
      <c r="F59" s="7">
        <f t="shared" si="22"/>
        <v>0</v>
      </c>
      <c r="G59" s="2"/>
      <c r="H59" s="6">
        <v>0</v>
      </c>
      <c r="I59" s="2"/>
      <c r="J59" s="7">
        <f t="shared" si="23"/>
        <v>0</v>
      </c>
      <c r="K59" s="2"/>
      <c r="L59" s="6">
        <f t="shared" si="24"/>
        <v>0</v>
      </c>
      <c r="M59" s="2"/>
      <c r="N59" s="7">
        <f t="shared" si="25"/>
        <v>0</v>
      </c>
      <c r="O59" s="11"/>
      <c r="P59" s="6"/>
      <c r="Q59" s="2"/>
      <c r="R59" s="7">
        <f t="shared" si="26"/>
        <v>0</v>
      </c>
      <c r="S59" s="2"/>
      <c r="T59" s="6">
        <v>0</v>
      </c>
      <c r="U59" s="2"/>
      <c r="V59" s="7">
        <f t="shared" si="27"/>
        <v>0</v>
      </c>
      <c r="W59" s="2"/>
      <c r="X59" s="6">
        <f t="shared" si="28"/>
        <v>0</v>
      </c>
      <c r="Y59" s="2"/>
      <c r="Z59" s="7">
        <f t="shared" si="29"/>
        <v>0</v>
      </c>
    </row>
    <row r="60" spans="1:26" s="24" customFormat="1" hidden="1" outlineLevel="2" x14ac:dyDescent="0.25">
      <c r="A60" s="25"/>
      <c r="B60" s="11" t="str">
        <f>CONCATENATE("          ", "6010", " - ", "GRATUITY")</f>
        <v xml:space="preserve">          6010 - GRATUITY</v>
      </c>
      <c r="C60" s="11"/>
      <c r="D60" s="6"/>
      <c r="E60" s="2"/>
      <c r="F60" s="7">
        <f t="shared" si="22"/>
        <v>0</v>
      </c>
      <c r="G60" s="2"/>
      <c r="H60" s="6">
        <v>0</v>
      </c>
      <c r="I60" s="2"/>
      <c r="J60" s="7">
        <f t="shared" si="23"/>
        <v>0</v>
      </c>
      <c r="K60" s="2"/>
      <c r="L60" s="6">
        <f t="shared" si="24"/>
        <v>0</v>
      </c>
      <c r="M60" s="2"/>
      <c r="N60" s="7">
        <f t="shared" si="25"/>
        <v>0</v>
      </c>
      <c r="O60" s="11"/>
      <c r="P60" s="6"/>
      <c r="Q60" s="2"/>
      <c r="R60" s="7">
        <f t="shared" si="26"/>
        <v>0</v>
      </c>
      <c r="S60" s="2"/>
      <c r="T60" s="6">
        <v>0</v>
      </c>
      <c r="U60" s="2"/>
      <c r="V60" s="7">
        <f t="shared" si="27"/>
        <v>0</v>
      </c>
      <c r="W60" s="2"/>
      <c r="X60" s="6">
        <f t="shared" si="28"/>
        <v>0</v>
      </c>
      <c r="Y60" s="2"/>
      <c r="Z60" s="7">
        <f t="shared" si="29"/>
        <v>0</v>
      </c>
    </row>
    <row r="61" spans="1:26" s="26" customFormat="1" outlineLevel="1" collapsed="1" x14ac:dyDescent="0.25">
      <c r="A61" s="27"/>
      <c r="B61" s="13" t="str">
        <f>CONCATENATE("     ","Advertising/Promo                                 ")</f>
        <v xml:space="preserve">     Advertising/Promo                                 </v>
      </c>
      <c r="C61" s="13"/>
      <c r="D61" s="1">
        <f>SUM(OSRRefD22_2x_0)</f>
        <v>0</v>
      </c>
      <c r="E61" s="1"/>
      <c r="F61" s="5">
        <f t="shared" ref="F61:F73" si="30">IF(D$12=0,0,D61/D$12)</f>
        <v>0</v>
      </c>
      <c r="G61" s="1"/>
      <c r="H61" s="1">
        <f>SUM(OSRRefH22_2x_0)</f>
        <v>100</v>
      </c>
      <c r="I61" s="1"/>
      <c r="J61" s="5">
        <f t="shared" ref="J61:J73" si="31">IF(H$12=0,0,H61/H$12)</f>
        <v>2.2883295194508009E-3</v>
      </c>
      <c r="K61" s="1"/>
      <c r="L61" s="1">
        <f t="shared" ref="L61:L73" si="32">+D61-H61</f>
        <v>-100</v>
      </c>
      <c r="M61" s="1"/>
      <c r="N61" s="5">
        <f t="shared" ref="N61:N73" si="33">IF(H61=0,0,L61/H61)</f>
        <v>-1</v>
      </c>
      <c r="O61" s="13"/>
      <c r="P61" s="1">
        <f>SUM(OSRRefP22_2x_0)</f>
        <v>-857.46</v>
      </c>
      <c r="Q61" s="1"/>
      <c r="R61" s="5">
        <f t="shared" ref="R61:R73" si="34">IF(P$12=0,0,P61/P$12)</f>
        <v>-3.1692472503695719E-3</v>
      </c>
      <c r="S61" s="1"/>
      <c r="T61" s="1">
        <f>SUM(OSRRefT22_2x_0)</f>
        <v>500</v>
      </c>
      <c r="U61" s="1"/>
      <c r="V61" s="5">
        <f t="shared" ref="V61:V73" si="35">IF(T$12=0,0,T61/T$12)</f>
        <v>1.6408910038150715E-3</v>
      </c>
      <c r="W61" s="1"/>
      <c r="X61" s="1">
        <f t="shared" ref="X61:X73" si="36">+P61-T61</f>
        <v>-1357.46</v>
      </c>
      <c r="Y61" s="1"/>
      <c r="Z61" s="5">
        <f t="shared" ref="Z61:Z73" si="37">IF(T61=0,0,X61/T61)</f>
        <v>-2.7149200000000002</v>
      </c>
    </row>
    <row r="62" spans="1:26" s="24" customFormat="1" hidden="1" outlineLevel="2" x14ac:dyDescent="0.25">
      <c r="A62" s="25"/>
      <c r="B62" s="11" t="str">
        <f>CONCATENATE("          ", "6362", " - ", "ADVERTISING EXPENSE")</f>
        <v xml:space="preserve">          6362 - ADVERTISING EXPENSE</v>
      </c>
      <c r="C62" s="11"/>
      <c r="D62" s="6"/>
      <c r="E62" s="2"/>
      <c r="F62" s="7">
        <f t="shared" si="30"/>
        <v>0</v>
      </c>
      <c r="G62" s="2"/>
      <c r="H62" s="6">
        <v>100</v>
      </c>
      <c r="I62" s="2"/>
      <c r="J62" s="7">
        <f t="shared" si="31"/>
        <v>2.2883295194508009E-3</v>
      </c>
      <c r="K62" s="2"/>
      <c r="L62" s="6">
        <f t="shared" si="32"/>
        <v>-100</v>
      </c>
      <c r="M62" s="2"/>
      <c r="N62" s="7">
        <f t="shared" si="33"/>
        <v>-1</v>
      </c>
      <c r="O62" s="11"/>
      <c r="P62" s="6">
        <v>-857.46</v>
      </c>
      <c r="Q62" s="2"/>
      <c r="R62" s="7">
        <f t="shared" si="34"/>
        <v>-3.1692472503695719E-3</v>
      </c>
      <c r="S62" s="2"/>
      <c r="T62" s="6">
        <v>500</v>
      </c>
      <c r="U62" s="2"/>
      <c r="V62" s="7">
        <f t="shared" si="35"/>
        <v>1.6408910038150715E-3</v>
      </c>
      <c r="W62" s="2"/>
      <c r="X62" s="6">
        <f t="shared" si="36"/>
        <v>-1357.46</v>
      </c>
      <c r="Y62" s="2"/>
      <c r="Z62" s="7">
        <f t="shared" si="37"/>
        <v>-2.7149200000000002</v>
      </c>
    </row>
    <row r="63" spans="1:26" s="26" customFormat="1" outlineLevel="1" collapsed="1" x14ac:dyDescent="0.25">
      <c r="A63" s="27"/>
      <c r="B63" s="13" t="str">
        <f>CONCATENATE("     ","Depreciation                                      ")</f>
        <v xml:space="preserve">     Depreciation                                      </v>
      </c>
      <c r="C63" s="13"/>
      <c r="D63" s="1">
        <f>SUM(OSRRefD22_3x_0)</f>
        <v>0</v>
      </c>
      <c r="E63" s="1"/>
      <c r="F63" s="5">
        <f t="shared" si="30"/>
        <v>0</v>
      </c>
      <c r="G63" s="1"/>
      <c r="H63" s="1">
        <f>SUM(OSRRefH22_3x_0)</f>
        <v>0</v>
      </c>
      <c r="I63" s="1"/>
      <c r="J63" s="5">
        <f t="shared" si="31"/>
        <v>0</v>
      </c>
      <c r="K63" s="1"/>
      <c r="L63" s="1">
        <f t="shared" si="32"/>
        <v>0</v>
      </c>
      <c r="M63" s="1"/>
      <c r="N63" s="5">
        <f t="shared" si="33"/>
        <v>0</v>
      </c>
      <c r="O63" s="13"/>
      <c r="P63" s="1">
        <f>SUM(OSRRefP22_3x_0)</f>
        <v>0</v>
      </c>
      <c r="Q63" s="1"/>
      <c r="R63" s="5">
        <f t="shared" si="34"/>
        <v>0</v>
      </c>
      <c r="S63" s="1"/>
      <c r="T63" s="1">
        <f>SUM(OSRRefT22_3x_0)</f>
        <v>0</v>
      </c>
      <c r="U63" s="1"/>
      <c r="V63" s="5">
        <f t="shared" si="35"/>
        <v>0</v>
      </c>
      <c r="W63" s="1"/>
      <c r="X63" s="1">
        <f t="shared" si="36"/>
        <v>0</v>
      </c>
      <c r="Y63" s="1"/>
      <c r="Z63" s="5">
        <f t="shared" si="37"/>
        <v>0</v>
      </c>
    </row>
    <row r="64" spans="1:26" s="24" customFormat="1" hidden="1" outlineLevel="2" x14ac:dyDescent="0.25">
      <c r="A64" s="25"/>
      <c r="B64" s="11" t="str">
        <f>CONCATENATE("          ", "6322", " - ", "EQUIPMENT DEPRECIATION EXPENSE")</f>
        <v xml:space="preserve">          6322 - EQUIPMENT DEPRECIATION EXPENSE</v>
      </c>
      <c r="C64" s="11"/>
      <c r="D64" s="6"/>
      <c r="E64" s="2"/>
      <c r="F64" s="7">
        <f t="shared" si="30"/>
        <v>0</v>
      </c>
      <c r="G64" s="2"/>
      <c r="H64" s="6">
        <v>0</v>
      </c>
      <c r="I64" s="2"/>
      <c r="J64" s="7">
        <f t="shared" si="31"/>
        <v>0</v>
      </c>
      <c r="K64" s="2"/>
      <c r="L64" s="6">
        <f t="shared" si="32"/>
        <v>0</v>
      </c>
      <c r="M64" s="2"/>
      <c r="N64" s="7">
        <f t="shared" si="33"/>
        <v>0</v>
      </c>
      <c r="O64" s="11"/>
      <c r="P64" s="6"/>
      <c r="Q64" s="2"/>
      <c r="R64" s="7">
        <f t="shared" si="34"/>
        <v>0</v>
      </c>
      <c r="S64" s="2"/>
      <c r="T64" s="6">
        <v>0</v>
      </c>
      <c r="U64" s="2"/>
      <c r="V64" s="7">
        <f t="shared" si="35"/>
        <v>0</v>
      </c>
      <c r="W64" s="2"/>
      <c r="X64" s="6">
        <f t="shared" si="36"/>
        <v>0</v>
      </c>
      <c r="Y64" s="2"/>
      <c r="Z64" s="7">
        <f t="shared" si="37"/>
        <v>0</v>
      </c>
    </row>
    <row r="65" spans="1:26" s="26" customFormat="1" outlineLevel="1" collapsed="1" x14ac:dyDescent="0.25">
      <c r="A65" s="27"/>
      <c r="B65" s="13" t="str">
        <f>CONCATENATE("     ","Discounts and Markdowns                           ")</f>
        <v xml:space="preserve">     Discounts and Markdowns                           </v>
      </c>
      <c r="C65" s="13"/>
      <c r="D65" s="1">
        <f>SUM(OSRRefD22_4x_0)</f>
        <v>80.040000000000006</v>
      </c>
      <c r="E65" s="1"/>
      <c r="F65" s="5">
        <f t="shared" si="30"/>
        <v>1.9491216898232418E-3</v>
      </c>
      <c r="G65" s="1"/>
      <c r="H65" s="1">
        <f>SUM(OSRRefH22_4x_0)</f>
        <v>700</v>
      </c>
      <c r="I65" s="1"/>
      <c r="J65" s="5">
        <f t="shared" si="31"/>
        <v>1.6018306636155607E-2</v>
      </c>
      <c r="K65" s="1"/>
      <c r="L65" s="1">
        <f t="shared" si="32"/>
        <v>-619.96</v>
      </c>
      <c r="M65" s="1"/>
      <c r="N65" s="5">
        <f t="shared" si="33"/>
        <v>-0.88565714285714292</v>
      </c>
      <c r="O65" s="13"/>
      <c r="P65" s="1">
        <f>SUM(OSRRefP22_4x_0)</f>
        <v>707.76</v>
      </c>
      <c r="Q65" s="1"/>
      <c r="R65" s="5">
        <f t="shared" si="34"/>
        <v>2.6159429406871085E-3</v>
      </c>
      <c r="S65" s="1"/>
      <c r="T65" s="1">
        <f>SUM(OSRRefT22_4x_0)</f>
        <v>3900</v>
      </c>
      <c r="U65" s="1"/>
      <c r="V65" s="5">
        <f t="shared" si="35"/>
        <v>1.2798949829757558E-2</v>
      </c>
      <c r="W65" s="1"/>
      <c r="X65" s="1">
        <f t="shared" si="36"/>
        <v>-3192.24</v>
      </c>
      <c r="Y65" s="1"/>
      <c r="Z65" s="5">
        <f t="shared" si="37"/>
        <v>-0.81852307692307691</v>
      </c>
    </row>
    <row r="66" spans="1:26" s="24" customFormat="1" hidden="1" outlineLevel="2" x14ac:dyDescent="0.25">
      <c r="A66" s="25"/>
      <c r="B66" s="11" t="str">
        <f>CONCATENATE("          ", "6382", " - ", "DISCOUNTS/MARK DOWNS")</f>
        <v xml:space="preserve">          6382 - DISCOUNTS/MARK DOWNS</v>
      </c>
      <c r="C66" s="11"/>
      <c r="D66" s="6">
        <v>80.040000000000006</v>
      </c>
      <c r="E66" s="2"/>
      <c r="F66" s="7">
        <f t="shared" si="30"/>
        <v>1.9491216898232418E-3</v>
      </c>
      <c r="G66" s="2"/>
      <c r="H66" s="6">
        <v>700</v>
      </c>
      <c r="I66" s="2"/>
      <c r="J66" s="7">
        <f t="shared" si="31"/>
        <v>1.6018306636155607E-2</v>
      </c>
      <c r="K66" s="2"/>
      <c r="L66" s="6">
        <f t="shared" si="32"/>
        <v>-619.96</v>
      </c>
      <c r="M66" s="2"/>
      <c r="N66" s="7">
        <f t="shared" si="33"/>
        <v>-0.88565714285714292</v>
      </c>
      <c r="O66" s="11"/>
      <c r="P66" s="6">
        <v>707.76</v>
      </c>
      <c r="Q66" s="2"/>
      <c r="R66" s="7">
        <f t="shared" si="34"/>
        <v>2.6159429406871085E-3</v>
      </c>
      <c r="S66" s="2"/>
      <c r="T66" s="6">
        <v>3900</v>
      </c>
      <c r="U66" s="2"/>
      <c r="V66" s="7">
        <f t="shared" si="35"/>
        <v>1.2798949829757558E-2</v>
      </c>
      <c r="W66" s="2"/>
      <c r="X66" s="6">
        <f t="shared" si="36"/>
        <v>-3192.24</v>
      </c>
      <c r="Y66" s="2"/>
      <c r="Z66" s="7">
        <f t="shared" si="37"/>
        <v>-0.81852307692307691</v>
      </c>
    </row>
    <row r="67" spans="1:26" s="26" customFormat="1" outlineLevel="1" collapsed="1" x14ac:dyDescent="0.25">
      <c r="A67" s="27"/>
      <c r="B67" s="13" t="str">
        <f>CONCATENATE("     ","Employees' Appreciation                           ")</f>
        <v xml:space="preserve">     Employees' Appreciation                           </v>
      </c>
      <c r="C67" s="13"/>
      <c r="D67" s="1">
        <f>SUM(OSRRefD22_5x_0)</f>
        <v>0</v>
      </c>
      <c r="E67" s="1"/>
      <c r="F67" s="5">
        <f t="shared" si="30"/>
        <v>0</v>
      </c>
      <c r="G67" s="1"/>
      <c r="H67" s="1">
        <f>SUM(OSRRefH22_5x_0)</f>
        <v>100</v>
      </c>
      <c r="I67" s="1"/>
      <c r="J67" s="5">
        <f t="shared" si="31"/>
        <v>2.2883295194508009E-3</v>
      </c>
      <c r="K67" s="1"/>
      <c r="L67" s="1">
        <f t="shared" si="32"/>
        <v>-100</v>
      </c>
      <c r="M67" s="1"/>
      <c r="N67" s="5">
        <f t="shared" si="33"/>
        <v>-1</v>
      </c>
      <c r="O67" s="13"/>
      <c r="P67" s="1">
        <f>SUM(OSRRefP22_5x_0)</f>
        <v>0</v>
      </c>
      <c r="Q67" s="1"/>
      <c r="R67" s="5">
        <f t="shared" si="34"/>
        <v>0</v>
      </c>
      <c r="S67" s="1"/>
      <c r="T67" s="1">
        <f>SUM(OSRRefT22_5x_0)</f>
        <v>500</v>
      </c>
      <c r="U67" s="1"/>
      <c r="V67" s="5">
        <f t="shared" si="35"/>
        <v>1.6408910038150715E-3</v>
      </c>
      <c r="W67" s="1"/>
      <c r="X67" s="1">
        <f t="shared" si="36"/>
        <v>-500</v>
      </c>
      <c r="Y67" s="1"/>
      <c r="Z67" s="5">
        <f t="shared" si="37"/>
        <v>-1</v>
      </c>
    </row>
    <row r="68" spans="1:26" s="24" customFormat="1" hidden="1" outlineLevel="2" x14ac:dyDescent="0.25">
      <c r="A68" s="25"/>
      <c r="B68" s="11" t="str">
        <f>CONCATENATE("          ", "6277", " - ", "EMPLOYEE APPRECIATION")</f>
        <v xml:space="preserve">          6277 - EMPLOYEE APPRECIATION</v>
      </c>
      <c r="C68" s="11"/>
      <c r="D68" s="6"/>
      <c r="E68" s="2"/>
      <c r="F68" s="7">
        <f t="shared" si="30"/>
        <v>0</v>
      </c>
      <c r="G68" s="2"/>
      <c r="H68" s="6">
        <v>100</v>
      </c>
      <c r="I68" s="2"/>
      <c r="J68" s="7">
        <f t="shared" si="31"/>
        <v>2.2883295194508009E-3</v>
      </c>
      <c r="K68" s="2"/>
      <c r="L68" s="6">
        <f t="shared" si="32"/>
        <v>-100</v>
      </c>
      <c r="M68" s="2"/>
      <c r="N68" s="7">
        <f t="shared" si="33"/>
        <v>-1</v>
      </c>
      <c r="O68" s="11"/>
      <c r="P68" s="6"/>
      <c r="Q68" s="2"/>
      <c r="R68" s="7">
        <f t="shared" si="34"/>
        <v>0</v>
      </c>
      <c r="S68" s="2"/>
      <c r="T68" s="6">
        <v>500</v>
      </c>
      <c r="U68" s="2"/>
      <c r="V68" s="7">
        <f t="shared" si="35"/>
        <v>1.6408910038150715E-3</v>
      </c>
      <c r="W68" s="2"/>
      <c r="X68" s="6">
        <f t="shared" si="36"/>
        <v>-500</v>
      </c>
      <c r="Y68" s="2"/>
      <c r="Z68" s="7">
        <f t="shared" si="37"/>
        <v>-1</v>
      </c>
    </row>
    <row r="69" spans="1:26" s="26" customFormat="1" outlineLevel="1" collapsed="1" x14ac:dyDescent="0.25">
      <c r="A69" s="27"/>
      <c r="B69" s="13" t="str">
        <f>CONCATENATE("     ","Equipment Rental                                  ")</f>
        <v xml:space="preserve">     Equipment Rental                                  </v>
      </c>
      <c r="C69" s="13"/>
      <c r="D69" s="1">
        <f>SUM(OSRRefD22_6x_0)</f>
        <v>3903.96</v>
      </c>
      <c r="E69" s="1"/>
      <c r="F69" s="5">
        <f t="shared" si="30"/>
        <v>9.5068629587735418E-2</v>
      </c>
      <c r="G69" s="1"/>
      <c r="H69" s="1">
        <f>SUM(OSRRefH22_6x_0)</f>
        <v>3000</v>
      </c>
      <c r="I69" s="1"/>
      <c r="J69" s="5">
        <f t="shared" si="31"/>
        <v>6.8649885583524028E-2</v>
      </c>
      <c r="K69" s="1"/>
      <c r="L69" s="1">
        <f t="shared" si="32"/>
        <v>903.96</v>
      </c>
      <c r="M69" s="1"/>
      <c r="N69" s="5">
        <f t="shared" si="33"/>
        <v>0.30132000000000003</v>
      </c>
      <c r="O69" s="13"/>
      <c r="P69" s="1">
        <f>SUM(OSRRefP22_6x_0)</f>
        <v>9932.16</v>
      </c>
      <c r="Q69" s="1"/>
      <c r="R69" s="5">
        <f t="shared" si="34"/>
        <v>3.6710133149337167E-2</v>
      </c>
      <c r="S69" s="1"/>
      <c r="T69" s="1">
        <f>SUM(OSRRefT22_6x_0)</f>
        <v>15000</v>
      </c>
      <c r="U69" s="1"/>
      <c r="V69" s="5">
        <f t="shared" si="35"/>
        <v>4.9226730114452145E-2</v>
      </c>
      <c r="W69" s="1"/>
      <c r="X69" s="1">
        <f t="shared" si="36"/>
        <v>-5067.84</v>
      </c>
      <c r="Y69" s="1"/>
      <c r="Z69" s="5">
        <f t="shared" si="37"/>
        <v>-0.33785599999999999</v>
      </c>
    </row>
    <row r="70" spans="1:26" s="24" customFormat="1" hidden="1" outlineLevel="2" x14ac:dyDescent="0.25">
      <c r="A70" s="25"/>
      <c r="B70" s="11" t="str">
        <f>CONCATENATE("          ", "6351", " - ", "EQUIPMENT RENTAL")</f>
        <v xml:space="preserve">          6351 - EQUIPMENT RENTAL</v>
      </c>
      <c r="C70" s="11"/>
      <c r="D70" s="6">
        <v>3903.96</v>
      </c>
      <c r="E70" s="2"/>
      <c r="F70" s="7">
        <f t="shared" si="30"/>
        <v>9.5068629587735418E-2</v>
      </c>
      <c r="G70" s="2"/>
      <c r="H70" s="6">
        <v>3000</v>
      </c>
      <c r="I70" s="2"/>
      <c r="J70" s="7">
        <f t="shared" si="31"/>
        <v>6.8649885583524028E-2</v>
      </c>
      <c r="K70" s="2"/>
      <c r="L70" s="6">
        <f t="shared" si="32"/>
        <v>903.96</v>
      </c>
      <c r="M70" s="2"/>
      <c r="N70" s="7">
        <f t="shared" si="33"/>
        <v>0.30132000000000003</v>
      </c>
      <c r="O70" s="11"/>
      <c r="P70" s="6">
        <v>9932.16</v>
      </c>
      <c r="Q70" s="2"/>
      <c r="R70" s="7">
        <f t="shared" si="34"/>
        <v>3.6710133149337167E-2</v>
      </c>
      <c r="S70" s="2"/>
      <c r="T70" s="6">
        <v>15000</v>
      </c>
      <c r="U70" s="2"/>
      <c r="V70" s="7">
        <f t="shared" si="35"/>
        <v>4.9226730114452145E-2</v>
      </c>
      <c r="W70" s="2"/>
      <c r="X70" s="6">
        <f t="shared" si="36"/>
        <v>-5067.84</v>
      </c>
      <c r="Y70" s="2"/>
      <c r="Z70" s="7">
        <f t="shared" si="37"/>
        <v>-0.33785599999999999</v>
      </c>
    </row>
    <row r="71" spans="1:26" s="26" customFormat="1" outlineLevel="1" collapsed="1" x14ac:dyDescent="0.25">
      <c r="A71" s="27"/>
      <c r="B71" s="13" t="str">
        <f>CONCATENATE("     ","Freight out/Postage                               ")</f>
        <v xml:space="preserve">     Freight out/Postage                               </v>
      </c>
      <c r="C71" s="13"/>
      <c r="D71" s="1">
        <f>SUM(OSRRefD22_7x_0)</f>
        <v>3081.3</v>
      </c>
      <c r="E71" s="1"/>
      <c r="F71" s="5">
        <f t="shared" si="30"/>
        <v>7.5035340615346766E-2</v>
      </c>
      <c r="G71" s="1"/>
      <c r="H71" s="1">
        <f>SUM(OSRRefH22_7x_0)</f>
        <v>-1300</v>
      </c>
      <c r="I71" s="1"/>
      <c r="J71" s="5">
        <f t="shared" si="31"/>
        <v>-2.9748283752860413E-2</v>
      </c>
      <c r="K71" s="1"/>
      <c r="L71" s="1">
        <f t="shared" si="32"/>
        <v>4381.3</v>
      </c>
      <c r="M71" s="1"/>
      <c r="N71" s="5">
        <f t="shared" si="33"/>
        <v>-3.3702307692307696</v>
      </c>
      <c r="O71" s="13"/>
      <c r="P71" s="1">
        <f>SUM(OSRRefP22_7x_0)</f>
        <v>-5197.1700000000019</v>
      </c>
      <c r="Q71" s="1"/>
      <c r="R71" s="5">
        <f t="shared" si="34"/>
        <v>-1.9209195451919896E-2</v>
      </c>
      <c r="S71" s="1"/>
      <c r="T71" s="1">
        <f>SUM(OSRRefT22_7x_0)</f>
        <v>-41500</v>
      </c>
      <c r="U71" s="1"/>
      <c r="V71" s="5">
        <f t="shared" si="35"/>
        <v>-0.13619395331665093</v>
      </c>
      <c r="W71" s="1"/>
      <c r="X71" s="1">
        <f t="shared" si="36"/>
        <v>36302.83</v>
      </c>
      <c r="Y71" s="1"/>
      <c r="Z71" s="5">
        <f t="shared" si="37"/>
        <v>-0.8747669879518073</v>
      </c>
    </row>
    <row r="72" spans="1:26" s="24" customFormat="1" hidden="1" outlineLevel="2" x14ac:dyDescent="0.25">
      <c r="A72" s="25"/>
      <c r="B72" s="11" t="str">
        <f>CONCATENATE("          ", "6305", " - ", "FREIGHT OUT")</f>
        <v xml:space="preserve">          6305 - FREIGHT OUT</v>
      </c>
      <c r="C72" s="11"/>
      <c r="D72" s="6">
        <v>3940.67</v>
      </c>
      <c r="E72" s="2"/>
      <c r="F72" s="7">
        <f t="shared" si="30"/>
        <v>9.5962585825034405E-2</v>
      </c>
      <c r="G72" s="2"/>
      <c r="H72" s="6">
        <v>-1300</v>
      </c>
      <c r="I72" s="2"/>
      <c r="J72" s="7">
        <f t="shared" si="31"/>
        <v>-2.9748283752860413E-2</v>
      </c>
      <c r="K72" s="2"/>
      <c r="L72" s="6">
        <f t="shared" si="32"/>
        <v>5240.67</v>
      </c>
      <c r="M72" s="2"/>
      <c r="N72" s="7">
        <f t="shared" si="33"/>
        <v>-4.0312846153846156</v>
      </c>
      <c r="O72" s="11"/>
      <c r="P72" s="6">
        <v>19265.82</v>
      </c>
      <c r="Q72" s="2"/>
      <c r="R72" s="7">
        <f t="shared" si="34"/>
        <v>7.1208157886216386E-2</v>
      </c>
      <c r="S72" s="2"/>
      <c r="T72" s="6">
        <v>-41500</v>
      </c>
      <c r="U72" s="2"/>
      <c r="V72" s="7">
        <f t="shared" si="35"/>
        <v>-0.13619395331665093</v>
      </c>
      <c r="W72" s="2"/>
      <c r="X72" s="6">
        <f t="shared" si="36"/>
        <v>60765.82</v>
      </c>
      <c r="Y72" s="2"/>
      <c r="Z72" s="7">
        <f t="shared" si="37"/>
        <v>-1.464236626506024</v>
      </c>
    </row>
    <row r="73" spans="1:26" s="24" customFormat="1" hidden="1" outlineLevel="2" x14ac:dyDescent="0.25">
      <c r="A73" s="25"/>
      <c r="B73" s="11" t="str">
        <f>CONCATENATE("          ", "6307", " - ", "POSTAGE")</f>
        <v xml:space="preserve">          6307 - POSTAGE</v>
      </c>
      <c r="C73" s="11"/>
      <c r="D73" s="6">
        <v>-859.37</v>
      </c>
      <c r="E73" s="2"/>
      <c r="F73" s="7">
        <f t="shared" si="30"/>
        <v>-2.0927245209687646E-2</v>
      </c>
      <c r="G73" s="2"/>
      <c r="H73" s="6"/>
      <c r="I73" s="2"/>
      <c r="J73" s="7">
        <f t="shared" si="31"/>
        <v>0</v>
      </c>
      <c r="K73" s="2"/>
      <c r="L73" s="6">
        <f t="shared" si="32"/>
        <v>-859.37</v>
      </c>
      <c r="M73" s="2"/>
      <c r="N73" s="7">
        <f t="shared" si="33"/>
        <v>0</v>
      </c>
      <c r="O73" s="11"/>
      <c r="P73" s="6">
        <v>-24462.99</v>
      </c>
      <c r="Q73" s="2"/>
      <c r="R73" s="7">
        <f t="shared" si="34"/>
        <v>-9.0417353338136289E-2</v>
      </c>
      <c r="S73" s="2"/>
      <c r="T73" s="6"/>
      <c r="U73" s="2"/>
      <c r="V73" s="7">
        <f t="shared" si="35"/>
        <v>0</v>
      </c>
      <c r="W73" s="2"/>
      <c r="X73" s="6">
        <f t="shared" si="36"/>
        <v>-24462.99</v>
      </c>
      <c r="Y73" s="2"/>
      <c r="Z73" s="7">
        <f t="shared" si="37"/>
        <v>0</v>
      </c>
    </row>
    <row r="74" spans="1:26" s="26" customFormat="1" outlineLevel="1" collapsed="1" x14ac:dyDescent="0.25">
      <c r="A74" s="27"/>
      <c r="B74" s="13" t="str">
        <f>CONCATENATE("     ","General                                           ")</f>
        <v xml:space="preserve">     General                                           </v>
      </c>
      <c r="C74" s="13"/>
      <c r="D74" s="1">
        <f>SUM(OSRRefD22_8x_0)</f>
        <v>0</v>
      </c>
      <c r="E74" s="1"/>
      <c r="F74" s="5">
        <f t="shared" ref="F74:F82" si="38">IF(D$12=0,0,D74/D$12)</f>
        <v>0</v>
      </c>
      <c r="G74" s="1"/>
      <c r="H74" s="1">
        <f>SUM(OSRRefH22_8x_0)</f>
        <v>300</v>
      </c>
      <c r="I74" s="1"/>
      <c r="J74" s="5">
        <f t="shared" ref="J74:J82" si="39">IF(H$12=0,0,H74/H$12)</f>
        <v>6.8649885583524023E-3</v>
      </c>
      <c r="K74" s="1"/>
      <c r="L74" s="1">
        <f t="shared" ref="L74:L82" si="40">+D74-H74</f>
        <v>-300</v>
      </c>
      <c r="M74" s="1"/>
      <c r="N74" s="5">
        <f t="shared" ref="N74:N82" si="41">IF(H74=0,0,L74/H74)</f>
        <v>-1</v>
      </c>
      <c r="O74" s="13"/>
      <c r="P74" s="1">
        <f>SUM(OSRRefP22_8x_0)</f>
        <v>80.17</v>
      </c>
      <c r="Q74" s="1"/>
      <c r="R74" s="5">
        <f t="shared" ref="R74:R82" si="42">IF(P$12=0,0,P74/P$12)</f>
        <v>2.9631534072974667E-4</v>
      </c>
      <c r="S74" s="1"/>
      <c r="T74" s="1">
        <f>SUM(OSRRefT22_8x_0)</f>
        <v>1400</v>
      </c>
      <c r="U74" s="1"/>
      <c r="V74" s="5">
        <f t="shared" ref="V74:V82" si="43">IF(T$12=0,0,T74/T$12)</f>
        <v>4.5944948106822004E-3</v>
      </c>
      <c r="W74" s="1"/>
      <c r="X74" s="1">
        <f t="shared" ref="X74:X82" si="44">+P74-T74</f>
        <v>-1319.83</v>
      </c>
      <c r="Y74" s="1"/>
      <c r="Z74" s="5">
        <f t="shared" ref="Z74:Z82" si="45">IF(T74=0,0,X74/T74)</f>
        <v>-0.94273571428571423</v>
      </c>
    </row>
    <row r="75" spans="1:26" s="24" customFormat="1" hidden="1" outlineLevel="2" x14ac:dyDescent="0.25">
      <c r="A75" s="25"/>
      <c r="B75" s="11" t="str">
        <f>CONCATENATE("          ", "6279", " - ", "GENERAL EXPENSE")</f>
        <v xml:space="preserve">          6279 - GENERAL EXPENSE</v>
      </c>
      <c r="C75" s="11"/>
      <c r="D75" s="6"/>
      <c r="E75" s="2"/>
      <c r="F75" s="7">
        <f t="shared" si="38"/>
        <v>0</v>
      </c>
      <c r="G75" s="2"/>
      <c r="H75" s="6">
        <v>300</v>
      </c>
      <c r="I75" s="2"/>
      <c r="J75" s="7">
        <f t="shared" si="39"/>
        <v>6.8649885583524023E-3</v>
      </c>
      <c r="K75" s="2"/>
      <c r="L75" s="6">
        <f t="shared" si="40"/>
        <v>-300</v>
      </c>
      <c r="M75" s="2"/>
      <c r="N75" s="7">
        <f t="shared" si="41"/>
        <v>-1</v>
      </c>
      <c r="O75" s="11"/>
      <c r="P75" s="6">
        <v>80.17</v>
      </c>
      <c r="Q75" s="2"/>
      <c r="R75" s="7">
        <f t="shared" si="42"/>
        <v>2.9631534072974667E-4</v>
      </c>
      <c r="S75" s="2"/>
      <c r="T75" s="6">
        <v>1400</v>
      </c>
      <c r="U75" s="2"/>
      <c r="V75" s="7">
        <f t="shared" si="43"/>
        <v>4.5944948106822004E-3</v>
      </c>
      <c r="W75" s="2"/>
      <c r="X75" s="6">
        <f t="shared" si="44"/>
        <v>-1319.83</v>
      </c>
      <c r="Y75" s="2"/>
      <c r="Z75" s="7">
        <f t="shared" si="45"/>
        <v>-0.94273571428571423</v>
      </c>
    </row>
    <row r="76" spans="1:26" s="26" customFormat="1" outlineLevel="1" collapsed="1" x14ac:dyDescent="0.25">
      <c r="A76" s="27"/>
      <c r="B76" s="13" t="str">
        <f>CONCATENATE("     ","Inventory Adjustment                              ")</f>
        <v xml:space="preserve">     Inventory Adjustment                              </v>
      </c>
      <c r="C76" s="13"/>
      <c r="D76" s="1">
        <f>SUM(OSRRefD22_9x_0)</f>
        <v>100</v>
      </c>
      <c r="E76" s="1"/>
      <c r="F76" s="5">
        <f t="shared" si="38"/>
        <v>2.4351845200190425E-3</v>
      </c>
      <c r="G76" s="1"/>
      <c r="H76" s="1">
        <f>SUM(OSRRefH22_9x_0)</f>
        <v>100</v>
      </c>
      <c r="I76" s="1"/>
      <c r="J76" s="5">
        <f t="shared" si="39"/>
        <v>2.2883295194508009E-3</v>
      </c>
      <c r="K76" s="1"/>
      <c r="L76" s="1">
        <f t="shared" si="40"/>
        <v>0</v>
      </c>
      <c r="M76" s="1"/>
      <c r="N76" s="5">
        <f t="shared" si="41"/>
        <v>0</v>
      </c>
      <c r="O76" s="13"/>
      <c r="P76" s="1">
        <f>SUM(OSRRefP22_9x_0)</f>
        <v>400</v>
      </c>
      <c r="Q76" s="1"/>
      <c r="R76" s="5">
        <f t="shared" si="42"/>
        <v>1.4784350292116586E-3</v>
      </c>
      <c r="S76" s="1"/>
      <c r="T76" s="1">
        <f>SUM(OSRRefT22_9x_0)</f>
        <v>400</v>
      </c>
      <c r="U76" s="1"/>
      <c r="V76" s="5">
        <f t="shared" si="43"/>
        <v>1.3127128030520573E-3</v>
      </c>
      <c r="W76" s="1"/>
      <c r="X76" s="1">
        <f t="shared" si="44"/>
        <v>0</v>
      </c>
      <c r="Y76" s="1"/>
      <c r="Z76" s="5">
        <f t="shared" si="45"/>
        <v>0</v>
      </c>
    </row>
    <row r="77" spans="1:26" s="24" customFormat="1" hidden="1" outlineLevel="2" x14ac:dyDescent="0.25">
      <c r="A77" s="25"/>
      <c r="B77" s="11" t="str">
        <f>CONCATENATE("          ", "6408", " - ", "INVENTORY ADJUSTMENT")</f>
        <v xml:space="preserve">          6408 - INVENTORY ADJUSTMENT</v>
      </c>
      <c r="C77" s="11"/>
      <c r="D77" s="6">
        <v>100</v>
      </c>
      <c r="E77" s="2"/>
      <c r="F77" s="7">
        <f t="shared" si="38"/>
        <v>2.4351845200190425E-3</v>
      </c>
      <c r="G77" s="2"/>
      <c r="H77" s="6">
        <v>100</v>
      </c>
      <c r="I77" s="2"/>
      <c r="J77" s="7">
        <f t="shared" si="39"/>
        <v>2.2883295194508009E-3</v>
      </c>
      <c r="K77" s="2"/>
      <c r="L77" s="6">
        <f t="shared" si="40"/>
        <v>0</v>
      </c>
      <c r="M77" s="2"/>
      <c r="N77" s="7">
        <f t="shared" si="41"/>
        <v>0</v>
      </c>
      <c r="O77" s="11"/>
      <c r="P77" s="6">
        <v>400</v>
      </c>
      <c r="Q77" s="2"/>
      <c r="R77" s="7">
        <f t="shared" si="42"/>
        <v>1.4784350292116586E-3</v>
      </c>
      <c r="S77" s="2"/>
      <c r="T77" s="6">
        <v>400</v>
      </c>
      <c r="U77" s="2"/>
      <c r="V77" s="7">
        <f t="shared" si="43"/>
        <v>1.3127128030520573E-3</v>
      </c>
      <c r="W77" s="2"/>
      <c r="X77" s="6">
        <f t="shared" si="44"/>
        <v>0</v>
      </c>
      <c r="Y77" s="2"/>
      <c r="Z77" s="7">
        <f t="shared" si="45"/>
        <v>0</v>
      </c>
    </row>
    <row r="78" spans="1:26" s="26" customFormat="1" outlineLevel="1" collapsed="1" x14ac:dyDescent="0.25">
      <c r="A78" s="27"/>
      <c r="B78" s="13" t="str">
        <f>CONCATENATE("     ","Repair and Maintenance                            ")</f>
        <v xml:space="preserve">     Repair and Maintenance                            </v>
      </c>
      <c r="C78" s="13"/>
      <c r="D78" s="1">
        <f>SUM(OSRRefD22_10x_0)</f>
        <v>1404.99</v>
      </c>
      <c r="E78" s="1"/>
      <c r="F78" s="5">
        <f t="shared" si="38"/>
        <v>3.421409898781555E-2</v>
      </c>
      <c r="G78" s="1"/>
      <c r="H78" s="1">
        <f>SUM(OSRRefH22_10x_0)</f>
        <v>7000</v>
      </c>
      <c r="I78" s="1"/>
      <c r="J78" s="5">
        <f t="shared" si="39"/>
        <v>0.16018306636155608</v>
      </c>
      <c r="K78" s="1"/>
      <c r="L78" s="1">
        <f t="shared" si="40"/>
        <v>-5595.01</v>
      </c>
      <c r="M78" s="1"/>
      <c r="N78" s="5">
        <f t="shared" si="41"/>
        <v>-0.79928714285714286</v>
      </c>
      <c r="O78" s="13"/>
      <c r="P78" s="1">
        <f>SUM(OSRRefP22_10x_0)</f>
        <v>29449.96</v>
      </c>
      <c r="Q78" s="1"/>
      <c r="R78" s="5">
        <f t="shared" si="42"/>
        <v>0.10884963118220543</v>
      </c>
      <c r="S78" s="1"/>
      <c r="T78" s="1">
        <f>SUM(OSRRefT22_10x_0)</f>
        <v>35000</v>
      </c>
      <c r="U78" s="1"/>
      <c r="V78" s="5">
        <f t="shared" si="43"/>
        <v>0.11486237026705501</v>
      </c>
      <c r="W78" s="1"/>
      <c r="X78" s="1">
        <f t="shared" si="44"/>
        <v>-5550.0400000000009</v>
      </c>
      <c r="Y78" s="1"/>
      <c r="Z78" s="5">
        <f t="shared" si="45"/>
        <v>-0.15857257142857145</v>
      </c>
    </row>
    <row r="79" spans="1:26" s="24" customFormat="1" hidden="1" outlineLevel="2" x14ac:dyDescent="0.25">
      <c r="A79" s="25"/>
      <c r="B79" s="11" t="str">
        <f>CONCATENATE("          ", "6373", " - ", "MAINTENANCE CONTRACTS")</f>
        <v xml:space="preserve">          6373 - MAINTENANCE CONTRACTS</v>
      </c>
      <c r="C79" s="11"/>
      <c r="D79" s="6">
        <v>1404.99</v>
      </c>
      <c r="E79" s="2"/>
      <c r="F79" s="7">
        <f t="shared" si="38"/>
        <v>3.421409898781555E-2</v>
      </c>
      <c r="G79" s="2"/>
      <c r="H79" s="6">
        <v>7000</v>
      </c>
      <c r="I79" s="2"/>
      <c r="J79" s="7">
        <f t="shared" si="39"/>
        <v>0.16018306636155608</v>
      </c>
      <c r="K79" s="2"/>
      <c r="L79" s="6">
        <f t="shared" si="40"/>
        <v>-5595.01</v>
      </c>
      <c r="M79" s="2"/>
      <c r="N79" s="7">
        <f t="shared" si="41"/>
        <v>-0.79928714285714286</v>
      </c>
      <c r="O79" s="11"/>
      <c r="P79" s="6">
        <v>29449.96</v>
      </c>
      <c r="Q79" s="2"/>
      <c r="R79" s="7">
        <f t="shared" si="42"/>
        <v>0.10884963118220543</v>
      </c>
      <c r="S79" s="2"/>
      <c r="T79" s="6">
        <v>35000</v>
      </c>
      <c r="U79" s="2"/>
      <c r="V79" s="7">
        <f t="shared" si="43"/>
        <v>0.11486237026705501</v>
      </c>
      <c r="W79" s="2"/>
      <c r="X79" s="6">
        <f t="shared" si="44"/>
        <v>-5550.0400000000009</v>
      </c>
      <c r="Y79" s="2"/>
      <c r="Z79" s="7">
        <f t="shared" si="45"/>
        <v>-0.15857257142857145</v>
      </c>
    </row>
    <row r="80" spans="1:26" s="26" customFormat="1" outlineLevel="1" collapsed="1" x14ac:dyDescent="0.25">
      <c r="A80" s="27"/>
      <c r="B80" s="13" t="str">
        <f>CONCATENATE("     ","Royalty &amp; Commissions                             ")</f>
        <v xml:space="preserve">     Royalty &amp; Commissions                             </v>
      </c>
      <c r="C80" s="13"/>
      <c r="D80" s="1">
        <f>SUM(OSRRefD22_11x_0)</f>
        <v>17653.419999999998</v>
      </c>
      <c r="E80" s="1"/>
      <c r="F80" s="5">
        <f t="shared" si="38"/>
        <v>0.42989335109394561</v>
      </c>
      <c r="G80" s="1"/>
      <c r="H80" s="1">
        <f>SUM(OSRRefH22_11x_0)</f>
        <v>11000</v>
      </c>
      <c r="I80" s="1"/>
      <c r="J80" s="5">
        <f t="shared" si="39"/>
        <v>0.25171624713958812</v>
      </c>
      <c r="K80" s="1"/>
      <c r="L80" s="1">
        <f t="shared" si="40"/>
        <v>6653.4199999999983</v>
      </c>
      <c r="M80" s="1"/>
      <c r="N80" s="5">
        <f t="shared" si="41"/>
        <v>0.60485636363636353</v>
      </c>
      <c r="O80" s="13"/>
      <c r="P80" s="1">
        <f>SUM(OSRRefP22_11x_0)</f>
        <v>43867.68</v>
      </c>
      <c r="Q80" s="1"/>
      <c r="R80" s="5">
        <f t="shared" si="42"/>
        <v>0.16213878690561923</v>
      </c>
      <c r="S80" s="1"/>
      <c r="T80" s="1">
        <f>SUM(OSRRefT22_11x_0)</f>
        <v>55000</v>
      </c>
      <c r="U80" s="1"/>
      <c r="V80" s="5">
        <f t="shared" si="43"/>
        <v>0.18049801041965788</v>
      </c>
      <c r="W80" s="1"/>
      <c r="X80" s="1">
        <f t="shared" si="44"/>
        <v>-11132.32</v>
      </c>
      <c r="Y80" s="1"/>
      <c r="Z80" s="5">
        <f t="shared" si="45"/>
        <v>-0.20240581818181819</v>
      </c>
    </row>
    <row r="81" spans="1:26" s="24" customFormat="1" hidden="1" outlineLevel="2" x14ac:dyDescent="0.25">
      <c r="A81" s="25"/>
      <c r="B81" s="11" t="str">
        <f>CONCATENATE("          ", "6254", " - ", "ROYALTY &amp; COMMISSIONS")</f>
        <v xml:space="preserve">          6254 - ROYALTY &amp; COMMISSIONS</v>
      </c>
      <c r="C81" s="11"/>
      <c r="D81" s="6"/>
      <c r="E81" s="2"/>
      <c r="F81" s="7">
        <f t="shared" si="38"/>
        <v>0</v>
      </c>
      <c r="G81" s="2"/>
      <c r="H81" s="6">
        <v>11000</v>
      </c>
      <c r="I81" s="2"/>
      <c r="J81" s="7">
        <f t="shared" si="39"/>
        <v>0.25171624713958812</v>
      </c>
      <c r="K81" s="2"/>
      <c r="L81" s="6">
        <f t="shared" si="40"/>
        <v>-11000</v>
      </c>
      <c r="M81" s="2"/>
      <c r="N81" s="7">
        <f t="shared" si="41"/>
        <v>-1</v>
      </c>
      <c r="O81" s="11"/>
      <c r="P81" s="6"/>
      <c r="Q81" s="2"/>
      <c r="R81" s="7">
        <f t="shared" si="42"/>
        <v>0</v>
      </c>
      <c r="S81" s="2"/>
      <c r="T81" s="6">
        <v>55000</v>
      </c>
      <c r="U81" s="2"/>
      <c r="V81" s="7">
        <f t="shared" si="43"/>
        <v>0.18049801041965788</v>
      </c>
      <c r="W81" s="2"/>
      <c r="X81" s="6">
        <f t="shared" si="44"/>
        <v>-55000</v>
      </c>
      <c r="Y81" s="2"/>
      <c r="Z81" s="7">
        <f t="shared" si="45"/>
        <v>-1</v>
      </c>
    </row>
    <row r="82" spans="1:26" s="24" customFormat="1" hidden="1" outlineLevel="2" x14ac:dyDescent="0.25">
      <c r="A82" s="25"/>
      <c r="B82" s="11" t="str">
        <f>CONCATENATE("          ", "6259", " - ", "ROYALTY &amp; COMMISSIONS")</f>
        <v xml:space="preserve">          6259 - ROYALTY &amp; COMMISSIONS</v>
      </c>
      <c r="C82" s="11"/>
      <c r="D82" s="6">
        <v>17653.419999999998</v>
      </c>
      <c r="E82" s="2"/>
      <c r="F82" s="7">
        <f t="shared" si="38"/>
        <v>0.42989335109394561</v>
      </c>
      <c r="G82" s="2"/>
      <c r="H82" s="6"/>
      <c r="I82" s="2"/>
      <c r="J82" s="7">
        <f t="shared" si="39"/>
        <v>0</v>
      </c>
      <c r="K82" s="2"/>
      <c r="L82" s="6">
        <f t="shared" si="40"/>
        <v>17653.419999999998</v>
      </c>
      <c r="M82" s="2"/>
      <c r="N82" s="7">
        <f t="shared" si="41"/>
        <v>0</v>
      </c>
      <c r="O82" s="11"/>
      <c r="P82" s="6">
        <v>43867.68</v>
      </c>
      <c r="Q82" s="2"/>
      <c r="R82" s="7">
        <f t="shared" si="42"/>
        <v>0.16213878690561923</v>
      </c>
      <c r="S82" s="2"/>
      <c r="T82" s="6"/>
      <c r="U82" s="2"/>
      <c r="V82" s="7">
        <f t="shared" si="43"/>
        <v>0</v>
      </c>
      <c r="W82" s="2"/>
      <c r="X82" s="6">
        <f t="shared" si="44"/>
        <v>43867.68</v>
      </c>
      <c r="Y82" s="2"/>
      <c r="Z82" s="7">
        <f t="shared" si="45"/>
        <v>0</v>
      </c>
    </row>
    <row r="83" spans="1:26" s="26" customFormat="1" outlineLevel="1" collapsed="1" x14ac:dyDescent="0.25">
      <c r="A83" s="27"/>
      <c r="B83" s="13" t="str">
        <f>CONCATENATE("     ","Supplies                                          ")</f>
        <v xml:space="preserve">     Supplies                                          </v>
      </c>
      <c r="C83" s="13"/>
      <c r="D83" s="1">
        <f>SUM(OSRRefD22_12x_0)</f>
        <v>1828.3600000000001</v>
      </c>
      <c r="E83" s="1"/>
      <c r="F83" s="5">
        <f t="shared" ref="F83:F88" si="46">IF(D$12=0,0,D83/D$12)</f>
        <v>4.4523939690220171E-2</v>
      </c>
      <c r="G83" s="1"/>
      <c r="H83" s="1">
        <f>SUM(OSRRefH22_12x_0)</f>
        <v>5000</v>
      </c>
      <c r="I83" s="1"/>
      <c r="J83" s="5">
        <f t="shared" ref="J83:J88" si="47">IF(H$12=0,0,H83/H$12)</f>
        <v>0.11441647597254005</v>
      </c>
      <c r="K83" s="1"/>
      <c r="L83" s="1">
        <f t="shared" ref="L83:L88" si="48">+D83-H83</f>
        <v>-3171.64</v>
      </c>
      <c r="M83" s="1"/>
      <c r="N83" s="5">
        <f t="shared" ref="N83:N88" si="49">IF(H83=0,0,L83/H83)</f>
        <v>-0.634328</v>
      </c>
      <c r="O83" s="13"/>
      <c r="P83" s="1">
        <f>SUM(OSRRefP22_12x_0)</f>
        <v>19158.36</v>
      </c>
      <c r="Q83" s="1"/>
      <c r="R83" s="5">
        <f t="shared" ref="R83:R88" si="50">IF(P$12=0,0,P83/P$12)</f>
        <v>7.0810976315618682E-2</v>
      </c>
      <c r="S83" s="1"/>
      <c r="T83" s="1">
        <f>SUM(OSRRefT22_12x_0)</f>
        <v>34000</v>
      </c>
      <c r="U83" s="1"/>
      <c r="V83" s="5">
        <f t="shared" ref="V83:V88" si="51">IF(T$12=0,0,T83/T$12)</f>
        <v>0.11158058825942486</v>
      </c>
      <c r="W83" s="1"/>
      <c r="X83" s="1">
        <f t="shared" ref="X83:X88" si="52">+P83-T83</f>
        <v>-14841.64</v>
      </c>
      <c r="Y83" s="1"/>
      <c r="Z83" s="5">
        <f t="shared" ref="Z83:Z88" si="53">IF(T83=0,0,X83/T83)</f>
        <v>-0.43651882352941174</v>
      </c>
    </row>
    <row r="84" spans="1:26" s="24" customFormat="1" hidden="1" outlineLevel="2" x14ac:dyDescent="0.25">
      <c r="A84" s="25"/>
      <c r="B84" s="11" t="str">
        <f>CONCATENATE("          ", "6234", " - ", "EXPENDABLE SUPPLIES &amp; EQUIPMEN")</f>
        <v xml:space="preserve">          6234 - EXPENDABLE SUPPLIES &amp; EQUIPMEN</v>
      </c>
      <c r="C84" s="11"/>
      <c r="D84" s="6"/>
      <c r="E84" s="2"/>
      <c r="F84" s="7">
        <f t="shared" si="46"/>
        <v>0</v>
      </c>
      <c r="G84" s="2"/>
      <c r="H84" s="6"/>
      <c r="I84" s="2"/>
      <c r="J84" s="7">
        <f t="shared" si="47"/>
        <v>0</v>
      </c>
      <c r="K84" s="2"/>
      <c r="L84" s="6">
        <f t="shared" si="48"/>
        <v>0</v>
      </c>
      <c r="M84" s="2"/>
      <c r="N84" s="7">
        <f t="shared" si="49"/>
        <v>0</v>
      </c>
      <c r="O84" s="11"/>
      <c r="P84" s="6">
        <v>1017.27</v>
      </c>
      <c r="Q84" s="2"/>
      <c r="R84" s="7">
        <f t="shared" si="50"/>
        <v>3.7599190054153596E-3</v>
      </c>
      <c r="S84" s="2"/>
      <c r="T84" s="6"/>
      <c r="U84" s="2"/>
      <c r="V84" s="7">
        <f t="shared" si="51"/>
        <v>0</v>
      </c>
      <c r="W84" s="2"/>
      <c r="X84" s="6">
        <f t="shared" si="52"/>
        <v>1017.27</v>
      </c>
      <c r="Y84" s="2"/>
      <c r="Z84" s="7">
        <f t="shared" si="53"/>
        <v>0</v>
      </c>
    </row>
    <row r="85" spans="1:26" s="24" customFormat="1" hidden="1" outlineLevel="2" x14ac:dyDescent="0.25">
      <c r="A85" s="25"/>
      <c r="B85" s="11" t="str">
        <f>CONCATENATE("          ", "6241", " - ", "OFFICE EXPENSE")</f>
        <v xml:space="preserve">          6241 - OFFICE EXPENSE</v>
      </c>
      <c r="C85" s="11"/>
      <c r="D85" s="6"/>
      <c r="E85" s="2"/>
      <c r="F85" s="7">
        <f t="shared" si="46"/>
        <v>0</v>
      </c>
      <c r="G85" s="2"/>
      <c r="H85" s="6"/>
      <c r="I85" s="2"/>
      <c r="J85" s="7">
        <f t="shared" si="47"/>
        <v>0</v>
      </c>
      <c r="K85" s="2"/>
      <c r="L85" s="6">
        <f t="shared" si="48"/>
        <v>0</v>
      </c>
      <c r="M85" s="2"/>
      <c r="N85" s="7">
        <f t="shared" si="49"/>
        <v>0</v>
      </c>
      <c r="O85" s="11"/>
      <c r="P85" s="6">
        <v>115.02</v>
      </c>
      <c r="Q85" s="2"/>
      <c r="R85" s="7">
        <f t="shared" si="50"/>
        <v>4.2512399264981241E-4</v>
      </c>
      <c r="S85" s="2"/>
      <c r="T85" s="6"/>
      <c r="U85" s="2"/>
      <c r="V85" s="7">
        <f t="shared" si="51"/>
        <v>0</v>
      </c>
      <c r="W85" s="2"/>
      <c r="X85" s="6">
        <f t="shared" si="52"/>
        <v>115.02</v>
      </c>
      <c r="Y85" s="2"/>
      <c r="Z85" s="7">
        <f t="shared" si="53"/>
        <v>0</v>
      </c>
    </row>
    <row r="86" spans="1:26" s="24" customFormat="1" hidden="1" outlineLevel="2" x14ac:dyDescent="0.25">
      <c r="A86" s="25"/>
      <c r="B86" s="11" t="str">
        <f>CONCATENATE("          ", "6243", " - ", "PAPER SUPPLIES")</f>
        <v xml:space="preserve">          6243 - PAPER SUPPLIES</v>
      </c>
      <c r="C86" s="11"/>
      <c r="D86" s="6">
        <v>1423.15</v>
      </c>
      <c r="E86" s="2"/>
      <c r="F86" s="7">
        <f t="shared" si="46"/>
        <v>3.4656328496651005E-2</v>
      </c>
      <c r="G86" s="2"/>
      <c r="H86" s="6">
        <v>250</v>
      </c>
      <c r="I86" s="2"/>
      <c r="J86" s="7">
        <f t="shared" si="47"/>
        <v>5.7208237986270021E-3</v>
      </c>
      <c r="K86" s="2"/>
      <c r="L86" s="6">
        <f t="shared" si="48"/>
        <v>1173.1500000000001</v>
      </c>
      <c r="M86" s="2"/>
      <c r="N86" s="7">
        <f t="shared" si="49"/>
        <v>4.6926000000000005</v>
      </c>
      <c r="O86" s="11"/>
      <c r="P86" s="6">
        <v>6329.48</v>
      </c>
      <c r="Q86" s="2"/>
      <c r="R86" s="7">
        <f t="shared" si="50"/>
        <v>2.339431237173652E-2</v>
      </c>
      <c r="S86" s="2"/>
      <c r="T86" s="6">
        <v>1250</v>
      </c>
      <c r="U86" s="2"/>
      <c r="V86" s="7">
        <f t="shared" si="51"/>
        <v>4.1022275095376794E-3</v>
      </c>
      <c r="W86" s="2"/>
      <c r="X86" s="6">
        <f t="shared" si="52"/>
        <v>5079.4799999999996</v>
      </c>
      <c r="Y86" s="2"/>
      <c r="Z86" s="7">
        <f t="shared" si="53"/>
        <v>4.0635839999999996</v>
      </c>
    </row>
    <row r="87" spans="1:26" s="24" customFormat="1" hidden="1" outlineLevel="2" x14ac:dyDescent="0.25">
      <c r="A87" s="25"/>
      <c r="B87" s="11" t="str">
        <f>CONCATENATE("          ", "6245", " - ", "PRINTING")</f>
        <v xml:space="preserve">          6245 - PRINTING</v>
      </c>
      <c r="C87" s="11"/>
      <c r="D87" s="6">
        <v>214.98</v>
      </c>
      <c r="E87" s="2"/>
      <c r="F87" s="7">
        <f t="shared" si="46"/>
        <v>5.2351596811369373E-3</v>
      </c>
      <c r="G87" s="2"/>
      <c r="H87" s="6"/>
      <c r="I87" s="2"/>
      <c r="J87" s="7">
        <f t="shared" si="47"/>
        <v>0</v>
      </c>
      <c r="K87" s="2"/>
      <c r="L87" s="6">
        <f t="shared" si="48"/>
        <v>214.98</v>
      </c>
      <c r="M87" s="2"/>
      <c r="N87" s="7">
        <f t="shared" si="49"/>
        <v>0</v>
      </c>
      <c r="O87" s="11"/>
      <c r="P87" s="6">
        <v>464.42</v>
      </c>
      <c r="Q87" s="2"/>
      <c r="R87" s="7">
        <f t="shared" si="50"/>
        <v>1.7165369906661963E-3</v>
      </c>
      <c r="S87" s="2"/>
      <c r="T87" s="6"/>
      <c r="U87" s="2"/>
      <c r="V87" s="7">
        <f t="shared" si="51"/>
        <v>0</v>
      </c>
      <c r="W87" s="2"/>
      <c r="X87" s="6">
        <f t="shared" si="52"/>
        <v>464.42</v>
      </c>
      <c r="Y87" s="2"/>
      <c r="Z87" s="7">
        <f t="shared" si="53"/>
        <v>0</v>
      </c>
    </row>
    <row r="88" spans="1:26" s="24" customFormat="1" hidden="1" outlineLevel="2" x14ac:dyDescent="0.25">
      <c r="A88" s="25"/>
      <c r="B88" s="11" t="str">
        <f>CONCATENATE("          ", "6247", " - ", "STORE SUPPLIES")</f>
        <v xml:space="preserve">          6247 - STORE SUPPLIES</v>
      </c>
      <c r="C88" s="11"/>
      <c r="D88" s="6">
        <v>190.23</v>
      </c>
      <c r="E88" s="2"/>
      <c r="F88" s="7">
        <f t="shared" si="46"/>
        <v>4.6324515124322244E-3</v>
      </c>
      <c r="G88" s="2"/>
      <c r="H88" s="6">
        <v>4750</v>
      </c>
      <c r="I88" s="2"/>
      <c r="J88" s="7">
        <f t="shared" si="47"/>
        <v>0.10869565217391304</v>
      </c>
      <c r="K88" s="2"/>
      <c r="L88" s="6">
        <f t="shared" si="48"/>
        <v>-4559.7700000000004</v>
      </c>
      <c r="M88" s="2"/>
      <c r="N88" s="7">
        <f t="shared" si="49"/>
        <v>-0.95995157894736849</v>
      </c>
      <c r="O88" s="11"/>
      <c r="P88" s="6">
        <v>11232.17</v>
      </c>
      <c r="Q88" s="2"/>
      <c r="R88" s="7">
        <f t="shared" si="50"/>
        <v>4.1515083955150786E-2</v>
      </c>
      <c r="S88" s="2"/>
      <c r="T88" s="6">
        <v>32750</v>
      </c>
      <c r="U88" s="2"/>
      <c r="V88" s="7">
        <f t="shared" si="51"/>
        <v>0.10747836074988719</v>
      </c>
      <c r="W88" s="2"/>
      <c r="X88" s="6">
        <f t="shared" si="52"/>
        <v>-21517.83</v>
      </c>
      <c r="Y88" s="2"/>
      <c r="Z88" s="7">
        <f t="shared" si="53"/>
        <v>-0.65703297709923669</v>
      </c>
    </row>
    <row r="89" spans="1:26" s="26" customFormat="1" outlineLevel="1" collapsed="1" x14ac:dyDescent="0.25">
      <c r="A89" s="27"/>
      <c r="B89" s="13" t="str">
        <f>CONCATENATE("     ","Telephone/Data Lines                              ")</f>
        <v xml:space="preserve">     Telephone/Data Lines                              </v>
      </c>
      <c r="C89" s="13"/>
      <c r="D89" s="1">
        <f>SUM(OSRRefD22_13x_0)</f>
        <v>194.7</v>
      </c>
      <c r="E89" s="1"/>
      <c r="F89" s="5">
        <f t="shared" ref="F89:F91" si="54">IF(D$12=0,0,D89/D$12)</f>
        <v>4.7413042604770757E-3</v>
      </c>
      <c r="G89" s="1"/>
      <c r="H89" s="1">
        <f>SUM(OSRRefH22_13x_0)</f>
        <v>200</v>
      </c>
      <c r="I89" s="1"/>
      <c r="J89" s="5">
        <f t="shared" ref="J89:J91" si="55">IF(H$12=0,0,H89/H$12)</f>
        <v>4.5766590389016018E-3</v>
      </c>
      <c r="K89" s="1"/>
      <c r="L89" s="1">
        <f t="shared" ref="L89:L91" si="56">+D89-H89</f>
        <v>-5.3000000000000114</v>
      </c>
      <c r="M89" s="1"/>
      <c r="N89" s="5">
        <f t="shared" ref="N89:N91" si="57">IF(H89=0,0,L89/H89)</f>
        <v>-2.6500000000000058E-2</v>
      </c>
      <c r="O89" s="13"/>
      <c r="P89" s="1">
        <f>SUM(OSRRefP22_13x_0)</f>
        <v>1029.6500000000001</v>
      </c>
      <c r="Q89" s="1"/>
      <c r="R89" s="5">
        <f t="shared" ref="R89:R91" si="58">IF(P$12=0,0,P89/P$12)</f>
        <v>3.8056765695694611E-3</v>
      </c>
      <c r="S89" s="1"/>
      <c r="T89" s="1">
        <f>SUM(OSRRefT22_13x_0)</f>
        <v>1000</v>
      </c>
      <c r="U89" s="1"/>
      <c r="V89" s="5">
        <f t="shared" ref="V89:V91" si="59">IF(T$12=0,0,T89/T$12)</f>
        <v>3.2817820076301431E-3</v>
      </c>
      <c r="W89" s="1"/>
      <c r="X89" s="1">
        <f t="shared" ref="X89:X91" si="60">+P89-T89</f>
        <v>29.650000000000091</v>
      </c>
      <c r="Y89" s="1"/>
      <c r="Z89" s="5">
        <f t="shared" ref="Z89:Z91" si="61">IF(T89=0,0,X89/T89)</f>
        <v>2.9650000000000089E-2</v>
      </c>
    </row>
    <row r="90" spans="1:26" s="24" customFormat="1" hidden="1" outlineLevel="2" x14ac:dyDescent="0.25">
      <c r="A90" s="25"/>
      <c r="B90" s="11" t="str">
        <f>CONCATENATE("          ", "6303", " - ", "DATA PHONE LINES")</f>
        <v xml:space="preserve">          6303 - DATA PHONE LINES</v>
      </c>
      <c r="C90" s="11"/>
      <c r="D90" s="6"/>
      <c r="E90" s="2"/>
      <c r="F90" s="7">
        <f t="shared" si="54"/>
        <v>0</v>
      </c>
      <c r="G90" s="2"/>
      <c r="H90" s="6">
        <v>200</v>
      </c>
      <c r="I90" s="2"/>
      <c r="J90" s="7">
        <f t="shared" si="55"/>
        <v>4.5766590389016018E-3</v>
      </c>
      <c r="K90" s="2"/>
      <c r="L90" s="6">
        <f t="shared" si="56"/>
        <v>-200</v>
      </c>
      <c r="M90" s="2"/>
      <c r="N90" s="7">
        <f t="shared" si="57"/>
        <v>-1</v>
      </c>
      <c r="O90" s="11"/>
      <c r="P90" s="6"/>
      <c r="Q90" s="2"/>
      <c r="R90" s="7">
        <f t="shared" si="58"/>
        <v>0</v>
      </c>
      <c r="S90" s="2"/>
      <c r="T90" s="6">
        <v>1000</v>
      </c>
      <c r="U90" s="2"/>
      <c r="V90" s="7">
        <f t="shared" si="59"/>
        <v>3.2817820076301431E-3</v>
      </c>
      <c r="W90" s="2"/>
      <c r="X90" s="6">
        <f t="shared" si="60"/>
        <v>-1000</v>
      </c>
      <c r="Y90" s="2"/>
      <c r="Z90" s="7">
        <f t="shared" si="61"/>
        <v>-1</v>
      </c>
    </row>
    <row r="91" spans="1:26" s="24" customFormat="1" hidden="1" outlineLevel="2" x14ac:dyDescent="0.25">
      <c r="A91" s="25"/>
      <c r="B91" s="11" t="str">
        <f>CONCATENATE("          ", "6309", " - ", "TELEPHONE")</f>
        <v xml:space="preserve">          6309 - TELEPHONE</v>
      </c>
      <c r="C91" s="11"/>
      <c r="D91" s="6">
        <v>194.7</v>
      </c>
      <c r="E91" s="2"/>
      <c r="F91" s="7">
        <f t="shared" si="54"/>
        <v>4.7413042604770757E-3</v>
      </c>
      <c r="G91" s="2"/>
      <c r="H91" s="6"/>
      <c r="I91" s="2"/>
      <c r="J91" s="7">
        <f t="shared" si="55"/>
        <v>0</v>
      </c>
      <c r="K91" s="2"/>
      <c r="L91" s="6">
        <f t="shared" si="56"/>
        <v>194.7</v>
      </c>
      <c r="M91" s="2"/>
      <c r="N91" s="7">
        <f t="shared" si="57"/>
        <v>0</v>
      </c>
      <c r="O91" s="11"/>
      <c r="P91" s="6">
        <v>1029.6500000000001</v>
      </c>
      <c r="Q91" s="2"/>
      <c r="R91" s="7">
        <f t="shared" si="58"/>
        <v>3.8056765695694611E-3</v>
      </c>
      <c r="S91" s="2"/>
      <c r="T91" s="6"/>
      <c r="U91" s="2"/>
      <c r="V91" s="7">
        <f t="shared" si="59"/>
        <v>0</v>
      </c>
      <c r="W91" s="2"/>
      <c r="X91" s="6">
        <f t="shared" si="60"/>
        <v>1029.6500000000001</v>
      </c>
      <c r="Y91" s="2"/>
      <c r="Z91" s="7">
        <f t="shared" si="61"/>
        <v>0</v>
      </c>
    </row>
    <row r="92" spans="1:26" s="26" customFormat="1" outlineLevel="1" collapsed="1" x14ac:dyDescent="0.25">
      <c r="A92" s="27"/>
      <c r="B92" s="13" t="str">
        <f>CONCATENATE("     ","Training                                          ")</f>
        <v xml:space="preserve">     Training                                          </v>
      </c>
      <c r="C92" s="13"/>
      <c r="D92" s="1">
        <f>SUM(OSRRefD22_14x_0)</f>
        <v>0</v>
      </c>
      <c r="E92" s="1"/>
      <c r="F92" s="5">
        <f t="shared" ref="F92:F93" si="62">IF(D$12=0,0,D92/D$12)</f>
        <v>0</v>
      </c>
      <c r="G92" s="1"/>
      <c r="H92" s="1">
        <f>SUM(OSRRefH22_14x_0)</f>
        <v>0</v>
      </c>
      <c r="I92" s="1"/>
      <c r="J92" s="5">
        <f t="shared" ref="J92:J93" si="63">IF(H$12=0,0,H92/H$12)</f>
        <v>0</v>
      </c>
      <c r="K92" s="1"/>
      <c r="L92" s="1">
        <f t="shared" ref="L92:L93" si="64">+D92-H92</f>
        <v>0</v>
      </c>
      <c r="M92" s="1"/>
      <c r="N92" s="5">
        <f t="shared" ref="N92:N93" si="65">IF(H92=0,0,L92/H92)</f>
        <v>0</v>
      </c>
      <c r="O92" s="13"/>
      <c r="P92" s="1">
        <f>SUM(OSRRefP22_14x_0)</f>
        <v>97.71</v>
      </c>
      <c r="Q92" s="1"/>
      <c r="R92" s="5">
        <f t="shared" ref="R92:R93" si="66">IF(P$12=0,0,P92/P$12)</f>
        <v>3.6114471676067787E-4</v>
      </c>
      <c r="S92" s="1"/>
      <c r="T92" s="1">
        <f>SUM(OSRRefT22_14x_0)</f>
        <v>0</v>
      </c>
      <c r="U92" s="1"/>
      <c r="V92" s="5">
        <f t="shared" ref="V92:V93" si="67">IF(T$12=0,0,T92/T$12)</f>
        <v>0</v>
      </c>
      <c r="W92" s="1"/>
      <c r="X92" s="1">
        <f t="shared" ref="X92:X93" si="68">+P92-T92</f>
        <v>97.71</v>
      </c>
      <c r="Y92" s="1"/>
      <c r="Z92" s="5">
        <f t="shared" ref="Z92:Z93" si="69">IF(T92=0,0,X92/T92)</f>
        <v>0</v>
      </c>
    </row>
    <row r="93" spans="1:26" s="24" customFormat="1" hidden="1" outlineLevel="2" x14ac:dyDescent="0.25">
      <c r="A93" s="25"/>
      <c r="B93" s="11" t="str">
        <f>CONCATENATE("          ", "6376", " - ", "TRAINING")</f>
        <v xml:space="preserve">          6376 - TRAINING</v>
      </c>
      <c r="C93" s="11"/>
      <c r="D93" s="6"/>
      <c r="E93" s="2"/>
      <c r="F93" s="7">
        <f t="shared" si="62"/>
        <v>0</v>
      </c>
      <c r="G93" s="2"/>
      <c r="H93" s="6"/>
      <c r="I93" s="2"/>
      <c r="J93" s="7">
        <f t="shared" si="63"/>
        <v>0</v>
      </c>
      <c r="K93" s="2"/>
      <c r="L93" s="6">
        <f t="shared" si="64"/>
        <v>0</v>
      </c>
      <c r="M93" s="2"/>
      <c r="N93" s="7">
        <f t="shared" si="65"/>
        <v>0</v>
      </c>
      <c r="O93" s="11"/>
      <c r="P93" s="6">
        <v>97.71</v>
      </c>
      <c r="Q93" s="2"/>
      <c r="R93" s="7">
        <f t="shared" si="66"/>
        <v>3.6114471676067787E-4</v>
      </c>
      <c r="S93" s="2"/>
      <c r="T93" s="6"/>
      <c r="U93" s="2"/>
      <c r="V93" s="7">
        <f t="shared" si="67"/>
        <v>0</v>
      </c>
      <c r="W93" s="2"/>
      <c r="X93" s="6">
        <f t="shared" si="68"/>
        <v>97.71</v>
      </c>
      <c r="Y93" s="2"/>
      <c r="Z93" s="7">
        <f t="shared" si="69"/>
        <v>0</v>
      </c>
    </row>
    <row r="94" spans="1:26" s="59" customFormat="1" x14ac:dyDescent="0.25">
      <c r="A94" s="36"/>
      <c r="B94" s="36"/>
      <c r="C94" s="36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6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3" customFormat="1" collapsed="1" x14ac:dyDescent="0.25">
      <c r="A95" s="10"/>
      <c r="B95" s="29" t="s">
        <v>0</v>
      </c>
      <c r="C95" s="10"/>
      <c r="D95" s="4">
        <f>SUM(OSRRefD25x_0)</f>
        <v>14574</v>
      </c>
      <c r="E95" s="4"/>
      <c r="F95" s="12">
        <f t="shared" ref="F95:F102" si="70">IF(D$12=0,0,D95/D$12)</f>
        <v>0.35490379194757526</v>
      </c>
      <c r="G95" s="4"/>
      <c r="H95" s="4">
        <f>SUM(OSRRefH25x_0)</f>
        <v>25750</v>
      </c>
      <c r="I95" s="4"/>
      <c r="J95" s="12">
        <f t="shared" ref="J95:J102" si="71">IF(H$12=0,0,H95/H$12)</f>
        <v>0.58924485125858128</v>
      </c>
      <c r="K95" s="4"/>
      <c r="L95" s="4">
        <f t="shared" ref="L95:L102" si="72">+D95-H95</f>
        <v>-11176</v>
      </c>
      <c r="M95" s="4"/>
      <c r="N95" s="12">
        <f t="shared" ref="N95:N102" si="73">IF(H95=0,0,L95/H95)</f>
        <v>-0.43401941747572814</v>
      </c>
      <c r="O95" s="10"/>
      <c r="P95" s="4">
        <f>SUM(OSRRefP25x_0)</f>
        <v>152078.40000000002</v>
      </c>
      <c r="Q95" s="4"/>
      <c r="R95" s="12">
        <f t="shared" ref="R95:R102" si="74">IF(P$12=0,0,P95/P$12)</f>
        <v>0.56209508436615585</v>
      </c>
      <c r="S95" s="4"/>
      <c r="T95" s="4">
        <f>SUM(OSRRefT25x_0)</f>
        <v>129750</v>
      </c>
      <c r="U95" s="4"/>
      <c r="V95" s="12">
        <f t="shared" ref="V95:V102" si="75">IF(T$12=0,0,T95/T$12)</f>
        <v>0.42581121549001105</v>
      </c>
      <c r="W95" s="4"/>
      <c r="X95" s="4">
        <f t="shared" ref="X95:X102" si="76">+P95-T95</f>
        <v>22328.400000000023</v>
      </c>
      <c r="Y95" s="4"/>
      <c r="Z95" s="12">
        <f t="shared" ref="Z95:Z102" si="77">IF(T95=0,0,X95/T95)</f>
        <v>0.17208786127167647</v>
      </c>
    </row>
    <row r="96" spans="1:26" s="24" customFormat="1" hidden="1" outlineLevel="1" x14ac:dyDescent="0.25">
      <c r="A96" s="44"/>
      <c r="B96" s="11" t="str">
        <f>CONCATENATE("          ", "4098", " - ", "TAXABLE SALES-GRAD RENTALS")</f>
        <v xml:space="preserve">          4098 - TAXABLE SALES-GRAD RENTALS</v>
      </c>
      <c r="C96" s="11"/>
      <c r="D96" s="2">
        <f t="shared" ref="D96:D98" si="78">0</f>
        <v>0</v>
      </c>
      <c r="E96" s="2"/>
      <c r="F96" s="19">
        <f t="shared" si="70"/>
        <v>0</v>
      </c>
      <c r="G96" s="2"/>
      <c r="H96" s="2"/>
      <c r="I96" s="2"/>
      <c r="J96" s="19">
        <f t="shared" si="71"/>
        <v>0</v>
      </c>
      <c r="K96" s="2"/>
      <c r="L96" s="2">
        <f t="shared" si="72"/>
        <v>0</v>
      </c>
      <c r="M96" s="2"/>
      <c r="N96" s="19">
        <f t="shared" si="73"/>
        <v>0</v>
      </c>
      <c r="O96" s="11"/>
      <c r="P96" s="2">
        <f>--1626.85</f>
        <v>1626.85</v>
      </c>
      <c r="Q96" s="2"/>
      <c r="R96" s="19">
        <f t="shared" si="74"/>
        <v>6.0129800681824669E-3</v>
      </c>
      <c r="S96" s="2"/>
      <c r="T96" s="2"/>
      <c r="U96" s="2"/>
      <c r="V96" s="19">
        <f t="shared" si="75"/>
        <v>0</v>
      </c>
      <c r="W96" s="2"/>
      <c r="X96" s="2">
        <f t="shared" si="76"/>
        <v>1626.85</v>
      </c>
      <c r="Y96" s="2"/>
      <c r="Z96" s="19">
        <f t="shared" si="77"/>
        <v>0</v>
      </c>
    </row>
    <row r="97" spans="1:26" s="24" customFormat="1" hidden="1" outlineLevel="1" x14ac:dyDescent="0.25">
      <c r="A97" s="44"/>
      <c r="B97" s="11" t="str">
        <f>CONCATENATE("          ", "4197", " - ", "NON-TAXABLE SALES-RETURNED CHE")</f>
        <v xml:space="preserve">          4197 - NON-TAXABLE SALES-RETURNED CHE</v>
      </c>
      <c r="C97" s="11"/>
      <c r="D97" s="2">
        <f t="shared" si="78"/>
        <v>0</v>
      </c>
      <c r="E97" s="2"/>
      <c r="F97" s="19">
        <f t="shared" si="70"/>
        <v>0</v>
      </c>
      <c r="G97" s="2"/>
      <c r="H97" s="2"/>
      <c r="I97" s="2"/>
      <c r="J97" s="19">
        <f t="shared" si="71"/>
        <v>0</v>
      </c>
      <c r="K97" s="2"/>
      <c r="L97" s="2">
        <f t="shared" si="72"/>
        <v>0</v>
      </c>
      <c r="M97" s="2"/>
      <c r="N97" s="19">
        <f t="shared" si="73"/>
        <v>0</v>
      </c>
      <c r="O97" s="11"/>
      <c r="P97" s="2">
        <f>--30</f>
        <v>30</v>
      </c>
      <c r="Q97" s="2"/>
      <c r="R97" s="19">
        <f t="shared" si="74"/>
        <v>1.1088262719087439E-4</v>
      </c>
      <c r="S97" s="2"/>
      <c r="T97" s="2"/>
      <c r="U97" s="2"/>
      <c r="V97" s="19">
        <f t="shared" si="75"/>
        <v>0</v>
      </c>
      <c r="W97" s="2"/>
      <c r="X97" s="2">
        <f t="shared" si="76"/>
        <v>30</v>
      </c>
      <c r="Y97" s="2"/>
      <c r="Z97" s="19">
        <f t="shared" si="77"/>
        <v>0</v>
      </c>
    </row>
    <row r="98" spans="1:26" s="24" customFormat="1" hidden="1" outlineLevel="1" x14ac:dyDescent="0.25">
      <c r="A98" s="44"/>
      <c r="B98" s="11" t="str">
        <f>CONCATENATE("          ", "4198", " - ", "NON-TAXABLE SALES-GRAD RENTALS")</f>
        <v xml:space="preserve">          4198 - NON-TAXABLE SALES-GRAD RENTALS</v>
      </c>
      <c r="C98" s="11"/>
      <c r="D98" s="2">
        <f t="shared" si="78"/>
        <v>0</v>
      </c>
      <c r="E98" s="2"/>
      <c r="F98" s="19">
        <f t="shared" si="70"/>
        <v>0</v>
      </c>
      <c r="G98" s="2"/>
      <c r="H98" s="2"/>
      <c r="I98" s="2"/>
      <c r="J98" s="19">
        <f t="shared" si="71"/>
        <v>0</v>
      </c>
      <c r="K98" s="2"/>
      <c r="L98" s="2">
        <f t="shared" si="72"/>
        <v>0</v>
      </c>
      <c r="M98" s="2"/>
      <c r="N98" s="19">
        <f t="shared" si="73"/>
        <v>0</v>
      </c>
      <c r="O98" s="11"/>
      <c r="P98" s="2">
        <f>--495</f>
        <v>495</v>
      </c>
      <c r="Q98" s="2"/>
      <c r="R98" s="19">
        <f t="shared" si="74"/>
        <v>1.8295633486494275E-3</v>
      </c>
      <c r="S98" s="2"/>
      <c r="T98" s="2"/>
      <c r="U98" s="2"/>
      <c r="V98" s="19">
        <f t="shared" si="75"/>
        <v>0</v>
      </c>
      <c r="W98" s="2"/>
      <c r="X98" s="2">
        <f t="shared" si="76"/>
        <v>495</v>
      </c>
      <c r="Y98" s="2"/>
      <c r="Z98" s="19">
        <f t="shared" si="77"/>
        <v>0</v>
      </c>
    </row>
    <row r="99" spans="1:26" s="24" customFormat="1" hidden="1" outlineLevel="1" x14ac:dyDescent="0.25">
      <c r="A99" s="44"/>
      <c r="B99" s="11" t="str">
        <f>CONCATENATE("          ", "9150", " - ", "MISC. INCOME")</f>
        <v xml:space="preserve">          9150 - MISC. INCOME</v>
      </c>
      <c r="C99" s="11"/>
      <c r="D99" s="2">
        <f>--13269</f>
        <v>13269</v>
      </c>
      <c r="E99" s="2"/>
      <c r="F99" s="19">
        <f t="shared" si="70"/>
        <v>0.32312463396132679</v>
      </c>
      <c r="G99" s="2"/>
      <c r="H99" s="2"/>
      <c r="I99" s="2"/>
      <c r="J99" s="19">
        <f t="shared" si="71"/>
        <v>0</v>
      </c>
      <c r="K99" s="2"/>
      <c r="L99" s="2">
        <f t="shared" si="72"/>
        <v>13269</v>
      </c>
      <c r="M99" s="2"/>
      <c r="N99" s="19">
        <f t="shared" si="73"/>
        <v>0</v>
      </c>
      <c r="O99" s="11"/>
      <c r="P99" s="2">
        <f>--66345</f>
        <v>66345</v>
      </c>
      <c r="Q99" s="2"/>
      <c r="R99" s="19">
        <f t="shared" si="74"/>
        <v>0.24521693003261871</v>
      </c>
      <c r="S99" s="2"/>
      <c r="T99" s="2">
        <v>12250</v>
      </c>
      <c r="U99" s="2"/>
      <c r="V99" s="19">
        <f t="shared" si="75"/>
        <v>4.0201829593469254E-2</v>
      </c>
      <c r="W99" s="2"/>
      <c r="X99" s="2">
        <f t="shared" si="76"/>
        <v>54095</v>
      </c>
      <c r="Y99" s="2"/>
      <c r="Z99" s="19">
        <f t="shared" si="77"/>
        <v>4.4159183673469391</v>
      </c>
    </row>
    <row r="100" spans="1:26" s="24" customFormat="1" hidden="1" outlineLevel="1" x14ac:dyDescent="0.25">
      <c r="A100" s="44"/>
      <c r="B100" s="11" t="str">
        <f>CONCATENATE("          ", "9151", " - ", "MISC. INCOME")</f>
        <v xml:space="preserve">          9151 - MISC. INCOME</v>
      </c>
      <c r="C100" s="11"/>
      <c r="D100" s="2">
        <f>0</f>
        <v>0</v>
      </c>
      <c r="E100" s="2"/>
      <c r="F100" s="19">
        <f t="shared" si="70"/>
        <v>0</v>
      </c>
      <c r="G100" s="2"/>
      <c r="H100" s="2">
        <v>12250</v>
      </c>
      <c r="I100" s="2"/>
      <c r="J100" s="19">
        <f t="shared" si="71"/>
        <v>0.2803203661327231</v>
      </c>
      <c r="K100" s="2"/>
      <c r="L100" s="2">
        <f t="shared" si="72"/>
        <v>-12250</v>
      </c>
      <c r="M100" s="2"/>
      <c r="N100" s="19">
        <f t="shared" si="73"/>
        <v>-1</v>
      </c>
      <c r="O100" s="11"/>
      <c r="P100" s="2">
        <f>0</f>
        <v>0</v>
      </c>
      <c r="Q100" s="2"/>
      <c r="R100" s="19">
        <f t="shared" si="74"/>
        <v>0</v>
      </c>
      <c r="S100" s="2"/>
      <c r="T100" s="2">
        <v>49000</v>
      </c>
      <c r="U100" s="2"/>
      <c r="V100" s="19">
        <f t="shared" si="75"/>
        <v>0.16080731837387702</v>
      </c>
      <c r="W100" s="2"/>
      <c r="X100" s="2">
        <f t="shared" si="76"/>
        <v>-49000</v>
      </c>
      <c r="Y100" s="2"/>
      <c r="Z100" s="19">
        <f t="shared" si="77"/>
        <v>-1</v>
      </c>
    </row>
    <row r="101" spans="1:26" s="24" customFormat="1" hidden="1" outlineLevel="1" x14ac:dyDescent="0.25">
      <c r="A101" s="44"/>
      <c r="B101" s="11" t="str">
        <f>CONCATENATE("          ", "9160", " - ", "MISC. INCOME")</f>
        <v xml:space="preserve">          9160 - MISC. INCOME</v>
      </c>
      <c r="C101" s="11"/>
      <c r="D101" s="2">
        <f>--1305</f>
        <v>1305</v>
      </c>
      <c r="E101" s="2"/>
      <c r="F101" s="19">
        <f t="shared" si="70"/>
        <v>3.1779157986248509E-2</v>
      </c>
      <c r="G101" s="2"/>
      <c r="H101" s="2">
        <v>13500</v>
      </c>
      <c r="I101" s="2"/>
      <c r="J101" s="19">
        <f t="shared" si="71"/>
        <v>0.30892448512585813</v>
      </c>
      <c r="K101" s="2"/>
      <c r="L101" s="2">
        <f t="shared" si="72"/>
        <v>-12195</v>
      </c>
      <c r="M101" s="2"/>
      <c r="N101" s="19">
        <f t="shared" si="73"/>
        <v>-0.90333333333333332</v>
      </c>
      <c r="O101" s="11"/>
      <c r="P101" s="2">
        <f>--22475</f>
        <v>22475</v>
      </c>
      <c r="Q101" s="2"/>
      <c r="R101" s="19">
        <f t="shared" si="74"/>
        <v>8.3069568203830074E-2</v>
      </c>
      <c r="S101" s="2"/>
      <c r="T101" s="2">
        <v>68500</v>
      </c>
      <c r="U101" s="2"/>
      <c r="V101" s="19">
        <f t="shared" si="75"/>
        <v>0.22480206752266479</v>
      </c>
      <c r="W101" s="2"/>
      <c r="X101" s="2">
        <f t="shared" si="76"/>
        <v>-46025</v>
      </c>
      <c r="Y101" s="2"/>
      <c r="Z101" s="19">
        <f t="shared" si="77"/>
        <v>-0.6718978102189781</v>
      </c>
    </row>
    <row r="102" spans="1:26" s="24" customFormat="1" hidden="1" outlineLevel="1" x14ac:dyDescent="0.25">
      <c r="A102" s="44"/>
      <c r="B102" s="11" t="str">
        <f>CONCATENATE("          ", "9163", " - ", "MISC. INCOME")</f>
        <v xml:space="preserve">          9163 - MISC. INCOME</v>
      </c>
      <c r="C102" s="11"/>
      <c r="D102" s="2">
        <f>0</f>
        <v>0</v>
      </c>
      <c r="E102" s="2"/>
      <c r="F102" s="19">
        <f t="shared" si="70"/>
        <v>0</v>
      </c>
      <c r="G102" s="2"/>
      <c r="H102" s="2"/>
      <c r="I102" s="2"/>
      <c r="J102" s="19">
        <f t="shared" si="71"/>
        <v>0</v>
      </c>
      <c r="K102" s="2"/>
      <c r="L102" s="2">
        <f t="shared" si="72"/>
        <v>0</v>
      </c>
      <c r="M102" s="2"/>
      <c r="N102" s="19">
        <f t="shared" si="73"/>
        <v>0</v>
      </c>
      <c r="O102" s="11"/>
      <c r="P102" s="2">
        <f>--61106.55</f>
        <v>61106.55</v>
      </c>
      <c r="Q102" s="2"/>
      <c r="R102" s="19">
        <f t="shared" si="74"/>
        <v>0.22585516008568421</v>
      </c>
      <c r="S102" s="2"/>
      <c r="T102" s="2"/>
      <c r="U102" s="2"/>
      <c r="V102" s="19">
        <f t="shared" si="75"/>
        <v>0</v>
      </c>
      <c r="W102" s="2"/>
      <c r="X102" s="2">
        <f t="shared" si="76"/>
        <v>61106.55</v>
      </c>
      <c r="Y102" s="2"/>
      <c r="Z102" s="19">
        <f t="shared" si="77"/>
        <v>0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10"/>
      <c r="B104" s="28" t="s">
        <v>3</v>
      </c>
      <c r="C104" s="28"/>
      <c r="D104" s="20">
        <f>+D37-D39+D95</f>
        <v>4106.760000000002</v>
      </c>
      <c r="E104" s="14"/>
      <c r="F104" s="22">
        <f>IF(D$12=0,0,D104/D$12)</f>
        <v>0.10000718379433408</v>
      </c>
      <c r="G104" s="14"/>
      <c r="H104" s="20">
        <f>+H37-H39+H95</f>
        <v>18859.275175858209</v>
      </c>
      <c r="I104" s="14"/>
      <c r="J104" s="22">
        <f>IF(H$12=0,0,H104/H$12)</f>
        <v>0.43156236100362033</v>
      </c>
      <c r="K104" s="16"/>
      <c r="L104" s="20">
        <f>+D104-H104</f>
        <v>-14752.515175858207</v>
      </c>
      <c r="M104" s="16"/>
      <c r="N104" s="22">
        <f>IF(H104=0,0,L104/H104)</f>
        <v>-0.78224189627090901</v>
      </c>
      <c r="O104" s="29"/>
      <c r="P104" s="20">
        <f>+P37-P39+P95</f>
        <v>191928.71000000002</v>
      </c>
      <c r="Q104" s="14"/>
      <c r="R104" s="22">
        <f>IF(P$12=0,0,P104/P$12)</f>
        <v>0.70938531993851495</v>
      </c>
      <c r="S104" s="14"/>
      <c r="T104" s="20">
        <f>+T37-T39+T95</f>
        <v>195676.44129132657</v>
      </c>
      <c r="U104" s="14"/>
      <c r="V104" s="22">
        <f>IF(T$12=0,0,T104/T$12)</f>
        <v>0.6421674243469716</v>
      </c>
      <c r="W104" s="16"/>
      <c r="X104" s="20">
        <f>+P104-T104</f>
        <v>-3747.7312913265487</v>
      </c>
      <c r="Y104" s="16"/>
      <c r="Z104" s="22">
        <f>IF(T104=0,0,X104/T104)</f>
        <v>-1.9152695473170733E-2</v>
      </c>
    </row>
    <row r="105" spans="1:26" x14ac:dyDescent="0.25">
      <c r="A105" s="9"/>
      <c r="B105" s="10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52"/>
      <c r="B106" s="10" t="s">
        <v>14</v>
      </c>
      <c r="C106" s="10"/>
      <c r="D106" s="4">
        <v>5548.86</v>
      </c>
      <c r="E106" s="4"/>
      <c r="F106" s="12">
        <f>IF(D$12=0,0,D106/D$12)</f>
        <v>0.13512497975752863</v>
      </c>
      <c r="G106" s="4"/>
      <c r="H106" s="4">
        <v>7185</v>
      </c>
      <c r="I106" s="4"/>
      <c r="J106" s="12">
        <f>IF(H$12=0,0,H106/H$12)</f>
        <v>0.16441647597254005</v>
      </c>
      <c r="K106" s="4"/>
      <c r="L106" s="4">
        <f>+D106-H106</f>
        <v>-1636.1400000000003</v>
      </c>
      <c r="M106" s="4"/>
      <c r="N106" s="12">
        <f>IF(H106=0,0,L106/H106)</f>
        <v>-0.22771607515657624</v>
      </c>
      <c r="O106" s="10"/>
      <c r="P106" s="4">
        <v>28650.080000000002</v>
      </c>
      <c r="Q106" s="4"/>
      <c r="R106" s="12">
        <f>IF(P$12=0,0,P106/P$12)</f>
        <v>0.10589320465429089</v>
      </c>
      <c r="S106" s="4"/>
      <c r="T106" s="4">
        <v>38616</v>
      </c>
      <c r="U106" s="4"/>
      <c r="V106" s="12">
        <f>IF(T$12=0,0,T106/T$12)</f>
        <v>0.12672929400664562</v>
      </c>
      <c r="W106" s="4"/>
      <c r="X106" s="4">
        <f>+P106-T106</f>
        <v>-9965.9199999999983</v>
      </c>
      <c r="Y106" s="4"/>
      <c r="Z106" s="12">
        <f>IF(T106=0,0,X106/T106)</f>
        <v>-0.25807748083695875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8" t="s">
        <v>4</v>
      </c>
      <c r="C108" s="28"/>
      <c r="D108" s="30">
        <f>+D104-D106</f>
        <v>-1442.0999999999976</v>
      </c>
      <c r="E108" s="14"/>
      <c r="F108" s="32">
        <f>IF(D$12=0,0,D108/D$12)</f>
        <v>-3.5117795963194559E-2</v>
      </c>
      <c r="G108" s="14"/>
      <c r="H108" s="30">
        <f>+H104-H106</f>
        <v>11674.275175858209</v>
      </c>
      <c r="I108" s="14"/>
      <c r="J108" s="32">
        <f>IF(H$12=0,0,H108/H$12)</f>
        <v>0.26714588503108028</v>
      </c>
      <c r="K108" s="16"/>
      <c r="L108" s="30">
        <f>D108-H108</f>
        <v>-13116.375175858208</v>
      </c>
      <c r="M108" s="16"/>
      <c r="N108" s="32">
        <f>IF(H108=0,0,L108/H108)</f>
        <v>-1.1235280116561057</v>
      </c>
      <c r="O108" s="29"/>
      <c r="P108" s="30">
        <f>+P104-P106</f>
        <v>163278.63</v>
      </c>
      <c r="Q108" s="14"/>
      <c r="R108" s="32">
        <f>IF(P$12=0,0,P108/P$12)</f>
        <v>0.60349211528422397</v>
      </c>
      <c r="S108" s="14"/>
      <c r="T108" s="30">
        <f>+T104-T106</f>
        <v>157060.44129132657</v>
      </c>
      <c r="U108" s="14"/>
      <c r="V108" s="32">
        <f>IF(T$12=0,0,T108/T$12)</f>
        <v>0.51543813034032593</v>
      </c>
      <c r="W108" s="16"/>
      <c r="X108" s="30">
        <f>P108-T108</f>
        <v>6218.188708673435</v>
      </c>
      <c r="Y108" s="16"/>
      <c r="Z108" s="32">
        <f>IF(T108=0,0,X108/T108)</f>
        <v>3.9591055886182752E-2</v>
      </c>
    </row>
    <row r="109" spans="1:26" ht="15.75" thickTop="1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8" t="s">
        <v>5</v>
      </c>
      <c r="C111" s="28"/>
      <c r="D111" s="31">
        <f>SUM(D108:D110)</f>
        <v>-1442.0999999999976</v>
      </c>
      <c r="E111" s="14"/>
      <c r="F111" s="35">
        <f>IF(D$12=0,0,D111/D$12)</f>
        <v>-3.5117795963194559E-2</v>
      </c>
      <c r="G111" s="14"/>
      <c r="H111" s="31">
        <f>SUM(H108:H110)</f>
        <v>11674.275175858209</v>
      </c>
      <c r="I111" s="14"/>
      <c r="J111" s="35">
        <f>IF(H$12=0,0,H111/H$12)</f>
        <v>0.26714588503108028</v>
      </c>
      <c r="K111" s="16"/>
      <c r="L111" s="31">
        <f>+D111-H111</f>
        <v>-13116.375175858208</v>
      </c>
      <c r="M111" s="16"/>
      <c r="N111" s="35">
        <f>IF(H111=0,0,L111/H111)</f>
        <v>-1.1235280116561057</v>
      </c>
      <c r="O111" s="29"/>
      <c r="P111" s="31">
        <f>SUM(P108:P110)</f>
        <v>163278.63</v>
      </c>
      <c r="Q111" s="14"/>
      <c r="R111" s="35">
        <f>IF(P$12=0,0,P111/P$12)</f>
        <v>0.60349211528422397</v>
      </c>
      <c r="S111" s="14"/>
      <c r="T111" s="31">
        <f>SUM(T108:T110)</f>
        <v>157060.44129132657</v>
      </c>
      <c r="U111" s="14"/>
      <c r="V111" s="35">
        <f>IF(T$12=0,0,T111/T$12)</f>
        <v>0.51543813034032593</v>
      </c>
      <c r="W111" s="16"/>
      <c r="X111" s="31">
        <f>+P111-T111</f>
        <v>6218.188708673435</v>
      </c>
      <c r="Y111" s="16"/>
      <c r="Z111" s="35">
        <f>IF(T111=0,0,X111/T111)</f>
        <v>3.9591055886182752E-2</v>
      </c>
    </row>
    <row r="112" spans="1:26" ht="15.75" thickTop="1" x14ac:dyDescent="0.25">
      <c r="A112" s="9"/>
      <c r="C112" s="9"/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1:24" x14ac:dyDescent="0.25">
      <c r="A113" s="9"/>
      <c r="B113" s="56">
        <v>43815.483293321762</v>
      </c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  <row r="114" spans="1:24" x14ac:dyDescent="0.25">
      <c r="A114" s="9"/>
      <c r="B114" s="62" t="s">
        <v>314</v>
      </c>
      <c r="D114" s="17"/>
      <c r="E114" s="17"/>
      <c r="G114" s="17"/>
      <c r="H114" s="17"/>
      <c r="I114" s="17"/>
      <c r="J114" s="43"/>
      <c r="K114" s="17"/>
      <c r="L114" s="17"/>
      <c r="M114" s="17"/>
      <c r="P114" s="17"/>
      <c r="Q114" s="17"/>
      <c r="R114" s="43"/>
      <c r="S114" s="17"/>
      <c r="T114" s="17"/>
      <c r="U114" s="17"/>
      <c r="V114" s="43"/>
      <c r="W114" s="17"/>
      <c r="X114" s="17"/>
    </row>
    <row r="115" spans="1:24" x14ac:dyDescent="0.25">
      <c r="A115" s="9"/>
      <c r="B115" s="58"/>
      <c r="D115" s="17"/>
      <c r="E115" s="17"/>
      <c r="G115" s="17"/>
      <c r="H115" s="17"/>
      <c r="I115" s="17"/>
      <c r="J115" s="43"/>
      <c r="K115" s="17"/>
      <c r="L115" s="17"/>
      <c r="M115" s="17"/>
      <c r="P115" s="17"/>
      <c r="Q115" s="17"/>
      <c r="R115" s="43"/>
      <c r="S115" s="17"/>
      <c r="T115" s="17"/>
      <c r="U115" s="17"/>
      <c r="V115" s="43"/>
      <c r="W115" s="17"/>
      <c r="X115" s="17"/>
    </row>
    <row r="116" spans="1:24" x14ac:dyDescent="0.25">
      <c r="D116" s="17"/>
      <c r="E116" s="17"/>
      <c r="G116" s="17"/>
      <c r="H116" s="17"/>
      <c r="I116" s="17"/>
      <c r="J116" s="43"/>
      <c r="K116" s="17"/>
      <c r="L116" s="17"/>
      <c r="M116" s="17"/>
      <c r="P116" s="17"/>
      <c r="Q116" s="17"/>
      <c r="R116" s="43"/>
      <c r="S116" s="17"/>
      <c r="T116" s="17"/>
      <c r="U116" s="17"/>
      <c r="V116" s="43"/>
      <c r="W116" s="17"/>
      <c r="X116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","316", " - ", "Campus Copy Center")</f>
        <v>Department 316 - Campus Copy Center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38654.22</v>
      </c>
      <c r="E12" s="4"/>
      <c r="F12" s="12"/>
      <c r="G12" s="4"/>
      <c r="H12" s="4">
        <f>SUM(OSRRefH13x_0)</f>
        <v>43700</v>
      </c>
      <c r="I12" s="4"/>
      <c r="J12" s="12"/>
      <c r="K12" s="4"/>
      <c r="L12" s="4">
        <f t="shared" ref="L12:L25" si="0">+D12-H12</f>
        <v>-5045.7799999999988</v>
      </c>
      <c r="M12" s="4"/>
      <c r="N12" s="12">
        <f t="shared" ref="N12:N25" si="1">IF(H12=0,0,L12/H12)</f>
        <v>-0.11546407322654459</v>
      </c>
      <c r="O12" s="10"/>
      <c r="P12" s="4">
        <f>SUM(OSRRefP13x_0)</f>
        <v>263246.12</v>
      </c>
      <c r="Q12" s="4"/>
      <c r="R12" s="12"/>
      <c r="S12" s="4"/>
      <c r="T12" s="4">
        <f>SUM(OSRRefT13x_0)</f>
        <v>304712.5</v>
      </c>
      <c r="U12" s="4"/>
      <c r="V12" s="12"/>
      <c r="W12" s="4"/>
      <c r="X12" s="4">
        <f t="shared" ref="X12:X25" si="2">+P12-T12</f>
        <v>-41466.380000000005</v>
      </c>
      <c r="Y12" s="4"/>
      <c r="Z12" s="12">
        <f t="shared" ref="Z12:Z25" si="3">IF(T12=0,0,X12/T12)</f>
        <v>-0.13608361980555442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39900</v>
      </c>
      <c r="I13" s="2"/>
      <c r="J13" s="19"/>
      <c r="K13" s="2"/>
      <c r="L13" s="2">
        <f t="shared" si="0"/>
        <v>-39900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251037.50000000003</v>
      </c>
      <c r="U13" s="2"/>
      <c r="V13" s="19"/>
      <c r="W13" s="2"/>
      <c r="X13" s="2">
        <f t="shared" si="2"/>
        <v>-251037.50000000003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--194.1</f>
        <v>194.1</v>
      </c>
      <c r="E14" s="2"/>
      <c r="F14" s="19"/>
      <c r="G14" s="2"/>
      <c r="H14" s="2"/>
      <c r="I14" s="2"/>
      <c r="J14" s="19"/>
      <c r="K14" s="2"/>
      <c r="L14" s="2">
        <f t="shared" si="0"/>
        <v>194.1</v>
      </c>
      <c r="M14" s="2"/>
      <c r="N14" s="19">
        <f t="shared" si="1"/>
        <v>0</v>
      </c>
      <c r="O14" s="11"/>
      <c r="P14" s="2">
        <f>--96968.35</f>
        <v>96968.35</v>
      </c>
      <c r="Q14" s="2"/>
      <c r="R14" s="19"/>
      <c r="S14" s="2"/>
      <c r="T14" s="2"/>
      <c r="U14" s="2"/>
      <c r="V14" s="19"/>
      <c r="W14" s="2"/>
      <c r="X14" s="2">
        <f t="shared" si="2"/>
        <v>96968.35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--7977.42</f>
        <v>7977.42</v>
      </c>
      <c r="E15" s="2"/>
      <c r="F15" s="19"/>
      <c r="G15" s="2"/>
      <c r="H15" s="2"/>
      <c r="I15" s="2"/>
      <c r="J15" s="19"/>
      <c r="K15" s="2"/>
      <c r="L15" s="2">
        <f t="shared" si="0"/>
        <v>7977.42</v>
      </c>
      <c r="M15" s="2"/>
      <c r="N15" s="19">
        <f t="shared" si="1"/>
        <v>0</v>
      </c>
      <c r="O15" s="11"/>
      <c r="P15" s="2">
        <f>--39895.64</f>
        <v>39895.64</v>
      </c>
      <c r="Q15" s="2"/>
      <c r="R15" s="19"/>
      <c r="S15" s="2"/>
      <c r="T15" s="2"/>
      <c r="U15" s="2"/>
      <c r="V15" s="19"/>
      <c r="W15" s="2"/>
      <c r="X15" s="2">
        <f t="shared" si="2"/>
        <v>39895.64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--3.7</f>
        <v>3.7</v>
      </c>
      <c r="E16" s="2"/>
      <c r="F16" s="19"/>
      <c r="G16" s="2"/>
      <c r="H16" s="2"/>
      <c r="I16" s="2"/>
      <c r="J16" s="19"/>
      <c r="K16" s="2"/>
      <c r="L16" s="2">
        <f t="shared" si="0"/>
        <v>3.7</v>
      </c>
      <c r="M16" s="2"/>
      <c r="N16" s="19">
        <f t="shared" si="1"/>
        <v>0</v>
      </c>
      <c r="O16" s="11"/>
      <c r="P16" s="2">
        <f>--101.98</f>
        <v>101.98</v>
      </c>
      <c r="Q16" s="2"/>
      <c r="R16" s="19"/>
      <c r="S16" s="2"/>
      <c r="T16" s="2"/>
      <c r="U16" s="2"/>
      <c r="V16" s="19"/>
      <c r="W16" s="2"/>
      <c r="X16" s="2">
        <f t="shared" si="2"/>
        <v>101.98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>--304.55</f>
        <v>304.55</v>
      </c>
      <c r="E17" s="2"/>
      <c r="F17" s="19"/>
      <c r="G17" s="2"/>
      <c r="H17" s="2"/>
      <c r="I17" s="2"/>
      <c r="J17" s="19"/>
      <c r="K17" s="2"/>
      <c r="L17" s="2">
        <f t="shared" si="0"/>
        <v>304.55</v>
      </c>
      <c r="M17" s="2"/>
      <c r="N17" s="19">
        <f t="shared" si="1"/>
        <v>0</v>
      </c>
      <c r="O17" s="11"/>
      <c r="P17" s="2">
        <f>--1678.55</f>
        <v>1678.55</v>
      </c>
      <c r="Q17" s="2"/>
      <c r="R17" s="19"/>
      <c r="S17" s="2"/>
      <c r="T17" s="2"/>
      <c r="U17" s="2"/>
      <c r="V17" s="19"/>
      <c r="W17" s="2"/>
      <c r="X17" s="2">
        <f t="shared" si="2"/>
        <v>1678.55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"4100", " - ", "NON-TAXABLE SALES")</f>
        <v xml:space="preserve">          4100 - NON-TAXABLE SALES</v>
      </c>
      <c r="C18" s="11"/>
      <c r="D18" s="2">
        <f t="shared" ref="D18:D19" si="4">0</f>
        <v>0</v>
      </c>
      <c r="E18" s="2"/>
      <c r="F18" s="19"/>
      <c r="G18" s="2"/>
      <c r="H18" s="2">
        <v>3800</v>
      </c>
      <c r="I18" s="2"/>
      <c r="J18" s="19"/>
      <c r="K18" s="2"/>
      <c r="L18" s="2">
        <f t="shared" si="0"/>
        <v>-3800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v>53675</v>
      </c>
      <c r="U18" s="2"/>
      <c r="V18" s="19"/>
      <c r="W18" s="2"/>
      <c r="X18" s="2">
        <f t="shared" si="2"/>
        <v>-53675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"4141", " - ", "NON-TAXABLE SALES-LOGO GIFTS")</f>
        <v xml:space="preserve">          4141 - NON-TAXABLE SALES-LOGO GIFTS</v>
      </c>
      <c r="C19" s="11"/>
      <c r="D19" s="2">
        <f t="shared" si="4"/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--152.75</f>
        <v>152.75</v>
      </c>
      <c r="Q19" s="2"/>
      <c r="R19" s="19"/>
      <c r="S19" s="2"/>
      <c r="T19" s="2"/>
      <c r="U19" s="2"/>
      <c r="V19" s="19"/>
      <c r="W19" s="2"/>
      <c r="X19" s="2">
        <f t="shared" si="2"/>
        <v>152.75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>--1168.7</f>
        <v>1168.7</v>
      </c>
      <c r="E20" s="2"/>
      <c r="F20" s="19"/>
      <c r="G20" s="2"/>
      <c r="H20" s="2"/>
      <c r="I20" s="2"/>
      <c r="J20" s="19"/>
      <c r="K20" s="2"/>
      <c r="L20" s="2">
        <f t="shared" si="0"/>
        <v>1168.7</v>
      </c>
      <c r="M20" s="2"/>
      <c r="N20" s="19">
        <f t="shared" si="1"/>
        <v>0</v>
      </c>
      <c r="O20" s="11"/>
      <c r="P20" s="2">
        <f>--5517</f>
        <v>5517</v>
      </c>
      <c r="Q20" s="2"/>
      <c r="R20" s="19"/>
      <c r="S20" s="2"/>
      <c r="T20" s="2"/>
      <c r="U20" s="2"/>
      <c r="V20" s="19"/>
      <c r="W20" s="2"/>
      <c r="X20" s="2">
        <f t="shared" si="2"/>
        <v>5517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--28930.75</f>
        <v>28930.75</v>
      </c>
      <c r="E21" s="2"/>
      <c r="F21" s="19"/>
      <c r="G21" s="2"/>
      <c r="H21" s="2"/>
      <c r="I21" s="2"/>
      <c r="J21" s="19"/>
      <c r="K21" s="2"/>
      <c r="L21" s="2">
        <f t="shared" si="0"/>
        <v>28930.75</v>
      </c>
      <c r="M21" s="2"/>
      <c r="N21" s="19">
        <f t="shared" si="1"/>
        <v>0</v>
      </c>
      <c r="O21" s="11"/>
      <c r="P21" s="2">
        <f>--119341.05</f>
        <v>119341.05</v>
      </c>
      <c r="Q21" s="2"/>
      <c r="R21" s="19"/>
      <c r="S21" s="2"/>
      <c r="T21" s="2"/>
      <c r="U21" s="2"/>
      <c r="V21" s="19"/>
      <c r="W21" s="2"/>
      <c r="X21" s="2">
        <f t="shared" si="2"/>
        <v>119341.05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"4147", " - ", "NON-TAXABLE SALES-MISC")</f>
        <v xml:space="preserve">          4147 - NON-TAXABLE SALES-MISC</v>
      </c>
      <c r="C22" s="11"/>
      <c r="D22" s="2">
        <f>--75</f>
        <v>75</v>
      </c>
      <c r="E22" s="2"/>
      <c r="F22" s="19"/>
      <c r="G22" s="2"/>
      <c r="H22" s="2"/>
      <c r="I22" s="2"/>
      <c r="J22" s="19"/>
      <c r="K22" s="2"/>
      <c r="L22" s="2">
        <f t="shared" si="0"/>
        <v>75</v>
      </c>
      <c r="M22" s="2"/>
      <c r="N22" s="19">
        <f t="shared" si="1"/>
        <v>0</v>
      </c>
      <c r="O22" s="11"/>
      <c r="P22" s="2">
        <f>--249.9</f>
        <v>249.9</v>
      </c>
      <c r="Q22" s="2"/>
      <c r="R22" s="19"/>
      <c r="S22" s="2"/>
      <c r="T22" s="2"/>
      <c r="U22" s="2"/>
      <c r="V22" s="19"/>
      <c r="W22" s="2"/>
      <c r="X22" s="2">
        <f t="shared" si="2"/>
        <v>249.9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 t="shared" ref="D23:D25" si="5"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-634.75</f>
        <v>-634.75</v>
      </c>
      <c r="Q23" s="2"/>
      <c r="R23" s="19"/>
      <c r="S23" s="2"/>
      <c r="T23" s="2"/>
      <c r="U23" s="2"/>
      <c r="V23" s="19"/>
      <c r="W23" s="2"/>
      <c r="X23" s="2">
        <f t="shared" si="2"/>
        <v>-634.75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"4242", " - ", "SALES RETURN TAXABLE-EVERYDAY")</f>
        <v xml:space="preserve">          4242 - SALES RETURN TAXABLE-EVERYDAY</v>
      </c>
      <c r="C24" s="11"/>
      <c r="D24" s="2">
        <f t="shared" si="5"/>
        <v>0</v>
      </c>
      <c r="E24" s="2"/>
      <c r="F24" s="19"/>
      <c r="G24" s="2"/>
      <c r="H24" s="2"/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-16.2</f>
        <v>-16.2</v>
      </c>
      <c r="Q24" s="2"/>
      <c r="R24" s="19"/>
      <c r="S24" s="2"/>
      <c r="T24" s="2"/>
      <c r="U24" s="2"/>
      <c r="V24" s="19"/>
      <c r="W24" s="2"/>
      <c r="X24" s="2">
        <f t="shared" si="2"/>
        <v>-16.2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"4346", " - ", "SALES RETURN NON TAXABLE-COIN-")</f>
        <v xml:space="preserve">          4346 - SALES RETURN NON TAXABLE-COIN-</v>
      </c>
      <c r="C25" s="11"/>
      <c r="D25" s="2">
        <f t="shared" si="5"/>
        <v>0</v>
      </c>
      <c r="E25" s="2"/>
      <c r="F25" s="19"/>
      <c r="G25" s="2"/>
      <c r="H25" s="2"/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-8.15</f>
        <v>-8.15</v>
      </c>
      <c r="Q25" s="2"/>
      <c r="R25" s="19"/>
      <c r="S25" s="2"/>
      <c r="T25" s="2"/>
      <c r="U25" s="2"/>
      <c r="V25" s="19"/>
      <c r="W25" s="2"/>
      <c r="X25" s="2">
        <f t="shared" si="2"/>
        <v>-8.15</v>
      </c>
      <c r="Y25" s="2"/>
      <c r="Z25" s="19">
        <f t="shared" si="3"/>
        <v>0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8</v>
      </c>
      <c r="C27" s="10"/>
      <c r="D27" s="4">
        <f>SUM(0)</f>
        <v>0</v>
      </c>
      <c r="E27" s="4"/>
      <c r="F27" s="12">
        <f>IF(D$12=0,0,D27/D$12)</f>
        <v>0</v>
      </c>
      <c r="G27" s="4"/>
      <c r="H27" s="4">
        <f>SUM(0)</f>
        <v>0</v>
      </c>
      <c r="I27" s="4"/>
      <c r="J27" s="12">
        <f>IF(H$12=0,0,H27/H$12)</f>
        <v>0</v>
      </c>
      <c r="K27" s="4"/>
      <c r="L27" s="4">
        <f>+D27-H27</f>
        <v>0</v>
      </c>
      <c r="M27" s="4"/>
      <c r="N27" s="12">
        <f>IF(H27=0,0,L27/H27)</f>
        <v>0</v>
      </c>
      <c r="O27" s="10"/>
      <c r="P27" s="4">
        <f>SUM(0)</f>
        <v>0</v>
      </c>
      <c r="Q27" s="4"/>
      <c r="R27" s="12">
        <f>IF(P$12=0,0,P27/P$12)</f>
        <v>0</v>
      </c>
      <c r="S27" s="4"/>
      <c r="T27" s="4">
        <f>SUM(0)</f>
        <v>0</v>
      </c>
      <c r="U27" s="4"/>
      <c r="V27" s="12">
        <f>IF(T$12=0,0,T27/T$12)</f>
        <v>0</v>
      </c>
      <c r="W27" s="4"/>
      <c r="X27" s="4">
        <f>+P27-T27</f>
        <v>0</v>
      </c>
      <c r="Y27" s="4"/>
      <c r="Z27" s="12">
        <f>IF(T27=0,0,X27/T27)</f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8" t="s">
        <v>6</v>
      </c>
      <c r="C29" s="28"/>
      <c r="D29" s="20">
        <f>D12-D27</f>
        <v>38654.22</v>
      </c>
      <c r="E29" s="14"/>
      <c r="F29" s="22">
        <f>IF(D$12=0,0,D29/D$12)</f>
        <v>1</v>
      </c>
      <c r="G29" s="14"/>
      <c r="H29" s="20">
        <f>H12-H27</f>
        <v>43700</v>
      </c>
      <c r="I29" s="14"/>
      <c r="J29" s="22">
        <f>IF(H$12=0,0,H29/H$12)</f>
        <v>1</v>
      </c>
      <c r="K29" s="16"/>
      <c r="L29" s="20">
        <f>+D29-H29</f>
        <v>-5045.7799999999988</v>
      </c>
      <c r="M29" s="16"/>
      <c r="N29" s="22">
        <f>IF(H29=0,0,L29/H29)</f>
        <v>-0.11546407322654459</v>
      </c>
      <c r="O29" s="29"/>
      <c r="P29" s="20">
        <f>P12-P27</f>
        <v>263246.12</v>
      </c>
      <c r="Q29" s="14"/>
      <c r="R29" s="22">
        <f>IF(P$12=0,0,P29/P$12)</f>
        <v>1</v>
      </c>
      <c r="S29" s="14"/>
      <c r="T29" s="20">
        <f>T12-T27</f>
        <v>304712.5</v>
      </c>
      <c r="U29" s="14"/>
      <c r="V29" s="22">
        <f>IF(T$12=0,0,T29/T$12)</f>
        <v>1</v>
      </c>
      <c r="W29" s="16"/>
      <c r="X29" s="20">
        <f>+P29-T29</f>
        <v>-41466.380000000005</v>
      </c>
      <c r="Y29" s="16"/>
      <c r="Z29" s="22">
        <f>IF(T29=0,0,X29/T29)</f>
        <v>-0.13608361980555442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9" t="s">
        <v>9</v>
      </c>
      <c r="C31" s="10"/>
      <c r="D31" s="21">
        <f>SUM(OSRRefD22x_0)</f>
        <v>46998.730000000018</v>
      </c>
      <c r="E31" s="21"/>
      <c r="F31" s="33">
        <f t="shared" ref="F31:F41" si="6">IF(D$12=0,0,D31/D$12)</f>
        <v>1.2158757827735243</v>
      </c>
      <c r="G31" s="21"/>
      <c r="H31" s="21">
        <f>SUM(OSRRefH22x_0)</f>
        <v>47556.118232026405</v>
      </c>
      <c r="I31" s="21"/>
      <c r="J31" s="33">
        <f t="shared" ref="J31:J41" si="7">IF(H$12=0,0,H31/H$12)</f>
        <v>1.0882406918083845</v>
      </c>
      <c r="K31" s="4"/>
      <c r="L31" s="21">
        <f t="shared" ref="L31:L41" si="8">+D31-H31</f>
        <v>-557.38823202638741</v>
      </c>
      <c r="M31" s="4"/>
      <c r="N31" s="33">
        <f t="shared" ref="N31:N41" si="9">IF(H31=0,0,L31/H31)</f>
        <v>-1.1720641901571719E-2</v>
      </c>
      <c r="O31" s="10"/>
      <c r="P31" s="21">
        <f>SUM(OSRRefP22x_0)</f>
        <v>224012.31999999998</v>
      </c>
      <c r="Q31" s="21"/>
      <c r="R31" s="33">
        <f t="shared" ref="R31:R41" si="10">IF(P$12=0,0,P31/P$12)</f>
        <v>0.85096152604262498</v>
      </c>
      <c r="S31" s="21"/>
      <c r="T31" s="21">
        <f>SUM(OSRRefT22x_0)</f>
        <v>257650.72245203878</v>
      </c>
      <c r="U31" s="21"/>
      <c r="V31" s="33">
        <f t="shared" ref="V31:V41" si="11">IF(T$12=0,0,T31/T$12)</f>
        <v>0.84555350519600869</v>
      </c>
      <c r="W31" s="4"/>
      <c r="X31" s="21">
        <f t="shared" ref="X31:X41" si="12">+P31-T31</f>
        <v>-33638.402452038805</v>
      </c>
      <c r="Y31" s="4"/>
      <c r="Z31" s="33">
        <f t="shared" ref="Z31:Z41" si="13">IF(T31=0,0,X31/T31)</f>
        <v>-0.13055815303720147</v>
      </c>
    </row>
    <row r="32" spans="1:26" s="26" customFormat="1" outlineLevel="1" collapsed="1" x14ac:dyDescent="0.25">
      <c r="A32" s="27"/>
      <c r="B32" s="13" t="str">
        <f>CONCATENATE("     ","*Benefits                                         ")</f>
        <v xml:space="preserve">     *Benefits                                         </v>
      </c>
      <c r="C32" s="13"/>
      <c r="D32" s="1">
        <f>SUM(OSRRefD22_0x_0)</f>
        <v>7441.55</v>
      </c>
      <c r="E32" s="1"/>
      <c r="F32" s="5">
        <f t="shared" si="6"/>
        <v>0.19251584949845063</v>
      </c>
      <c r="G32" s="1"/>
      <c r="H32" s="1">
        <f>SUM(OSRRefH22_0x_0)</f>
        <v>5437.6943599679407</v>
      </c>
      <c r="I32" s="1"/>
      <c r="J32" s="5">
        <f t="shared" si="7"/>
        <v>0.12443236521665768</v>
      </c>
      <c r="K32" s="1"/>
      <c r="L32" s="1">
        <f t="shared" si="8"/>
        <v>2003.8556400320595</v>
      </c>
      <c r="M32" s="1"/>
      <c r="N32" s="5">
        <f t="shared" si="9"/>
        <v>0.36851200295190434</v>
      </c>
      <c r="O32" s="13"/>
      <c r="P32" s="1">
        <f>SUM(OSRRefP22_0x_0)</f>
        <v>39742.61</v>
      </c>
      <c r="Q32" s="1"/>
      <c r="R32" s="5">
        <f t="shared" si="10"/>
        <v>0.15097130396451808</v>
      </c>
      <c r="S32" s="1"/>
      <c r="T32" s="1">
        <f>SUM(OSRRefT22_0x_0)</f>
        <v>28996.496419377243</v>
      </c>
      <c r="U32" s="1"/>
      <c r="V32" s="5">
        <f t="shared" si="11"/>
        <v>9.516018023342411E-2</v>
      </c>
      <c r="W32" s="1"/>
      <c r="X32" s="1">
        <f t="shared" si="12"/>
        <v>10746.113580622758</v>
      </c>
      <c r="Y32" s="1"/>
      <c r="Z32" s="5">
        <f t="shared" si="13"/>
        <v>0.37060041410525524</v>
      </c>
    </row>
    <row r="33" spans="1:26" s="24" customFormat="1" hidden="1" outlineLevel="2" x14ac:dyDescent="0.25">
      <c r="A33" s="25"/>
      <c r="B33" s="11" t="str">
        <f>CONCATENATE("          ", "6111", " - ", "F.I.C.A.")</f>
        <v xml:space="preserve">          6111 - F.I.C.A.</v>
      </c>
      <c r="C33" s="11"/>
      <c r="D33" s="6">
        <v>1059.4000000000001</v>
      </c>
      <c r="E33" s="2"/>
      <c r="F33" s="7">
        <f t="shared" si="6"/>
        <v>2.7407098112444128E-2</v>
      </c>
      <c r="G33" s="2"/>
      <c r="H33" s="6">
        <v>1029.63126445385</v>
      </c>
      <c r="I33" s="2"/>
      <c r="J33" s="7">
        <f t="shared" si="7"/>
        <v>2.356135616599199E-2</v>
      </c>
      <c r="K33" s="2"/>
      <c r="L33" s="6">
        <f t="shared" si="8"/>
        <v>29.768735546150083</v>
      </c>
      <c r="M33" s="2"/>
      <c r="N33" s="7">
        <f t="shared" si="9"/>
        <v>2.8912035379908933E-2</v>
      </c>
      <c r="O33" s="11"/>
      <c r="P33" s="6">
        <v>6806.77</v>
      </c>
      <c r="Q33" s="2"/>
      <c r="R33" s="7">
        <f t="shared" si="10"/>
        <v>2.5857057266409095E-2</v>
      </c>
      <c r="S33" s="2"/>
      <c r="T33" s="6">
        <v>5915.60792037186</v>
      </c>
      <c r="U33" s="2"/>
      <c r="V33" s="7">
        <f t="shared" si="11"/>
        <v>1.9413735637270738E-2</v>
      </c>
      <c r="W33" s="2"/>
      <c r="X33" s="6">
        <f t="shared" si="12"/>
        <v>891.16207962814042</v>
      </c>
      <c r="Y33" s="2"/>
      <c r="Z33" s="7">
        <f t="shared" si="13"/>
        <v>0.15064590007042272</v>
      </c>
    </row>
    <row r="34" spans="1:26" s="24" customFormat="1" hidden="1" outlineLevel="2" x14ac:dyDescent="0.25">
      <c r="A34" s="25"/>
      <c r="B34" s="11" t="str">
        <f>CONCATENATE("          ", "6112", " - ", "COMPENSATION INSURANCE")</f>
        <v xml:space="preserve">          6112 - COMPENSATION INSURANCE</v>
      </c>
      <c r="C34" s="11"/>
      <c r="D34" s="6">
        <v>235.76</v>
      </c>
      <c r="E34" s="2"/>
      <c r="F34" s="7">
        <f t="shared" si="6"/>
        <v>6.0992046922690455E-3</v>
      </c>
      <c r="G34" s="2"/>
      <c r="H34" s="6">
        <v>201.09516692307699</v>
      </c>
      <c r="I34" s="2"/>
      <c r="J34" s="7">
        <f t="shared" si="7"/>
        <v>4.6017200668896337E-3</v>
      </c>
      <c r="K34" s="2"/>
      <c r="L34" s="6">
        <f t="shared" si="8"/>
        <v>34.664833076923003</v>
      </c>
      <c r="M34" s="2"/>
      <c r="N34" s="7">
        <f t="shared" si="9"/>
        <v>0.17238023970105165</v>
      </c>
      <c r="O34" s="11"/>
      <c r="P34" s="6">
        <v>891.91</v>
      </c>
      <c r="Q34" s="2"/>
      <c r="R34" s="7">
        <f t="shared" si="10"/>
        <v>3.3881221117333087E-3</v>
      </c>
      <c r="S34" s="2"/>
      <c r="T34" s="6">
        <v>1106.023418076923</v>
      </c>
      <c r="U34" s="2"/>
      <c r="V34" s="7">
        <f t="shared" si="11"/>
        <v>3.6297277534624375E-3</v>
      </c>
      <c r="W34" s="2"/>
      <c r="X34" s="6">
        <f t="shared" si="12"/>
        <v>-214.11341807692304</v>
      </c>
      <c r="Y34" s="2"/>
      <c r="Z34" s="7">
        <f t="shared" si="13"/>
        <v>-0.19358850326081578</v>
      </c>
    </row>
    <row r="35" spans="1:26" s="24" customFormat="1" hidden="1" outlineLevel="2" x14ac:dyDescent="0.25">
      <c r="A35" s="25"/>
      <c r="B35" s="11" t="str">
        <f>CONCATENATE("          ", "6113", " - ", "GROUP INSURANCE")</f>
        <v xml:space="preserve">          6113 - GROUP INSURANCE</v>
      </c>
      <c r="C35" s="11"/>
      <c r="D35" s="6">
        <v>3051.28</v>
      </c>
      <c r="E35" s="2"/>
      <c r="F35" s="7">
        <f t="shared" si="6"/>
        <v>7.893782360632294E-2</v>
      </c>
      <c r="G35" s="2"/>
      <c r="H35" s="6">
        <v>2044</v>
      </c>
      <c r="I35" s="2"/>
      <c r="J35" s="7">
        <f t="shared" si="7"/>
        <v>4.6773455377574373E-2</v>
      </c>
      <c r="K35" s="2"/>
      <c r="L35" s="6">
        <f t="shared" si="8"/>
        <v>1007.2800000000002</v>
      </c>
      <c r="M35" s="2"/>
      <c r="N35" s="7">
        <f t="shared" si="9"/>
        <v>0.49279843444227017</v>
      </c>
      <c r="O35" s="11"/>
      <c r="P35" s="6">
        <v>14332.16</v>
      </c>
      <c r="Q35" s="2"/>
      <c r="R35" s="7">
        <f t="shared" si="10"/>
        <v>5.4443955337309433E-2</v>
      </c>
      <c r="S35" s="2"/>
      <c r="T35" s="6">
        <v>10220</v>
      </c>
      <c r="U35" s="2"/>
      <c r="V35" s="7">
        <f t="shared" si="11"/>
        <v>3.3539812117980065E-2</v>
      </c>
      <c r="W35" s="2"/>
      <c r="X35" s="6">
        <f t="shared" si="12"/>
        <v>4112.16</v>
      </c>
      <c r="Y35" s="2"/>
      <c r="Z35" s="7">
        <f t="shared" si="13"/>
        <v>0.40236399217221136</v>
      </c>
    </row>
    <row r="36" spans="1:26" s="24" customFormat="1" hidden="1" outlineLevel="2" x14ac:dyDescent="0.25">
      <c r="A36" s="25"/>
      <c r="B36" s="11" t="str">
        <f>CONCATENATE("          ", "6114", " - ", "STATE UNEMPLOYMENT INSURANCE")</f>
        <v xml:space="preserve">          6114 - STATE UNEMPLOYMENT INSURANCE</v>
      </c>
      <c r="C36" s="11"/>
      <c r="D36" s="6">
        <v>45.79</v>
      </c>
      <c r="E36" s="2"/>
      <c r="F36" s="7">
        <f t="shared" si="6"/>
        <v>1.1846054583432286E-3</v>
      </c>
      <c r="G36" s="2"/>
      <c r="H36" s="6">
        <v>43.719364947351998</v>
      </c>
      <c r="I36" s="2"/>
      <c r="J36" s="7">
        <f t="shared" si="7"/>
        <v>1.0004431338066818E-3</v>
      </c>
      <c r="K36" s="2"/>
      <c r="L36" s="6">
        <f t="shared" si="8"/>
        <v>2.0706350526480009</v>
      </c>
      <c r="M36" s="2"/>
      <c r="N36" s="7">
        <f t="shared" si="9"/>
        <v>4.7361965461792818E-2</v>
      </c>
      <c r="O36" s="11"/>
      <c r="P36" s="6">
        <v>248.12</v>
      </c>
      <c r="Q36" s="2"/>
      <c r="R36" s="7">
        <f t="shared" si="10"/>
        <v>9.4254000780714269E-4</v>
      </c>
      <c r="S36" s="2"/>
      <c r="T36" s="6">
        <v>242.21903352492001</v>
      </c>
      <c r="U36" s="2"/>
      <c r="V36" s="7">
        <f t="shared" si="11"/>
        <v>7.9491006612764494E-4</v>
      </c>
      <c r="W36" s="2"/>
      <c r="X36" s="6">
        <f t="shared" si="12"/>
        <v>5.9009664750799971</v>
      </c>
      <c r="Y36" s="2"/>
      <c r="Z36" s="7">
        <f t="shared" si="13"/>
        <v>2.4362108911118636E-2</v>
      </c>
    </row>
    <row r="37" spans="1:26" s="24" customFormat="1" hidden="1" outlineLevel="2" x14ac:dyDescent="0.25">
      <c r="A37" s="25"/>
      <c r="B37" s="11" t="str">
        <f>CONCATENATE("          ", "6115", " - ", "P.E.R.S.")</f>
        <v xml:space="preserve">          6115 - P.E.R.S.</v>
      </c>
      <c r="C37" s="11"/>
      <c r="D37" s="6">
        <v>1187.75</v>
      </c>
      <c r="E37" s="2"/>
      <c r="F37" s="7">
        <f t="shared" si="6"/>
        <v>3.0727563510530027E-2</v>
      </c>
      <c r="G37" s="2"/>
      <c r="H37" s="6">
        <v>910.22022923076906</v>
      </c>
      <c r="I37" s="2"/>
      <c r="J37" s="7">
        <f t="shared" si="7"/>
        <v>2.0828838197500435E-2</v>
      </c>
      <c r="K37" s="2"/>
      <c r="L37" s="6">
        <f t="shared" si="8"/>
        <v>277.52977076923094</v>
      </c>
      <c r="M37" s="2"/>
      <c r="N37" s="7">
        <f t="shared" si="9"/>
        <v>0.30490398022000953</v>
      </c>
      <c r="O37" s="11"/>
      <c r="P37" s="6">
        <v>6633.66</v>
      </c>
      <c r="Q37" s="2"/>
      <c r="R37" s="7">
        <f t="shared" si="10"/>
        <v>2.5199459729928785E-2</v>
      </c>
      <c r="S37" s="2"/>
      <c r="T37" s="6">
        <v>5006.211260769227</v>
      </c>
      <c r="U37" s="2"/>
      <c r="V37" s="7">
        <f t="shared" si="11"/>
        <v>1.6429294041987865E-2</v>
      </c>
      <c r="W37" s="2"/>
      <c r="X37" s="6">
        <f t="shared" si="12"/>
        <v>1627.4487392307728</v>
      </c>
      <c r="Y37" s="2"/>
      <c r="Z37" s="7">
        <f t="shared" si="13"/>
        <v>0.32508590917529678</v>
      </c>
    </row>
    <row r="38" spans="1:26" s="24" customFormat="1" hidden="1" outlineLevel="2" x14ac:dyDescent="0.25">
      <c r="A38" s="25"/>
      <c r="B38" s="11" t="str">
        <f>CONCATENATE("          ", "6116", " - ", "EDUCATIONAL BENEFITS")</f>
        <v xml:space="preserve">          6116 - EDUCATIONAL BENEFITS</v>
      </c>
      <c r="C38" s="11"/>
      <c r="D38" s="6"/>
      <c r="E38" s="2"/>
      <c r="F38" s="7">
        <f t="shared" si="6"/>
        <v>0</v>
      </c>
      <c r="G38" s="2"/>
      <c r="H38" s="6">
        <v>0</v>
      </c>
      <c r="I38" s="2"/>
      <c r="J38" s="7">
        <f t="shared" si="7"/>
        <v>0</v>
      </c>
      <c r="K38" s="2"/>
      <c r="L38" s="6">
        <f t="shared" si="8"/>
        <v>0</v>
      </c>
      <c r="M38" s="2"/>
      <c r="N38" s="7">
        <f t="shared" si="9"/>
        <v>0</v>
      </c>
      <c r="O38" s="11"/>
      <c r="P38" s="6"/>
      <c r="Q38" s="2"/>
      <c r="R38" s="7">
        <f t="shared" si="10"/>
        <v>0</v>
      </c>
      <c r="S38" s="2"/>
      <c r="T38" s="6">
        <v>0</v>
      </c>
      <c r="U38" s="2"/>
      <c r="V38" s="7">
        <f t="shared" si="11"/>
        <v>0</v>
      </c>
      <c r="W38" s="2"/>
      <c r="X38" s="6">
        <f t="shared" si="12"/>
        <v>0</v>
      </c>
      <c r="Y38" s="2"/>
      <c r="Z38" s="7">
        <f t="shared" si="13"/>
        <v>0</v>
      </c>
    </row>
    <row r="39" spans="1:26" s="24" customFormat="1" hidden="1" outlineLevel="2" x14ac:dyDescent="0.25">
      <c r="A39" s="25"/>
      <c r="B39" s="11" t="str">
        <f>CONCATENATE("          ", "6118", " - ", "VACATION")</f>
        <v xml:space="preserve">          6118 - VACATION</v>
      </c>
      <c r="C39" s="11"/>
      <c r="D39" s="6">
        <v>995.36</v>
      </c>
      <c r="E39" s="2"/>
      <c r="F39" s="7">
        <f t="shared" si="6"/>
        <v>2.5750357916936365E-2</v>
      </c>
      <c r="G39" s="2"/>
      <c r="H39" s="6">
        <v>529.19780769230795</v>
      </c>
      <c r="I39" s="2"/>
      <c r="J39" s="7">
        <f t="shared" si="7"/>
        <v>1.2109789649709563E-2</v>
      </c>
      <c r="K39" s="2"/>
      <c r="L39" s="6">
        <f t="shared" si="8"/>
        <v>466.16219230769207</v>
      </c>
      <c r="M39" s="2"/>
      <c r="N39" s="7">
        <f t="shared" si="9"/>
        <v>0.88088458707057471</v>
      </c>
      <c r="O39" s="11"/>
      <c r="P39" s="6">
        <v>5940.95</v>
      </c>
      <c r="Q39" s="2"/>
      <c r="R39" s="7">
        <f t="shared" si="10"/>
        <v>2.256804392786492E-2</v>
      </c>
      <c r="S39" s="2"/>
      <c r="T39" s="6">
        <v>2910.587942307694</v>
      </c>
      <c r="U39" s="2"/>
      <c r="V39" s="7">
        <f t="shared" si="11"/>
        <v>9.5519151406906321E-3</v>
      </c>
      <c r="W39" s="2"/>
      <c r="X39" s="6">
        <f t="shared" si="12"/>
        <v>3030.3620576923058</v>
      </c>
      <c r="Y39" s="2"/>
      <c r="Z39" s="7">
        <f t="shared" si="13"/>
        <v>1.0411511755558389</v>
      </c>
    </row>
    <row r="40" spans="1:26" s="24" customFormat="1" hidden="1" outlineLevel="2" x14ac:dyDescent="0.25">
      <c r="A40" s="25"/>
      <c r="B40" s="11" t="str">
        <f>CONCATENATE("          ", "6119", " - ", "SICK LEAVE")</f>
        <v xml:space="preserve">          6119 - SICK LEAVE</v>
      </c>
      <c r="C40" s="11"/>
      <c r="D40" s="6">
        <v>556.54</v>
      </c>
      <c r="E40" s="2"/>
      <c r="F40" s="7">
        <f t="shared" si="6"/>
        <v>1.4397910499810885E-2</v>
      </c>
      <c r="G40" s="2"/>
      <c r="H40" s="6">
        <v>379.830526720585</v>
      </c>
      <c r="I40" s="2"/>
      <c r="J40" s="7">
        <f t="shared" si="7"/>
        <v>8.6917740668326082E-3</v>
      </c>
      <c r="K40" s="2"/>
      <c r="L40" s="6">
        <f t="shared" si="8"/>
        <v>176.70947327941496</v>
      </c>
      <c r="M40" s="2"/>
      <c r="N40" s="7">
        <f t="shared" si="9"/>
        <v>0.46523241511182667</v>
      </c>
      <c r="O40" s="11"/>
      <c r="P40" s="6">
        <v>3539.76</v>
      </c>
      <c r="Q40" s="2"/>
      <c r="R40" s="7">
        <f t="shared" si="10"/>
        <v>1.3446579953391147E-2</v>
      </c>
      <c r="S40" s="2"/>
      <c r="T40" s="6">
        <v>2095.846844326617</v>
      </c>
      <c r="U40" s="2"/>
      <c r="V40" s="7">
        <f t="shared" si="11"/>
        <v>6.8781124644595052E-3</v>
      </c>
      <c r="W40" s="2"/>
      <c r="X40" s="6">
        <f t="shared" si="12"/>
        <v>1443.9131556733832</v>
      </c>
      <c r="Y40" s="2"/>
      <c r="Z40" s="7">
        <f t="shared" si="13"/>
        <v>0.68894020552217583</v>
      </c>
    </row>
    <row r="41" spans="1:26" s="24" customFormat="1" hidden="1" outlineLevel="2" x14ac:dyDescent="0.25">
      <c r="A41" s="25"/>
      <c r="B41" s="11" t="str">
        <f>CONCATENATE("          ", "6156", " - ", "EMPLOYEE MEALS")</f>
        <v xml:space="preserve">          6156 - EMPLOYEE MEALS</v>
      </c>
      <c r="C41" s="11"/>
      <c r="D41" s="6">
        <v>309.67</v>
      </c>
      <c r="E41" s="2"/>
      <c r="F41" s="7">
        <f t="shared" si="6"/>
        <v>8.0112857017940083E-3</v>
      </c>
      <c r="G41" s="2"/>
      <c r="H41" s="6">
        <v>300</v>
      </c>
      <c r="I41" s="2"/>
      <c r="J41" s="7">
        <f t="shared" si="7"/>
        <v>6.8649885583524023E-3</v>
      </c>
      <c r="K41" s="2"/>
      <c r="L41" s="6">
        <f t="shared" si="8"/>
        <v>9.6700000000000159</v>
      </c>
      <c r="M41" s="2"/>
      <c r="N41" s="7">
        <f t="shared" si="9"/>
        <v>3.2233333333333385E-2</v>
      </c>
      <c r="O41" s="11"/>
      <c r="P41" s="6">
        <v>1349.28</v>
      </c>
      <c r="Q41" s="2"/>
      <c r="R41" s="7">
        <f t="shared" si="10"/>
        <v>5.1255456300742441E-3</v>
      </c>
      <c r="S41" s="2"/>
      <c r="T41" s="6">
        <v>1500</v>
      </c>
      <c r="U41" s="2"/>
      <c r="V41" s="7">
        <f t="shared" si="11"/>
        <v>4.9226730114452144E-3</v>
      </c>
      <c r="W41" s="2"/>
      <c r="X41" s="6">
        <f t="shared" si="12"/>
        <v>-150.72000000000003</v>
      </c>
      <c r="Y41" s="2"/>
      <c r="Z41" s="7">
        <f t="shared" si="13"/>
        <v>-0.10048000000000001</v>
      </c>
    </row>
    <row r="42" spans="1:26" s="26" customFormat="1" outlineLevel="1" collapsed="1" x14ac:dyDescent="0.25">
      <c r="A42" s="27"/>
      <c r="B42" s="13" t="str">
        <f>CONCATENATE("     ","*Payroll                                          ")</f>
        <v xml:space="preserve">     *Payroll                                          </v>
      </c>
      <c r="C42" s="13"/>
      <c r="D42" s="1">
        <f>SUM(OSRRefD22_1x_0)</f>
        <v>14617.57</v>
      </c>
      <c r="E42" s="1"/>
      <c r="F42" s="5">
        <f t="shared" ref="F42:F52" si="14">IF(D$12=0,0,D42/D$12)</f>
        <v>0.37816233259913146</v>
      </c>
      <c r="G42" s="1"/>
      <c r="H42" s="1">
        <f>SUM(OSRRefH22_1x_0)</f>
        <v>15968.423872058462</v>
      </c>
      <c r="I42" s="1"/>
      <c r="J42" s="5">
        <f t="shared" ref="J42:J52" si="15">IF(H$12=0,0,H42/H$12)</f>
        <v>0.36541015725534237</v>
      </c>
      <c r="K42" s="1"/>
      <c r="L42" s="1">
        <f t="shared" ref="L42:L52" si="16">+D42-H42</f>
        <v>-1350.853872058462</v>
      </c>
      <c r="M42" s="1"/>
      <c r="N42" s="5">
        <f t="shared" ref="N42:N52" si="17">IF(H42=0,0,L42/H42)</f>
        <v>-8.4595316537293658E-2</v>
      </c>
      <c r="O42" s="13"/>
      <c r="P42" s="1">
        <f>SUM(OSRRefP22_1x_0)</f>
        <v>85798.47</v>
      </c>
      <c r="Q42" s="1"/>
      <c r="R42" s="5">
        <f t="shared" ref="R42:R52" si="18">IF(P$12=0,0,P42/P$12)</f>
        <v>0.3259249177157863</v>
      </c>
      <c r="S42" s="1"/>
      <c r="T42" s="1">
        <f>SUM(OSRRefT22_1x_0)</f>
        <v>88504.226032661551</v>
      </c>
      <c r="U42" s="1"/>
      <c r="V42" s="5">
        <f t="shared" ref="V42:V52" si="19">IF(T$12=0,0,T42/T$12)</f>
        <v>0.29045157659322002</v>
      </c>
      <c r="W42" s="1"/>
      <c r="X42" s="1">
        <f t="shared" ref="X42:X52" si="20">+P42-T42</f>
        <v>-2705.7560326615494</v>
      </c>
      <c r="Y42" s="1"/>
      <c r="Z42" s="5">
        <f t="shared" ref="Z42:Z52" si="21">IF(T42=0,0,X42/T42)</f>
        <v>-3.0572054623278878E-2</v>
      </c>
    </row>
    <row r="43" spans="1:26" s="24" customFormat="1" hidden="1" outlineLevel="2" x14ac:dyDescent="0.25">
      <c r="A43" s="25"/>
      <c r="B43" s="11" t="str">
        <f>CONCATENATE("          ", "6001", " - ", "ADMINISTRATIVE SALARIES")</f>
        <v xml:space="preserve">          6001 - ADMINISTRATIVE SALARIES</v>
      </c>
      <c r="C43" s="11"/>
      <c r="D43" s="6"/>
      <c r="E43" s="2"/>
      <c r="F43" s="7">
        <f t="shared" si="14"/>
        <v>0</v>
      </c>
      <c r="G43" s="2"/>
      <c r="H43" s="6">
        <v>5990.5432000000001</v>
      </c>
      <c r="I43" s="2"/>
      <c r="J43" s="7">
        <f t="shared" si="15"/>
        <v>0.13708336842105262</v>
      </c>
      <c r="K43" s="2"/>
      <c r="L43" s="6">
        <f t="shared" si="16"/>
        <v>-5990.5432000000001</v>
      </c>
      <c r="M43" s="2"/>
      <c r="N43" s="7">
        <f t="shared" si="17"/>
        <v>-1</v>
      </c>
      <c r="O43" s="11"/>
      <c r="P43" s="6"/>
      <c r="Q43" s="2"/>
      <c r="R43" s="7">
        <f t="shared" si="18"/>
        <v>0</v>
      </c>
      <c r="S43" s="2"/>
      <c r="T43" s="6">
        <v>32947.9876</v>
      </c>
      <c r="U43" s="2"/>
      <c r="V43" s="7">
        <f t="shared" si="19"/>
        <v>0.10812811289330107</v>
      </c>
      <c r="W43" s="2"/>
      <c r="X43" s="6">
        <f t="shared" si="20"/>
        <v>-32947.9876</v>
      </c>
      <c r="Y43" s="2"/>
      <c r="Z43" s="7">
        <f t="shared" si="21"/>
        <v>-1</v>
      </c>
    </row>
    <row r="44" spans="1:26" s="24" customFormat="1" hidden="1" outlineLevel="2" x14ac:dyDescent="0.25">
      <c r="A44" s="25"/>
      <c r="B44" s="11" t="str">
        <f>CONCATENATE("          ", "6002", " - ", "STAFF SALARIES")</f>
        <v xml:space="preserve">          6002 - STAFF SALARIES</v>
      </c>
      <c r="C44" s="11"/>
      <c r="D44" s="6">
        <v>9872.81</v>
      </c>
      <c r="E44" s="2"/>
      <c r="F44" s="7">
        <f t="shared" si="14"/>
        <v>0.25541350983152677</v>
      </c>
      <c r="G44" s="2"/>
      <c r="H44" s="6">
        <v>3746.6964615384595</v>
      </c>
      <c r="I44" s="2"/>
      <c r="J44" s="7">
        <f t="shared" si="15"/>
        <v>8.5736761133603193E-2</v>
      </c>
      <c r="K44" s="2"/>
      <c r="L44" s="6">
        <f t="shared" si="16"/>
        <v>6126.11353846154</v>
      </c>
      <c r="M44" s="2"/>
      <c r="N44" s="7">
        <f t="shared" si="17"/>
        <v>1.6350706819591279</v>
      </c>
      <c r="O44" s="11"/>
      <c r="P44" s="6">
        <v>55846.559999999998</v>
      </c>
      <c r="Q44" s="2"/>
      <c r="R44" s="7">
        <f t="shared" si="18"/>
        <v>0.21214580484605053</v>
      </c>
      <c r="S44" s="2"/>
      <c r="T44" s="6">
        <v>20606.830538461541</v>
      </c>
      <c r="U44" s="2"/>
      <c r="V44" s="7">
        <f t="shared" si="19"/>
        <v>6.7627125695406465E-2</v>
      </c>
      <c r="W44" s="2"/>
      <c r="X44" s="6">
        <f t="shared" si="20"/>
        <v>35239.72946153846</v>
      </c>
      <c r="Y44" s="2"/>
      <c r="Z44" s="7">
        <f t="shared" si="21"/>
        <v>1.7100994447334052</v>
      </c>
    </row>
    <row r="45" spans="1:26" s="24" customFormat="1" hidden="1" outlineLevel="2" x14ac:dyDescent="0.25">
      <c r="A45" s="25"/>
      <c r="B45" s="11" t="str">
        <f>CONCATENATE("          ", "6003", " - ", "STAFF HOURLY-9 MONTH")</f>
        <v xml:space="preserve">          6003 - STAFF HOURLY-9 MONTH</v>
      </c>
      <c r="C45" s="11"/>
      <c r="D45" s="6"/>
      <c r="E45" s="2"/>
      <c r="F45" s="7">
        <f t="shared" si="14"/>
        <v>0</v>
      </c>
      <c r="G45" s="2"/>
      <c r="H45" s="6">
        <v>0</v>
      </c>
      <c r="I45" s="2"/>
      <c r="J45" s="7">
        <f t="shared" si="15"/>
        <v>0</v>
      </c>
      <c r="K45" s="2"/>
      <c r="L45" s="6">
        <f t="shared" si="16"/>
        <v>0</v>
      </c>
      <c r="M45" s="2"/>
      <c r="N45" s="7">
        <f t="shared" si="17"/>
        <v>0</v>
      </c>
      <c r="O45" s="11"/>
      <c r="P45" s="6"/>
      <c r="Q45" s="2"/>
      <c r="R45" s="7">
        <f t="shared" si="18"/>
        <v>0</v>
      </c>
      <c r="S45" s="2"/>
      <c r="T45" s="6">
        <v>0</v>
      </c>
      <c r="U45" s="2"/>
      <c r="V45" s="7">
        <f t="shared" si="19"/>
        <v>0</v>
      </c>
      <c r="W45" s="2"/>
      <c r="X45" s="6">
        <f t="shared" si="20"/>
        <v>0</v>
      </c>
      <c r="Y45" s="2"/>
      <c r="Z45" s="7">
        <f t="shared" si="21"/>
        <v>0</v>
      </c>
    </row>
    <row r="46" spans="1:26" s="24" customFormat="1" hidden="1" outlineLevel="2" x14ac:dyDescent="0.25">
      <c r="A46" s="25"/>
      <c r="B46" s="11" t="str">
        <f>CONCATENATE("          ", "6004", " - ", "STAFF HOURLY")</f>
        <v xml:space="preserve">          6004 - STAFF HOURLY</v>
      </c>
      <c r="C46" s="11"/>
      <c r="D46" s="6"/>
      <c r="E46" s="2"/>
      <c r="F46" s="7">
        <f t="shared" si="14"/>
        <v>0</v>
      </c>
      <c r="G46" s="2"/>
      <c r="H46" s="6">
        <v>2870</v>
      </c>
      <c r="I46" s="2"/>
      <c r="J46" s="7">
        <f t="shared" si="15"/>
        <v>6.5675057208237991E-2</v>
      </c>
      <c r="K46" s="2"/>
      <c r="L46" s="6">
        <f t="shared" si="16"/>
        <v>-2870</v>
      </c>
      <c r="M46" s="2"/>
      <c r="N46" s="7">
        <f t="shared" si="17"/>
        <v>-1</v>
      </c>
      <c r="O46" s="11"/>
      <c r="P46" s="6"/>
      <c r="Q46" s="2"/>
      <c r="R46" s="7">
        <f t="shared" si="18"/>
        <v>0</v>
      </c>
      <c r="S46" s="2"/>
      <c r="T46" s="6">
        <v>15330</v>
      </c>
      <c r="U46" s="2"/>
      <c r="V46" s="7">
        <f t="shared" si="19"/>
        <v>5.0309718176970095E-2</v>
      </c>
      <c r="W46" s="2"/>
      <c r="X46" s="6">
        <f t="shared" si="20"/>
        <v>-15330</v>
      </c>
      <c r="Y46" s="2"/>
      <c r="Z46" s="7">
        <f t="shared" si="21"/>
        <v>-1</v>
      </c>
    </row>
    <row r="47" spans="1:26" s="24" customFormat="1" hidden="1" outlineLevel="2" x14ac:dyDescent="0.25">
      <c r="A47" s="25"/>
      <c r="B47" s="11" t="str">
        <f>CONCATENATE("          ", "6005", " - ", "TEMPORARY WAGES-HOURLY")</f>
        <v xml:space="preserve">          6005 - TEMPORARY WAGES-HOURLY</v>
      </c>
      <c r="C47" s="11"/>
      <c r="D47" s="6">
        <v>1765.75</v>
      </c>
      <c r="E47" s="2"/>
      <c r="F47" s="7">
        <f t="shared" si="14"/>
        <v>4.5680652720453289E-2</v>
      </c>
      <c r="G47" s="2"/>
      <c r="H47" s="6">
        <v>0</v>
      </c>
      <c r="I47" s="2"/>
      <c r="J47" s="7">
        <f t="shared" si="15"/>
        <v>0</v>
      </c>
      <c r="K47" s="2"/>
      <c r="L47" s="6">
        <f t="shared" si="16"/>
        <v>1765.75</v>
      </c>
      <c r="M47" s="2"/>
      <c r="N47" s="7">
        <f t="shared" si="17"/>
        <v>0</v>
      </c>
      <c r="O47" s="11"/>
      <c r="P47" s="6">
        <v>9961</v>
      </c>
      <c r="Q47" s="2"/>
      <c r="R47" s="7">
        <f t="shared" si="18"/>
        <v>3.7839114209926437E-2</v>
      </c>
      <c r="S47" s="2"/>
      <c r="T47" s="6">
        <v>0</v>
      </c>
      <c r="U47" s="2"/>
      <c r="V47" s="7">
        <f t="shared" si="19"/>
        <v>0</v>
      </c>
      <c r="W47" s="2"/>
      <c r="X47" s="6">
        <f t="shared" si="20"/>
        <v>9961</v>
      </c>
      <c r="Y47" s="2"/>
      <c r="Z47" s="7">
        <f t="shared" si="21"/>
        <v>0</v>
      </c>
    </row>
    <row r="48" spans="1:26" s="24" customFormat="1" hidden="1" outlineLevel="2" x14ac:dyDescent="0.25">
      <c r="A48" s="25"/>
      <c r="B48" s="11" t="str">
        <f>CONCATENATE("          ", "6006", " - ", "TEMPORARY PART TIME")</f>
        <v xml:space="preserve">          6006 - TEMPORARY PART TIME</v>
      </c>
      <c r="C48" s="11"/>
      <c r="D48" s="6"/>
      <c r="E48" s="2"/>
      <c r="F48" s="7">
        <f t="shared" si="14"/>
        <v>0</v>
      </c>
      <c r="G48" s="2"/>
      <c r="H48" s="6">
        <v>0</v>
      </c>
      <c r="I48" s="2"/>
      <c r="J48" s="7">
        <f t="shared" si="15"/>
        <v>0</v>
      </c>
      <c r="K48" s="2"/>
      <c r="L48" s="6">
        <f t="shared" si="16"/>
        <v>0</v>
      </c>
      <c r="M48" s="2"/>
      <c r="N48" s="7">
        <f t="shared" si="17"/>
        <v>0</v>
      </c>
      <c r="O48" s="11"/>
      <c r="P48" s="6"/>
      <c r="Q48" s="2"/>
      <c r="R48" s="7">
        <f t="shared" si="18"/>
        <v>0</v>
      </c>
      <c r="S48" s="2"/>
      <c r="T48" s="6">
        <v>0</v>
      </c>
      <c r="U48" s="2"/>
      <c r="V48" s="7">
        <f t="shared" si="19"/>
        <v>0</v>
      </c>
      <c r="W48" s="2"/>
      <c r="X48" s="6">
        <f t="shared" si="20"/>
        <v>0</v>
      </c>
      <c r="Y48" s="2"/>
      <c r="Z48" s="7">
        <f t="shared" si="21"/>
        <v>0</v>
      </c>
    </row>
    <row r="49" spans="1:26" s="24" customFormat="1" hidden="1" outlineLevel="2" x14ac:dyDescent="0.25">
      <c r="A49" s="25"/>
      <c r="B49" s="11" t="str">
        <f>CONCATENATE("          ", "6007", " - ", "STUDENT HOURLY")</f>
        <v xml:space="preserve">          6007 - STUDENT HOURLY</v>
      </c>
      <c r="C49" s="11"/>
      <c r="D49" s="6">
        <v>2979.01</v>
      </c>
      <c r="E49" s="2"/>
      <c r="F49" s="7">
        <f t="shared" si="14"/>
        <v>7.7068170047151385E-2</v>
      </c>
      <c r="G49" s="2"/>
      <c r="H49" s="6">
        <v>0</v>
      </c>
      <c r="I49" s="2"/>
      <c r="J49" s="7">
        <f t="shared" si="15"/>
        <v>0</v>
      </c>
      <c r="K49" s="2"/>
      <c r="L49" s="6">
        <f t="shared" si="16"/>
        <v>2979.01</v>
      </c>
      <c r="M49" s="2"/>
      <c r="N49" s="7">
        <f t="shared" si="17"/>
        <v>0</v>
      </c>
      <c r="O49" s="11"/>
      <c r="P49" s="6">
        <v>19990.91</v>
      </c>
      <c r="Q49" s="2"/>
      <c r="R49" s="7">
        <f t="shared" si="18"/>
        <v>7.5939998659809313E-2</v>
      </c>
      <c r="S49" s="2"/>
      <c r="T49" s="6">
        <v>3756.1363631999998</v>
      </c>
      <c r="U49" s="2"/>
      <c r="V49" s="7">
        <f t="shared" si="19"/>
        <v>1.232682073495508E-2</v>
      </c>
      <c r="W49" s="2"/>
      <c r="X49" s="6">
        <f t="shared" si="20"/>
        <v>16234.773636800001</v>
      </c>
      <c r="Y49" s="2"/>
      <c r="Z49" s="7">
        <f t="shared" si="21"/>
        <v>4.3222002789507252</v>
      </c>
    </row>
    <row r="50" spans="1:26" s="24" customFormat="1" hidden="1" outlineLevel="2" x14ac:dyDescent="0.25">
      <c r="A50" s="25"/>
      <c r="B50" s="11" t="str">
        <f>CONCATENATE("          ", "6008", " - ", "STUDENT HOURLY-FICA EXEMPT")</f>
        <v xml:space="preserve">          6008 - STUDENT HOURLY-FICA EXEMPT</v>
      </c>
      <c r="C50" s="11"/>
      <c r="D50" s="6"/>
      <c r="E50" s="2"/>
      <c r="F50" s="7">
        <f t="shared" si="14"/>
        <v>0</v>
      </c>
      <c r="G50" s="2"/>
      <c r="H50" s="6">
        <v>3361.1842105200003</v>
      </c>
      <c r="I50" s="2"/>
      <c r="J50" s="7">
        <f t="shared" si="15"/>
        <v>7.6914970492448526E-2</v>
      </c>
      <c r="K50" s="2"/>
      <c r="L50" s="6">
        <f t="shared" si="16"/>
        <v>-3361.1842105200003</v>
      </c>
      <c r="M50" s="2"/>
      <c r="N50" s="7">
        <f t="shared" si="17"/>
        <v>-1</v>
      </c>
      <c r="O50" s="11"/>
      <c r="P50" s="6"/>
      <c r="Q50" s="2"/>
      <c r="R50" s="7">
        <f t="shared" si="18"/>
        <v>0</v>
      </c>
      <c r="S50" s="2"/>
      <c r="T50" s="6">
        <v>15863.271531000002</v>
      </c>
      <c r="U50" s="2"/>
      <c r="V50" s="7">
        <f t="shared" si="19"/>
        <v>5.2059799092587282E-2</v>
      </c>
      <c r="W50" s="2"/>
      <c r="X50" s="6">
        <f t="shared" si="20"/>
        <v>-15863.271531000002</v>
      </c>
      <c r="Y50" s="2"/>
      <c r="Z50" s="7">
        <f t="shared" si="21"/>
        <v>-1</v>
      </c>
    </row>
    <row r="51" spans="1:26" s="24" customFormat="1" hidden="1" outlineLevel="2" x14ac:dyDescent="0.25">
      <c r="A51" s="25"/>
      <c r="B51" s="11" t="str">
        <f>CONCATENATE("          ", "6009", " - ", "TEMPORARY-SEASONAL")</f>
        <v xml:space="preserve">          6009 - TEMPORARY-SEASONAL</v>
      </c>
      <c r="C51" s="11"/>
      <c r="D51" s="6"/>
      <c r="E51" s="2"/>
      <c r="F51" s="7">
        <f t="shared" si="14"/>
        <v>0</v>
      </c>
      <c r="G51" s="2"/>
      <c r="H51" s="6">
        <v>0</v>
      </c>
      <c r="I51" s="2"/>
      <c r="J51" s="7">
        <f t="shared" si="15"/>
        <v>0</v>
      </c>
      <c r="K51" s="2"/>
      <c r="L51" s="6">
        <f t="shared" si="16"/>
        <v>0</v>
      </c>
      <c r="M51" s="2"/>
      <c r="N51" s="7">
        <f t="shared" si="17"/>
        <v>0</v>
      </c>
      <c r="O51" s="11"/>
      <c r="P51" s="6"/>
      <c r="Q51" s="2"/>
      <c r="R51" s="7">
        <f t="shared" si="18"/>
        <v>0</v>
      </c>
      <c r="S51" s="2"/>
      <c r="T51" s="6">
        <v>0</v>
      </c>
      <c r="U51" s="2"/>
      <c r="V51" s="7">
        <f t="shared" si="19"/>
        <v>0</v>
      </c>
      <c r="W51" s="2"/>
      <c r="X51" s="6">
        <f t="shared" si="20"/>
        <v>0</v>
      </c>
      <c r="Y51" s="2"/>
      <c r="Z51" s="7">
        <f t="shared" si="21"/>
        <v>0</v>
      </c>
    </row>
    <row r="52" spans="1:26" s="24" customFormat="1" hidden="1" outlineLevel="2" x14ac:dyDescent="0.25">
      <c r="A52" s="25"/>
      <c r="B52" s="11" t="str">
        <f>CONCATENATE("          ", "6010", " - ", "GRATUITY")</f>
        <v xml:space="preserve">          6010 - GRATUITY</v>
      </c>
      <c r="C52" s="11"/>
      <c r="D52" s="6"/>
      <c r="E52" s="2"/>
      <c r="F52" s="7">
        <f t="shared" si="14"/>
        <v>0</v>
      </c>
      <c r="G52" s="2"/>
      <c r="H52" s="6">
        <v>0</v>
      </c>
      <c r="I52" s="2"/>
      <c r="J52" s="7">
        <f t="shared" si="15"/>
        <v>0</v>
      </c>
      <c r="K52" s="2"/>
      <c r="L52" s="6">
        <f t="shared" si="16"/>
        <v>0</v>
      </c>
      <c r="M52" s="2"/>
      <c r="N52" s="7">
        <f t="shared" si="17"/>
        <v>0</v>
      </c>
      <c r="O52" s="11"/>
      <c r="P52" s="6"/>
      <c r="Q52" s="2"/>
      <c r="R52" s="7">
        <f t="shared" si="18"/>
        <v>0</v>
      </c>
      <c r="S52" s="2"/>
      <c r="T52" s="6">
        <v>0</v>
      </c>
      <c r="U52" s="2"/>
      <c r="V52" s="7">
        <f t="shared" si="19"/>
        <v>0</v>
      </c>
      <c r="W52" s="2"/>
      <c r="X52" s="6">
        <f t="shared" si="20"/>
        <v>0</v>
      </c>
      <c r="Y52" s="2"/>
      <c r="Z52" s="7">
        <f t="shared" si="21"/>
        <v>0</v>
      </c>
    </row>
    <row r="53" spans="1:26" s="26" customFormat="1" outlineLevel="1" collapsed="1" x14ac:dyDescent="0.25">
      <c r="A53" s="27"/>
      <c r="B53" s="13" t="str">
        <f>CONCATENATE("     ","Advertising/Promo                                 ")</f>
        <v xml:space="preserve">     Advertising/Promo                                 </v>
      </c>
      <c r="C53" s="13"/>
      <c r="D53" s="1">
        <f>SUM(OSRRefD22_2x_0)</f>
        <v>0</v>
      </c>
      <c r="E53" s="1"/>
      <c r="F53" s="5">
        <f t="shared" ref="F53:F71" si="22">IF(D$12=0,0,D53/D$12)</f>
        <v>0</v>
      </c>
      <c r="G53" s="1"/>
      <c r="H53" s="1">
        <f>SUM(OSRRefH22_2x_0)</f>
        <v>100</v>
      </c>
      <c r="I53" s="1"/>
      <c r="J53" s="5">
        <f t="shared" ref="J53:J71" si="23">IF(H$12=0,0,H53/H$12)</f>
        <v>2.2883295194508009E-3</v>
      </c>
      <c r="K53" s="1"/>
      <c r="L53" s="1">
        <f t="shared" ref="L53:L71" si="24">+D53-H53</f>
        <v>-100</v>
      </c>
      <c r="M53" s="1"/>
      <c r="N53" s="5">
        <f t="shared" ref="N53:N71" si="25">IF(H53=0,0,L53/H53)</f>
        <v>-1</v>
      </c>
      <c r="O53" s="13"/>
      <c r="P53" s="1">
        <f>SUM(OSRRefP22_2x_0)</f>
        <v>0</v>
      </c>
      <c r="Q53" s="1"/>
      <c r="R53" s="5">
        <f t="shared" ref="R53:R71" si="26">IF(P$12=0,0,P53/P$12)</f>
        <v>0</v>
      </c>
      <c r="S53" s="1"/>
      <c r="T53" s="1">
        <f>SUM(OSRRefT22_2x_0)</f>
        <v>500</v>
      </c>
      <c r="U53" s="1"/>
      <c r="V53" s="5">
        <f t="shared" ref="V53:V71" si="27">IF(T$12=0,0,T53/T$12)</f>
        <v>1.6408910038150715E-3</v>
      </c>
      <c r="W53" s="1"/>
      <c r="X53" s="1">
        <f t="shared" ref="X53:X71" si="28">+P53-T53</f>
        <v>-500</v>
      </c>
      <c r="Y53" s="1"/>
      <c r="Z53" s="5">
        <f t="shared" ref="Z53:Z71" si="29">IF(T53=0,0,X53/T53)</f>
        <v>-1</v>
      </c>
    </row>
    <row r="54" spans="1:26" s="24" customFormat="1" hidden="1" outlineLevel="2" x14ac:dyDescent="0.25">
      <c r="A54" s="25"/>
      <c r="B54" s="11" t="str">
        <f>CONCATENATE("          ", "6362", " - ", "ADVERTISING EXPENSE")</f>
        <v xml:space="preserve">          6362 - ADVERTISING EXPENSE</v>
      </c>
      <c r="C54" s="11"/>
      <c r="D54" s="6"/>
      <c r="E54" s="2"/>
      <c r="F54" s="7">
        <f t="shared" si="22"/>
        <v>0</v>
      </c>
      <c r="G54" s="2"/>
      <c r="H54" s="6">
        <v>100</v>
      </c>
      <c r="I54" s="2"/>
      <c r="J54" s="7">
        <f t="shared" si="23"/>
        <v>2.2883295194508009E-3</v>
      </c>
      <c r="K54" s="2"/>
      <c r="L54" s="6">
        <f t="shared" si="24"/>
        <v>-100</v>
      </c>
      <c r="M54" s="2"/>
      <c r="N54" s="7">
        <f t="shared" si="25"/>
        <v>-1</v>
      </c>
      <c r="O54" s="11"/>
      <c r="P54" s="6"/>
      <c r="Q54" s="2"/>
      <c r="R54" s="7">
        <f t="shared" si="26"/>
        <v>0</v>
      </c>
      <c r="S54" s="2"/>
      <c r="T54" s="6">
        <v>500</v>
      </c>
      <c r="U54" s="2"/>
      <c r="V54" s="7">
        <f t="shared" si="27"/>
        <v>1.6408910038150715E-3</v>
      </c>
      <c r="W54" s="2"/>
      <c r="X54" s="6">
        <f t="shared" si="28"/>
        <v>-500</v>
      </c>
      <c r="Y54" s="2"/>
      <c r="Z54" s="7">
        <f t="shared" si="29"/>
        <v>-1</v>
      </c>
    </row>
    <row r="55" spans="1:26" s="26" customFormat="1" outlineLevel="1" collapsed="1" x14ac:dyDescent="0.25">
      <c r="A55" s="27"/>
      <c r="B55" s="13" t="str">
        <f>CONCATENATE("     ","Depreciation                                      ")</f>
        <v xml:space="preserve">     Depreciation                                      </v>
      </c>
      <c r="C55" s="13"/>
      <c r="D55" s="1">
        <f>SUM(OSRRefD22_3x_0)</f>
        <v>0</v>
      </c>
      <c r="E55" s="1"/>
      <c r="F55" s="5">
        <f t="shared" si="22"/>
        <v>0</v>
      </c>
      <c r="G55" s="1"/>
      <c r="H55" s="1">
        <f>SUM(OSRRefH22_3x_0)</f>
        <v>0</v>
      </c>
      <c r="I55" s="1"/>
      <c r="J55" s="5">
        <f t="shared" si="23"/>
        <v>0</v>
      </c>
      <c r="K55" s="1"/>
      <c r="L55" s="1">
        <f t="shared" si="24"/>
        <v>0</v>
      </c>
      <c r="M55" s="1"/>
      <c r="N55" s="5">
        <f t="shared" si="25"/>
        <v>0</v>
      </c>
      <c r="O55" s="13"/>
      <c r="P55" s="1">
        <f>SUM(OSRRefP22_3x_0)</f>
        <v>0</v>
      </c>
      <c r="Q55" s="1"/>
      <c r="R55" s="5">
        <f t="shared" si="26"/>
        <v>0</v>
      </c>
      <c r="S55" s="1"/>
      <c r="T55" s="1">
        <f>SUM(OSRRefT22_3x_0)</f>
        <v>0</v>
      </c>
      <c r="U55" s="1"/>
      <c r="V55" s="5">
        <f t="shared" si="27"/>
        <v>0</v>
      </c>
      <c r="W55" s="1"/>
      <c r="X55" s="1">
        <f t="shared" si="28"/>
        <v>0</v>
      </c>
      <c r="Y55" s="1"/>
      <c r="Z55" s="5">
        <f t="shared" si="29"/>
        <v>0</v>
      </c>
    </row>
    <row r="56" spans="1:26" s="24" customFormat="1" hidden="1" outlineLevel="2" x14ac:dyDescent="0.25">
      <c r="A56" s="25"/>
      <c r="B56" s="11" t="str">
        <f>CONCATENATE("          ", "6322", " - ", "EQUIPMENT DEPRECIATION EXPENSE")</f>
        <v xml:space="preserve">          6322 - EQUIPMENT DEPRECIATION EXPENSE</v>
      </c>
      <c r="C56" s="11"/>
      <c r="D56" s="6"/>
      <c r="E56" s="2"/>
      <c r="F56" s="7">
        <f t="shared" si="22"/>
        <v>0</v>
      </c>
      <c r="G56" s="2"/>
      <c r="H56" s="6">
        <v>0</v>
      </c>
      <c r="I56" s="2"/>
      <c r="J56" s="7">
        <f t="shared" si="23"/>
        <v>0</v>
      </c>
      <c r="K56" s="2"/>
      <c r="L56" s="6">
        <f t="shared" si="24"/>
        <v>0</v>
      </c>
      <c r="M56" s="2"/>
      <c r="N56" s="7">
        <f t="shared" si="25"/>
        <v>0</v>
      </c>
      <c r="O56" s="11"/>
      <c r="P56" s="6"/>
      <c r="Q56" s="2"/>
      <c r="R56" s="7">
        <f t="shared" si="26"/>
        <v>0</v>
      </c>
      <c r="S56" s="2"/>
      <c r="T56" s="6">
        <v>0</v>
      </c>
      <c r="U56" s="2"/>
      <c r="V56" s="7">
        <f t="shared" si="27"/>
        <v>0</v>
      </c>
      <c r="W56" s="2"/>
      <c r="X56" s="6">
        <f t="shared" si="28"/>
        <v>0</v>
      </c>
      <c r="Y56" s="2"/>
      <c r="Z56" s="7">
        <f t="shared" si="29"/>
        <v>0</v>
      </c>
    </row>
    <row r="57" spans="1:26" s="26" customFormat="1" outlineLevel="1" collapsed="1" x14ac:dyDescent="0.25">
      <c r="A57" s="27"/>
      <c r="B57" s="13" t="str">
        <f>CONCATENATE("     ","Discounts and Markdowns                           ")</f>
        <v xml:space="preserve">     Discounts and Markdowns                           </v>
      </c>
      <c r="C57" s="13"/>
      <c r="D57" s="1">
        <f>SUM(OSRRefD22_4x_0)</f>
        <v>31.7</v>
      </c>
      <c r="E57" s="1"/>
      <c r="F57" s="5">
        <f t="shared" si="22"/>
        <v>8.2009157085565301E-4</v>
      </c>
      <c r="G57" s="1"/>
      <c r="H57" s="1">
        <f>SUM(OSRRefH22_4x_0)</f>
        <v>600</v>
      </c>
      <c r="I57" s="1"/>
      <c r="J57" s="5">
        <f t="shared" si="23"/>
        <v>1.3729977116704805E-2</v>
      </c>
      <c r="K57" s="1"/>
      <c r="L57" s="1">
        <f t="shared" si="24"/>
        <v>-568.29999999999995</v>
      </c>
      <c r="M57" s="1"/>
      <c r="N57" s="5">
        <f t="shared" si="25"/>
        <v>-0.9471666666666666</v>
      </c>
      <c r="O57" s="13"/>
      <c r="P57" s="1">
        <f>SUM(OSRRefP22_4x_0)</f>
        <v>420.47</v>
      </c>
      <c r="Q57" s="1"/>
      <c r="R57" s="5">
        <f t="shared" si="26"/>
        <v>1.597250512182288E-3</v>
      </c>
      <c r="S57" s="1"/>
      <c r="T57" s="1">
        <f>SUM(OSRRefT22_4x_0)</f>
        <v>3400</v>
      </c>
      <c r="U57" s="1"/>
      <c r="V57" s="5">
        <f t="shared" si="27"/>
        <v>1.1158058825942486E-2</v>
      </c>
      <c r="W57" s="1"/>
      <c r="X57" s="1">
        <f t="shared" si="28"/>
        <v>-2979.5299999999997</v>
      </c>
      <c r="Y57" s="1"/>
      <c r="Z57" s="5">
        <f t="shared" si="29"/>
        <v>-0.8763323529411764</v>
      </c>
    </row>
    <row r="58" spans="1:26" s="24" customFormat="1" hidden="1" outlineLevel="2" x14ac:dyDescent="0.25">
      <c r="A58" s="25"/>
      <c r="B58" s="11" t="str">
        <f>CONCATENATE("          ", "6382", " - ", "DISCOUNTS/MARK DOWNS")</f>
        <v xml:space="preserve">          6382 - DISCOUNTS/MARK DOWNS</v>
      </c>
      <c r="C58" s="11"/>
      <c r="D58" s="6">
        <v>31.7</v>
      </c>
      <c r="E58" s="2"/>
      <c r="F58" s="7">
        <f t="shared" si="22"/>
        <v>8.2009157085565301E-4</v>
      </c>
      <c r="G58" s="2"/>
      <c r="H58" s="6">
        <v>600</v>
      </c>
      <c r="I58" s="2"/>
      <c r="J58" s="7">
        <f t="shared" si="23"/>
        <v>1.3729977116704805E-2</v>
      </c>
      <c r="K58" s="2"/>
      <c r="L58" s="6">
        <f t="shared" si="24"/>
        <v>-568.29999999999995</v>
      </c>
      <c r="M58" s="2"/>
      <c r="N58" s="7">
        <f t="shared" si="25"/>
        <v>-0.9471666666666666</v>
      </c>
      <c r="O58" s="11"/>
      <c r="P58" s="6">
        <v>420.47</v>
      </c>
      <c r="Q58" s="2"/>
      <c r="R58" s="7">
        <f t="shared" si="26"/>
        <v>1.597250512182288E-3</v>
      </c>
      <c r="S58" s="2"/>
      <c r="T58" s="6">
        <v>3400</v>
      </c>
      <c r="U58" s="2"/>
      <c r="V58" s="7">
        <f t="shared" si="27"/>
        <v>1.1158058825942486E-2</v>
      </c>
      <c r="W58" s="2"/>
      <c r="X58" s="6">
        <f t="shared" si="28"/>
        <v>-2979.5299999999997</v>
      </c>
      <c r="Y58" s="2"/>
      <c r="Z58" s="7">
        <f t="shared" si="29"/>
        <v>-0.8763323529411764</v>
      </c>
    </row>
    <row r="59" spans="1:26" s="26" customFormat="1" outlineLevel="1" collapsed="1" x14ac:dyDescent="0.25">
      <c r="A59" s="27"/>
      <c r="B59" s="13" t="str">
        <f>CONCATENATE("     ","Employees' Appreciation                           ")</f>
        <v xml:space="preserve">     Employees' Appreciation                           </v>
      </c>
      <c r="C59" s="13"/>
      <c r="D59" s="1">
        <f>SUM(OSRRefD22_5x_0)</f>
        <v>0</v>
      </c>
      <c r="E59" s="1"/>
      <c r="F59" s="5">
        <f t="shared" si="22"/>
        <v>0</v>
      </c>
      <c r="G59" s="1"/>
      <c r="H59" s="1">
        <f>SUM(OSRRefH22_5x_0)</f>
        <v>100</v>
      </c>
      <c r="I59" s="1"/>
      <c r="J59" s="5">
        <f t="shared" si="23"/>
        <v>2.2883295194508009E-3</v>
      </c>
      <c r="K59" s="1"/>
      <c r="L59" s="1">
        <f t="shared" si="24"/>
        <v>-100</v>
      </c>
      <c r="M59" s="1"/>
      <c r="N59" s="5">
        <f t="shared" si="25"/>
        <v>-1</v>
      </c>
      <c r="O59" s="13"/>
      <c r="P59" s="1">
        <f>SUM(OSRRefP22_5x_0)</f>
        <v>0</v>
      </c>
      <c r="Q59" s="1"/>
      <c r="R59" s="5">
        <f t="shared" si="26"/>
        <v>0</v>
      </c>
      <c r="S59" s="1"/>
      <c r="T59" s="1">
        <f>SUM(OSRRefT22_5x_0)</f>
        <v>500</v>
      </c>
      <c r="U59" s="1"/>
      <c r="V59" s="5">
        <f t="shared" si="27"/>
        <v>1.6408910038150715E-3</v>
      </c>
      <c r="W59" s="1"/>
      <c r="X59" s="1">
        <f t="shared" si="28"/>
        <v>-500</v>
      </c>
      <c r="Y59" s="1"/>
      <c r="Z59" s="5">
        <f t="shared" si="29"/>
        <v>-1</v>
      </c>
    </row>
    <row r="60" spans="1:26" s="24" customFormat="1" hidden="1" outlineLevel="2" x14ac:dyDescent="0.25">
      <c r="A60" s="25"/>
      <c r="B60" s="11" t="str">
        <f>CONCATENATE("          ", "6277", " - ", "EMPLOYEE APPRECIATION")</f>
        <v xml:space="preserve">          6277 - EMPLOYEE APPRECIATION</v>
      </c>
      <c r="C60" s="11"/>
      <c r="D60" s="6"/>
      <c r="E60" s="2"/>
      <c r="F60" s="7">
        <f t="shared" si="22"/>
        <v>0</v>
      </c>
      <c r="G60" s="2"/>
      <c r="H60" s="6">
        <v>100</v>
      </c>
      <c r="I60" s="2"/>
      <c r="J60" s="7">
        <f t="shared" si="23"/>
        <v>2.2883295194508009E-3</v>
      </c>
      <c r="K60" s="2"/>
      <c r="L60" s="6">
        <f t="shared" si="24"/>
        <v>-100</v>
      </c>
      <c r="M60" s="2"/>
      <c r="N60" s="7">
        <f t="shared" si="25"/>
        <v>-1</v>
      </c>
      <c r="O60" s="11"/>
      <c r="P60" s="6"/>
      <c r="Q60" s="2"/>
      <c r="R60" s="7">
        <f t="shared" si="26"/>
        <v>0</v>
      </c>
      <c r="S60" s="2"/>
      <c r="T60" s="6">
        <v>500</v>
      </c>
      <c r="U60" s="2"/>
      <c r="V60" s="7">
        <f t="shared" si="27"/>
        <v>1.6408910038150715E-3</v>
      </c>
      <c r="W60" s="2"/>
      <c r="X60" s="6">
        <f t="shared" si="28"/>
        <v>-500</v>
      </c>
      <c r="Y60" s="2"/>
      <c r="Z60" s="7">
        <f t="shared" si="29"/>
        <v>-1</v>
      </c>
    </row>
    <row r="61" spans="1:26" s="26" customFormat="1" outlineLevel="1" collapsed="1" x14ac:dyDescent="0.25">
      <c r="A61" s="27"/>
      <c r="B61" s="13" t="str">
        <f>CONCATENATE("     ","Equipment Rental                                  ")</f>
        <v xml:space="preserve">     Equipment Rental                                  </v>
      </c>
      <c r="C61" s="13"/>
      <c r="D61" s="1">
        <f>SUM(OSRRefD22_6x_0)</f>
        <v>3903.96</v>
      </c>
      <c r="E61" s="1"/>
      <c r="F61" s="5">
        <f t="shared" si="22"/>
        <v>0.10099699334251215</v>
      </c>
      <c r="G61" s="1"/>
      <c r="H61" s="1">
        <f>SUM(OSRRefH22_6x_0)</f>
        <v>3000</v>
      </c>
      <c r="I61" s="1"/>
      <c r="J61" s="5">
        <f t="shared" si="23"/>
        <v>6.8649885583524028E-2</v>
      </c>
      <c r="K61" s="1"/>
      <c r="L61" s="1">
        <f t="shared" si="24"/>
        <v>903.96</v>
      </c>
      <c r="M61" s="1"/>
      <c r="N61" s="5">
        <f t="shared" si="25"/>
        <v>0.30132000000000003</v>
      </c>
      <c r="O61" s="13"/>
      <c r="P61" s="1">
        <f>SUM(OSRRefP22_6x_0)</f>
        <v>9932.16</v>
      </c>
      <c r="Q61" s="1"/>
      <c r="R61" s="5">
        <f t="shared" si="26"/>
        <v>3.7729558938988349E-2</v>
      </c>
      <c r="S61" s="1"/>
      <c r="T61" s="1">
        <f>SUM(OSRRefT22_6x_0)</f>
        <v>15000</v>
      </c>
      <c r="U61" s="1"/>
      <c r="V61" s="5">
        <f t="shared" si="27"/>
        <v>4.9226730114452145E-2</v>
      </c>
      <c r="W61" s="1"/>
      <c r="X61" s="1">
        <f t="shared" si="28"/>
        <v>-5067.84</v>
      </c>
      <c r="Y61" s="1"/>
      <c r="Z61" s="5">
        <f t="shared" si="29"/>
        <v>-0.33785599999999999</v>
      </c>
    </row>
    <row r="62" spans="1:26" s="24" customFormat="1" hidden="1" outlineLevel="2" x14ac:dyDescent="0.25">
      <c r="A62" s="25"/>
      <c r="B62" s="11" t="str">
        <f>CONCATENATE("          ", "6351", " - ", "EQUIPMENT RENTAL")</f>
        <v xml:space="preserve">          6351 - EQUIPMENT RENTAL</v>
      </c>
      <c r="C62" s="11"/>
      <c r="D62" s="6">
        <v>3903.96</v>
      </c>
      <c r="E62" s="2"/>
      <c r="F62" s="7">
        <f t="shared" si="22"/>
        <v>0.10099699334251215</v>
      </c>
      <c r="G62" s="2"/>
      <c r="H62" s="6">
        <v>3000</v>
      </c>
      <c r="I62" s="2"/>
      <c r="J62" s="7">
        <f t="shared" si="23"/>
        <v>6.8649885583524028E-2</v>
      </c>
      <c r="K62" s="2"/>
      <c r="L62" s="6">
        <f t="shared" si="24"/>
        <v>903.96</v>
      </c>
      <c r="M62" s="2"/>
      <c r="N62" s="7">
        <f t="shared" si="25"/>
        <v>0.30132000000000003</v>
      </c>
      <c r="O62" s="11"/>
      <c r="P62" s="6">
        <v>9932.16</v>
      </c>
      <c r="Q62" s="2"/>
      <c r="R62" s="7">
        <f t="shared" si="26"/>
        <v>3.7729558938988349E-2</v>
      </c>
      <c r="S62" s="2"/>
      <c r="T62" s="6">
        <v>15000</v>
      </c>
      <c r="U62" s="2"/>
      <c r="V62" s="7">
        <f t="shared" si="27"/>
        <v>4.9226730114452145E-2</v>
      </c>
      <c r="W62" s="2"/>
      <c r="X62" s="6">
        <f t="shared" si="28"/>
        <v>-5067.84</v>
      </c>
      <c r="Y62" s="2"/>
      <c r="Z62" s="7">
        <f t="shared" si="29"/>
        <v>-0.33785599999999999</v>
      </c>
    </row>
    <row r="63" spans="1:26" s="26" customFormat="1" outlineLevel="1" collapsed="1" x14ac:dyDescent="0.25">
      <c r="A63" s="27"/>
      <c r="B63" s="13" t="str">
        <f>CONCATENATE("     ","Freight out/Postage                               ")</f>
        <v xml:space="preserve">     Freight out/Postage                               </v>
      </c>
      <c r="C63" s="13"/>
      <c r="D63" s="1">
        <f>SUM(OSRRefD22_7x_0)</f>
        <v>9.1300000000000008</v>
      </c>
      <c r="E63" s="1"/>
      <c r="F63" s="5">
        <f t="shared" si="22"/>
        <v>2.3619672056505086E-4</v>
      </c>
      <c r="G63" s="1"/>
      <c r="H63" s="1">
        <f>SUM(OSRRefH22_7x_0)</f>
        <v>-300</v>
      </c>
      <c r="I63" s="1"/>
      <c r="J63" s="5">
        <f t="shared" si="23"/>
        <v>-6.8649885583524023E-3</v>
      </c>
      <c r="K63" s="1"/>
      <c r="L63" s="1">
        <f t="shared" si="24"/>
        <v>309.13</v>
      </c>
      <c r="M63" s="1"/>
      <c r="N63" s="5">
        <f t="shared" si="25"/>
        <v>-1.0304333333333333</v>
      </c>
      <c r="O63" s="13"/>
      <c r="P63" s="1">
        <f>SUM(OSRRefP22_7x_0)</f>
        <v>9.1300000000000008</v>
      </c>
      <c r="Q63" s="1"/>
      <c r="R63" s="5">
        <f t="shared" si="26"/>
        <v>3.4682372526516251E-5</v>
      </c>
      <c r="S63" s="1"/>
      <c r="T63" s="1">
        <f>SUM(OSRRefT22_7x_0)</f>
        <v>-1500</v>
      </c>
      <c r="U63" s="1"/>
      <c r="V63" s="5">
        <f t="shared" si="27"/>
        <v>-4.9226730114452144E-3</v>
      </c>
      <c r="W63" s="1"/>
      <c r="X63" s="1">
        <f t="shared" si="28"/>
        <v>1509.13</v>
      </c>
      <c r="Y63" s="1"/>
      <c r="Z63" s="5">
        <f t="shared" si="29"/>
        <v>-1.0060866666666668</v>
      </c>
    </row>
    <row r="64" spans="1:26" s="24" customFormat="1" hidden="1" outlineLevel="2" x14ac:dyDescent="0.25">
      <c r="A64" s="25"/>
      <c r="B64" s="11" t="str">
        <f>CONCATENATE("          ", "6305", " - ", "FREIGHT OUT")</f>
        <v xml:space="preserve">          6305 - FREIGHT OUT</v>
      </c>
      <c r="C64" s="11"/>
      <c r="D64" s="6">
        <v>9.1300000000000008</v>
      </c>
      <c r="E64" s="2"/>
      <c r="F64" s="7">
        <f t="shared" si="22"/>
        <v>2.3619672056505086E-4</v>
      </c>
      <c r="G64" s="2"/>
      <c r="H64" s="6">
        <v>-300</v>
      </c>
      <c r="I64" s="2"/>
      <c r="J64" s="7">
        <f t="shared" si="23"/>
        <v>-6.8649885583524023E-3</v>
      </c>
      <c r="K64" s="2"/>
      <c r="L64" s="6">
        <f t="shared" si="24"/>
        <v>309.13</v>
      </c>
      <c r="M64" s="2"/>
      <c r="N64" s="7">
        <f t="shared" si="25"/>
        <v>-1.0304333333333333</v>
      </c>
      <c r="O64" s="11"/>
      <c r="P64" s="6">
        <v>9.1300000000000008</v>
      </c>
      <c r="Q64" s="2"/>
      <c r="R64" s="7">
        <f t="shared" si="26"/>
        <v>3.4682372526516251E-5</v>
      </c>
      <c r="S64" s="2"/>
      <c r="T64" s="6">
        <v>-1500</v>
      </c>
      <c r="U64" s="2"/>
      <c r="V64" s="7">
        <f t="shared" si="27"/>
        <v>-4.9226730114452144E-3</v>
      </c>
      <c r="W64" s="2"/>
      <c r="X64" s="6">
        <f t="shared" si="28"/>
        <v>1509.13</v>
      </c>
      <c r="Y64" s="2"/>
      <c r="Z64" s="7">
        <f t="shared" si="29"/>
        <v>-1.0060866666666668</v>
      </c>
    </row>
    <row r="65" spans="1:26" s="26" customFormat="1" outlineLevel="1" collapsed="1" x14ac:dyDescent="0.25">
      <c r="A65" s="27"/>
      <c r="B65" s="13" t="str">
        <f>CONCATENATE("     ","General                                           ")</f>
        <v xml:space="preserve">     General                                           </v>
      </c>
      <c r="C65" s="13"/>
      <c r="D65" s="1">
        <f>SUM(OSRRefD22_8x_0)</f>
        <v>0</v>
      </c>
      <c r="E65" s="1"/>
      <c r="F65" s="5">
        <f t="shared" si="22"/>
        <v>0</v>
      </c>
      <c r="G65" s="1"/>
      <c r="H65" s="1">
        <f>SUM(OSRRefH22_8x_0)</f>
        <v>200</v>
      </c>
      <c r="I65" s="1"/>
      <c r="J65" s="5">
        <f t="shared" si="23"/>
        <v>4.5766590389016018E-3</v>
      </c>
      <c r="K65" s="1"/>
      <c r="L65" s="1">
        <f t="shared" si="24"/>
        <v>-200</v>
      </c>
      <c r="M65" s="1"/>
      <c r="N65" s="5">
        <f t="shared" si="25"/>
        <v>-1</v>
      </c>
      <c r="O65" s="13"/>
      <c r="P65" s="1">
        <f>SUM(OSRRefP22_8x_0)</f>
        <v>0</v>
      </c>
      <c r="Q65" s="1"/>
      <c r="R65" s="5">
        <f t="shared" si="26"/>
        <v>0</v>
      </c>
      <c r="S65" s="1"/>
      <c r="T65" s="1">
        <f>SUM(OSRRefT22_8x_0)</f>
        <v>1000</v>
      </c>
      <c r="U65" s="1"/>
      <c r="V65" s="5">
        <f t="shared" si="27"/>
        <v>3.2817820076301431E-3</v>
      </c>
      <c r="W65" s="1"/>
      <c r="X65" s="1">
        <f t="shared" si="28"/>
        <v>-1000</v>
      </c>
      <c r="Y65" s="1"/>
      <c r="Z65" s="5">
        <f t="shared" si="29"/>
        <v>-1</v>
      </c>
    </row>
    <row r="66" spans="1:26" s="24" customFormat="1" hidden="1" outlineLevel="2" x14ac:dyDescent="0.25">
      <c r="A66" s="25"/>
      <c r="B66" s="11" t="str">
        <f>CONCATENATE("          ", "6279", " - ", "GENERAL EXPENSE")</f>
        <v xml:space="preserve">          6279 - GENERAL EXPENSE</v>
      </c>
      <c r="C66" s="11"/>
      <c r="D66" s="6"/>
      <c r="E66" s="2"/>
      <c r="F66" s="7">
        <f t="shared" si="22"/>
        <v>0</v>
      </c>
      <c r="G66" s="2"/>
      <c r="H66" s="6">
        <v>200</v>
      </c>
      <c r="I66" s="2"/>
      <c r="J66" s="7">
        <f t="shared" si="23"/>
        <v>4.5766590389016018E-3</v>
      </c>
      <c r="K66" s="2"/>
      <c r="L66" s="6">
        <f t="shared" si="24"/>
        <v>-200</v>
      </c>
      <c r="M66" s="2"/>
      <c r="N66" s="7">
        <f t="shared" si="25"/>
        <v>-1</v>
      </c>
      <c r="O66" s="11"/>
      <c r="P66" s="6"/>
      <c r="Q66" s="2"/>
      <c r="R66" s="7">
        <f t="shared" si="26"/>
        <v>0</v>
      </c>
      <c r="S66" s="2"/>
      <c r="T66" s="6">
        <v>1000</v>
      </c>
      <c r="U66" s="2"/>
      <c r="V66" s="7">
        <f t="shared" si="27"/>
        <v>3.2817820076301431E-3</v>
      </c>
      <c r="W66" s="2"/>
      <c r="X66" s="6">
        <f t="shared" si="28"/>
        <v>-1000</v>
      </c>
      <c r="Y66" s="2"/>
      <c r="Z66" s="7">
        <f t="shared" si="29"/>
        <v>-1</v>
      </c>
    </row>
    <row r="67" spans="1:26" s="26" customFormat="1" outlineLevel="1" collapsed="1" x14ac:dyDescent="0.25">
      <c r="A67" s="27"/>
      <c r="B67" s="13" t="str">
        <f>CONCATENATE("     ","Repair and Maintenance                            ")</f>
        <v xml:space="preserve">     Repair and Maintenance                            </v>
      </c>
      <c r="C67" s="13"/>
      <c r="D67" s="1">
        <f>SUM(OSRRefD22_9x_0)</f>
        <v>1404.99</v>
      </c>
      <c r="E67" s="1"/>
      <c r="F67" s="5">
        <f t="shared" si="22"/>
        <v>3.6347648458564162E-2</v>
      </c>
      <c r="G67" s="1"/>
      <c r="H67" s="1">
        <f>SUM(OSRRefH22_9x_0)</f>
        <v>7000</v>
      </c>
      <c r="I67" s="1"/>
      <c r="J67" s="5">
        <f t="shared" si="23"/>
        <v>0.16018306636155608</v>
      </c>
      <c r="K67" s="1"/>
      <c r="L67" s="1">
        <f t="shared" si="24"/>
        <v>-5595.01</v>
      </c>
      <c r="M67" s="1"/>
      <c r="N67" s="5">
        <f t="shared" si="25"/>
        <v>-0.79928714285714286</v>
      </c>
      <c r="O67" s="13"/>
      <c r="P67" s="1">
        <f>SUM(OSRRefP22_9x_0)</f>
        <v>29449.96</v>
      </c>
      <c r="Q67" s="1"/>
      <c r="R67" s="5">
        <f t="shared" si="26"/>
        <v>0.11187234212606818</v>
      </c>
      <c r="S67" s="1"/>
      <c r="T67" s="1">
        <f>SUM(OSRRefT22_9x_0)</f>
        <v>35000</v>
      </c>
      <c r="U67" s="1"/>
      <c r="V67" s="5">
        <f t="shared" si="27"/>
        <v>0.11486237026705501</v>
      </c>
      <c r="W67" s="1"/>
      <c r="X67" s="1">
        <f t="shared" si="28"/>
        <v>-5550.0400000000009</v>
      </c>
      <c r="Y67" s="1"/>
      <c r="Z67" s="5">
        <f t="shared" si="29"/>
        <v>-0.15857257142857145</v>
      </c>
    </row>
    <row r="68" spans="1:26" s="24" customFormat="1" hidden="1" outlineLevel="2" x14ac:dyDescent="0.25">
      <c r="A68" s="25"/>
      <c r="B68" s="11" t="str">
        <f>CONCATENATE("          ", "6373", " - ", "MAINTENANCE CONTRACTS")</f>
        <v xml:space="preserve">          6373 - MAINTENANCE CONTRACTS</v>
      </c>
      <c r="C68" s="11"/>
      <c r="D68" s="6">
        <v>1404.99</v>
      </c>
      <c r="E68" s="2"/>
      <c r="F68" s="7">
        <f t="shared" si="22"/>
        <v>3.6347648458564162E-2</v>
      </c>
      <c r="G68" s="2"/>
      <c r="H68" s="6">
        <v>7000</v>
      </c>
      <c r="I68" s="2"/>
      <c r="J68" s="7">
        <f t="shared" si="23"/>
        <v>0.16018306636155608</v>
      </c>
      <c r="K68" s="2"/>
      <c r="L68" s="6">
        <f t="shared" si="24"/>
        <v>-5595.01</v>
      </c>
      <c r="M68" s="2"/>
      <c r="N68" s="7">
        <f t="shared" si="25"/>
        <v>-0.79928714285714286</v>
      </c>
      <c r="O68" s="11"/>
      <c r="P68" s="6">
        <v>29449.96</v>
      </c>
      <c r="Q68" s="2"/>
      <c r="R68" s="7">
        <f t="shared" si="26"/>
        <v>0.11187234212606818</v>
      </c>
      <c r="S68" s="2"/>
      <c r="T68" s="6">
        <v>35000</v>
      </c>
      <c r="U68" s="2"/>
      <c r="V68" s="7">
        <f t="shared" si="27"/>
        <v>0.11486237026705501</v>
      </c>
      <c r="W68" s="2"/>
      <c r="X68" s="6">
        <f t="shared" si="28"/>
        <v>-5550.0400000000009</v>
      </c>
      <c r="Y68" s="2"/>
      <c r="Z68" s="7">
        <f t="shared" si="29"/>
        <v>-0.15857257142857145</v>
      </c>
    </row>
    <row r="69" spans="1:26" s="26" customFormat="1" outlineLevel="1" collapsed="1" x14ac:dyDescent="0.25">
      <c r="A69" s="27"/>
      <c r="B69" s="13" t="str">
        <f>CONCATENATE("     ","Royalty &amp; Commissions                             ")</f>
        <v xml:space="preserve">     Royalty &amp; Commissions                             </v>
      </c>
      <c r="C69" s="13"/>
      <c r="D69" s="1">
        <f>SUM(OSRRefD22_10x_0)</f>
        <v>17653.419999999998</v>
      </c>
      <c r="E69" s="1"/>
      <c r="F69" s="5">
        <f t="shared" si="22"/>
        <v>0.45670097598658044</v>
      </c>
      <c r="G69" s="1"/>
      <c r="H69" s="1">
        <f>SUM(OSRRefH22_10x_0)</f>
        <v>11000</v>
      </c>
      <c r="I69" s="1"/>
      <c r="J69" s="5">
        <f t="shared" si="23"/>
        <v>0.25171624713958812</v>
      </c>
      <c r="K69" s="1"/>
      <c r="L69" s="1">
        <f t="shared" si="24"/>
        <v>6653.4199999999983</v>
      </c>
      <c r="M69" s="1"/>
      <c r="N69" s="5">
        <f t="shared" si="25"/>
        <v>0.60485636363636353</v>
      </c>
      <c r="O69" s="13"/>
      <c r="P69" s="1">
        <f>SUM(OSRRefP22_10x_0)</f>
        <v>43867.68</v>
      </c>
      <c r="Q69" s="1"/>
      <c r="R69" s="5">
        <f t="shared" si="26"/>
        <v>0.16664131649879588</v>
      </c>
      <c r="S69" s="1"/>
      <c r="T69" s="1">
        <f>SUM(OSRRefT22_10x_0)</f>
        <v>55000</v>
      </c>
      <c r="U69" s="1"/>
      <c r="V69" s="5">
        <f t="shared" si="27"/>
        <v>0.18049801041965788</v>
      </c>
      <c r="W69" s="1"/>
      <c r="X69" s="1">
        <f t="shared" si="28"/>
        <v>-11132.32</v>
      </c>
      <c r="Y69" s="1"/>
      <c r="Z69" s="5">
        <f t="shared" si="29"/>
        <v>-0.20240581818181819</v>
      </c>
    </row>
    <row r="70" spans="1:26" s="24" customFormat="1" hidden="1" outlineLevel="2" x14ac:dyDescent="0.25">
      <c r="A70" s="25"/>
      <c r="B70" s="11" t="str">
        <f>CONCATENATE("          ", "6254", " - ", "ROYALTY &amp; COMMISSIONS")</f>
        <v xml:space="preserve">          6254 - ROYALTY &amp; COMMISSIONS</v>
      </c>
      <c r="C70" s="11"/>
      <c r="D70" s="6"/>
      <c r="E70" s="2"/>
      <c r="F70" s="7">
        <f t="shared" si="22"/>
        <v>0</v>
      </c>
      <c r="G70" s="2"/>
      <c r="H70" s="6">
        <v>11000</v>
      </c>
      <c r="I70" s="2"/>
      <c r="J70" s="7">
        <f t="shared" si="23"/>
        <v>0.25171624713958812</v>
      </c>
      <c r="K70" s="2"/>
      <c r="L70" s="6">
        <f t="shared" si="24"/>
        <v>-11000</v>
      </c>
      <c r="M70" s="2"/>
      <c r="N70" s="7">
        <f t="shared" si="25"/>
        <v>-1</v>
      </c>
      <c r="O70" s="11"/>
      <c r="P70" s="6"/>
      <c r="Q70" s="2"/>
      <c r="R70" s="7">
        <f t="shared" si="26"/>
        <v>0</v>
      </c>
      <c r="S70" s="2"/>
      <c r="T70" s="6">
        <v>55000</v>
      </c>
      <c r="U70" s="2"/>
      <c r="V70" s="7">
        <f t="shared" si="27"/>
        <v>0.18049801041965788</v>
      </c>
      <c r="W70" s="2"/>
      <c r="X70" s="6">
        <f t="shared" si="28"/>
        <v>-55000</v>
      </c>
      <c r="Y70" s="2"/>
      <c r="Z70" s="7">
        <f t="shared" si="29"/>
        <v>-1</v>
      </c>
    </row>
    <row r="71" spans="1:26" s="24" customFormat="1" hidden="1" outlineLevel="2" x14ac:dyDescent="0.25">
      <c r="A71" s="25"/>
      <c r="B71" s="11" t="str">
        <f>CONCATENATE("          ", "6259", " - ", "ROYALTY &amp; COMMISSIONS")</f>
        <v xml:space="preserve">          6259 - ROYALTY &amp; COMMISSIONS</v>
      </c>
      <c r="C71" s="11"/>
      <c r="D71" s="6">
        <v>17653.419999999998</v>
      </c>
      <c r="E71" s="2"/>
      <c r="F71" s="7">
        <f t="shared" si="22"/>
        <v>0.45670097598658044</v>
      </c>
      <c r="G71" s="2"/>
      <c r="H71" s="6"/>
      <c r="I71" s="2"/>
      <c r="J71" s="7">
        <f t="shared" si="23"/>
        <v>0</v>
      </c>
      <c r="K71" s="2"/>
      <c r="L71" s="6">
        <f t="shared" si="24"/>
        <v>17653.419999999998</v>
      </c>
      <c r="M71" s="2"/>
      <c r="N71" s="7">
        <f t="shared" si="25"/>
        <v>0</v>
      </c>
      <c r="O71" s="11"/>
      <c r="P71" s="6">
        <v>43867.68</v>
      </c>
      <c r="Q71" s="2"/>
      <c r="R71" s="7">
        <f t="shared" si="26"/>
        <v>0.16664131649879588</v>
      </c>
      <c r="S71" s="2"/>
      <c r="T71" s="6"/>
      <c r="U71" s="2"/>
      <c r="V71" s="7">
        <f t="shared" si="27"/>
        <v>0</v>
      </c>
      <c r="W71" s="2"/>
      <c r="X71" s="6">
        <f t="shared" si="28"/>
        <v>43867.68</v>
      </c>
      <c r="Y71" s="2"/>
      <c r="Z71" s="7">
        <f t="shared" si="29"/>
        <v>0</v>
      </c>
    </row>
    <row r="72" spans="1:26" s="26" customFormat="1" outlineLevel="1" collapsed="1" x14ac:dyDescent="0.25">
      <c r="A72" s="27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SUM(OSRRefD22_11x_0)</f>
        <v>1828.3600000000001</v>
      </c>
      <c r="E72" s="1"/>
      <c r="F72" s="5">
        <f t="shared" ref="F72:F76" si="30">IF(D$12=0,0,D72/D$12)</f>
        <v>4.7300398248884601E-2</v>
      </c>
      <c r="G72" s="1"/>
      <c r="H72" s="1">
        <f>SUM(OSRRefH22_11x_0)</f>
        <v>4250</v>
      </c>
      <c r="I72" s="1"/>
      <c r="J72" s="5">
        <f t="shared" ref="J72:J76" si="31">IF(H$12=0,0,H72/H$12)</f>
        <v>9.7254004576659045E-2</v>
      </c>
      <c r="K72" s="1"/>
      <c r="L72" s="1">
        <f t="shared" ref="L72:L76" si="32">+D72-H72</f>
        <v>-2421.64</v>
      </c>
      <c r="M72" s="1"/>
      <c r="N72" s="5">
        <f t="shared" ref="N72:N76" si="33">IF(H72=0,0,L72/H72)</f>
        <v>-0.56979764705882352</v>
      </c>
      <c r="O72" s="13"/>
      <c r="P72" s="1">
        <f>SUM(OSRRefP22_11x_0)</f>
        <v>13983.73</v>
      </c>
      <c r="Q72" s="1"/>
      <c r="R72" s="5">
        <f t="shared" ref="R72:R76" si="34">IF(P$12=0,0,P72/P$12)</f>
        <v>5.3120365078885109E-2</v>
      </c>
      <c r="S72" s="1"/>
      <c r="T72" s="1">
        <f>SUM(OSRRefT22_11x_0)</f>
        <v>30250</v>
      </c>
      <c r="U72" s="1"/>
      <c r="V72" s="5">
        <f t="shared" ref="V72:V76" si="35">IF(T$12=0,0,T72/T$12)</f>
        <v>9.9273905730811837E-2</v>
      </c>
      <c r="W72" s="1"/>
      <c r="X72" s="1">
        <f t="shared" ref="X72:X76" si="36">+P72-T72</f>
        <v>-16266.27</v>
      </c>
      <c r="Y72" s="1"/>
      <c r="Z72" s="5">
        <f t="shared" ref="Z72:Z76" si="37">IF(T72=0,0,X72/T72)</f>
        <v>-0.53772793388429752</v>
      </c>
    </row>
    <row r="73" spans="1:26" s="24" customFormat="1" hidden="1" outlineLevel="2" x14ac:dyDescent="0.25">
      <c r="A73" s="25"/>
      <c r="B73" s="11" t="str">
        <f>CONCATENATE("          ", "6234", " - ", "EXPENDABLE SUPPLIES &amp; EQUIPMEN")</f>
        <v xml:space="preserve">          6234 - EXPENDABLE SUPPLIES &amp; EQUIPMEN</v>
      </c>
      <c r="C73" s="11"/>
      <c r="D73" s="6"/>
      <c r="E73" s="2"/>
      <c r="F73" s="7">
        <f t="shared" si="30"/>
        <v>0</v>
      </c>
      <c r="G73" s="2"/>
      <c r="H73" s="6"/>
      <c r="I73" s="2"/>
      <c r="J73" s="7">
        <f t="shared" si="31"/>
        <v>0</v>
      </c>
      <c r="K73" s="2"/>
      <c r="L73" s="6">
        <f t="shared" si="32"/>
        <v>0</v>
      </c>
      <c r="M73" s="2"/>
      <c r="N73" s="7">
        <f t="shared" si="33"/>
        <v>0</v>
      </c>
      <c r="O73" s="11"/>
      <c r="P73" s="6">
        <v>1017.27</v>
      </c>
      <c r="Q73" s="2"/>
      <c r="R73" s="7">
        <f t="shared" si="34"/>
        <v>3.8643304600272932E-3</v>
      </c>
      <c r="S73" s="2"/>
      <c r="T73" s="6"/>
      <c r="U73" s="2"/>
      <c r="V73" s="7">
        <f t="shared" si="35"/>
        <v>0</v>
      </c>
      <c r="W73" s="2"/>
      <c r="X73" s="6">
        <f t="shared" si="36"/>
        <v>1017.27</v>
      </c>
      <c r="Y73" s="2"/>
      <c r="Z73" s="7">
        <f t="shared" si="37"/>
        <v>0</v>
      </c>
    </row>
    <row r="74" spans="1:26" s="24" customFormat="1" hidden="1" outlineLevel="2" x14ac:dyDescent="0.25">
      <c r="A74" s="25"/>
      <c r="B74" s="11" t="str">
        <f>CONCATENATE("          ", "6243", " - ", "PAPER SUPPLIES")</f>
        <v xml:space="preserve">          6243 - PAPER SUPPLIES</v>
      </c>
      <c r="C74" s="11"/>
      <c r="D74" s="6">
        <v>1423.15</v>
      </c>
      <c r="E74" s="2"/>
      <c r="F74" s="7">
        <f t="shared" si="30"/>
        <v>3.6817454860038568E-2</v>
      </c>
      <c r="G74" s="2"/>
      <c r="H74" s="6">
        <v>250</v>
      </c>
      <c r="I74" s="2"/>
      <c r="J74" s="7">
        <f t="shared" si="31"/>
        <v>5.7208237986270021E-3</v>
      </c>
      <c r="K74" s="2"/>
      <c r="L74" s="6">
        <f t="shared" si="32"/>
        <v>1173.1500000000001</v>
      </c>
      <c r="M74" s="2"/>
      <c r="N74" s="7">
        <f t="shared" si="33"/>
        <v>4.6926000000000005</v>
      </c>
      <c r="O74" s="11"/>
      <c r="P74" s="6">
        <v>6329.48</v>
      </c>
      <c r="Q74" s="2"/>
      <c r="R74" s="7">
        <f t="shared" si="34"/>
        <v>2.4043963117101212E-2</v>
      </c>
      <c r="S74" s="2"/>
      <c r="T74" s="6">
        <v>1250</v>
      </c>
      <c r="U74" s="2"/>
      <c r="V74" s="7">
        <f t="shared" si="35"/>
        <v>4.1022275095376794E-3</v>
      </c>
      <c r="W74" s="2"/>
      <c r="X74" s="6">
        <f t="shared" si="36"/>
        <v>5079.4799999999996</v>
      </c>
      <c r="Y74" s="2"/>
      <c r="Z74" s="7">
        <f t="shared" si="37"/>
        <v>4.0635839999999996</v>
      </c>
    </row>
    <row r="75" spans="1:26" s="24" customFormat="1" hidden="1" outlineLevel="2" x14ac:dyDescent="0.25">
      <c r="A75" s="25"/>
      <c r="B75" s="11" t="str">
        <f>CONCATENATE("          ", "6245", " - ", "PRINTING")</f>
        <v xml:space="preserve">          6245 - PRINTING</v>
      </c>
      <c r="C75" s="11"/>
      <c r="D75" s="6">
        <v>214.98</v>
      </c>
      <c r="E75" s="2"/>
      <c r="F75" s="7">
        <f t="shared" si="30"/>
        <v>5.5616178518154025E-3</v>
      </c>
      <c r="G75" s="2"/>
      <c r="H75" s="6"/>
      <c r="I75" s="2"/>
      <c r="J75" s="7">
        <f t="shared" si="31"/>
        <v>0</v>
      </c>
      <c r="K75" s="2"/>
      <c r="L75" s="6">
        <f t="shared" si="32"/>
        <v>214.98</v>
      </c>
      <c r="M75" s="2"/>
      <c r="N75" s="7">
        <f t="shared" si="33"/>
        <v>0</v>
      </c>
      <c r="O75" s="11"/>
      <c r="P75" s="6">
        <v>464.42</v>
      </c>
      <c r="Q75" s="2"/>
      <c r="R75" s="7">
        <f t="shared" si="34"/>
        <v>1.7642045398427906E-3</v>
      </c>
      <c r="S75" s="2"/>
      <c r="T75" s="6"/>
      <c r="U75" s="2"/>
      <c r="V75" s="7">
        <f t="shared" si="35"/>
        <v>0</v>
      </c>
      <c r="W75" s="2"/>
      <c r="X75" s="6">
        <f t="shared" si="36"/>
        <v>464.42</v>
      </c>
      <c r="Y75" s="2"/>
      <c r="Z75" s="7">
        <f t="shared" si="37"/>
        <v>0</v>
      </c>
    </row>
    <row r="76" spans="1:26" s="24" customFormat="1" hidden="1" outlineLevel="2" x14ac:dyDescent="0.25">
      <c r="A76" s="25"/>
      <c r="B76" s="11" t="str">
        <f>CONCATENATE("          ", "6247", " - ", "STORE SUPPLIES")</f>
        <v xml:space="preserve">          6247 - STORE SUPPLIES</v>
      </c>
      <c r="C76" s="11"/>
      <c r="D76" s="6">
        <v>190.23</v>
      </c>
      <c r="E76" s="2"/>
      <c r="F76" s="7">
        <f t="shared" si="30"/>
        <v>4.9213255370306264E-3</v>
      </c>
      <c r="G76" s="2"/>
      <c r="H76" s="6">
        <v>4000</v>
      </c>
      <c r="I76" s="2"/>
      <c r="J76" s="7">
        <f t="shared" si="31"/>
        <v>9.1533180778032033E-2</v>
      </c>
      <c r="K76" s="2"/>
      <c r="L76" s="6">
        <f t="shared" si="32"/>
        <v>-3809.77</v>
      </c>
      <c r="M76" s="2"/>
      <c r="N76" s="7">
        <f t="shared" si="33"/>
        <v>-0.95244249999999997</v>
      </c>
      <c r="O76" s="11"/>
      <c r="P76" s="6">
        <v>6172.56</v>
      </c>
      <c r="Q76" s="2"/>
      <c r="R76" s="7">
        <f t="shared" si="34"/>
        <v>2.3447866961913817E-2</v>
      </c>
      <c r="S76" s="2"/>
      <c r="T76" s="6">
        <v>29000</v>
      </c>
      <c r="U76" s="2"/>
      <c r="V76" s="7">
        <f t="shared" si="35"/>
        <v>9.5171678221274147E-2</v>
      </c>
      <c r="W76" s="2"/>
      <c r="X76" s="6">
        <f t="shared" si="36"/>
        <v>-22827.439999999999</v>
      </c>
      <c r="Y76" s="2"/>
      <c r="Z76" s="7">
        <f t="shared" si="37"/>
        <v>-0.78715310344827583</v>
      </c>
    </row>
    <row r="77" spans="1:26" s="26" customFormat="1" outlineLevel="1" collapsed="1" x14ac:dyDescent="0.25">
      <c r="A77" s="27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SUM(OSRRefD22_12x_0)</f>
        <v>108.05</v>
      </c>
      <c r="E77" s="1"/>
      <c r="F77" s="5">
        <f t="shared" ref="F77:F79" si="38">IF(D$12=0,0,D77/D$12)</f>
        <v>2.7952963479795996E-3</v>
      </c>
      <c r="G77" s="1"/>
      <c r="H77" s="1">
        <f>SUM(OSRRefH22_12x_0)</f>
        <v>200</v>
      </c>
      <c r="I77" s="1"/>
      <c r="J77" s="5">
        <f t="shared" ref="J77:J79" si="39">IF(H$12=0,0,H77/H$12)</f>
        <v>4.5766590389016018E-3</v>
      </c>
      <c r="K77" s="1"/>
      <c r="L77" s="1">
        <f t="shared" ref="L77:L79" si="40">+D77-H77</f>
        <v>-91.95</v>
      </c>
      <c r="M77" s="1"/>
      <c r="N77" s="5">
        <f t="shared" ref="N77:N79" si="41">IF(H77=0,0,L77/H77)</f>
        <v>-0.45974999999999999</v>
      </c>
      <c r="O77" s="13"/>
      <c r="P77" s="1">
        <f>SUM(OSRRefP22_12x_0)</f>
        <v>710.4</v>
      </c>
      <c r="Q77" s="1"/>
      <c r="R77" s="5">
        <f t="shared" ref="R77:R79" si="42">IF(P$12=0,0,P77/P$12)</f>
        <v>2.6986152730380224E-3</v>
      </c>
      <c r="S77" s="1"/>
      <c r="T77" s="1">
        <f>SUM(OSRRefT22_12x_0)</f>
        <v>1000</v>
      </c>
      <c r="U77" s="1"/>
      <c r="V77" s="5">
        <f t="shared" ref="V77:V79" si="43">IF(T$12=0,0,T77/T$12)</f>
        <v>3.2817820076301431E-3</v>
      </c>
      <c r="W77" s="1"/>
      <c r="X77" s="1">
        <f t="shared" ref="X77:X79" si="44">+P77-T77</f>
        <v>-289.60000000000002</v>
      </c>
      <c r="Y77" s="1"/>
      <c r="Z77" s="5">
        <f t="shared" ref="Z77:Z79" si="45">IF(T77=0,0,X77/T77)</f>
        <v>-0.28960000000000002</v>
      </c>
    </row>
    <row r="78" spans="1:26" s="24" customFormat="1" hidden="1" outlineLevel="2" x14ac:dyDescent="0.25">
      <c r="A78" s="25"/>
      <c r="B78" s="11" t="str">
        <f>CONCATENATE("          ", "6303", " - ", "DATA PHONE LINES")</f>
        <v xml:space="preserve">          6303 - DATA PHONE LINES</v>
      </c>
      <c r="C78" s="11"/>
      <c r="D78" s="6"/>
      <c r="E78" s="2"/>
      <c r="F78" s="7">
        <f t="shared" si="38"/>
        <v>0</v>
      </c>
      <c r="G78" s="2"/>
      <c r="H78" s="6">
        <v>200</v>
      </c>
      <c r="I78" s="2"/>
      <c r="J78" s="7">
        <f t="shared" si="39"/>
        <v>4.5766590389016018E-3</v>
      </c>
      <c r="K78" s="2"/>
      <c r="L78" s="6">
        <f t="shared" si="40"/>
        <v>-200</v>
      </c>
      <c r="M78" s="2"/>
      <c r="N78" s="7">
        <f t="shared" si="41"/>
        <v>-1</v>
      </c>
      <c r="O78" s="11"/>
      <c r="P78" s="6"/>
      <c r="Q78" s="2"/>
      <c r="R78" s="7">
        <f t="shared" si="42"/>
        <v>0</v>
      </c>
      <c r="S78" s="2"/>
      <c r="T78" s="6">
        <v>1000</v>
      </c>
      <c r="U78" s="2"/>
      <c r="V78" s="7">
        <f t="shared" si="43"/>
        <v>3.2817820076301431E-3</v>
      </c>
      <c r="W78" s="2"/>
      <c r="X78" s="6">
        <f t="shared" si="44"/>
        <v>-1000</v>
      </c>
      <c r="Y78" s="2"/>
      <c r="Z78" s="7">
        <f t="shared" si="45"/>
        <v>-1</v>
      </c>
    </row>
    <row r="79" spans="1:26" s="24" customFormat="1" hidden="1" outlineLevel="2" x14ac:dyDescent="0.25">
      <c r="A79" s="25"/>
      <c r="B79" s="11" t="str">
        <f>CONCATENATE("          ", "6309", " - ", "TELEPHONE")</f>
        <v xml:space="preserve">          6309 - TELEPHONE</v>
      </c>
      <c r="C79" s="11"/>
      <c r="D79" s="6">
        <v>108.05</v>
      </c>
      <c r="E79" s="2"/>
      <c r="F79" s="7">
        <f t="shared" si="38"/>
        <v>2.7952963479795996E-3</v>
      </c>
      <c r="G79" s="2"/>
      <c r="H79" s="6"/>
      <c r="I79" s="2"/>
      <c r="J79" s="7">
        <f t="shared" si="39"/>
        <v>0</v>
      </c>
      <c r="K79" s="2"/>
      <c r="L79" s="6">
        <f t="shared" si="40"/>
        <v>108.05</v>
      </c>
      <c r="M79" s="2"/>
      <c r="N79" s="7">
        <f t="shared" si="41"/>
        <v>0</v>
      </c>
      <c r="O79" s="11"/>
      <c r="P79" s="6">
        <v>710.4</v>
      </c>
      <c r="Q79" s="2"/>
      <c r="R79" s="7">
        <f t="shared" si="42"/>
        <v>2.6986152730380224E-3</v>
      </c>
      <c r="S79" s="2"/>
      <c r="T79" s="6"/>
      <c r="U79" s="2"/>
      <c r="V79" s="7">
        <f t="shared" si="43"/>
        <v>0</v>
      </c>
      <c r="W79" s="2"/>
      <c r="X79" s="6">
        <f t="shared" si="44"/>
        <v>710.4</v>
      </c>
      <c r="Y79" s="2"/>
      <c r="Z79" s="7">
        <f t="shared" si="45"/>
        <v>0</v>
      </c>
    </row>
    <row r="80" spans="1:26" s="26" customFormat="1" outlineLevel="1" collapsed="1" x14ac:dyDescent="0.25">
      <c r="A80" s="27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SUM(OSRRefD22_13x_0)</f>
        <v>0</v>
      </c>
      <c r="E80" s="1"/>
      <c r="F80" s="5">
        <f t="shared" ref="F80:F81" si="46">IF(D$12=0,0,D80/D$12)</f>
        <v>0</v>
      </c>
      <c r="G80" s="1"/>
      <c r="H80" s="1">
        <f>SUM(OSRRefH22_13x_0)</f>
        <v>0</v>
      </c>
      <c r="I80" s="1"/>
      <c r="J80" s="5">
        <f t="shared" ref="J80:J81" si="47">IF(H$12=0,0,H80/H$12)</f>
        <v>0</v>
      </c>
      <c r="K80" s="1"/>
      <c r="L80" s="1">
        <f t="shared" ref="L80:L81" si="48">+D80-H80</f>
        <v>0</v>
      </c>
      <c r="M80" s="1"/>
      <c r="N80" s="5">
        <f t="shared" ref="N80:N81" si="49">IF(H80=0,0,L80/H80)</f>
        <v>0</v>
      </c>
      <c r="O80" s="13"/>
      <c r="P80" s="1">
        <f>SUM(OSRRefP22_13x_0)</f>
        <v>97.71</v>
      </c>
      <c r="Q80" s="1"/>
      <c r="R80" s="5">
        <f t="shared" ref="R80:R81" si="50">IF(P$12=0,0,P80/P$12)</f>
        <v>3.7117356183635297E-4</v>
      </c>
      <c r="S80" s="1"/>
      <c r="T80" s="1">
        <f>SUM(OSRRefT22_13x_0)</f>
        <v>0</v>
      </c>
      <c r="U80" s="1"/>
      <c r="V80" s="5">
        <f t="shared" ref="V80:V81" si="51">IF(T$12=0,0,T80/T$12)</f>
        <v>0</v>
      </c>
      <c r="W80" s="1"/>
      <c r="X80" s="1">
        <f t="shared" ref="X80:X81" si="52">+P80-T80</f>
        <v>97.71</v>
      </c>
      <c r="Y80" s="1"/>
      <c r="Z80" s="5">
        <f t="shared" ref="Z80:Z81" si="53">IF(T80=0,0,X80/T80)</f>
        <v>0</v>
      </c>
    </row>
    <row r="81" spans="1:26" s="24" customFormat="1" hidden="1" outlineLevel="2" x14ac:dyDescent="0.25">
      <c r="A81" s="25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46"/>
        <v>0</v>
      </c>
      <c r="G81" s="2"/>
      <c r="H81" s="6"/>
      <c r="I81" s="2"/>
      <c r="J81" s="7">
        <f t="shared" si="47"/>
        <v>0</v>
      </c>
      <c r="K81" s="2"/>
      <c r="L81" s="6">
        <f t="shared" si="48"/>
        <v>0</v>
      </c>
      <c r="M81" s="2"/>
      <c r="N81" s="7">
        <f t="shared" si="49"/>
        <v>0</v>
      </c>
      <c r="O81" s="11"/>
      <c r="P81" s="6">
        <v>97.71</v>
      </c>
      <c r="Q81" s="2"/>
      <c r="R81" s="7">
        <f t="shared" si="50"/>
        <v>3.7117356183635297E-4</v>
      </c>
      <c r="S81" s="2"/>
      <c r="T81" s="6"/>
      <c r="U81" s="2"/>
      <c r="V81" s="7">
        <f t="shared" si="51"/>
        <v>0</v>
      </c>
      <c r="W81" s="2"/>
      <c r="X81" s="6">
        <f t="shared" si="52"/>
        <v>97.71</v>
      </c>
      <c r="Y81" s="2"/>
      <c r="Z81" s="7">
        <f t="shared" si="53"/>
        <v>0</v>
      </c>
    </row>
    <row r="82" spans="1:26" s="59" customFormat="1" x14ac:dyDescent="0.25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collapsed="1" x14ac:dyDescent="0.25">
      <c r="A83" s="10"/>
      <c r="B83" s="29" t="s">
        <v>0</v>
      </c>
      <c r="C83" s="10"/>
      <c r="D83" s="4">
        <f>SUM(OSRRefD25x_0)</f>
        <v>13269</v>
      </c>
      <c r="E83" s="4"/>
      <c r="F83" s="12">
        <f t="shared" ref="F83:F85" si="54">IF(D$12=0,0,D83/D$12)</f>
        <v>0.34327429191431102</v>
      </c>
      <c r="G83" s="4"/>
      <c r="H83" s="4">
        <f>SUM(OSRRefH25x_0)</f>
        <v>12250</v>
      </c>
      <c r="I83" s="4"/>
      <c r="J83" s="12">
        <f t="shared" ref="J83:J85" si="55">IF(H$12=0,0,H83/H$12)</f>
        <v>0.2803203661327231</v>
      </c>
      <c r="K83" s="4"/>
      <c r="L83" s="4">
        <f t="shared" ref="L83:L85" si="56">+D83-H83</f>
        <v>1019</v>
      </c>
      <c r="M83" s="4"/>
      <c r="N83" s="12">
        <f t="shared" ref="N83:N85" si="57">IF(H83=0,0,L83/H83)</f>
        <v>8.3183673469387751E-2</v>
      </c>
      <c r="O83" s="10"/>
      <c r="P83" s="4">
        <f>SUM(OSRRefP25x_0)</f>
        <v>66345</v>
      </c>
      <c r="Q83" s="4"/>
      <c r="R83" s="12">
        <f t="shared" ref="R83:R85" si="58">IF(P$12=0,0,P83/P$12)</f>
        <v>0.25202650660150283</v>
      </c>
      <c r="S83" s="4"/>
      <c r="T83" s="4">
        <f>SUM(OSRRefT25x_0)</f>
        <v>61250</v>
      </c>
      <c r="U83" s="4"/>
      <c r="V83" s="12">
        <f t="shared" ref="V83:V85" si="59">IF(T$12=0,0,T83/T$12)</f>
        <v>0.20100914796734626</v>
      </c>
      <c r="W83" s="4"/>
      <c r="X83" s="4">
        <f t="shared" ref="X83:X85" si="60">+P83-T83</f>
        <v>5095</v>
      </c>
      <c r="Y83" s="4"/>
      <c r="Z83" s="12">
        <f t="shared" ref="Z83:Z85" si="61">IF(T83=0,0,X83/T83)</f>
        <v>8.3183673469387751E-2</v>
      </c>
    </row>
    <row r="84" spans="1:26" s="24" customFormat="1" hidden="1" outlineLevel="1" x14ac:dyDescent="0.25">
      <c r="A84" s="44"/>
      <c r="B84" s="11" t="str">
        <f>CONCATENATE("          ", "9150", " - ", "MISC. INCOME")</f>
        <v xml:space="preserve">          9150 - MISC. INCOME</v>
      </c>
      <c r="C84" s="11"/>
      <c r="D84" s="2">
        <f>--13269</f>
        <v>13269</v>
      </c>
      <c r="E84" s="2"/>
      <c r="F84" s="19">
        <f t="shared" si="54"/>
        <v>0.34327429191431102</v>
      </c>
      <c r="G84" s="2"/>
      <c r="H84" s="2"/>
      <c r="I84" s="2"/>
      <c r="J84" s="19">
        <f t="shared" si="55"/>
        <v>0</v>
      </c>
      <c r="K84" s="2"/>
      <c r="L84" s="2">
        <f t="shared" si="56"/>
        <v>13269</v>
      </c>
      <c r="M84" s="2"/>
      <c r="N84" s="19">
        <f t="shared" si="57"/>
        <v>0</v>
      </c>
      <c r="O84" s="11"/>
      <c r="P84" s="2">
        <f>--66345</f>
        <v>66345</v>
      </c>
      <c r="Q84" s="2"/>
      <c r="R84" s="19">
        <f t="shared" si="58"/>
        <v>0.25202650660150283</v>
      </c>
      <c r="S84" s="2"/>
      <c r="T84" s="2">
        <v>12250</v>
      </c>
      <c r="U84" s="2"/>
      <c r="V84" s="19">
        <f t="shared" si="59"/>
        <v>4.0201829593469254E-2</v>
      </c>
      <c r="W84" s="2"/>
      <c r="X84" s="2">
        <f t="shared" si="60"/>
        <v>54095</v>
      </c>
      <c r="Y84" s="2"/>
      <c r="Z84" s="19">
        <f t="shared" si="61"/>
        <v>4.4159183673469391</v>
      </c>
    </row>
    <row r="85" spans="1:26" s="24" customFormat="1" hidden="1" outlineLevel="1" x14ac:dyDescent="0.25">
      <c r="A85" s="44"/>
      <c r="B85" s="11" t="str">
        <f>CONCATENATE("          ", "9151", " - ", "MISC. INCOME")</f>
        <v xml:space="preserve">          9151 - MISC. INCOME</v>
      </c>
      <c r="C85" s="11"/>
      <c r="D85" s="2">
        <f>0</f>
        <v>0</v>
      </c>
      <c r="E85" s="2"/>
      <c r="F85" s="19">
        <f t="shared" si="54"/>
        <v>0</v>
      </c>
      <c r="G85" s="2"/>
      <c r="H85" s="2">
        <v>12250</v>
      </c>
      <c r="I85" s="2"/>
      <c r="J85" s="19">
        <f t="shared" si="55"/>
        <v>0.2803203661327231</v>
      </c>
      <c r="K85" s="2"/>
      <c r="L85" s="2">
        <f t="shared" si="56"/>
        <v>-12250</v>
      </c>
      <c r="M85" s="2"/>
      <c r="N85" s="19">
        <f t="shared" si="57"/>
        <v>-1</v>
      </c>
      <c r="O85" s="11"/>
      <c r="P85" s="2">
        <f>0</f>
        <v>0</v>
      </c>
      <c r="Q85" s="2"/>
      <c r="R85" s="19">
        <f t="shared" si="58"/>
        <v>0</v>
      </c>
      <c r="S85" s="2"/>
      <c r="T85" s="2">
        <v>49000</v>
      </c>
      <c r="U85" s="2"/>
      <c r="V85" s="19">
        <f t="shared" si="59"/>
        <v>0.16080731837387702</v>
      </c>
      <c r="W85" s="2"/>
      <c r="X85" s="2">
        <f t="shared" si="60"/>
        <v>-49000</v>
      </c>
      <c r="Y85" s="2"/>
      <c r="Z85" s="19">
        <f t="shared" si="61"/>
        <v>-1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8" t="s">
        <v>3</v>
      </c>
      <c r="C87" s="28"/>
      <c r="D87" s="20">
        <f>+D29-D31+D83</f>
        <v>4924.4899999999834</v>
      </c>
      <c r="E87" s="14"/>
      <c r="F87" s="22">
        <f>IF(D$12=0,0,D87/D$12)</f>
        <v>0.12739850914078679</v>
      </c>
      <c r="G87" s="14"/>
      <c r="H87" s="20">
        <f>+H29-H31+H83</f>
        <v>8393.8817679735948</v>
      </c>
      <c r="I87" s="14"/>
      <c r="J87" s="22">
        <f>IF(H$12=0,0,H87/H$12)</f>
        <v>0.19207967432433856</v>
      </c>
      <c r="K87" s="16"/>
      <c r="L87" s="20">
        <f>+D87-H87</f>
        <v>-3469.3917679736114</v>
      </c>
      <c r="M87" s="16"/>
      <c r="N87" s="22">
        <f>IF(H87=0,0,L87/H87)</f>
        <v>-0.41332387849575025</v>
      </c>
      <c r="O87" s="29"/>
      <c r="P87" s="20">
        <f>+P29-P31+P83</f>
        <v>105578.80000000002</v>
      </c>
      <c r="Q87" s="14"/>
      <c r="R87" s="22">
        <f>IF(P$12=0,0,P87/P$12)</f>
        <v>0.40106498055887785</v>
      </c>
      <c r="S87" s="14"/>
      <c r="T87" s="20">
        <f>+T29-T31+T83</f>
        <v>108311.77754796122</v>
      </c>
      <c r="U87" s="14"/>
      <c r="V87" s="22">
        <f>IF(T$12=0,0,T87/T$12)</f>
        <v>0.35545564277133762</v>
      </c>
      <c r="W87" s="16"/>
      <c r="X87" s="20">
        <f>+P87-T87</f>
        <v>-2732.9775479611999</v>
      </c>
      <c r="Y87" s="16"/>
      <c r="Z87" s="22">
        <f>IF(T87=0,0,X87/T87)</f>
        <v>-2.5232505733284807E-2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2"/>
      <c r="B89" s="10" t="s">
        <v>14</v>
      </c>
      <c r="C89" s="10"/>
      <c r="D89" s="4">
        <v>5267.99</v>
      </c>
      <c r="E89" s="4"/>
      <c r="F89" s="12">
        <f>IF(D$12=0,0,D89/D$12)</f>
        <v>0.13628499035810318</v>
      </c>
      <c r="G89" s="4"/>
      <c r="H89" s="4">
        <v>7185</v>
      </c>
      <c r="I89" s="4"/>
      <c r="J89" s="12">
        <f>IF(H$12=0,0,H89/H$12)</f>
        <v>0.16441647597254005</v>
      </c>
      <c r="K89" s="4"/>
      <c r="L89" s="4">
        <f>+D89-H89</f>
        <v>-1917.0100000000002</v>
      </c>
      <c r="M89" s="4"/>
      <c r="N89" s="12">
        <f>IF(H89=0,0,L89/H89)</f>
        <v>-0.26680723729993044</v>
      </c>
      <c r="O89" s="10"/>
      <c r="P89" s="4">
        <v>27875.98</v>
      </c>
      <c r="Q89" s="4"/>
      <c r="R89" s="12">
        <f>IF(P$12=0,0,P89/P$12)</f>
        <v>0.10589322266174331</v>
      </c>
      <c r="S89" s="4"/>
      <c r="T89" s="4">
        <v>38616</v>
      </c>
      <c r="U89" s="4"/>
      <c r="V89" s="12">
        <f>IF(T$12=0,0,T89/T$12)</f>
        <v>0.12672929400664562</v>
      </c>
      <c r="W89" s="4"/>
      <c r="X89" s="4">
        <f>+P89-T89</f>
        <v>-10740.02</v>
      </c>
      <c r="Y89" s="4"/>
      <c r="Z89" s="12">
        <f>IF(T89=0,0,X89/T89)</f>
        <v>-0.27812357571990887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4</v>
      </c>
      <c r="C91" s="28"/>
      <c r="D91" s="30">
        <f>+D87-D89</f>
        <v>-343.50000000001637</v>
      </c>
      <c r="E91" s="14"/>
      <c r="F91" s="32">
        <f>IF(D$12=0,0,D91/D$12)</f>
        <v>-8.8864812173164113E-3</v>
      </c>
      <c r="G91" s="14"/>
      <c r="H91" s="30">
        <f>+H87-H89</f>
        <v>1208.8817679735948</v>
      </c>
      <c r="I91" s="14"/>
      <c r="J91" s="32">
        <f>IF(H$12=0,0,H91/H$12)</f>
        <v>2.766319835179851E-2</v>
      </c>
      <c r="K91" s="16"/>
      <c r="L91" s="30">
        <f>D91-H91</f>
        <v>-1552.3817679736112</v>
      </c>
      <c r="M91" s="16"/>
      <c r="N91" s="32">
        <f>IF(H91=0,0,L91/H91)</f>
        <v>-1.2841468943450218</v>
      </c>
      <c r="O91" s="29"/>
      <c r="P91" s="30">
        <f>+P87-P89</f>
        <v>77702.820000000022</v>
      </c>
      <c r="Q91" s="14"/>
      <c r="R91" s="32">
        <f>IF(P$12=0,0,P91/P$12)</f>
        <v>0.29517175789713451</v>
      </c>
      <c r="S91" s="14"/>
      <c r="T91" s="30">
        <f>+T87-T89</f>
        <v>69695.777547961217</v>
      </c>
      <c r="U91" s="14"/>
      <c r="V91" s="32">
        <f>IF(T$12=0,0,T91/T$12)</f>
        <v>0.22872634876469203</v>
      </c>
      <c r="W91" s="16"/>
      <c r="X91" s="30">
        <f>P91-T91</f>
        <v>8007.0424520388042</v>
      </c>
      <c r="Y91" s="16"/>
      <c r="Z91" s="32">
        <f>IF(T91=0,0,X91/T91)</f>
        <v>0.11488561766211375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8" t="s">
        <v>5</v>
      </c>
      <c r="C94" s="28"/>
      <c r="D94" s="31">
        <f>SUM(D91:D93)</f>
        <v>-343.50000000001637</v>
      </c>
      <c r="E94" s="14"/>
      <c r="F94" s="35">
        <f>IF(D$12=0,0,D94/D$12)</f>
        <v>-8.8864812173164113E-3</v>
      </c>
      <c r="G94" s="14"/>
      <c r="H94" s="31">
        <f>SUM(H91:H93)</f>
        <v>1208.8817679735948</v>
      </c>
      <c r="I94" s="14"/>
      <c r="J94" s="35">
        <f>IF(H$12=0,0,H94/H$12)</f>
        <v>2.766319835179851E-2</v>
      </c>
      <c r="K94" s="16"/>
      <c r="L94" s="31">
        <f>+D94-H94</f>
        <v>-1552.3817679736112</v>
      </c>
      <c r="M94" s="16"/>
      <c r="N94" s="35">
        <f>IF(H94=0,0,L94/H94)</f>
        <v>-1.2841468943450218</v>
      </c>
      <c r="O94" s="29"/>
      <c r="P94" s="31">
        <f>SUM(P91:P93)</f>
        <v>77702.820000000022</v>
      </c>
      <c r="Q94" s="14"/>
      <c r="R94" s="35">
        <f>IF(P$12=0,0,P94/P$12)</f>
        <v>0.29517175789713451</v>
      </c>
      <c r="S94" s="14"/>
      <c r="T94" s="31">
        <f>SUM(T91:T93)</f>
        <v>69695.777547961217</v>
      </c>
      <c r="U94" s="14"/>
      <c r="V94" s="35">
        <f>IF(T$12=0,0,T94/T$12)</f>
        <v>0.22872634876469203</v>
      </c>
      <c r="W94" s="16"/>
      <c r="X94" s="31">
        <f>+P94-T94</f>
        <v>8007.0424520388042</v>
      </c>
      <c r="Y94" s="16"/>
      <c r="Z94" s="35">
        <f>IF(T94=0,0,X94/T94)</f>
        <v>0.11488561766211375</v>
      </c>
    </row>
    <row r="95" spans="1:26" ht="15.75" thickTop="1" x14ac:dyDescent="0.25">
      <c r="A95" s="9"/>
      <c r="C95" s="9"/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56">
        <v>43815.483761574076</v>
      </c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62" t="s">
        <v>314</v>
      </c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A98" s="9"/>
      <c r="B98" s="58"/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25"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","320", " - ", "Customer Service (old)")</f>
        <v>Department 320 - Customer Service (old)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2410.4300000000003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2410.4300000000003</v>
      </c>
      <c r="M12" s="4"/>
      <c r="N12" s="12">
        <f t="shared" ref="N12:N15" si="1">IF(H12=0,0,L12/H12)</f>
        <v>0</v>
      </c>
      <c r="O12" s="10"/>
      <c r="P12" s="4">
        <f>SUM(OSRRefP13x_0)</f>
        <v>7310.24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5" si="2">+P12-T12</f>
        <v>7310.24</v>
      </c>
      <c r="Y12" s="4"/>
      <c r="Z12" s="12">
        <f t="shared" ref="Z12:Z15" si="3">IF(T12=0,0,X12/T12)</f>
        <v>0</v>
      </c>
    </row>
    <row r="13" spans="1:26" s="24" customFormat="1" hidden="1" outlineLevel="1" x14ac:dyDescent="0.25">
      <c r="A13" s="44"/>
      <c r="B13" s="11" t="str">
        <f>CONCATENATE("          ", "4092", " - ", "TAXABLE SALES-GRAD MERCH")</f>
        <v xml:space="preserve">          4092 - TAXABLE SALES-GRAD MERCH</v>
      </c>
      <c r="C13" s="11"/>
      <c r="D13" s="2">
        <f>--2389.54</f>
        <v>2389.54</v>
      </c>
      <c r="E13" s="2"/>
      <c r="F13" s="19"/>
      <c r="G13" s="2"/>
      <c r="H13" s="2"/>
      <c r="I13" s="2"/>
      <c r="J13" s="19"/>
      <c r="K13" s="2"/>
      <c r="L13" s="2">
        <f t="shared" si="0"/>
        <v>2389.54</v>
      </c>
      <c r="M13" s="2"/>
      <c r="N13" s="19">
        <f t="shared" si="1"/>
        <v>0</v>
      </c>
      <c r="O13" s="11"/>
      <c r="P13" s="2">
        <f>--7480.57</f>
        <v>7480.57</v>
      </c>
      <c r="Q13" s="2"/>
      <c r="R13" s="19"/>
      <c r="S13" s="2"/>
      <c r="T13" s="2"/>
      <c r="U13" s="2"/>
      <c r="V13" s="19"/>
      <c r="W13" s="2"/>
      <c r="X13" s="2">
        <f t="shared" si="2"/>
        <v>7480.57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"4095", " - ", "TAXABLE SALES-CUSTOMER SERVICE")</f>
        <v xml:space="preserve">          4095 - TAXABLE SALES-CUSTOMER SERVICE</v>
      </c>
      <c r="C14" s="11"/>
      <c r="D14" s="2">
        <f>--30.84</f>
        <v>30.84</v>
      </c>
      <c r="E14" s="2"/>
      <c r="F14" s="19"/>
      <c r="G14" s="2"/>
      <c r="H14" s="2"/>
      <c r="I14" s="2"/>
      <c r="J14" s="19"/>
      <c r="K14" s="2"/>
      <c r="L14" s="2">
        <f t="shared" si="0"/>
        <v>30.84</v>
      </c>
      <c r="M14" s="2"/>
      <c r="N14" s="19">
        <f t="shared" si="1"/>
        <v>0</v>
      </c>
      <c r="O14" s="11"/>
      <c r="P14" s="2">
        <f>--248.72</f>
        <v>248.72</v>
      </c>
      <c r="Q14" s="2"/>
      <c r="R14" s="19"/>
      <c r="S14" s="2"/>
      <c r="T14" s="2"/>
      <c r="U14" s="2"/>
      <c r="V14" s="19"/>
      <c r="W14" s="2"/>
      <c r="X14" s="2">
        <f t="shared" si="2"/>
        <v>248.72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"4292", " - ", "SALES RETURN TAXABLE-GRAD MERC")</f>
        <v xml:space="preserve">          4292 - SALES RETURN TAXABLE-GRAD MERC</v>
      </c>
      <c r="C15" s="11"/>
      <c r="D15" s="2">
        <f>-9.95</f>
        <v>-9.9499999999999993</v>
      </c>
      <c r="E15" s="2"/>
      <c r="F15" s="19"/>
      <c r="G15" s="2"/>
      <c r="H15" s="2"/>
      <c r="I15" s="2"/>
      <c r="J15" s="19"/>
      <c r="K15" s="2"/>
      <c r="L15" s="2">
        <f t="shared" si="0"/>
        <v>-9.9499999999999993</v>
      </c>
      <c r="M15" s="2"/>
      <c r="N15" s="19">
        <f t="shared" si="1"/>
        <v>0</v>
      </c>
      <c r="O15" s="11"/>
      <c r="P15" s="2">
        <f>-419.05</f>
        <v>-419.05</v>
      </c>
      <c r="Q15" s="2"/>
      <c r="R15" s="19"/>
      <c r="S15" s="2"/>
      <c r="T15" s="2"/>
      <c r="U15" s="2"/>
      <c r="V15" s="19"/>
      <c r="W15" s="2"/>
      <c r="X15" s="2">
        <f t="shared" si="2"/>
        <v>-419.05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1226</v>
      </c>
      <c r="E17" s="4"/>
      <c r="F17" s="12">
        <f t="shared" ref="F17:F22" si="4">IF(D$12=0,0,D17/D$12)</f>
        <v>0.50862294279443909</v>
      </c>
      <c r="G17" s="4"/>
      <c r="H17" s="4">
        <f>SUM(OSRRefH16x_0)</f>
        <v>0</v>
      </c>
      <c r="I17" s="4"/>
      <c r="J17" s="12">
        <f t="shared" ref="J17:J22" si="5">IF(H$12=0,0,H17/H$12)</f>
        <v>0</v>
      </c>
      <c r="K17" s="4"/>
      <c r="L17" s="4">
        <f t="shared" ref="L17:L22" si="6">+D17-H17</f>
        <v>1226</v>
      </c>
      <c r="M17" s="4"/>
      <c r="N17" s="12">
        <f t="shared" ref="N17:N22" si="7">IF(H17=0,0,L17/H17)</f>
        <v>0</v>
      </c>
      <c r="O17" s="10"/>
      <c r="P17" s="4">
        <f>SUM(OSRRefP16x_0)</f>
        <v>3688.1200000000003</v>
      </c>
      <c r="Q17" s="4"/>
      <c r="R17" s="12">
        <f t="shared" ref="R17:R22" si="8">IF(P$12=0,0,P17/P$12)</f>
        <v>0.50451421567554555</v>
      </c>
      <c r="S17" s="4"/>
      <c r="T17" s="4">
        <f>SUM(OSRRefT16x_0)</f>
        <v>0</v>
      </c>
      <c r="U17" s="4"/>
      <c r="V17" s="12">
        <f t="shared" ref="V17:V22" si="9">IF(T$12=0,0,T17/T$12)</f>
        <v>0</v>
      </c>
      <c r="W17" s="4"/>
      <c r="X17" s="4">
        <f t="shared" ref="X17:X22" si="10">+P17-T17</f>
        <v>3688.1200000000003</v>
      </c>
      <c r="Y17" s="4"/>
      <c r="Z17" s="12">
        <f t="shared" ref="Z17:Z22" si="11">IF(T17=0,0,X17/T17)</f>
        <v>0</v>
      </c>
    </row>
    <row r="18" spans="1:26" s="24" customFormat="1" hidden="1" outlineLevel="1" x14ac:dyDescent="0.25">
      <c r="A18" s="44"/>
      <c r="B18" s="11" t="str">
        <f>CONCATENATE("          ", "5092", " - ", "PURCHASES @ COST-GRAD MERCH")</f>
        <v xml:space="preserve">          5092 - PURCHASES @ COST-GRAD MERCH</v>
      </c>
      <c r="C18" s="11"/>
      <c r="D18" s="2">
        <v>628</v>
      </c>
      <c r="E18" s="2"/>
      <c r="F18" s="19">
        <f t="shared" si="4"/>
        <v>0.26053442746729832</v>
      </c>
      <c r="G18" s="2"/>
      <c r="H18" s="2"/>
      <c r="I18" s="2"/>
      <c r="J18" s="19">
        <f t="shared" si="5"/>
        <v>0</v>
      </c>
      <c r="K18" s="2"/>
      <c r="L18" s="2">
        <f t="shared" si="6"/>
        <v>628</v>
      </c>
      <c r="M18" s="2"/>
      <c r="N18" s="19">
        <f t="shared" si="7"/>
        <v>0</v>
      </c>
      <c r="O18" s="11"/>
      <c r="P18" s="2">
        <v>1984.49</v>
      </c>
      <c r="Q18" s="2"/>
      <c r="R18" s="19">
        <f t="shared" si="8"/>
        <v>0.2714671474534352</v>
      </c>
      <c r="S18" s="2"/>
      <c r="T18" s="2"/>
      <c r="U18" s="2"/>
      <c r="V18" s="19">
        <f t="shared" si="9"/>
        <v>0</v>
      </c>
      <c r="W18" s="2"/>
      <c r="X18" s="2">
        <f t="shared" si="10"/>
        <v>1984.49</v>
      </c>
      <c r="Y18" s="2"/>
      <c r="Z18" s="19">
        <f t="shared" si="11"/>
        <v>0</v>
      </c>
    </row>
    <row r="19" spans="1:26" s="24" customFormat="1" hidden="1" outlineLevel="1" x14ac:dyDescent="0.25">
      <c r="A19" s="44"/>
      <c r="B19" s="11" t="str">
        <f>CONCATENATE("          ", "5095", " - ", "PURCHASES @ COST-CUSTOMER SERV")</f>
        <v xml:space="preserve">          5095 - PURCHASES @ COST-CUSTOMER SERV</v>
      </c>
      <c r="C19" s="11"/>
      <c r="D19" s="2"/>
      <c r="E19" s="2"/>
      <c r="F19" s="19">
        <f t="shared" si="4"/>
        <v>0</v>
      </c>
      <c r="G19" s="2"/>
      <c r="H19" s="2"/>
      <c r="I19" s="2"/>
      <c r="J19" s="19">
        <f t="shared" si="5"/>
        <v>0</v>
      </c>
      <c r="K19" s="2"/>
      <c r="L19" s="2">
        <f t="shared" si="6"/>
        <v>0</v>
      </c>
      <c r="M19" s="2"/>
      <c r="N19" s="19">
        <f t="shared" si="7"/>
        <v>0</v>
      </c>
      <c r="O19" s="11"/>
      <c r="P19" s="2">
        <v>11.85</v>
      </c>
      <c r="Q19" s="2"/>
      <c r="R19" s="19">
        <f t="shared" si="8"/>
        <v>1.6210138107640788E-3</v>
      </c>
      <c r="S19" s="2"/>
      <c r="T19" s="2"/>
      <c r="U19" s="2"/>
      <c r="V19" s="19">
        <f t="shared" si="9"/>
        <v>0</v>
      </c>
      <c r="W19" s="2"/>
      <c r="X19" s="2">
        <f t="shared" si="10"/>
        <v>11.85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"5200", " - ", "PURCHASES OFFSET")</f>
        <v xml:space="preserve">          5200 - PURCHASES OFFSET</v>
      </c>
      <c r="C20" s="11"/>
      <c r="D20" s="2">
        <v>-663</v>
      </c>
      <c r="E20" s="2"/>
      <c r="F20" s="19">
        <f t="shared" si="4"/>
        <v>-0.27505465829748216</v>
      </c>
      <c r="G20" s="2"/>
      <c r="H20" s="2"/>
      <c r="I20" s="2"/>
      <c r="J20" s="19">
        <f t="shared" si="5"/>
        <v>0</v>
      </c>
      <c r="K20" s="2"/>
      <c r="L20" s="2">
        <f t="shared" si="6"/>
        <v>-663</v>
      </c>
      <c r="M20" s="2"/>
      <c r="N20" s="19">
        <f t="shared" si="7"/>
        <v>0</v>
      </c>
      <c r="O20" s="11"/>
      <c r="P20" s="2">
        <v>-2103</v>
      </c>
      <c r="Q20" s="2"/>
      <c r="R20" s="19">
        <f t="shared" si="8"/>
        <v>-0.28767865350522009</v>
      </c>
      <c r="S20" s="2"/>
      <c r="T20" s="2"/>
      <c r="U20" s="2"/>
      <c r="V20" s="19">
        <f t="shared" si="9"/>
        <v>0</v>
      </c>
      <c r="W20" s="2"/>
      <c r="X20" s="2">
        <f t="shared" si="10"/>
        <v>-2103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"5300", " - ", "COG$ OFFSET")</f>
        <v xml:space="preserve">          5300 - COG$ OFFSET</v>
      </c>
      <c r="C21" s="11"/>
      <c r="D21" s="2">
        <v>1226</v>
      </c>
      <c r="E21" s="2"/>
      <c r="F21" s="19">
        <f t="shared" si="4"/>
        <v>0.50862294279443909</v>
      </c>
      <c r="G21" s="2"/>
      <c r="H21" s="2"/>
      <c r="I21" s="2"/>
      <c r="J21" s="19">
        <f t="shared" si="5"/>
        <v>0</v>
      </c>
      <c r="K21" s="2"/>
      <c r="L21" s="2">
        <f t="shared" si="6"/>
        <v>1226</v>
      </c>
      <c r="M21" s="2"/>
      <c r="N21" s="19">
        <f t="shared" si="7"/>
        <v>0</v>
      </c>
      <c r="O21" s="11"/>
      <c r="P21" s="2">
        <v>3689</v>
      </c>
      <c r="Q21" s="2"/>
      <c r="R21" s="19">
        <f t="shared" si="8"/>
        <v>0.50463459476022676</v>
      </c>
      <c r="S21" s="2"/>
      <c r="T21" s="2"/>
      <c r="U21" s="2"/>
      <c r="V21" s="19">
        <f t="shared" si="9"/>
        <v>0</v>
      </c>
      <c r="W21" s="2"/>
      <c r="X21" s="2">
        <f t="shared" si="10"/>
        <v>3689</v>
      </c>
      <c r="Y21" s="2"/>
      <c r="Z21" s="19">
        <f t="shared" si="11"/>
        <v>0</v>
      </c>
    </row>
    <row r="22" spans="1:26" s="24" customFormat="1" hidden="1" outlineLevel="1" x14ac:dyDescent="0.25">
      <c r="A22" s="44"/>
      <c r="B22" s="11" t="str">
        <f>CONCATENATE("          ", "5592", " - ", "FREIGHT-IN-GRAD MERCH")</f>
        <v xml:space="preserve">          5592 - FREIGHT-IN-GRAD MERCH</v>
      </c>
      <c r="C22" s="11"/>
      <c r="D22" s="2">
        <v>35</v>
      </c>
      <c r="E22" s="2"/>
      <c r="F22" s="19">
        <f t="shared" si="4"/>
        <v>1.4520230830183825E-2</v>
      </c>
      <c r="G22" s="2"/>
      <c r="H22" s="2"/>
      <c r="I22" s="2"/>
      <c r="J22" s="19">
        <f t="shared" si="5"/>
        <v>0</v>
      </c>
      <c r="K22" s="2"/>
      <c r="L22" s="2">
        <f t="shared" si="6"/>
        <v>35</v>
      </c>
      <c r="M22" s="2"/>
      <c r="N22" s="19">
        <f t="shared" si="7"/>
        <v>0</v>
      </c>
      <c r="O22" s="11"/>
      <c r="P22" s="2">
        <v>105.78</v>
      </c>
      <c r="Q22" s="2"/>
      <c r="R22" s="19">
        <f t="shared" si="8"/>
        <v>1.4470113156339601E-2</v>
      </c>
      <c r="S22" s="2"/>
      <c r="T22" s="2"/>
      <c r="U22" s="2"/>
      <c r="V22" s="19">
        <f t="shared" si="9"/>
        <v>0</v>
      </c>
      <c r="W22" s="2"/>
      <c r="X22" s="2">
        <f t="shared" si="10"/>
        <v>105.78</v>
      </c>
      <c r="Y22" s="2"/>
      <c r="Z22" s="19">
        <f t="shared" si="11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8" t="s">
        <v>6</v>
      </c>
      <c r="C24" s="28"/>
      <c r="D24" s="20">
        <f>D12-D17</f>
        <v>1184.4300000000003</v>
      </c>
      <c r="E24" s="14"/>
      <c r="F24" s="22">
        <f>IF(D$12=0,0,D24/D$12)</f>
        <v>0.49137705720556091</v>
      </c>
      <c r="G24" s="14"/>
      <c r="H24" s="20">
        <f>H12-H17</f>
        <v>0</v>
      </c>
      <c r="I24" s="14"/>
      <c r="J24" s="22">
        <f>IF(H$12=0,0,H24/H$12)</f>
        <v>0</v>
      </c>
      <c r="K24" s="16"/>
      <c r="L24" s="20">
        <f>+D24-H24</f>
        <v>1184.4300000000003</v>
      </c>
      <c r="M24" s="16"/>
      <c r="N24" s="22">
        <f>IF(H24=0,0,L24/H24)</f>
        <v>0</v>
      </c>
      <c r="O24" s="29"/>
      <c r="P24" s="20">
        <f>P12-P17</f>
        <v>3622.1199999999994</v>
      </c>
      <c r="Q24" s="14"/>
      <c r="R24" s="22">
        <f>IF(P$12=0,0,P24/P$12)</f>
        <v>0.49548578432445439</v>
      </c>
      <c r="S24" s="14"/>
      <c r="T24" s="20">
        <f>T12-T17</f>
        <v>0</v>
      </c>
      <c r="U24" s="14"/>
      <c r="V24" s="22">
        <f>IF(T$12=0,0,T24/T$12)</f>
        <v>0</v>
      </c>
      <c r="W24" s="16"/>
      <c r="X24" s="20">
        <f>+P24-T24</f>
        <v>3622.1199999999994</v>
      </c>
      <c r="Y24" s="16"/>
      <c r="Z24" s="22">
        <f>IF(T24=0,0,X24/T24)</f>
        <v>0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9" t="s">
        <v>9</v>
      </c>
      <c r="C26" s="10"/>
      <c r="D26" s="21">
        <f>SUM(OSRRefD22x_0)</f>
        <v>3307.1600000000003</v>
      </c>
      <c r="E26" s="21"/>
      <c r="F26" s="33">
        <f t="shared" ref="F26:F35" si="12">IF(D$12=0,0,D26/D$12)</f>
        <v>1.3720207597814498</v>
      </c>
      <c r="G26" s="21"/>
      <c r="H26" s="21">
        <f>SUM(OSRRefH22x_0)</f>
        <v>3034.606592115389</v>
      </c>
      <c r="I26" s="21"/>
      <c r="J26" s="33">
        <f t="shared" ref="J26:J35" si="13">IF(H$12=0,0,H26/H$12)</f>
        <v>0</v>
      </c>
      <c r="K26" s="4"/>
      <c r="L26" s="21">
        <f t="shared" ref="L26:L35" si="14">+D26-H26</f>
        <v>272.55340788461126</v>
      </c>
      <c r="M26" s="4"/>
      <c r="N26" s="33">
        <f t="shared" ref="N26:N35" si="15">IF(H26=0,0,L26/H26)</f>
        <v>8.9815071447075928E-2</v>
      </c>
      <c r="O26" s="10"/>
      <c r="P26" s="21">
        <f>SUM(OSRRefP22x_0)</f>
        <v>3005.6099999999974</v>
      </c>
      <c r="Q26" s="21"/>
      <c r="R26" s="33">
        <f t="shared" ref="R26:R35" si="16">IF(P$12=0,0,P26/P$12)</f>
        <v>0.41115065989625477</v>
      </c>
      <c r="S26" s="21"/>
      <c r="T26" s="21">
        <f>SUM(OSRRefT22x_0)</f>
        <v>-18864.663743365367</v>
      </c>
      <c r="U26" s="21"/>
      <c r="V26" s="33">
        <f t="shared" ref="V26:V35" si="17">IF(T$12=0,0,T26/T$12)</f>
        <v>0</v>
      </c>
      <c r="W26" s="4"/>
      <c r="X26" s="21">
        <f t="shared" ref="X26:X35" si="18">+P26-T26</f>
        <v>21870.273743365364</v>
      </c>
      <c r="Y26" s="4"/>
      <c r="Z26" s="33">
        <f t="shared" ref="Z26:Z35" si="19">IF(T26=0,0,X26/T26)</f>
        <v>-1.1593248647783112</v>
      </c>
    </row>
    <row r="27" spans="1:26" s="26" customFormat="1" outlineLevel="1" collapsed="1" x14ac:dyDescent="0.25">
      <c r="A27" s="27"/>
      <c r="B27" s="13" t="str">
        <f>CONCATENATE("     ","*Benefits                                         ")</f>
        <v xml:space="preserve">     *Benefits                                         </v>
      </c>
      <c r="C27" s="13"/>
      <c r="D27" s="1">
        <f>SUM(OSRRefD22_0x_0)</f>
        <v>0</v>
      </c>
      <c r="E27" s="1"/>
      <c r="F27" s="5">
        <f t="shared" si="12"/>
        <v>0</v>
      </c>
      <c r="G27" s="1"/>
      <c r="H27" s="1">
        <f>SUM(OSRRefH22_0x_0)</f>
        <v>1178.5227459615389</v>
      </c>
      <c r="I27" s="1"/>
      <c r="J27" s="5">
        <f t="shared" si="13"/>
        <v>0</v>
      </c>
      <c r="K27" s="1"/>
      <c r="L27" s="1">
        <f t="shared" si="14"/>
        <v>-1178.5227459615389</v>
      </c>
      <c r="M27" s="1"/>
      <c r="N27" s="5">
        <f t="shared" si="15"/>
        <v>-1</v>
      </c>
      <c r="O27" s="13"/>
      <c r="P27" s="1">
        <f>SUM(OSRRefP22_0x_0)</f>
        <v>821.29</v>
      </c>
      <c r="Q27" s="1"/>
      <c r="R27" s="5">
        <f t="shared" si="16"/>
        <v>0.11234788461117555</v>
      </c>
      <c r="S27" s="1"/>
      <c r="T27" s="1">
        <f>SUM(OSRRefT22_0x_0)</f>
        <v>6151.8751027884618</v>
      </c>
      <c r="U27" s="1"/>
      <c r="V27" s="5">
        <f t="shared" si="17"/>
        <v>0</v>
      </c>
      <c r="W27" s="1"/>
      <c r="X27" s="1">
        <f t="shared" si="18"/>
        <v>-5330.5851027884619</v>
      </c>
      <c r="Y27" s="1"/>
      <c r="Z27" s="5">
        <f t="shared" si="19"/>
        <v>-0.86649761474713072</v>
      </c>
    </row>
    <row r="28" spans="1:26" s="24" customFormat="1" hidden="1" outlineLevel="2" x14ac:dyDescent="0.25">
      <c r="A28" s="25"/>
      <c r="B28" s="11" t="str">
        <f>CONCATENATE("          ", "6111", " - ", "F.I.C.A.")</f>
        <v xml:space="preserve">          6111 - F.I.C.A.</v>
      </c>
      <c r="C28" s="11"/>
      <c r="D28" s="6"/>
      <c r="E28" s="2"/>
      <c r="F28" s="7">
        <f t="shared" si="12"/>
        <v>0</v>
      </c>
      <c r="G28" s="2"/>
      <c r="H28" s="6">
        <v>150.23869211538502</v>
      </c>
      <c r="I28" s="2"/>
      <c r="J28" s="7">
        <f t="shared" si="13"/>
        <v>0</v>
      </c>
      <c r="K28" s="2"/>
      <c r="L28" s="6">
        <f t="shared" si="14"/>
        <v>-150.23869211538502</v>
      </c>
      <c r="M28" s="2"/>
      <c r="N28" s="7">
        <f t="shared" si="15"/>
        <v>-1</v>
      </c>
      <c r="O28" s="11"/>
      <c r="P28" s="6">
        <v>155.66</v>
      </c>
      <c r="Q28" s="2"/>
      <c r="R28" s="7">
        <f t="shared" si="16"/>
        <v>2.1293418547133885E-2</v>
      </c>
      <c r="S28" s="2"/>
      <c r="T28" s="6">
        <v>826.312806634617</v>
      </c>
      <c r="U28" s="2"/>
      <c r="V28" s="7">
        <f t="shared" si="17"/>
        <v>0</v>
      </c>
      <c r="W28" s="2"/>
      <c r="X28" s="6">
        <f t="shared" si="18"/>
        <v>-670.65280663461704</v>
      </c>
      <c r="Y28" s="2"/>
      <c r="Z28" s="7">
        <f t="shared" si="19"/>
        <v>-0.81162097603936756</v>
      </c>
    </row>
    <row r="29" spans="1:26" s="24" customFormat="1" hidden="1" outlineLevel="2" x14ac:dyDescent="0.25">
      <c r="A29" s="25"/>
      <c r="B29" s="11" t="str">
        <f>CONCATENATE("          ", "6112", " - ", "COMPENSATION INSURANCE")</f>
        <v xml:space="preserve">          6112 - COMPENSATION INSURANCE</v>
      </c>
      <c r="C29" s="11"/>
      <c r="D29" s="6"/>
      <c r="E29" s="2"/>
      <c r="F29" s="7">
        <f t="shared" si="12"/>
        <v>0</v>
      </c>
      <c r="G29" s="2"/>
      <c r="H29" s="6">
        <v>37.299557692307701</v>
      </c>
      <c r="I29" s="2"/>
      <c r="J29" s="7">
        <f t="shared" si="13"/>
        <v>0</v>
      </c>
      <c r="K29" s="2"/>
      <c r="L29" s="6">
        <f t="shared" si="14"/>
        <v>-37.299557692307701</v>
      </c>
      <c r="M29" s="2"/>
      <c r="N29" s="7">
        <f t="shared" si="15"/>
        <v>-1</v>
      </c>
      <c r="O29" s="11"/>
      <c r="P29" s="6">
        <v>22.05</v>
      </c>
      <c r="Q29" s="2"/>
      <c r="R29" s="7">
        <f t="shared" si="16"/>
        <v>3.016316837750881E-3</v>
      </c>
      <c r="S29" s="2"/>
      <c r="T29" s="6">
        <v>205.1475673076923</v>
      </c>
      <c r="U29" s="2"/>
      <c r="V29" s="7">
        <f t="shared" si="17"/>
        <v>0</v>
      </c>
      <c r="W29" s="2"/>
      <c r="X29" s="6">
        <f t="shared" si="18"/>
        <v>-183.09756730769229</v>
      </c>
      <c r="Y29" s="2"/>
      <c r="Z29" s="7">
        <f t="shared" si="19"/>
        <v>-0.89251639544461114</v>
      </c>
    </row>
    <row r="30" spans="1:26" s="24" customFormat="1" hidden="1" outlineLevel="2" x14ac:dyDescent="0.25">
      <c r="A30" s="25"/>
      <c r="B30" s="11" t="str">
        <f>CONCATENATE("          ", "6113", " - ", "GROUP INSURANCE")</f>
        <v xml:space="preserve">          6113 - GROUP INSURANCE</v>
      </c>
      <c r="C30" s="11"/>
      <c r="D30" s="6"/>
      <c r="E30" s="2"/>
      <c r="F30" s="7">
        <f t="shared" si="12"/>
        <v>0</v>
      </c>
      <c r="G30" s="2"/>
      <c r="H30" s="6">
        <v>660</v>
      </c>
      <c r="I30" s="2"/>
      <c r="J30" s="7">
        <f t="shared" si="13"/>
        <v>0</v>
      </c>
      <c r="K30" s="2"/>
      <c r="L30" s="6">
        <f t="shared" si="14"/>
        <v>-660</v>
      </c>
      <c r="M30" s="2"/>
      <c r="N30" s="7">
        <f t="shared" si="15"/>
        <v>-1</v>
      </c>
      <c r="O30" s="11"/>
      <c r="P30" s="6">
        <v>305.26</v>
      </c>
      <c r="Q30" s="2"/>
      <c r="R30" s="7">
        <f t="shared" si="16"/>
        <v>4.1757862942940316E-2</v>
      </c>
      <c r="S30" s="2"/>
      <c r="T30" s="6">
        <v>3300</v>
      </c>
      <c r="U30" s="2"/>
      <c r="V30" s="7">
        <f t="shared" si="17"/>
        <v>0</v>
      </c>
      <c r="W30" s="2"/>
      <c r="X30" s="6">
        <f t="shared" si="18"/>
        <v>-2994.74</v>
      </c>
      <c r="Y30" s="2"/>
      <c r="Z30" s="7">
        <f t="shared" si="19"/>
        <v>-0.90749696969696958</v>
      </c>
    </row>
    <row r="31" spans="1:26" s="24" customFormat="1" hidden="1" outlineLevel="2" x14ac:dyDescent="0.25">
      <c r="A31" s="25"/>
      <c r="B31" s="11" t="str">
        <f>CONCATENATE("          ", "6114", " - ", "STATE UNEMPLOYMENT INSURANCE")</f>
        <v xml:space="preserve">          6114 - STATE UNEMPLOYMENT INSURANCE</v>
      </c>
      <c r="C31" s="11"/>
      <c r="D31" s="6"/>
      <c r="E31" s="2"/>
      <c r="F31" s="7">
        <f t="shared" si="12"/>
        <v>0</v>
      </c>
      <c r="G31" s="2"/>
      <c r="H31" s="6">
        <v>5.1041499999999997</v>
      </c>
      <c r="I31" s="2"/>
      <c r="J31" s="7">
        <f t="shared" si="13"/>
        <v>0</v>
      </c>
      <c r="K31" s="2"/>
      <c r="L31" s="6">
        <f t="shared" si="14"/>
        <v>-5.1041499999999997</v>
      </c>
      <c r="M31" s="2"/>
      <c r="N31" s="7">
        <f t="shared" si="15"/>
        <v>-1</v>
      </c>
      <c r="O31" s="11"/>
      <c r="P31" s="6">
        <v>5</v>
      </c>
      <c r="Q31" s="2"/>
      <c r="R31" s="7">
        <f t="shared" si="16"/>
        <v>6.8397207205235402E-4</v>
      </c>
      <c r="S31" s="2"/>
      <c r="T31" s="6">
        <v>28.072825000000002</v>
      </c>
      <c r="U31" s="2"/>
      <c r="V31" s="7">
        <f t="shared" si="17"/>
        <v>0</v>
      </c>
      <c r="W31" s="2"/>
      <c r="X31" s="6">
        <f t="shared" si="18"/>
        <v>-23.072825000000002</v>
      </c>
      <c r="Y31" s="2"/>
      <c r="Z31" s="7">
        <f t="shared" si="19"/>
        <v>-0.82189181174320713</v>
      </c>
    </row>
    <row r="32" spans="1:26" s="24" customFormat="1" hidden="1" outlineLevel="2" x14ac:dyDescent="0.25">
      <c r="A32" s="25"/>
      <c r="B32" s="11" t="str">
        <f>CONCATENATE("          ", "6115", " - ", "P.E.R.S.")</f>
        <v xml:space="preserve">          6115 - P.E.R.S.</v>
      </c>
      <c r="C32" s="11"/>
      <c r="D32" s="6"/>
      <c r="E32" s="2"/>
      <c r="F32" s="7">
        <f t="shared" si="12"/>
        <v>0</v>
      </c>
      <c r="G32" s="2"/>
      <c r="H32" s="6">
        <v>168.82957692307698</v>
      </c>
      <c r="I32" s="2"/>
      <c r="J32" s="7">
        <f t="shared" si="13"/>
        <v>0</v>
      </c>
      <c r="K32" s="2"/>
      <c r="L32" s="6">
        <f t="shared" si="14"/>
        <v>-168.82957692307698</v>
      </c>
      <c r="M32" s="2"/>
      <c r="N32" s="7">
        <f t="shared" si="15"/>
        <v>-1</v>
      </c>
      <c r="O32" s="11"/>
      <c r="P32" s="6">
        <v>134.12</v>
      </c>
      <c r="Q32" s="2"/>
      <c r="R32" s="7">
        <f t="shared" si="16"/>
        <v>1.8346866860732343E-2</v>
      </c>
      <c r="S32" s="2"/>
      <c r="T32" s="6">
        <v>928.56267307692303</v>
      </c>
      <c r="U32" s="2"/>
      <c r="V32" s="7">
        <f t="shared" si="17"/>
        <v>0</v>
      </c>
      <c r="W32" s="2"/>
      <c r="X32" s="6">
        <f t="shared" si="18"/>
        <v>-794.44267307692303</v>
      </c>
      <c r="Y32" s="2"/>
      <c r="Z32" s="7">
        <f t="shared" si="19"/>
        <v>-0.85556171501534251</v>
      </c>
    </row>
    <row r="33" spans="1:26" s="24" customFormat="1" hidden="1" outlineLevel="2" x14ac:dyDescent="0.25">
      <c r="A33" s="25"/>
      <c r="B33" s="11" t="str">
        <f>CONCATENATE("          ", "6116", " - ", "EDUCATIONAL BENEFITS")</f>
        <v xml:space="preserve">          6116 - EDUCATIONAL BENEFITS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5"/>
      <c r="B34" s="11" t="str">
        <f>CONCATENATE("          ", "6118", " - ", "VACATION")</f>
        <v xml:space="preserve">          6118 - VACATION</v>
      </c>
      <c r="C34" s="11"/>
      <c r="D34" s="6"/>
      <c r="E34" s="2"/>
      <c r="F34" s="7">
        <f t="shared" si="12"/>
        <v>0</v>
      </c>
      <c r="G34" s="2"/>
      <c r="H34" s="6">
        <v>98.156730769230791</v>
      </c>
      <c r="I34" s="2"/>
      <c r="J34" s="7">
        <f t="shared" si="13"/>
        <v>0</v>
      </c>
      <c r="K34" s="2"/>
      <c r="L34" s="6">
        <f t="shared" si="14"/>
        <v>-98.156730769230791</v>
      </c>
      <c r="M34" s="2"/>
      <c r="N34" s="7">
        <f t="shared" si="15"/>
        <v>-1</v>
      </c>
      <c r="O34" s="11"/>
      <c r="P34" s="6">
        <v>110.64</v>
      </c>
      <c r="Q34" s="2"/>
      <c r="R34" s="7">
        <f t="shared" si="16"/>
        <v>1.5134934010374489E-2</v>
      </c>
      <c r="S34" s="2"/>
      <c r="T34" s="6">
        <v>539.8620192307684</v>
      </c>
      <c r="U34" s="2"/>
      <c r="V34" s="7">
        <f t="shared" si="17"/>
        <v>0</v>
      </c>
      <c r="W34" s="2"/>
      <c r="X34" s="6">
        <f t="shared" si="18"/>
        <v>-429.22201923076841</v>
      </c>
      <c r="Y34" s="2"/>
      <c r="Z34" s="7">
        <f t="shared" si="19"/>
        <v>-0.79505874453319147</v>
      </c>
    </row>
    <row r="35" spans="1:26" s="24" customFormat="1" hidden="1" outlineLevel="2" x14ac:dyDescent="0.25">
      <c r="A35" s="25"/>
      <c r="B35" s="11" t="str">
        <f>CONCATENATE("          ", "6119", " - ", "SICK LEAVE")</f>
        <v xml:space="preserve">          6119 - SICK LEAVE</v>
      </c>
      <c r="C35" s="11"/>
      <c r="D35" s="6"/>
      <c r="E35" s="2"/>
      <c r="F35" s="7">
        <f t="shared" si="12"/>
        <v>0</v>
      </c>
      <c r="G35" s="2"/>
      <c r="H35" s="6">
        <v>58.894038461538493</v>
      </c>
      <c r="I35" s="2"/>
      <c r="J35" s="7">
        <f t="shared" si="13"/>
        <v>0</v>
      </c>
      <c r="K35" s="2"/>
      <c r="L35" s="6">
        <f t="shared" si="14"/>
        <v>-58.894038461538493</v>
      </c>
      <c r="M35" s="2"/>
      <c r="N35" s="7">
        <f t="shared" si="15"/>
        <v>-1</v>
      </c>
      <c r="O35" s="11"/>
      <c r="P35" s="6">
        <v>88.56</v>
      </c>
      <c r="Q35" s="2"/>
      <c r="R35" s="7">
        <f t="shared" si="16"/>
        <v>1.2114513340191294E-2</v>
      </c>
      <c r="S35" s="2"/>
      <c r="T35" s="6">
        <v>323.91721153846169</v>
      </c>
      <c r="U35" s="2"/>
      <c r="V35" s="7">
        <f t="shared" si="17"/>
        <v>0</v>
      </c>
      <c r="W35" s="2"/>
      <c r="X35" s="6">
        <f t="shared" si="18"/>
        <v>-235.35721153846168</v>
      </c>
      <c r="Y35" s="2"/>
      <c r="Z35" s="7">
        <f t="shared" si="19"/>
        <v>-0.72659680669829285</v>
      </c>
    </row>
    <row r="36" spans="1:26" s="26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0</v>
      </c>
      <c r="E36" s="1"/>
      <c r="F36" s="5">
        <f t="shared" ref="F36:F46" si="20">IF(D$12=0,0,D36/D$12)</f>
        <v>0</v>
      </c>
      <c r="G36" s="1"/>
      <c r="H36" s="1">
        <f>SUM(OSRRefH22_1x_0)</f>
        <v>1806.0838461538501</v>
      </c>
      <c r="I36" s="1"/>
      <c r="J36" s="5">
        <f t="shared" ref="J36:J46" si="21">IF(H$12=0,0,H36/H$12)</f>
        <v>0</v>
      </c>
      <c r="K36" s="1"/>
      <c r="L36" s="1">
        <f t="shared" ref="L36:L46" si="22">+D36-H36</f>
        <v>-1806.0838461538501</v>
      </c>
      <c r="M36" s="1"/>
      <c r="N36" s="5">
        <f t="shared" ref="N36:N46" si="23">IF(H36=0,0,L36/H36)</f>
        <v>-1</v>
      </c>
      <c r="O36" s="13"/>
      <c r="P36" s="1">
        <f>SUM(OSRRefP22_1x_0)</f>
        <v>1986.7399999999998</v>
      </c>
      <c r="Q36" s="1"/>
      <c r="R36" s="5">
        <f t="shared" ref="R36:R46" si="24">IF(P$12=0,0,P36/P$12)</f>
        <v>0.27177493488585874</v>
      </c>
      <c r="S36" s="1"/>
      <c r="T36" s="1">
        <f>SUM(OSRRefT22_1x_0)</f>
        <v>9933.4611538461704</v>
      </c>
      <c r="U36" s="1"/>
      <c r="V36" s="5">
        <f t="shared" ref="V36:V46" si="25">IF(T$12=0,0,T36/T$12)</f>
        <v>0</v>
      </c>
      <c r="W36" s="1"/>
      <c r="X36" s="1">
        <f t="shared" ref="X36:X46" si="26">+P36-T36</f>
        <v>-7946.7211538461706</v>
      </c>
      <c r="Y36" s="1"/>
      <c r="Z36" s="5">
        <f t="shared" ref="Z36:Z46" si="27">IF(T36=0,0,X36/T36)</f>
        <v>-0.79999519107891737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6"/>
      <c r="E38" s="2"/>
      <c r="F38" s="7">
        <f t="shared" si="20"/>
        <v>0</v>
      </c>
      <c r="G38" s="2"/>
      <c r="H38" s="6">
        <v>1806.0838461538501</v>
      </c>
      <c r="I38" s="2"/>
      <c r="J38" s="7">
        <f t="shared" si="21"/>
        <v>0</v>
      </c>
      <c r="K38" s="2"/>
      <c r="L38" s="6">
        <f t="shared" si="22"/>
        <v>-1806.0838461538501</v>
      </c>
      <c r="M38" s="2"/>
      <c r="N38" s="7">
        <f t="shared" si="23"/>
        <v>-1</v>
      </c>
      <c r="O38" s="11"/>
      <c r="P38" s="6">
        <v>1872</v>
      </c>
      <c r="Q38" s="2"/>
      <c r="R38" s="7">
        <f t="shared" si="24"/>
        <v>0.25607914377640134</v>
      </c>
      <c r="S38" s="2"/>
      <c r="T38" s="6">
        <v>9933.4611538461704</v>
      </c>
      <c r="U38" s="2"/>
      <c r="V38" s="7">
        <f t="shared" si="25"/>
        <v>0</v>
      </c>
      <c r="W38" s="2"/>
      <c r="X38" s="6">
        <f t="shared" si="26"/>
        <v>-8061.4611538461704</v>
      </c>
      <c r="Y38" s="2"/>
      <c r="Z38" s="7">
        <f t="shared" si="27"/>
        <v>-0.81154604915576944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57.37</v>
      </c>
      <c r="Q42" s="2"/>
      <c r="R42" s="7">
        <f t="shared" si="24"/>
        <v>7.8478955547287097E-3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57.37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57.37</v>
      </c>
      <c r="Q43" s="2"/>
      <c r="R43" s="7">
        <f t="shared" si="24"/>
        <v>7.8478955547287097E-3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57.37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6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0</v>
      </c>
      <c r="E47" s="1"/>
      <c r="F47" s="5">
        <f t="shared" ref="F47:F53" si="28">IF(D$12=0,0,D47/D$12)</f>
        <v>0</v>
      </c>
      <c r="G47" s="1"/>
      <c r="H47" s="1">
        <f>SUM(OSRRefH22_2x_0)</f>
        <v>0</v>
      </c>
      <c r="I47" s="1"/>
      <c r="J47" s="5">
        <f t="shared" ref="J47:J53" si="29">IF(H$12=0,0,H47/H$12)</f>
        <v>0</v>
      </c>
      <c r="K47" s="1"/>
      <c r="L47" s="1">
        <f t="shared" ref="L47:L53" si="30">+D47-H47</f>
        <v>0</v>
      </c>
      <c r="M47" s="1"/>
      <c r="N47" s="5">
        <f t="shared" ref="N47:N53" si="31">IF(H47=0,0,L47/H47)</f>
        <v>0</v>
      </c>
      <c r="O47" s="13"/>
      <c r="P47" s="1">
        <f>SUM(OSRRefP22_2x_0)</f>
        <v>-857.46</v>
      </c>
      <c r="Q47" s="1"/>
      <c r="R47" s="5">
        <f t="shared" ref="R47:R53" si="32">IF(P$12=0,0,P47/P$12)</f>
        <v>-0.11729573858040229</v>
      </c>
      <c r="S47" s="1"/>
      <c r="T47" s="1">
        <f>SUM(OSRRefT22_2x_0)</f>
        <v>0</v>
      </c>
      <c r="U47" s="1"/>
      <c r="V47" s="5">
        <f t="shared" ref="V47:V53" si="33">IF(T$12=0,0,T47/T$12)</f>
        <v>0</v>
      </c>
      <c r="W47" s="1"/>
      <c r="X47" s="1">
        <f t="shared" ref="X47:X53" si="34">+P47-T47</f>
        <v>-857.46</v>
      </c>
      <c r="Y47" s="1"/>
      <c r="Z47" s="5">
        <f t="shared" ref="Z47:Z53" si="35">IF(T47=0,0,X47/T47)</f>
        <v>0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28"/>
        <v>0</v>
      </c>
      <c r="G48" s="2"/>
      <c r="H48" s="6"/>
      <c r="I48" s="2"/>
      <c r="J48" s="7">
        <f t="shared" si="29"/>
        <v>0</v>
      </c>
      <c r="K48" s="2"/>
      <c r="L48" s="6">
        <f t="shared" si="30"/>
        <v>0</v>
      </c>
      <c r="M48" s="2"/>
      <c r="N48" s="7">
        <f t="shared" si="31"/>
        <v>0</v>
      </c>
      <c r="O48" s="11"/>
      <c r="P48" s="6">
        <v>-857.46</v>
      </c>
      <c r="Q48" s="2"/>
      <c r="R48" s="7">
        <f t="shared" si="32"/>
        <v>-0.11729573858040229</v>
      </c>
      <c r="S48" s="2"/>
      <c r="T48" s="6"/>
      <c r="U48" s="2"/>
      <c r="V48" s="7">
        <f t="shared" si="33"/>
        <v>0</v>
      </c>
      <c r="W48" s="2"/>
      <c r="X48" s="6">
        <f t="shared" si="34"/>
        <v>-857.46</v>
      </c>
      <c r="Y48" s="2"/>
      <c r="Z48" s="7">
        <f t="shared" si="35"/>
        <v>0</v>
      </c>
    </row>
    <row r="49" spans="1:26" s="26" customFormat="1" outlineLevel="1" collapsed="1" x14ac:dyDescent="0.25">
      <c r="A49" s="27"/>
      <c r="B49" s="13" t="str">
        <f>CONCATENATE("     ","Discounts and Markdowns                           ")</f>
        <v xml:space="preserve">     Discounts and Markdowns                           </v>
      </c>
      <c r="C49" s="13"/>
      <c r="D49" s="1">
        <f>SUM(OSRRefD22_3x_0)</f>
        <v>48.34</v>
      </c>
      <c r="E49" s="1"/>
      <c r="F49" s="5">
        <f t="shared" si="28"/>
        <v>2.0054513095173889E-2</v>
      </c>
      <c r="G49" s="1"/>
      <c r="H49" s="1">
        <f>SUM(OSRRefH22_3x_0)</f>
        <v>100</v>
      </c>
      <c r="I49" s="1"/>
      <c r="J49" s="5">
        <f t="shared" si="29"/>
        <v>0</v>
      </c>
      <c r="K49" s="1"/>
      <c r="L49" s="1">
        <f t="shared" si="30"/>
        <v>-51.66</v>
      </c>
      <c r="M49" s="1"/>
      <c r="N49" s="5">
        <f t="shared" si="31"/>
        <v>-0.51659999999999995</v>
      </c>
      <c r="O49" s="13"/>
      <c r="P49" s="1">
        <f>SUM(OSRRefP22_3x_0)</f>
        <v>287.29000000000002</v>
      </c>
      <c r="Q49" s="1"/>
      <c r="R49" s="5">
        <f t="shared" si="32"/>
        <v>3.9299667315984159E-2</v>
      </c>
      <c r="S49" s="1"/>
      <c r="T49" s="1">
        <f>SUM(OSRRefT22_3x_0)</f>
        <v>500</v>
      </c>
      <c r="U49" s="1"/>
      <c r="V49" s="5">
        <f t="shared" si="33"/>
        <v>0</v>
      </c>
      <c r="W49" s="1"/>
      <c r="X49" s="1">
        <f t="shared" si="34"/>
        <v>-212.70999999999998</v>
      </c>
      <c r="Y49" s="1"/>
      <c r="Z49" s="5">
        <f t="shared" si="35"/>
        <v>-0.42541999999999996</v>
      </c>
    </row>
    <row r="50" spans="1:26" s="24" customFormat="1" hidden="1" outlineLevel="2" x14ac:dyDescent="0.25">
      <c r="A50" s="25"/>
      <c r="B50" s="11" t="str">
        <f>CONCATENATE("          ", "6382", " - ", "DISCOUNTS/MARK DOWNS")</f>
        <v xml:space="preserve">          6382 - DISCOUNTS/MARK DOWNS</v>
      </c>
      <c r="C50" s="11"/>
      <c r="D50" s="6">
        <v>48.34</v>
      </c>
      <c r="E50" s="2"/>
      <c r="F50" s="7">
        <f t="shared" si="28"/>
        <v>2.0054513095173889E-2</v>
      </c>
      <c r="G50" s="2"/>
      <c r="H50" s="6">
        <v>100</v>
      </c>
      <c r="I50" s="2"/>
      <c r="J50" s="7">
        <f t="shared" si="29"/>
        <v>0</v>
      </c>
      <c r="K50" s="2"/>
      <c r="L50" s="6">
        <f t="shared" si="30"/>
        <v>-51.66</v>
      </c>
      <c r="M50" s="2"/>
      <c r="N50" s="7">
        <f t="shared" si="31"/>
        <v>-0.51659999999999995</v>
      </c>
      <c r="O50" s="11"/>
      <c r="P50" s="6">
        <v>287.29000000000002</v>
      </c>
      <c r="Q50" s="2"/>
      <c r="R50" s="7">
        <f t="shared" si="32"/>
        <v>3.9299667315984159E-2</v>
      </c>
      <c r="S50" s="2"/>
      <c r="T50" s="6">
        <v>500</v>
      </c>
      <c r="U50" s="2"/>
      <c r="V50" s="7">
        <f t="shared" si="33"/>
        <v>0</v>
      </c>
      <c r="W50" s="2"/>
      <c r="X50" s="6">
        <f t="shared" si="34"/>
        <v>-212.70999999999998</v>
      </c>
      <c r="Y50" s="2"/>
      <c r="Z50" s="7">
        <f t="shared" si="35"/>
        <v>-0.42541999999999996</v>
      </c>
    </row>
    <row r="51" spans="1:26" s="26" customFormat="1" outlineLevel="1" collapsed="1" x14ac:dyDescent="0.25">
      <c r="A51" s="27"/>
      <c r="B51" s="13" t="str">
        <f>CONCATENATE("     ","Freight out/Postage                               ")</f>
        <v xml:space="preserve">     Freight out/Postage                               </v>
      </c>
      <c r="C51" s="13"/>
      <c r="D51" s="1">
        <f>SUM(OSRRefD22_4x_0)</f>
        <v>3072.17</v>
      </c>
      <c r="E51" s="1"/>
      <c r="F51" s="5">
        <f t="shared" si="28"/>
        <v>1.2745319299875955</v>
      </c>
      <c r="G51" s="1"/>
      <c r="H51" s="1">
        <f>SUM(OSRRefH22_4x_0)</f>
        <v>-1000</v>
      </c>
      <c r="I51" s="1"/>
      <c r="J51" s="5">
        <f t="shared" si="29"/>
        <v>0</v>
      </c>
      <c r="K51" s="1"/>
      <c r="L51" s="1">
        <f t="shared" si="30"/>
        <v>4072.17</v>
      </c>
      <c r="M51" s="1"/>
      <c r="N51" s="5">
        <f t="shared" si="31"/>
        <v>-4.0721699999999998</v>
      </c>
      <c r="O51" s="13"/>
      <c r="P51" s="1">
        <f>SUM(OSRRefP22_4x_0)</f>
        <v>-5206.3000000000029</v>
      </c>
      <c r="Q51" s="1"/>
      <c r="R51" s="5">
        <f t="shared" si="32"/>
        <v>-0.71219275974523455</v>
      </c>
      <c r="S51" s="1"/>
      <c r="T51" s="1">
        <f>SUM(OSRRefT22_4x_0)</f>
        <v>-40000</v>
      </c>
      <c r="U51" s="1"/>
      <c r="V51" s="5">
        <f t="shared" si="33"/>
        <v>0</v>
      </c>
      <c r="W51" s="1"/>
      <c r="X51" s="1">
        <f t="shared" si="34"/>
        <v>34793.699999999997</v>
      </c>
      <c r="Y51" s="1"/>
      <c r="Z51" s="5">
        <f t="shared" si="35"/>
        <v>-0.86984249999999996</v>
      </c>
    </row>
    <row r="52" spans="1:26" s="24" customFormat="1" hidden="1" outlineLevel="2" x14ac:dyDescent="0.25">
      <c r="A52" s="25"/>
      <c r="B52" s="11" t="str">
        <f>CONCATENATE("          ", "6305", " - ", "FREIGHT OUT")</f>
        <v xml:space="preserve">          6305 - FREIGHT OUT</v>
      </c>
      <c r="C52" s="11"/>
      <c r="D52" s="6">
        <v>3931.54</v>
      </c>
      <c r="E52" s="2"/>
      <c r="F52" s="7">
        <f t="shared" si="28"/>
        <v>1.631053380517169</v>
      </c>
      <c r="G52" s="2"/>
      <c r="H52" s="6">
        <v>-1000</v>
      </c>
      <c r="I52" s="2"/>
      <c r="J52" s="7">
        <f t="shared" si="29"/>
        <v>0</v>
      </c>
      <c r="K52" s="2"/>
      <c r="L52" s="6">
        <f t="shared" si="30"/>
        <v>4931.54</v>
      </c>
      <c r="M52" s="2"/>
      <c r="N52" s="7">
        <f t="shared" si="31"/>
        <v>-4.93154</v>
      </c>
      <c r="O52" s="11"/>
      <c r="P52" s="6">
        <v>19256.689999999999</v>
      </c>
      <c r="Q52" s="2"/>
      <c r="R52" s="7">
        <f t="shared" si="32"/>
        <v>2.6342076320339687</v>
      </c>
      <c r="S52" s="2"/>
      <c r="T52" s="6">
        <v>-40000</v>
      </c>
      <c r="U52" s="2"/>
      <c r="V52" s="7">
        <f t="shared" si="33"/>
        <v>0</v>
      </c>
      <c r="W52" s="2"/>
      <c r="X52" s="6">
        <f t="shared" si="34"/>
        <v>59256.69</v>
      </c>
      <c r="Y52" s="2"/>
      <c r="Z52" s="7">
        <f t="shared" si="35"/>
        <v>-1.48141725</v>
      </c>
    </row>
    <row r="53" spans="1:26" s="24" customFormat="1" hidden="1" outlineLevel="2" x14ac:dyDescent="0.25">
      <c r="A53" s="25"/>
      <c r="B53" s="11" t="str">
        <f>CONCATENATE("          ", "6307", " - ", "POSTAGE")</f>
        <v xml:space="preserve">          6307 - POSTAGE</v>
      </c>
      <c r="C53" s="11"/>
      <c r="D53" s="6">
        <v>-859.37</v>
      </c>
      <c r="E53" s="2"/>
      <c r="F53" s="7">
        <f t="shared" si="28"/>
        <v>-0.35652145052957351</v>
      </c>
      <c r="G53" s="2"/>
      <c r="H53" s="6"/>
      <c r="I53" s="2"/>
      <c r="J53" s="7">
        <f t="shared" si="29"/>
        <v>0</v>
      </c>
      <c r="K53" s="2"/>
      <c r="L53" s="6">
        <f t="shared" si="30"/>
        <v>-859.37</v>
      </c>
      <c r="M53" s="2"/>
      <c r="N53" s="7">
        <f t="shared" si="31"/>
        <v>0</v>
      </c>
      <c r="O53" s="11"/>
      <c r="P53" s="6">
        <v>-24462.99</v>
      </c>
      <c r="Q53" s="2"/>
      <c r="R53" s="7">
        <f t="shared" si="32"/>
        <v>-3.3464003917792033</v>
      </c>
      <c r="S53" s="2"/>
      <c r="T53" s="6"/>
      <c r="U53" s="2"/>
      <c r="V53" s="7">
        <f t="shared" si="33"/>
        <v>0</v>
      </c>
      <c r="W53" s="2"/>
      <c r="X53" s="6">
        <f t="shared" si="34"/>
        <v>-24462.99</v>
      </c>
      <c r="Y53" s="2"/>
      <c r="Z53" s="7">
        <f t="shared" si="35"/>
        <v>0</v>
      </c>
    </row>
    <row r="54" spans="1:26" s="26" customFormat="1" outlineLevel="1" collapsed="1" x14ac:dyDescent="0.25">
      <c r="A54" s="27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SUM(OSRRefD22_5x_0)</f>
        <v>0</v>
      </c>
      <c r="E54" s="1"/>
      <c r="F54" s="5">
        <f t="shared" ref="F54:F60" si="36">IF(D$12=0,0,D54/D$12)</f>
        <v>0</v>
      </c>
      <c r="G54" s="1"/>
      <c r="H54" s="1">
        <f>SUM(OSRRefH22_5x_0)</f>
        <v>100</v>
      </c>
      <c r="I54" s="1"/>
      <c r="J54" s="5">
        <f t="shared" ref="J54:J60" si="37">IF(H$12=0,0,H54/H$12)</f>
        <v>0</v>
      </c>
      <c r="K54" s="1"/>
      <c r="L54" s="1">
        <f t="shared" ref="L54:L60" si="38">+D54-H54</f>
        <v>-100</v>
      </c>
      <c r="M54" s="1"/>
      <c r="N54" s="5">
        <f t="shared" ref="N54:N60" si="39">IF(H54=0,0,L54/H54)</f>
        <v>-1</v>
      </c>
      <c r="O54" s="13"/>
      <c r="P54" s="1">
        <f>SUM(OSRRefP22_5x_0)</f>
        <v>80.17</v>
      </c>
      <c r="Q54" s="1"/>
      <c r="R54" s="5">
        <f t="shared" ref="R54:R60" si="40">IF(P$12=0,0,P54/P$12)</f>
        <v>1.0966808203287444E-2</v>
      </c>
      <c r="S54" s="1"/>
      <c r="T54" s="1">
        <f>SUM(OSRRefT22_5x_0)</f>
        <v>400</v>
      </c>
      <c r="U54" s="1"/>
      <c r="V54" s="5">
        <f t="shared" ref="V54:V60" si="41">IF(T$12=0,0,T54/T$12)</f>
        <v>0</v>
      </c>
      <c r="W54" s="1"/>
      <c r="X54" s="1">
        <f t="shared" ref="X54:X60" si="42">+P54-T54</f>
        <v>-319.83</v>
      </c>
      <c r="Y54" s="1"/>
      <c r="Z54" s="5">
        <f t="shared" ref="Z54:Z60" si="43">IF(T54=0,0,X54/T54)</f>
        <v>-0.79957499999999992</v>
      </c>
    </row>
    <row r="55" spans="1:26" s="24" customFormat="1" hidden="1" outlineLevel="2" x14ac:dyDescent="0.25">
      <c r="A55" s="25"/>
      <c r="B55" s="11" t="str">
        <f>CONCATENATE("          ", "6279", " - ", "GENERAL EXPENSE")</f>
        <v xml:space="preserve">          6279 - GENERAL EXPENSE</v>
      </c>
      <c r="C55" s="11"/>
      <c r="D55" s="6"/>
      <c r="E55" s="2"/>
      <c r="F55" s="7">
        <f t="shared" si="36"/>
        <v>0</v>
      </c>
      <c r="G55" s="2"/>
      <c r="H55" s="6">
        <v>100</v>
      </c>
      <c r="I55" s="2"/>
      <c r="J55" s="7">
        <f t="shared" si="37"/>
        <v>0</v>
      </c>
      <c r="K55" s="2"/>
      <c r="L55" s="6">
        <f t="shared" si="38"/>
        <v>-100</v>
      </c>
      <c r="M55" s="2"/>
      <c r="N55" s="7">
        <f t="shared" si="39"/>
        <v>-1</v>
      </c>
      <c r="O55" s="11"/>
      <c r="P55" s="6">
        <v>80.17</v>
      </c>
      <c r="Q55" s="2"/>
      <c r="R55" s="7">
        <f t="shared" si="40"/>
        <v>1.0966808203287444E-2</v>
      </c>
      <c r="S55" s="2"/>
      <c r="T55" s="6">
        <v>400</v>
      </c>
      <c r="U55" s="2"/>
      <c r="V55" s="7">
        <f t="shared" si="41"/>
        <v>0</v>
      </c>
      <c r="W55" s="2"/>
      <c r="X55" s="6">
        <f t="shared" si="42"/>
        <v>-319.83</v>
      </c>
      <c r="Y55" s="2"/>
      <c r="Z55" s="7">
        <f t="shared" si="43"/>
        <v>-0.79957499999999992</v>
      </c>
    </row>
    <row r="56" spans="1:26" s="26" customFormat="1" outlineLevel="1" collapsed="1" x14ac:dyDescent="0.25">
      <c r="A56" s="27"/>
      <c r="B56" s="13" t="str">
        <f>CONCATENATE("     ","Inventory Adjustment                              ")</f>
        <v xml:space="preserve">     Inventory Adjustment                              </v>
      </c>
      <c r="C56" s="13"/>
      <c r="D56" s="1">
        <f>SUM(OSRRefD22_6x_0)</f>
        <v>100</v>
      </c>
      <c r="E56" s="1"/>
      <c r="F56" s="5">
        <f t="shared" si="36"/>
        <v>4.1486373800525216E-2</v>
      </c>
      <c r="G56" s="1"/>
      <c r="H56" s="1">
        <f>SUM(OSRRefH22_6x_0)</f>
        <v>100</v>
      </c>
      <c r="I56" s="1"/>
      <c r="J56" s="5">
        <f t="shared" si="37"/>
        <v>0</v>
      </c>
      <c r="K56" s="1"/>
      <c r="L56" s="1">
        <f t="shared" si="38"/>
        <v>0</v>
      </c>
      <c r="M56" s="1"/>
      <c r="N56" s="5">
        <f t="shared" si="39"/>
        <v>0</v>
      </c>
      <c r="O56" s="13"/>
      <c r="P56" s="1">
        <f>SUM(OSRRefP22_6x_0)</f>
        <v>400</v>
      </c>
      <c r="Q56" s="1"/>
      <c r="R56" s="5">
        <f t="shared" si="40"/>
        <v>5.4717765764188318E-2</v>
      </c>
      <c r="S56" s="1"/>
      <c r="T56" s="1">
        <f>SUM(OSRRefT22_6x_0)</f>
        <v>400</v>
      </c>
      <c r="U56" s="1"/>
      <c r="V56" s="5">
        <f t="shared" si="41"/>
        <v>0</v>
      </c>
      <c r="W56" s="1"/>
      <c r="X56" s="1">
        <f t="shared" si="42"/>
        <v>0</v>
      </c>
      <c r="Y56" s="1"/>
      <c r="Z56" s="5">
        <f t="shared" si="43"/>
        <v>0</v>
      </c>
    </row>
    <row r="57" spans="1:26" s="24" customFormat="1" hidden="1" outlineLevel="2" x14ac:dyDescent="0.25">
      <c r="A57" s="25"/>
      <c r="B57" s="11" t="str">
        <f>CONCATENATE("          ", "6408", " - ", "INVENTORY ADJUSTMENT")</f>
        <v xml:space="preserve">          6408 - INVENTORY ADJUSTMENT</v>
      </c>
      <c r="C57" s="11"/>
      <c r="D57" s="6">
        <v>100</v>
      </c>
      <c r="E57" s="2"/>
      <c r="F57" s="7">
        <f t="shared" si="36"/>
        <v>4.1486373800525216E-2</v>
      </c>
      <c r="G57" s="2"/>
      <c r="H57" s="6">
        <v>100</v>
      </c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>
        <v>400</v>
      </c>
      <c r="Q57" s="2"/>
      <c r="R57" s="7">
        <f t="shared" si="40"/>
        <v>5.4717765764188318E-2</v>
      </c>
      <c r="S57" s="2"/>
      <c r="T57" s="6">
        <v>400</v>
      </c>
      <c r="U57" s="2"/>
      <c r="V57" s="7">
        <f t="shared" si="41"/>
        <v>0</v>
      </c>
      <c r="W57" s="2"/>
      <c r="X57" s="6">
        <f t="shared" si="42"/>
        <v>0</v>
      </c>
      <c r="Y57" s="2"/>
      <c r="Z57" s="7">
        <f t="shared" si="43"/>
        <v>0</v>
      </c>
    </row>
    <row r="58" spans="1:26" s="26" customFormat="1" outlineLevel="1" collapsed="1" x14ac:dyDescent="0.25">
      <c r="A58" s="27"/>
      <c r="B58" s="13" t="str">
        <f>CONCATENATE("     ","Supplies                                          ")</f>
        <v xml:space="preserve">     Supplies                                          </v>
      </c>
      <c r="C58" s="13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750</v>
      </c>
      <c r="I58" s="1"/>
      <c r="J58" s="5">
        <f t="shared" si="37"/>
        <v>0</v>
      </c>
      <c r="K58" s="1"/>
      <c r="L58" s="1">
        <f t="shared" si="38"/>
        <v>-750</v>
      </c>
      <c r="M58" s="1"/>
      <c r="N58" s="5">
        <f t="shared" si="39"/>
        <v>-1</v>
      </c>
      <c r="O58" s="13"/>
      <c r="P58" s="1">
        <f>SUM(OSRRefP22_7x_0)</f>
        <v>5174.63</v>
      </c>
      <c r="Q58" s="1"/>
      <c r="R58" s="5">
        <f t="shared" si="40"/>
        <v>0.70786048064085449</v>
      </c>
      <c r="S58" s="1"/>
      <c r="T58" s="1">
        <f>SUM(OSRRefT22_7x_0)</f>
        <v>3750</v>
      </c>
      <c r="U58" s="1"/>
      <c r="V58" s="5">
        <f t="shared" si="41"/>
        <v>0</v>
      </c>
      <c r="W58" s="1"/>
      <c r="X58" s="1">
        <f t="shared" si="42"/>
        <v>1424.63</v>
      </c>
      <c r="Y58" s="1"/>
      <c r="Z58" s="5">
        <f t="shared" si="43"/>
        <v>0.37990133333333337</v>
      </c>
    </row>
    <row r="59" spans="1:26" s="24" customFormat="1" hidden="1" outlineLevel="2" x14ac:dyDescent="0.25">
      <c r="A59" s="25"/>
      <c r="B59" s="11" t="str">
        <f>CONCATENATE("          ", "6241", " - ", "OFFICE EXPENSE")</f>
        <v xml:space="preserve">          6241 - OFFICE EXPENSE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115.02</v>
      </c>
      <c r="Q59" s="2"/>
      <c r="R59" s="7">
        <f t="shared" si="40"/>
        <v>1.573409354549235E-2</v>
      </c>
      <c r="S59" s="2"/>
      <c r="T59" s="6"/>
      <c r="U59" s="2"/>
      <c r="V59" s="7">
        <f t="shared" si="41"/>
        <v>0</v>
      </c>
      <c r="W59" s="2"/>
      <c r="X59" s="6">
        <f t="shared" si="42"/>
        <v>115.02</v>
      </c>
      <c r="Y59" s="2"/>
      <c r="Z59" s="7">
        <f t="shared" si="43"/>
        <v>0</v>
      </c>
    </row>
    <row r="60" spans="1:26" s="24" customFormat="1" hidden="1" outlineLevel="2" x14ac:dyDescent="0.25">
      <c r="A60" s="25"/>
      <c r="B60" s="11" t="str">
        <f>CONCATENATE("          ", "6247", " - ", "STORE SUPPLIES")</f>
        <v xml:space="preserve">          6247 - STORE SUPPLIES</v>
      </c>
      <c r="C60" s="11"/>
      <c r="D60" s="6"/>
      <c r="E60" s="2"/>
      <c r="F60" s="7">
        <f t="shared" si="36"/>
        <v>0</v>
      </c>
      <c r="G60" s="2"/>
      <c r="H60" s="6">
        <v>750</v>
      </c>
      <c r="I60" s="2"/>
      <c r="J60" s="7">
        <f t="shared" si="37"/>
        <v>0</v>
      </c>
      <c r="K60" s="2"/>
      <c r="L60" s="6">
        <f t="shared" si="38"/>
        <v>-750</v>
      </c>
      <c r="M60" s="2"/>
      <c r="N60" s="7">
        <f t="shared" si="39"/>
        <v>-1</v>
      </c>
      <c r="O60" s="11"/>
      <c r="P60" s="6">
        <v>5059.6099999999997</v>
      </c>
      <c r="Q60" s="2"/>
      <c r="R60" s="7">
        <f t="shared" si="40"/>
        <v>0.69212638709536212</v>
      </c>
      <c r="S60" s="2"/>
      <c r="T60" s="6">
        <v>3750</v>
      </c>
      <c r="U60" s="2"/>
      <c r="V60" s="7">
        <f t="shared" si="41"/>
        <v>0</v>
      </c>
      <c r="W60" s="2"/>
      <c r="X60" s="6">
        <f t="shared" si="42"/>
        <v>1309.6099999999997</v>
      </c>
      <c r="Y60" s="2"/>
      <c r="Z60" s="7">
        <f t="shared" si="43"/>
        <v>0.34922933333333323</v>
      </c>
    </row>
    <row r="61" spans="1:26" s="26" customFormat="1" outlineLevel="1" collapsed="1" x14ac:dyDescent="0.25">
      <c r="A61" s="27"/>
      <c r="B61" s="13" t="str">
        <f>CONCATENATE("     ","Telephone/Data Lines                              ")</f>
        <v xml:space="preserve">     Telephone/Data Lines                              </v>
      </c>
      <c r="C61" s="13"/>
      <c r="D61" s="1">
        <f>SUM(OSRRefD22_8x_0)</f>
        <v>86.65</v>
      </c>
      <c r="E61" s="1"/>
      <c r="F61" s="5">
        <f t="shared" ref="F61:F62" si="44">IF(D$12=0,0,D61/D$12)</f>
        <v>3.5947942898155096E-2</v>
      </c>
      <c r="G61" s="1"/>
      <c r="H61" s="1">
        <f>SUM(OSRRefH22_8x_0)</f>
        <v>0</v>
      </c>
      <c r="I61" s="1"/>
      <c r="J61" s="5">
        <f t="shared" ref="J61:J62" si="45">IF(H$12=0,0,H61/H$12)</f>
        <v>0</v>
      </c>
      <c r="K61" s="1"/>
      <c r="L61" s="1">
        <f t="shared" ref="L61:L62" si="46">+D61-H61</f>
        <v>86.65</v>
      </c>
      <c r="M61" s="1"/>
      <c r="N61" s="5">
        <f t="shared" ref="N61:N62" si="47">IF(H61=0,0,L61/H61)</f>
        <v>0</v>
      </c>
      <c r="O61" s="13"/>
      <c r="P61" s="1">
        <f>SUM(OSRRefP22_8x_0)</f>
        <v>319.25</v>
      </c>
      <c r="Q61" s="1"/>
      <c r="R61" s="5">
        <f t="shared" ref="R61:R62" si="48">IF(P$12=0,0,P61/P$12)</f>
        <v>4.3671616800542802E-2</v>
      </c>
      <c r="S61" s="1"/>
      <c r="T61" s="1">
        <f>SUM(OSRRefT22_8x_0)</f>
        <v>0</v>
      </c>
      <c r="U61" s="1"/>
      <c r="V61" s="5">
        <f t="shared" ref="V61:V62" si="49">IF(T$12=0,0,T61/T$12)</f>
        <v>0</v>
      </c>
      <c r="W61" s="1"/>
      <c r="X61" s="1">
        <f t="shared" ref="X61:X62" si="50">+P61-T61</f>
        <v>319.25</v>
      </c>
      <c r="Y61" s="1"/>
      <c r="Z61" s="5">
        <f t="shared" ref="Z61:Z62" si="51">IF(T61=0,0,X61/T61)</f>
        <v>0</v>
      </c>
    </row>
    <row r="62" spans="1:26" s="24" customFormat="1" hidden="1" outlineLevel="2" x14ac:dyDescent="0.25">
      <c r="A62" s="25"/>
      <c r="B62" s="11" t="str">
        <f>CONCATENATE("          ", "6309", " - ", "TELEPHONE")</f>
        <v xml:space="preserve">          6309 - TELEPHONE</v>
      </c>
      <c r="C62" s="11"/>
      <c r="D62" s="6">
        <v>86.65</v>
      </c>
      <c r="E62" s="2"/>
      <c r="F62" s="7">
        <f t="shared" si="44"/>
        <v>3.5947942898155096E-2</v>
      </c>
      <c r="G62" s="2"/>
      <c r="H62" s="6"/>
      <c r="I62" s="2"/>
      <c r="J62" s="7">
        <f t="shared" si="45"/>
        <v>0</v>
      </c>
      <c r="K62" s="2"/>
      <c r="L62" s="6">
        <f t="shared" si="46"/>
        <v>86.65</v>
      </c>
      <c r="M62" s="2"/>
      <c r="N62" s="7">
        <f t="shared" si="47"/>
        <v>0</v>
      </c>
      <c r="O62" s="11"/>
      <c r="P62" s="6">
        <v>319.25</v>
      </c>
      <c r="Q62" s="2"/>
      <c r="R62" s="7">
        <f t="shared" si="48"/>
        <v>4.3671616800542802E-2</v>
      </c>
      <c r="S62" s="2"/>
      <c r="T62" s="6"/>
      <c r="U62" s="2"/>
      <c r="V62" s="7">
        <f t="shared" si="49"/>
        <v>0</v>
      </c>
      <c r="W62" s="2"/>
      <c r="X62" s="6">
        <f t="shared" si="50"/>
        <v>319.25</v>
      </c>
      <c r="Y62" s="2"/>
      <c r="Z62" s="7">
        <f t="shared" si="51"/>
        <v>0</v>
      </c>
    </row>
    <row r="63" spans="1:26" s="59" customFormat="1" x14ac:dyDescent="0.25">
      <c r="A63" s="36"/>
      <c r="B63" s="36"/>
      <c r="C63" s="36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6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collapsed="1" x14ac:dyDescent="0.25">
      <c r="A64" s="10"/>
      <c r="B64" s="29" t="s">
        <v>0</v>
      </c>
      <c r="C64" s="10"/>
      <c r="D64" s="4">
        <f>SUM(OSRRefD25x_0)</f>
        <v>1305</v>
      </c>
      <c r="E64" s="4"/>
      <c r="F64" s="12">
        <f t="shared" ref="F64:F69" si="52">IF(D$12=0,0,D64/D$12)</f>
        <v>0.54139717809685406</v>
      </c>
      <c r="G64" s="4"/>
      <c r="H64" s="4">
        <f>SUM(OSRRefH25x_0)</f>
        <v>13500</v>
      </c>
      <c r="I64" s="4"/>
      <c r="J64" s="12">
        <f t="shared" ref="J64:J69" si="53">IF(H$12=0,0,H64/H$12)</f>
        <v>0</v>
      </c>
      <c r="K64" s="4"/>
      <c r="L64" s="4">
        <f t="shared" ref="L64:L69" si="54">+D64-H64</f>
        <v>-12195</v>
      </c>
      <c r="M64" s="4"/>
      <c r="N64" s="12">
        <f t="shared" ref="N64:N69" si="55">IF(H64=0,0,L64/H64)</f>
        <v>-0.90333333333333332</v>
      </c>
      <c r="O64" s="10"/>
      <c r="P64" s="4">
        <f>SUM(OSRRefP25x_0)</f>
        <v>85733.4</v>
      </c>
      <c r="Q64" s="4"/>
      <c r="R64" s="12">
        <f t="shared" ref="R64:R69" si="56">IF(P$12=0,0,P64/P$12)</f>
        <v>11.727850248418656</v>
      </c>
      <c r="S64" s="4"/>
      <c r="T64" s="4">
        <f>SUM(OSRRefT25x_0)</f>
        <v>68500</v>
      </c>
      <c r="U64" s="4"/>
      <c r="V64" s="12">
        <f t="shared" ref="V64:V69" si="57">IF(T$12=0,0,T64/T$12)</f>
        <v>0</v>
      </c>
      <c r="W64" s="4"/>
      <c r="X64" s="4">
        <f t="shared" ref="X64:X69" si="58">+P64-T64</f>
        <v>17233.399999999994</v>
      </c>
      <c r="Y64" s="4"/>
      <c r="Z64" s="12">
        <f t="shared" ref="Z64:Z69" si="59">IF(T64=0,0,X64/T64)</f>
        <v>0.25158248175182474</v>
      </c>
    </row>
    <row r="65" spans="1:26" s="24" customFormat="1" hidden="1" outlineLevel="1" x14ac:dyDescent="0.25">
      <c r="A65" s="44"/>
      <c r="B65" s="11" t="str">
        <f>CONCATENATE("          ", "4098", " - ", "TAXABLE SALES-GRAD RENTALS")</f>
        <v xml:space="preserve">          4098 - TAXABLE SALES-GRAD RENTALS</v>
      </c>
      <c r="C65" s="11"/>
      <c r="D65" s="2">
        <f t="shared" ref="D65:D67" si="60">0</f>
        <v>0</v>
      </c>
      <c r="E65" s="2"/>
      <c r="F65" s="19">
        <f t="shared" si="52"/>
        <v>0</v>
      </c>
      <c r="G65" s="2"/>
      <c r="H65" s="2"/>
      <c r="I65" s="2"/>
      <c r="J65" s="19">
        <f t="shared" si="53"/>
        <v>0</v>
      </c>
      <c r="K65" s="2"/>
      <c r="L65" s="2">
        <f t="shared" si="54"/>
        <v>0</v>
      </c>
      <c r="M65" s="2"/>
      <c r="N65" s="19">
        <f t="shared" si="55"/>
        <v>0</v>
      </c>
      <c r="O65" s="11"/>
      <c r="P65" s="2">
        <f>--1626.85</f>
        <v>1626.85</v>
      </c>
      <c r="Q65" s="2"/>
      <c r="R65" s="19">
        <f t="shared" si="56"/>
        <v>0.2225439930836744</v>
      </c>
      <c r="S65" s="2"/>
      <c r="T65" s="2"/>
      <c r="U65" s="2"/>
      <c r="V65" s="19">
        <f t="shared" si="57"/>
        <v>0</v>
      </c>
      <c r="W65" s="2"/>
      <c r="X65" s="2">
        <f t="shared" si="58"/>
        <v>1626.85</v>
      </c>
      <c r="Y65" s="2"/>
      <c r="Z65" s="19">
        <f t="shared" si="59"/>
        <v>0</v>
      </c>
    </row>
    <row r="66" spans="1:26" s="24" customFormat="1" hidden="1" outlineLevel="1" x14ac:dyDescent="0.25">
      <c r="A66" s="44"/>
      <c r="B66" s="11" t="str">
        <f>CONCATENATE("          ", "4197", " - ", "NON-TAXABLE SALES-RETURNED CHE")</f>
        <v xml:space="preserve">          4197 - NON-TAXABLE SALES-RETURNED CHE</v>
      </c>
      <c r="C66" s="11"/>
      <c r="D66" s="2">
        <f t="shared" si="60"/>
        <v>0</v>
      </c>
      <c r="E66" s="2"/>
      <c r="F66" s="19">
        <f t="shared" si="52"/>
        <v>0</v>
      </c>
      <c r="G66" s="2"/>
      <c r="H66" s="2"/>
      <c r="I66" s="2"/>
      <c r="J66" s="19">
        <f t="shared" si="53"/>
        <v>0</v>
      </c>
      <c r="K66" s="2"/>
      <c r="L66" s="2">
        <f t="shared" si="54"/>
        <v>0</v>
      </c>
      <c r="M66" s="2"/>
      <c r="N66" s="19">
        <f t="shared" si="55"/>
        <v>0</v>
      </c>
      <c r="O66" s="11"/>
      <c r="P66" s="2">
        <f>--30</f>
        <v>30</v>
      </c>
      <c r="Q66" s="2"/>
      <c r="R66" s="19">
        <f t="shared" si="56"/>
        <v>4.1038324323141237E-3</v>
      </c>
      <c r="S66" s="2"/>
      <c r="T66" s="2"/>
      <c r="U66" s="2"/>
      <c r="V66" s="19">
        <f t="shared" si="57"/>
        <v>0</v>
      </c>
      <c r="W66" s="2"/>
      <c r="X66" s="2">
        <f t="shared" si="58"/>
        <v>30</v>
      </c>
      <c r="Y66" s="2"/>
      <c r="Z66" s="19">
        <f t="shared" si="59"/>
        <v>0</v>
      </c>
    </row>
    <row r="67" spans="1:26" s="24" customFormat="1" hidden="1" outlineLevel="1" x14ac:dyDescent="0.25">
      <c r="A67" s="44"/>
      <c r="B67" s="11" t="str">
        <f>CONCATENATE("          ", "4198", " - ", "NON-TAXABLE SALES-GRAD RENTALS")</f>
        <v xml:space="preserve">          4198 - NON-TAXABLE SALES-GRAD RENTALS</v>
      </c>
      <c r="C67" s="11"/>
      <c r="D67" s="2">
        <f t="shared" si="60"/>
        <v>0</v>
      </c>
      <c r="E67" s="2"/>
      <c r="F67" s="19">
        <f t="shared" si="52"/>
        <v>0</v>
      </c>
      <c r="G67" s="2"/>
      <c r="H67" s="2"/>
      <c r="I67" s="2"/>
      <c r="J67" s="19">
        <f t="shared" si="53"/>
        <v>0</v>
      </c>
      <c r="K67" s="2"/>
      <c r="L67" s="2">
        <f t="shared" si="54"/>
        <v>0</v>
      </c>
      <c r="M67" s="2"/>
      <c r="N67" s="19">
        <f t="shared" si="55"/>
        <v>0</v>
      </c>
      <c r="O67" s="11"/>
      <c r="P67" s="2">
        <f>--495</f>
        <v>495</v>
      </c>
      <c r="Q67" s="2"/>
      <c r="R67" s="19">
        <f t="shared" si="56"/>
        <v>6.7713235133183045E-2</v>
      </c>
      <c r="S67" s="2"/>
      <c r="T67" s="2"/>
      <c r="U67" s="2"/>
      <c r="V67" s="19">
        <f t="shared" si="57"/>
        <v>0</v>
      </c>
      <c r="W67" s="2"/>
      <c r="X67" s="2">
        <f t="shared" si="58"/>
        <v>495</v>
      </c>
      <c r="Y67" s="2"/>
      <c r="Z67" s="19">
        <f t="shared" si="59"/>
        <v>0</v>
      </c>
    </row>
    <row r="68" spans="1:26" s="24" customFormat="1" hidden="1" outlineLevel="1" x14ac:dyDescent="0.25">
      <c r="A68" s="44"/>
      <c r="B68" s="11" t="str">
        <f>CONCATENATE("          ", "9160", " - ", "MISC. INCOME")</f>
        <v xml:space="preserve">          9160 - MISC. INCOME</v>
      </c>
      <c r="C68" s="11"/>
      <c r="D68" s="2">
        <f>--1305</f>
        <v>1305</v>
      </c>
      <c r="E68" s="2"/>
      <c r="F68" s="19">
        <f t="shared" si="52"/>
        <v>0.54139717809685406</v>
      </c>
      <c r="G68" s="2"/>
      <c r="H68" s="2">
        <v>13500</v>
      </c>
      <c r="I68" s="2"/>
      <c r="J68" s="19">
        <f t="shared" si="53"/>
        <v>0</v>
      </c>
      <c r="K68" s="2"/>
      <c r="L68" s="2">
        <f t="shared" si="54"/>
        <v>-12195</v>
      </c>
      <c r="M68" s="2"/>
      <c r="N68" s="19">
        <f t="shared" si="55"/>
        <v>-0.90333333333333332</v>
      </c>
      <c r="O68" s="11"/>
      <c r="P68" s="2">
        <f>--22475</f>
        <v>22475</v>
      </c>
      <c r="Q68" s="2"/>
      <c r="R68" s="19">
        <f t="shared" si="56"/>
        <v>3.0744544638753313</v>
      </c>
      <c r="S68" s="2"/>
      <c r="T68" s="2">
        <v>68500</v>
      </c>
      <c r="U68" s="2"/>
      <c r="V68" s="19">
        <f t="shared" si="57"/>
        <v>0</v>
      </c>
      <c r="W68" s="2"/>
      <c r="X68" s="2">
        <f t="shared" si="58"/>
        <v>-46025</v>
      </c>
      <c r="Y68" s="2"/>
      <c r="Z68" s="19">
        <f t="shared" si="59"/>
        <v>-0.6718978102189781</v>
      </c>
    </row>
    <row r="69" spans="1:26" s="24" customFormat="1" hidden="1" outlineLevel="1" x14ac:dyDescent="0.25">
      <c r="A69" s="44"/>
      <c r="B69" s="11" t="str">
        <f>CONCATENATE("          ", "9163", " - ", "MISC. INCOME")</f>
        <v xml:space="preserve">          9163 - MISC. INCOME</v>
      </c>
      <c r="C69" s="11"/>
      <c r="D69" s="2">
        <f>0</f>
        <v>0</v>
      </c>
      <c r="E69" s="2"/>
      <c r="F69" s="19">
        <f t="shared" si="52"/>
        <v>0</v>
      </c>
      <c r="G69" s="2"/>
      <c r="H69" s="2"/>
      <c r="I69" s="2"/>
      <c r="J69" s="19">
        <f t="shared" si="53"/>
        <v>0</v>
      </c>
      <c r="K69" s="2"/>
      <c r="L69" s="2">
        <f t="shared" si="54"/>
        <v>0</v>
      </c>
      <c r="M69" s="2"/>
      <c r="N69" s="19">
        <f t="shared" si="55"/>
        <v>0</v>
      </c>
      <c r="O69" s="11"/>
      <c r="P69" s="2">
        <f>--61106.55</f>
        <v>61106.55</v>
      </c>
      <c r="Q69" s="2"/>
      <c r="R69" s="19">
        <f t="shared" si="56"/>
        <v>8.3590347238941547</v>
      </c>
      <c r="S69" s="2"/>
      <c r="T69" s="2"/>
      <c r="U69" s="2"/>
      <c r="V69" s="19">
        <f t="shared" si="57"/>
        <v>0</v>
      </c>
      <c r="W69" s="2"/>
      <c r="X69" s="2">
        <f t="shared" si="58"/>
        <v>61106.55</v>
      </c>
      <c r="Y69" s="2"/>
      <c r="Z69" s="19">
        <f t="shared" si="59"/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8" t="s">
        <v>3</v>
      </c>
      <c r="C71" s="28"/>
      <c r="D71" s="20">
        <f>+D24-D26+D64</f>
        <v>-817.73</v>
      </c>
      <c r="E71" s="14"/>
      <c r="F71" s="22">
        <f>IF(D$12=0,0,D71/D$12)</f>
        <v>-0.33924652447903481</v>
      </c>
      <c r="G71" s="14"/>
      <c r="H71" s="20">
        <f>+H24-H26+H64</f>
        <v>10465.39340788461</v>
      </c>
      <c r="I71" s="14"/>
      <c r="J71" s="22">
        <f>IF(H$12=0,0,H71/H$12)</f>
        <v>0</v>
      </c>
      <c r="K71" s="16"/>
      <c r="L71" s="20">
        <f>+D71-H71</f>
        <v>-11283.12340788461</v>
      </c>
      <c r="M71" s="16"/>
      <c r="N71" s="22">
        <f>IF(H71=0,0,L71/H71)</f>
        <v>-1.0781365752943337</v>
      </c>
      <c r="O71" s="29"/>
      <c r="P71" s="20">
        <f>+P24-P26+P64</f>
        <v>86349.91</v>
      </c>
      <c r="Q71" s="14"/>
      <c r="R71" s="22">
        <f>IF(P$12=0,0,P71/P$12)</f>
        <v>11.812185372846857</v>
      </c>
      <c r="S71" s="14"/>
      <c r="T71" s="20">
        <f>+T24-T26+T64</f>
        <v>87364.663743365367</v>
      </c>
      <c r="U71" s="14"/>
      <c r="V71" s="22">
        <f>IF(T$12=0,0,T71/T$12)</f>
        <v>0</v>
      </c>
      <c r="W71" s="16"/>
      <c r="X71" s="20">
        <f>+P71-T71</f>
        <v>-1014.7537433653633</v>
      </c>
      <c r="Y71" s="16"/>
      <c r="Z71" s="22">
        <f>IF(T71=0,0,X71/T71)</f>
        <v>-1.1615150793073653E-2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2"/>
      <c r="B73" s="10" t="s">
        <v>14</v>
      </c>
      <c r="C73" s="10"/>
      <c r="D73" s="4">
        <v>280.87</v>
      </c>
      <c r="E73" s="4"/>
      <c r="F73" s="12">
        <f>IF(D$12=0,0,D73/D$12)</f>
        <v>0.11652277809353516</v>
      </c>
      <c r="G73" s="4"/>
      <c r="H73" s="4">
        <v>0</v>
      </c>
      <c r="I73" s="4"/>
      <c r="J73" s="12">
        <f>IF(H$12=0,0,H73/H$12)</f>
        <v>0</v>
      </c>
      <c r="K73" s="4"/>
      <c r="L73" s="4">
        <f>+D73-H73</f>
        <v>280.87</v>
      </c>
      <c r="M73" s="4"/>
      <c r="N73" s="12">
        <f>IF(H73=0,0,L73/H73)</f>
        <v>0</v>
      </c>
      <c r="O73" s="10"/>
      <c r="P73" s="4">
        <v>774.1</v>
      </c>
      <c r="Q73" s="4"/>
      <c r="R73" s="12">
        <f>IF(P$12=0,0,P73/P$12)</f>
        <v>0.10589255619514544</v>
      </c>
      <c r="S73" s="4"/>
      <c r="T73" s="4">
        <v>0</v>
      </c>
      <c r="U73" s="4"/>
      <c r="V73" s="12">
        <f>IF(T$12=0,0,T73/T$12)</f>
        <v>0</v>
      </c>
      <c r="W73" s="4"/>
      <c r="X73" s="4">
        <f>+P73-T73</f>
        <v>774.1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8" t="s">
        <v>4</v>
      </c>
      <c r="C75" s="28"/>
      <c r="D75" s="30">
        <f>+D71-D73</f>
        <v>-1098.5999999999999</v>
      </c>
      <c r="E75" s="14"/>
      <c r="F75" s="32">
        <f>IF(D$12=0,0,D75/D$12)</f>
        <v>-0.45576930257256992</v>
      </c>
      <c r="G75" s="14"/>
      <c r="H75" s="30">
        <f>+H71-H73</f>
        <v>10465.39340788461</v>
      </c>
      <c r="I75" s="14"/>
      <c r="J75" s="32">
        <f>IF(H$12=0,0,H75/H$12)</f>
        <v>0</v>
      </c>
      <c r="K75" s="16"/>
      <c r="L75" s="30">
        <f>D75-H75</f>
        <v>-11563.993407884611</v>
      </c>
      <c r="M75" s="16"/>
      <c r="N75" s="32">
        <f>IF(H75=0,0,L75/H75)</f>
        <v>-1.1049745534814122</v>
      </c>
      <c r="O75" s="29"/>
      <c r="P75" s="30">
        <f>+P71-P73</f>
        <v>85575.81</v>
      </c>
      <c r="Q75" s="14"/>
      <c r="R75" s="32">
        <f>IF(P$12=0,0,P75/P$12)</f>
        <v>11.706292816651711</v>
      </c>
      <c r="S75" s="14"/>
      <c r="T75" s="30">
        <f>+T71-T73</f>
        <v>87364.663743365367</v>
      </c>
      <c r="U75" s="14"/>
      <c r="V75" s="32">
        <f>IF(T$12=0,0,T75/T$12)</f>
        <v>0</v>
      </c>
      <c r="W75" s="16"/>
      <c r="X75" s="30">
        <f>P75-T75</f>
        <v>-1788.8537433653692</v>
      </c>
      <c r="Y75" s="16"/>
      <c r="Z75" s="32">
        <f>IF(T75=0,0,X75/T75)</f>
        <v>-2.0475712567499214E-2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8" t="s">
        <v>5</v>
      </c>
      <c r="C78" s="28"/>
      <c r="D78" s="31">
        <f>SUM(D75:D77)</f>
        <v>-1098.5999999999999</v>
      </c>
      <c r="E78" s="14"/>
      <c r="F78" s="35">
        <f>IF(D$12=0,0,D78/D$12)</f>
        <v>-0.45576930257256992</v>
      </c>
      <c r="G78" s="14"/>
      <c r="H78" s="31">
        <f>SUM(H75:H77)</f>
        <v>10465.39340788461</v>
      </c>
      <c r="I78" s="14"/>
      <c r="J78" s="35">
        <f>IF(H$12=0,0,H78/H$12)</f>
        <v>0</v>
      </c>
      <c r="K78" s="16"/>
      <c r="L78" s="31">
        <f>+D78-H78</f>
        <v>-11563.993407884611</v>
      </c>
      <c r="M78" s="16"/>
      <c r="N78" s="35">
        <f>IF(H78=0,0,L78/H78)</f>
        <v>-1.1049745534814122</v>
      </c>
      <c r="O78" s="29"/>
      <c r="P78" s="31">
        <f>SUM(P75:P77)</f>
        <v>85575.81</v>
      </c>
      <c r="Q78" s="14"/>
      <c r="R78" s="35">
        <f>IF(P$12=0,0,P78/P$12)</f>
        <v>11.706292816651711</v>
      </c>
      <c r="S78" s="14"/>
      <c r="T78" s="31">
        <f>SUM(T75:T77)</f>
        <v>87364.663743365367</v>
      </c>
      <c r="U78" s="14"/>
      <c r="V78" s="35">
        <f>IF(T$12=0,0,T78/T$12)</f>
        <v>0</v>
      </c>
      <c r="W78" s="16"/>
      <c r="X78" s="31">
        <f>+P78-T78</f>
        <v>-1788.8537433653692</v>
      </c>
      <c r="Y78" s="16"/>
      <c r="Z78" s="35">
        <f>IF(T78=0,0,X78/T78)</f>
        <v>-2.0475712567499214E-2</v>
      </c>
    </row>
    <row r="79" spans="1:26" ht="15.75" thickTop="1" x14ac:dyDescent="0.25">
      <c r="A79" s="9"/>
      <c r="C79" s="9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56">
        <v>43815.483802696763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62" t="s">
        <v>314</v>
      </c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8"/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2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311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160480.32999999993</v>
      </c>
      <c r="E12" s="4"/>
      <c r="F12" s="12"/>
      <c r="G12" s="4"/>
      <c r="H12" s="4">
        <f>SUM(OSRRefH13x_0)</f>
        <v>146308</v>
      </c>
      <c r="I12" s="4"/>
      <c r="J12" s="12"/>
      <c r="K12" s="4"/>
      <c r="L12" s="4">
        <f t="shared" ref="L12:L38" si="0">+D12-H12</f>
        <v>14172.329999999929</v>
      </c>
      <c r="M12" s="4"/>
      <c r="N12" s="12">
        <f t="shared" ref="N12:N38" si="1">IF(H12=0,0,L12/H12)</f>
        <v>9.6866405117969817E-2</v>
      </c>
      <c r="O12" s="10"/>
      <c r="P12" s="4">
        <f>SUM(OSRRefP13x_0)</f>
        <v>1498885.13</v>
      </c>
      <c r="Q12" s="4"/>
      <c r="R12" s="12"/>
      <c r="S12" s="4"/>
      <c r="T12" s="4">
        <f>SUM(OSRRefT13x_0)</f>
        <v>1281888</v>
      </c>
      <c r="U12" s="4"/>
      <c r="V12" s="12"/>
      <c r="W12" s="4"/>
      <c r="X12" s="4">
        <f t="shared" ref="X12:X38" si="2">+P12-T12</f>
        <v>216997.12999999989</v>
      </c>
      <c r="Y12" s="4"/>
      <c r="Z12" s="12">
        <f t="shared" ref="Z12:Z38" si="3">IF(T12=0,0,X12/T12)</f>
        <v>0.16927932081429883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128751</v>
      </c>
      <c r="I13" s="2"/>
      <c r="J13" s="19"/>
      <c r="K13" s="2"/>
      <c r="L13" s="2">
        <f t="shared" si="0"/>
        <v>-128751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1128060</v>
      </c>
      <c r="U13" s="2"/>
      <c r="V13" s="19"/>
      <c r="W13" s="2"/>
      <c r="X13" s="2">
        <f t="shared" si="2"/>
        <v>-1128060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--16123.77</f>
        <v>16123.77</v>
      </c>
      <c r="E14" s="2"/>
      <c r="F14" s="19"/>
      <c r="G14" s="2"/>
      <c r="H14" s="2"/>
      <c r="I14" s="2"/>
      <c r="J14" s="19"/>
      <c r="K14" s="2"/>
      <c r="L14" s="2">
        <f t="shared" si="0"/>
        <v>16123.77</v>
      </c>
      <c r="M14" s="2"/>
      <c r="N14" s="19">
        <f t="shared" si="1"/>
        <v>0</v>
      </c>
      <c r="O14" s="11"/>
      <c r="P14" s="2">
        <f>--229580.58</f>
        <v>229580.58</v>
      </c>
      <c r="Q14" s="2"/>
      <c r="R14" s="19"/>
      <c r="S14" s="2"/>
      <c r="T14" s="2"/>
      <c r="U14" s="2"/>
      <c r="V14" s="19"/>
      <c r="W14" s="2"/>
      <c r="X14" s="2">
        <f t="shared" si="2"/>
        <v>229580.58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--134369.21</f>
        <v>134369.21</v>
      </c>
      <c r="E15" s="2"/>
      <c r="F15" s="19"/>
      <c r="G15" s="2"/>
      <c r="H15" s="2"/>
      <c r="I15" s="2"/>
      <c r="J15" s="19"/>
      <c r="K15" s="2"/>
      <c r="L15" s="2">
        <f t="shared" si="0"/>
        <v>134369.21</v>
      </c>
      <c r="M15" s="2"/>
      <c r="N15" s="19">
        <f t="shared" si="1"/>
        <v>0</v>
      </c>
      <c r="O15" s="11"/>
      <c r="P15" s="2">
        <f>--1282768.84</f>
        <v>1282768.8400000001</v>
      </c>
      <c r="Q15" s="2"/>
      <c r="R15" s="19"/>
      <c r="S15" s="2"/>
      <c r="T15" s="2"/>
      <c r="U15" s="2"/>
      <c r="V15" s="19"/>
      <c r="W15" s="2"/>
      <c r="X15" s="2">
        <f t="shared" si="2"/>
        <v>1282768.8400000001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--9897.8</f>
        <v>9897.7999999999993</v>
      </c>
      <c r="E16" s="2"/>
      <c r="F16" s="19"/>
      <c r="G16" s="2"/>
      <c r="H16" s="2"/>
      <c r="I16" s="2"/>
      <c r="J16" s="19"/>
      <c r="K16" s="2"/>
      <c r="L16" s="2">
        <f t="shared" si="0"/>
        <v>9897.7999999999993</v>
      </c>
      <c r="M16" s="2"/>
      <c r="N16" s="19">
        <f t="shared" si="1"/>
        <v>0</v>
      </c>
      <c r="O16" s="11"/>
      <c r="P16" s="2">
        <f>--63504.02</f>
        <v>63504.02</v>
      </c>
      <c r="Q16" s="2"/>
      <c r="R16" s="19"/>
      <c r="S16" s="2"/>
      <c r="T16" s="2"/>
      <c r="U16" s="2"/>
      <c r="V16" s="19"/>
      <c r="W16" s="2"/>
      <c r="X16" s="2">
        <f t="shared" si="2"/>
        <v>63504.02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--129</f>
        <v>129</v>
      </c>
      <c r="Q17" s="2"/>
      <c r="R17" s="19"/>
      <c r="S17" s="2"/>
      <c r="T17" s="2"/>
      <c r="U17" s="2"/>
      <c r="V17" s="19"/>
      <c r="W17" s="2"/>
      <c r="X17" s="2">
        <f t="shared" si="2"/>
        <v>129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--4407.94</f>
        <v>4407.9399999999996</v>
      </c>
      <c r="Q18" s="2"/>
      <c r="R18" s="19"/>
      <c r="S18" s="2"/>
      <c r="T18" s="2"/>
      <c r="U18" s="2"/>
      <c r="V18" s="19"/>
      <c r="W18" s="2"/>
      <c r="X18" s="2">
        <f t="shared" si="2"/>
        <v>4407.9399999999996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--3769.61</f>
        <v>3769.61</v>
      </c>
      <c r="E19" s="2"/>
      <c r="F19" s="19"/>
      <c r="G19" s="2"/>
      <c r="H19" s="2"/>
      <c r="I19" s="2"/>
      <c r="J19" s="19"/>
      <c r="K19" s="2"/>
      <c r="L19" s="2">
        <f t="shared" si="0"/>
        <v>3769.61</v>
      </c>
      <c r="M19" s="2"/>
      <c r="N19" s="19">
        <f t="shared" si="1"/>
        <v>0</v>
      </c>
      <c r="O19" s="11"/>
      <c r="P19" s="2">
        <f>--30367.91</f>
        <v>30367.91</v>
      </c>
      <c r="Q19" s="2"/>
      <c r="R19" s="19"/>
      <c r="S19" s="2"/>
      <c r="T19" s="2"/>
      <c r="U19" s="2"/>
      <c r="V19" s="19"/>
      <c r="W19" s="2"/>
      <c r="X19" s="2">
        <f t="shared" si="2"/>
        <v>30367.91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--118.97</f>
        <v>118.97</v>
      </c>
      <c r="E20" s="2"/>
      <c r="F20" s="19"/>
      <c r="G20" s="2"/>
      <c r="H20" s="2"/>
      <c r="I20" s="2"/>
      <c r="J20" s="19"/>
      <c r="K20" s="2"/>
      <c r="L20" s="2">
        <f t="shared" si="0"/>
        <v>118.97</v>
      </c>
      <c r="M20" s="2"/>
      <c r="N20" s="19">
        <f t="shared" si="1"/>
        <v>0</v>
      </c>
      <c r="O20" s="11"/>
      <c r="P20" s="2">
        <f>--936.91</f>
        <v>936.91</v>
      </c>
      <c r="Q20" s="2"/>
      <c r="R20" s="19"/>
      <c r="S20" s="2"/>
      <c r="T20" s="2"/>
      <c r="U20" s="2"/>
      <c r="V20" s="19"/>
      <c r="W20" s="2"/>
      <c r="X20" s="2">
        <f t="shared" si="2"/>
        <v>936.91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 t="shared" ref="D21:D22" si="5">0</f>
        <v>0</v>
      </c>
      <c r="E21" s="2"/>
      <c r="F21" s="19"/>
      <c r="G21" s="2"/>
      <c r="H21" s="2">
        <v>17557</v>
      </c>
      <c r="I21" s="2"/>
      <c r="J21" s="19"/>
      <c r="K21" s="2"/>
      <c r="L21" s="2">
        <f t="shared" si="0"/>
        <v>-17557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153828</v>
      </c>
      <c r="U21" s="2"/>
      <c r="V21" s="19"/>
      <c r="W21" s="2"/>
      <c r="X21" s="2">
        <f t="shared" si="2"/>
        <v>-153828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 t="shared" si="5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--1462.51</f>
        <v>1462.51</v>
      </c>
      <c r="Q22" s="2"/>
      <c r="R22" s="19"/>
      <c r="S22" s="2"/>
      <c r="T22" s="2"/>
      <c r="U22" s="2"/>
      <c r="V22" s="19"/>
      <c r="W22" s="2"/>
      <c r="X22" s="2">
        <f t="shared" si="2"/>
        <v>1462.51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--5749</f>
        <v>5749</v>
      </c>
      <c r="E23" s="2"/>
      <c r="F23" s="19"/>
      <c r="G23" s="2"/>
      <c r="H23" s="2"/>
      <c r="I23" s="2"/>
      <c r="J23" s="19"/>
      <c r="K23" s="2"/>
      <c r="L23" s="2">
        <f t="shared" si="0"/>
        <v>5749</v>
      </c>
      <c r="M23" s="2"/>
      <c r="N23" s="19">
        <f t="shared" si="1"/>
        <v>0</v>
      </c>
      <c r="O23" s="11"/>
      <c r="P23" s="2">
        <f>--62309</f>
        <v>62309</v>
      </c>
      <c r="Q23" s="2"/>
      <c r="R23" s="19"/>
      <c r="S23" s="2"/>
      <c r="T23" s="2"/>
      <c r="U23" s="2"/>
      <c r="V23" s="19"/>
      <c r="W23" s="2"/>
      <c r="X23" s="2">
        <f t="shared" si="2"/>
        <v>62309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--249.96</f>
        <v>249.96</v>
      </c>
      <c r="E24" s="2"/>
      <c r="F24" s="19"/>
      <c r="G24" s="2"/>
      <c r="H24" s="2"/>
      <c r="I24" s="2"/>
      <c r="J24" s="19"/>
      <c r="K24" s="2"/>
      <c r="L24" s="2">
        <f t="shared" si="0"/>
        <v>249.96</v>
      </c>
      <c r="M24" s="2"/>
      <c r="N24" s="19">
        <f t="shared" si="1"/>
        <v>0</v>
      </c>
      <c r="O24" s="11"/>
      <c r="P24" s="2">
        <f>--3304.88</f>
        <v>3304.88</v>
      </c>
      <c r="Q24" s="2"/>
      <c r="R24" s="19"/>
      <c r="S24" s="2"/>
      <c r="T24" s="2"/>
      <c r="U24" s="2"/>
      <c r="V24" s="19"/>
      <c r="W24" s="2"/>
      <c r="X24" s="2">
        <f t="shared" si="2"/>
        <v>3304.88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"4184", " - ", "NON-TAXABLE SALES-SOFTWARE LIC")</f>
        <v xml:space="preserve">          4184 - NON-TAXABLE SALES-SOFTWARE LIC</v>
      </c>
      <c r="C25" s="11"/>
      <c r="D25" s="2">
        <f>--1206</f>
        <v>1206</v>
      </c>
      <c r="E25" s="2"/>
      <c r="F25" s="19"/>
      <c r="G25" s="2"/>
      <c r="H25" s="2"/>
      <c r="I25" s="2"/>
      <c r="J25" s="19"/>
      <c r="K25" s="2"/>
      <c r="L25" s="2">
        <f t="shared" si="0"/>
        <v>1206</v>
      </c>
      <c r="M25" s="2"/>
      <c r="N25" s="19">
        <f t="shared" si="1"/>
        <v>0</v>
      </c>
      <c r="O25" s="11"/>
      <c r="P25" s="2">
        <f>--2728</f>
        <v>2728</v>
      </c>
      <c r="Q25" s="2"/>
      <c r="R25" s="19"/>
      <c r="S25" s="2"/>
      <c r="T25" s="2"/>
      <c r="U25" s="2"/>
      <c r="V25" s="19"/>
      <c r="W25" s="2"/>
      <c r="X25" s="2">
        <f t="shared" si="2"/>
        <v>2728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"4185", " - ", "NON-TAXABLE SALES-SOFTWARE")</f>
        <v xml:space="preserve">          4185 - NON-TAXABLE SALES-SOFTWARE</v>
      </c>
      <c r="C26" s="11"/>
      <c r="D26" s="2">
        <f>--495.98</f>
        <v>495.98</v>
      </c>
      <c r="E26" s="2"/>
      <c r="F26" s="19"/>
      <c r="G26" s="2"/>
      <c r="H26" s="2"/>
      <c r="I26" s="2"/>
      <c r="J26" s="19"/>
      <c r="K26" s="2"/>
      <c r="L26" s="2">
        <f t="shared" si="0"/>
        <v>495.98</v>
      </c>
      <c r="M26" s="2"/>
      <c r="N26" s="19">
        <f t="shared" si="1"/>
        <v>0</v>
      </c>
      <c r="O26" s="11"/>
      <c r="P26" s="2">
        <f>--8963.87</f>
        <v>8963.8700000000008</v>
      </c>
      <c r="Q26" s="2"/>
      <c r="R26" s="19"/>
      <c r="S26" s="2"/>
      <c r="T26" s="2"/>
      <c r="U26" s="2"/>
      <c r="V26" s="19"/>
      <c r="W26" s="2"/>
      <c r="X26" s="2">
        <f t="shared" si="2"/>
        <v>8963.8700000000008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"4186", " - ", "NON-TAXABLE SALES-COMPUTER SUP")</f>
        <v xml:space="preserve">          4186 - NON-TAXABLE SALES-COMPUTER SUP</v>
      </c>
      <c r="C27" s="11"/>
      <c r="D27" s="2">
        <f>--49.99</f>
        <v>49.99</v>
      </c>
      <c r="E27" s="2"/>
      <c r="F27" s="19"/>
      <c r="G27" s="2"/>
      <c r="H27" s="2"/>
      <c r="I27" s="2"/>
      <c r="J27" s="19"/>
      <c r="K27" s="2"/>
      <c r="L27" s="2">
        <f t="shared" si="0"/>
        <v>49.99</v>
      </c>
      <c r="M27" s="2"/>
      <c r="N27" s="19">
        <f t="shared" si="1"/>
        <v>0</v>
      </c>
      <c r="O27" s="11"/>
      <c r="P27" s="2">
        <f>--1603.37</f>
        <v>1603.37</v>
      </c>
      <c r="Q27" s="2"/>
      <c r="R27" s="19"/>
      <c r="S27" s="2"/>
      <c r="T27" s="2"/>
      <c r="U27" s="2"/>
      <c r="V27" s="19"/>
      <c r="W27" s="2"/>
      <c r="X27" s="2">
        <f t="shared" si="2"/>
        <v>1603.37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"4188", " - ", "NON-TAXABLE SALES-MUSIC")</f>
        <v xml:space="preserve">          4188 - NON-TAXABLE SALES-MUSIC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--219.96</f>
        <v>219.96</v>
      </c>
      <c r="Q28" s="2"/>
      <c r="R28" s="19"/>
      <c r="S28" s="2"/>
      <c r="T28" s="2"/>
      <c r="U28" s="2"/>
      <c r="V28" s="19"/>
      <c r="W28" s="2"/>
      <c r="X28" s="2">
        <f t="shared" si="2"/>
        <v>219.96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"4281", " - ", "SALES RETURN TAXABLE-ELECTRONI")</f>
        <v xml:space="preserve">          4281 - SALES RETURN TAXABLE-ELECTRONI</v>
      </c>
      <c r="C29" s="11"/>
      <c r="D29" s="2">
        <f>-445.93</f>
        <v>-445.93</v>
      </c>
      <c r="E29" s="2"/>
      <c r="F29" s="19"/>
      <c r="G29" s="2"/>
      <c r="H29" s="2"/>
      <c r="I29" s="2"/>
      <c r="J29" s="19"/>
      <c r="K29" s="2"/>
      <c r="L29" s="2">
        <f t="shared" si="0"/>
        <v>-445.93</v>
      </c>
      <c r="M29" s="2"/>
      <c r="N29" s="19">
        <f t="shared" si="1"/>
        <v>0</v>
      </c>
      <c r="O29" s="11"/>
      <c r="P29" s="2">
        <f>-5002.08</f>
        <v>-5002.08</v>
      </c>
      <c r="Q29" s="2"/>
      <c r="R29" s="19"/>
      <c r="S29" s="2"/>
      <c r="T29" s="2"/>
      <c r="U29" s="2"/>
      <c r="V29" s="19"/>
      <c r="W29" s="2"/>
      <c r="X29" s="2">
        <f t="shared" si="2"/>
        <v>-5002.08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"4282", " - ", "SALES RETURN TAXABLE-COMPUTER")</f>
        <v xml:space="preserve">          4282 - SALES RETURN TAXABLE-COMPUTER</v>
      </c>
      <c r="C30" s="11"/>
      <c r="D30" s="2">
        <f>-10339.73</f>
        <v>-10339.73</v>
      </c>
      <c r="E30" s="2"/>
      <c r="F30" s="19"/>
      <c r="G30" s="2"/>
      <c r="H30" s="2"/>
      <c r="I30" s="2"/>
      <c r="J30" s="19"/>
      <c r="K30" s="2"/>
      <c r="L30" s="2">
        <f t="shared" si="0"/>
        <v>-10339.73</v>
      </c>
      <c r="M30" s="2"/>
      <c r="N30" s="19">
        <f t="shared" si="1"/>
        <v>0</v>
      </c>
      <c r="O30" s="11"/>
      <c r="P30" s="2">
        <f>-180477.59</f>
        <v>-180477.59</v>
      </c>
      <c r="Q30" s="2"/>
      <c r="R30" s="19"/>
      <c r="S30" s="2"/>
      <c r="T30" s="2"/>
      <c r="U30" s="2"/>
      <c r="V30" s="19"/>
      <c r="W30" s="2"/>
      <c r="X30" s="2">
        <f t="shared" si="2"/>
        <v>-180477.59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"4283", " - ", "SALES RETURN TAXABLE-COMPUTER")</f>
        <v xml:space="preserve">          4283 - SALES RETURN TAXABLE-COMPUTER</v>
      </c>
      <c r="C31" s="11"/>
      <c r="D31" s="2">
        <f>-423.91</f>
        <v>-423.91</v>
      </c>
      <c r="E31" s="2"/>
      <c r="F31" s="19"/>
      <c r="G31" s="2"/>
      <c r="H31" s="2"/>
      <c r="I31" s="2"/>
      <c r="J31" s="19"/>
      <c r="K31" s="2"/>
      <c r="L31" s="2">
        <f t="shared" si="0"/>
        <v>-423.91</v>
      </c>
      <c r="M31" s="2"/>
      <c r="N31" s="19">
        <f t="shared" si="1"/>
        <v>0</v>
      </c>
      <c r="O31" s="11"/>
      <c r="P31" s="2">
        <f>-2956.24</f>
        <v>-2956.24</v>
      </c>
      <c r="Q31" s="2"/>
      <c r="R31" s="19"/>
      <c r="S31" s="2"/>
      <c r="T31" s="2"/>
      <c r="U31" s="2"/>
      <c r="V31" s="19"/>
      <c r="W31" s="2"/>
      <c r="X31" s="2">
        <f t="shared" si="2"/>
        <v>-2956.24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"4284", " - ", "SALES RETURN TAXABLE-SOFTWARE")</f>
        <v xml:space="preserve">          4284 - SALES RETURN TAXABLE-SOFTWARE</v>
      </c>
      <c r="C32" s="11"/>
      <c r="D32" s="2">
        <f t="shared" ref="D32:D33" si="6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-129</f>
        <v>-129</v>
      </c>
      <c r="Q32" s="2"/>
      <c r="R32" s="19"/>
      <c r="S32" s="2"/>
      <c r="T32" s="2"/>
      <c r="U32" s="2"/>
      <c r="V32" s="19"/>
      <c r="W32" s="2"/>
      <c r="X32" s="2">
        <f t="shared" si="2"/>
        <v>-129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"4285", " - ", "SALES RETURN TAXABLE-SOFTWARE")</f>
        <v xml:space="preserve">          4285 - SALES RETURN TAXABLE-SOFTWARE</v>
      </c>
      <c r="C33" s="11"/>
      <c r="D33" s="2">
        <f t="shared" si="6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-655.98</f>
        <v>-655.98</v>
      </c>
      <c r="Q33" s="2"/>
      <c r="R33" s="19"/>
      <c r="S33" s="2"/>
      <c r="T33" s="2"/>
      <c r="U33" s="2"/>
      <c r="V33" s="19"/>
      <c r="W33" s="2"/>
      <c r="X33" s="2">
        <f t="shared" si="2"/>
        <v>-655.98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"4286", " - ", "SALES RETURN TAXABLE-COMPUTER")</f>
        <v xml:space="preserve">          4286 - SALES RETURN TAXABLE-COMPUTER</v>
      </c>
      <c r="C34" s="11"/>
      <c r="D34" s="2">
        <f>-340.39</f>
        <v>-340.39</v>
      </c>
      <c r="E34" s="2"/>
      <c r="F34" s="19"/>
      <c r="G34" s="2"/>
      <c r="H34" s="2"/>
      <c r="I34" s="2"/>
      <c r="J34" s="19"/>
      <c r="K34" s="2"/>
      <c r="L34" s="2">
        <f t="shared" si="0"/>
        <v>-340.39</v>
      </c>
      <c r="M34" s="2"/>
      <c r="N34" s="19">
        <f t="shared" si="1"/>
        <v>0</v>
      </c>
      <c r="O34" s="11"/>
      <c r="P34" s="2">
        <f>-2791.99</f>
        <v>-2791.99</v>
      </c>
      <c r="Q34" s="2"/>
      <c r="R34" s="19"/>
      <c r="S34" s="2"/>
      <c r="T34" s="2"/>
      <c r="U34" s="2"/>
      <c r="V34" s="19"/>
      <c r="W34" s="2"/>
      <c r="X34" s="2">
        <f t="shared" si="2"/>
        <v>-2791.99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"4288", " - ", "TAXABLE SALES RETURN-MUSIC")</f>
        <v xml:space="preserve">          4288 - TAXABLE SALES RETURN-MUSIC</v>
      </c>
      <c r="C35" s="11"/>
      <c r="D35" s="2">
        <f t="shared" ref="D35:D38" si="7">0</f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-3.99</f>
        <v>-3.99</v>
      </c>
      <c r="Q35" s="2"/>
      <c r="R35" s="19"/>
      <c r="S35" s="2"/>
      <c r="T35" s="2"/>
      <c r="U35" s="2"/>
      <c r="V35" s="19"/>
      <c r="W35" s="2"/>
      <c r="X35" s="2">
        <f t="shared" si="2"/>
        <v>-3.99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"4381", " - ", "SALES RETURN NON TAXABLE-ELECT")</f>
        <v xml:space="preserve">          4381 - SALES RETURN NON TAXABLE-ELECT</v>
      </c>
      <c r="C36" s="11"/>
      <c r="D36" s="2">
        <f t="shared" si="7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-1279.84</f>
        <v>-1279.8399999999999</v>
      </c>
      <c r="Q36" s="2"/>
      <c r="R36" s="19"/>
      <c r="S36" s="2"/>
      <c r="T36" s="2"/>
      <c r="U36" s="2"/>
      <c r="V36" s="19"/>
      <c r="W36" s="2"/>
      <c r="X36" s="2">
        <f t="shared" si="2"/>
        <v>-1279.8399999999999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"4383", " - ", "SALES RETURN NON TAXABLE-COMPU")</f>
        <v xml:space="preserve">          4383 - SALES RETURN NON TAXABLE-COMPU</v>
      </c>
      <c r="C37" s="11"/>
      <c r="D37" s="2">
        <f t="shared" si="7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-49.98</f>
        <v>-49.98</v>
      </c>
      <c r="Q37" s="2"/>
      <c r="R37" s="19"/>
      <c r="S37" s="2"/>
      <c r="T37" s="2"/>
      <c r="U37" s="2"/>
      <c r="V37" s="19"/>
      <c r="W37" s="2"/>
      <c r="X37" s="2">
        <f t="shared" si="2"/>
        <v>-49.98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"4386", " - ", "SALES RETURN NON TAXABLE-COMPU")</f>
        <v xml:space="preserve">          4386 - SALES RETURN NON TAXABLE-COMPU</v>
      </c>
      <c r="C38" s="11"/>
      <c r="D38" s="2">
        <f t="shared" si="7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-54.97</f>
        <v>-54.97</v>
      </c>
      <c r="Q38" s="2"/>
      <c r="R38" s="19"/>
      <c r="S38" s="2"/>
      <c r="T38" s="2"/>
      <c r="U38" s="2"/>
      <c r="V38" s="19"/>
      <c r="W38" s="2"/>
      <c r="X38" s="2">
        <f t="shared" si="2"/>
        <v>-54.97</v>
      </c>
      <c r="Y38" s="2"/>
      <c r="Z38" s="19">
        <f t="shared" si="3"/>
        <v>0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9" t="s">
        <v>8</v>
      </c>
      <c r="C40" s="10"/>
      <c r="D40" s="4">
        <f>SUM(OSRRefD16x_0)</f>
        <v>136420.06</v>
      </c>
      <c r="E40" s="4"/>
      <c r="F40" s="12">
        <f t="shared" ref="F40:F54" si="8">IF(D$12=0,0,D40/D$12)</f>
        <v>0.85007340151905253</v>
      </c>
      <c r="G40" s="4"/>
      <c r="H40" s="4">
        <f>SUM(OSRRefH16x_0)</f>
        <v>114261</v>
      </c>
      <c r="I40" s="4"/>
      <c r="J40" s="12">
        <f t="shared" ref="J40:J54" si="9">IF(H$12=0,0,H40/H$12)</f>
        <v>0.78096207999562561</v>
      </c>
      <c r="K40" s="4"/>
      <c r="L40" s="4">
        <f t="shared" ref="L40:L54" si="10">+D40-H40</f>
        <v>22159.059999999998</v>
      </c>
      <c r="M40" s="4"/>
      <c r="N40" s="12">
        <f t="shared" ref="N40:N54" si="11">IF(H40=0,0,L40/H40)</f>
        <v>0.193933713165472</v>
      </c>
      <c r="O40" s="10"/>
      <c r="P40" s="4">
        <f>SUM(OSRRefP16x_0)</f>
        <v>1336501.0599999998</v>
      </c>
      <c r="Q40" s="4"/>
      <c r="R40" s="12">
        <f t="shared" ref="R40:R54" si="12">IF(P$12=0,0,P40/P$12)</f>
        <v>0.89166343254069103</v>
      </c>
      <c r="S40" s="4"/>
      <c r="T40" s="4">
        <f>SUM(OSRRefT16x_0)</f>
        <v>1001107.0000000001</v>
      </c>
      <c r="U40" s="4"/>
      <c r="V40" s="12">
        <f t="shared" ref="V40:V54" si="13">IF(T$12=0,0,T40/T$12)</f>
        <v>0.78096292343792917</v>
      </c>
      <c r="W40" s="4"/>
      <c r="X40" s="4">
        <f t="shared" ref="X40:X54" si="14">+P40-T40</f>
        <v>335394.05999999971</v>
      </c>
      <c r="Y40" s="4"/>
      <c r="Z40" s="12">
        <f t="shared" ref="Z40:Z54" si="15">IF(T40=0,0,X40/T40)</f>
        <v>0.335023189329412</v>
      </c>
    </row>
    <row r="41" spans="1:26" s="24" customFormat="1" hidden="1" outlineLevel="1" x14ac:dyDescent="0.25">
      <c r="A41" s="44"/>
      <c r="B41" s="11" t="str">
        <f>CONCATENATE("          ", "5000", " - ", "PURCHASES @ COST")</f>
        <v xml:space="preserve">          5000 - PURCHASES @ COST</v>
      </c>
      <c r="C41" s="11"/>
      <c r="D41" s="2"/>
      <c r="E41" s="2"/>
      <c r="F41" s="19">
        <f t="shared" si="8"/>
        <v>0</v>
      </c>
      <c r="G41" s="2"/>
      <c r="H41" s="2">
        <v>114261</v>
      </c>
      <c r="I41" s="2"/>
      <c r="J41" s="19">
        <f t="shared" si="9"/>
        <v>0.78096207999562561</v>
      </c>
      <c r="K41" s="2"/>
      <c r="L41" s="2">
        <f t="shared" si="10"/>
        <v>-114261</v>
      </c>
      <c r="M41" s="2"/>
      <c r="N41" s="19">
        <f t="shared" si="11"/>
        <v>-1</v>
      </c>
      <c r="O41" s="11"/>
      <c r="P41" s="2"/>
      <c r="Q41" s="2"/>
      <c r="R41" s="19">
        <f t="shared" si="12"/>
        <v>0</v>
      </c>
      <c r="S41" s="2"/>
      <c r="T41" s="2">
        <v>1001107.0000000001</v>
      </c>
      <c r="U41" s="2"/>
      <c r="V41" s="19">
        <f t="shared" si="13"/>
        <v>0.78096292343792917</v>
      </c>
      <c r="W41" s="2"/>
      <c r="X41" s="2">
        <f t="shared" si="14"/>
        <v>-1001107.0000000001</v>
      </c>
      <c r="Y41" s="2"/>
      <c r="Z41" s="19">
        <f t="shared" si="15"/>
        <v>-1</v>
      </c>
    </row>
    <row r="42" spans="1:26" s="24" customFormat="1" hidden="1" outlineLevel="1" x14ac:dyDescent="0.25">
      <c r="A42" s="44"/>
      <c r="B42" s="11" t="str">
        <f>CONCATENATE("          ", "5081", " - ", "PURCHASES @ COST-ELECTRONICS")</f>
        <v xml:space="preserve">          5081 - PURCHASES @ COST-ELECTRONICS</v>
      </c>
      <c r="C42" s="11"/>
      <c r="D42" s="2">
        <v>16634.11</v>
      </c>
      <c r="E42" s="2"/>
      <c r="F42" s="19">
        <f t="shared" si="8"/>
        <v>0.10365201766471946</v>
      </c>
      <c r="G42" s="2"/>
      <c r="H42" s="2"/>
      <c r="I42" s="2"/>
      <c r="J42" s="19">
        <f t="shared" si="9"/>
        <v>0</v>
      </c>
      <c r="K42" s="2"/>
      <c r="L42" s="2">
        <f t="shared" si="10"/>
        <v>16634.11</v>
      </c>
      <c r="M42" s="2"/>
      <c r="N42" s="19">
        <f t="shared" si="11"/>
        <v>0</v>
      </c>
      <c r="O42" s="11"/>
      <c r="P42" s="2">
        <v>184807.73</v>
      </c>
      <c r="Q42" s="2"/>
      <c r="R42" s="19">
        <f t="shared" si="12"/>
        <v>0.12329679326393746</v>
      </c>
      <c r="S42" s="2"/>
      <c r="T42" s="2"/>
      <c r="U42" s="2"/>
      <c r="V42" s="19">
        <f t="shared" si="13"/>
        <v>0</v>
      </c>
      <c r="W42" s="2"/>
      <c r="X42" s="2">
        <f t="shared" si="14"/>
        <v>184807.73</v>
      </c>
      <c r="Y42" s="2"/>
      <c r="Z42" s="19">
        <f t="shared" si="15"/>
        <v>0</v>
      </c>
    </row>
    <row r="43" spans="1:26" s="24" customFormat="1" hidden="1" outlineLevel="1" x14ac:dyDescent="0.25">
      <c r="A43" s="44"/>
      <c r="B43" s="11" t="str">
        <f>CONCATENATE("          ", "5082", " - ", "PURCHASES @ COST-COMPUTER HARD")</f>
        <v xml:space="preserve">          5082 - PURCHASES @ COST-COMPUTER HARD</v>
      </c>
      <c r="C43" s="11"/>
      <c r="D43" s="2">
        <v>62712.56</v>
      </c>
      <c r="E43" s="2"/>
      <c r="F43" s="19">
        <f t="shared" si="8"/>
        <v>0.39078035295665225</v>
      </c>
      <c r="G43" s="2"/>
      <c r="H43" s="2"/>
      <c r="I43" s="2"/>
      <c r="J43" s="19">
        <f t="shared" si="9"/>
        <v>0</v>
      </c>
      <c r="K43" s="2"/>
      <c r="L43" s="2">
        <f t="shared" si="10"/>
        <v>62712.56</v>
      </c>
      <c r="M43" s="2"/>
      <c r="N43" s="19">
        <f t="shared" si="11"/>
        <v>0</v>
      </c>
      <c r="O43" s="11"/>
      <c r="P43" s="2">
        <v>958350.26</v>
      </c>
      <c r="Q43" s="2"/>
      <c r="R43" s="19">
        <f t="shared" si="12"/>
        <v>0.63937538695843898</v>
      </c>
      <c r="S43" s="2"/>
      <c r="T43" s="2"/>
      <c r="U43" s="2"/>
      <c r="V43" s="19">
        <f t="shared" si="13"/>
        <v>0</v>
      </c>
      <c r="W43" s="2"/>
      <c r="X43" s="2">
        <f t="shared" si="14"/>
        <v>958350.26</v>
      </c>
      <c r="Y43" s="2"/>
      <c r="Z43" s="19">
        <f t="shared" si="15"/>
        <v>0</v>
      </c>
    </row>
    <row r="44" spans="1:26" s="24" customFormat="1" hidden="1" outlineLevel="1" x14ac:dyDescent="0.25">
      <c r="A44" s="44"/>
      <c r="B44" s="11" t="str">
        <f>CONCATENATE("          ", "5083", " - ", "PURCHASES @ COST-COMPUTER EQUI")</f>
        <v xml:space="preserve">          5083 - PURCHASES @ COST-COMPUTER EQUI</v>
      </c>
      <c r="C44" s="11"/>
      <c r="D44" s="2">
        <v>7127.48</v>
      </c>
      <c r="E44" s="2"/>
      <c r="F44" s="19">
        <f t="shared" si="8"/>
        <v>4.4413418142896406E-2</v>
      </c>
      <c r="G44" s="2"/>
      <c r="H44" s="2"/>
      <c r="I44" s="2"/>
      <c r="J44" s="19">
        <f t="shared" si="9"/>
        <v>0</v>
      </c>
      <c r="K44" s="2"/>
      <c r="L44" s="2">
        <f t="shared" si="10"/>
        <v>7127.48</v>
      </c>
      <c r="M44" s="2"/>
      <c r="N44" s="19">
        <f t="shared" si="11"/>
        <v>0</v>
      </c>
      <c r="O44" s="11"/>
      <c r="P44" s="2">
        <v>48936.17</v>
      </c>
      <c r="Q44" s="2"/>
      <c r="R44" s="19">
        <f t="shared" si="12"/>
        <v>3.2648379132295485E-2</v>
      </c>
      <c r="S44" s="2"/>
      <c r="T44" s="2"/>
      <c r="U44" s="2"/>
      <c r="V44" s="19">
        <f t="shared" si="13"/>
        <v>0</v>
      </c>
      <c r="W44" s="2"/>
      <c r="X44" s="2">
        <f t="shared" si="14"/>
        <v>48936.17</v>
      </c>
      <c r="Y44" s="2"/>
      <c r="Z44" s="19">
        <f t="shared" si="15"/>
        <v>0</v>
      </c>
    </row>
    <row r="45" spans="1:26" s="24" customFormat="1" hidden="1" outlineLevel="1" x14ac:dyDescent="0.25">
      <c r="A45" s="44"/>
      <c r="B45" s="11" t="str">
        <f>CONCATENATE("          ", "5084", " - ", "PURCHASES @ COST-SOFTWARE LICE")</f>
        <v xml:space="preserve">          5084 - PURCHASES @ COST-SOFTWARE LICE</v>
      </c>
      <c r="C45" s="11"/>
      <c r="D45" s="2"/>
      <c r="E45" s="2"/>
      <c r="F45" s="19">
        <f t="shared" si="8"/>
        <v>0</v>
      </c>
      <c r="G45" s="2"/>
      <c r="H45" s="2"/>
      <c r="I45" s="2"/>
      <c r="J45" s="19">
        <f t="shared" si="9"/>
        <v>0</v>
      </c>
      <c r="K45" s="2"/>
      <c r="L45" s="2">
        <f t="shared" si="10"/>
        <v>0</v>
      </c>
      <c r="M45" s="2"/>
      <c r="N45" s="19">
        <f t="shared" si="11"/>
        <v>0</v>
      </c>
      <c r="O45" s="11"/>
      <c r="P45" s="2">
        <v>2728</v>
      </c>
      <c r="Q45" s="2"/>
      <c r="R45" s="19">
        <f t="shared" si="12"/>
        <v>1.8200193900115617E-3</v>
      </c>
      <c r="S45" s="2"/>
      <c r="T45" s="2"/>
      <c r="U45" s="2"/>
      <c r="V45" s="19">
        <f t="shared" si="13"/>
        <v>0</v>
      </c>
      <c r="W45" s="2"/>
      <c r="X45" s="2">
        <f t="shared" si="14"/>
        <v>2728</v>
      </c>
      <c r="Y45" s="2"/>
      <c r="Z45" s="19">
        <f t="shared" si="15"/>
        <v>0</v>
      </c>
    </row>
    <row r="46" spans="1:26" s="24" customFormat="1" hidden="1" outlineLevel="1" x14ac:dyDescent="0.25">
      <c r="A46" s="44"/>
      <c r="B46" s="11" t="str">
        <f>CONCATENATE("          ", "5085", " - ", "PURCHASES @ COST-SOFTWARE")</f>
        <v xml:space="preserve">          5085 - PURCHASES @ COST-SOFTWARE</v>
      </c>
      <c r="C46" s="11"/>
      <c r="D46" s="2">
        <v>148.36000000000001</v>
      </c>
      <c r="E46" s="2"/>
      <c r="F46" s="19">
        <f t="shared" si="8"/>
        <v>9.2447466926320551E-4</v>
      </c>
      <c r="G46" s="2"/>
      <c r="H46" s="2"/>
      <c r="I46" s="2"/>
      <c r="J46" s="19">
        <f t="shared" si="9"/>
        <v>0</v>
      </c>
      <c r="K46" s="2"/>
      <c r="L46" s="2">
        <f t="shared" si="10"/>
        <v>148.36000000000001</v>
      </c>
      <c r="M46" s="2"/>
      <c r="N46" s="19">
        <f t="shared" si="11"/>
        <v>0</v>
      </c>
      <c r="O46" s="11"/>
      <c r="P46" s="2">
        <v>7080.4</v>
      </c>
      <c r="Q46" s="2"/>
      <c r="R46" s="19">
        <f t="shared" si="12"/>
        <v>4.723777598620916E-3</v>
      </c>
      <c r="S46" s="2"/>
      <c r="T46" s="2"/>
      <c r="U46" s="2"/>
      <c r="V46" s="19">
        <f t="shared" si="13"/>
        <v>0</v>
      </c>
      <c r="W46" s="2"/>
      <c r="X46" s="2">
        <f t="shared" si="14"/>
        <v>7080.4</v>
      </c>
      <c r="Y46" s="2"/>
      <c r="Z46" s="19">
        <f t="shared" si="15"/>
        <v>0</v>
      </c>
    </row>
    <row r="47" spans="1:26" s="24" customFormat="1" hidden="1" outlineLevel="1" x14ac:dyDescent="0.25">
      <c r="A47" s="44"/>
      <c r="B47" s="11" t="str">
        <f>CONCATENATE("          ", "5086", " - ", "PURCHASES @ COST-COMPUTER SUPP")</f>
        <v xml:space="preserve">          5086 - PURCHASES @ COST-COMPUTER SUPP</v>
      </c>
      <c r="C47" s="11"/>
      <c r="D47" s="2">
        <v>826.55</v>
      </c>
      <c r="E47" s="2"/>
      <c r="F47" s="19">
        <f t="shared" si="8"/>
        <v>5.1504754507920086E-3</v>
      </c>
      <c r="G47" s="2"/>
      <c r="H47" s="2"/>
      <c r="I47" s="2"/>
      <c r="J47" s="19">
        <f t="shared" si="9"/>
        <v>0</v>
      </c>
      <c r="K47" s="2"/>
      <c r="L47" s="2">
        <f t="shared" si="10"/>
        <v>826.55</v>
      </c>
      <c r="M47" s="2"/>
      <c r="N47" s="19">
        <f t="shared" si="11"/>
        <v>0</v>
      </c>
      <c r="O47" s="11"/>
      <c r="P47" s="2">
        <v>19194.649999999998</v>
      </c>
      <c r="Q47" s="2"/>
      <c r="R47" s="19">
        <f t="shared" si="12"/>
        <v>1.280595131396093E-2</v>
      </c>
      <c r="S47" s="2"/>
      <c r="T47" s="2"/>
      <c r="U47" s="2"/>
      <c r="V47" s="19">
        <f t="shared" si="13"/>
        <v>0</v>
      </c>
      <c r="W47" s="2"/>
      <c r="X47" s="2">
        <f t="shared" si="14"/>
        <v>19194.649999999998</v>
      </c>
      <c r="Y47" s="2"/>
      <c r="Z47" s="19">
        <f t="shared" si="15"/>
        <v>0</v>
      </c>
    </row>
    <row r="48" spans="1:26" s="24" customFormat="1" hidden="1" outlineLevel="1" x14ac:dyDescent="0.25">
      <c r="A48" s="44"/>
      <c r="B48" s="11" t="str">
        <f>CONCATENATE("          ", "5088", " - ", "PURCHASES @ COST-MUSIC")</f>
        <v xml:space="preserve">          5088 - PURCHASES @ COST-MUSIC</v>
      </c>
      <c r="C48" s="11"/>
      <c r="D48" s="2"/>
      <c r="E48" s="2"/>
      <c r="F48" s="19">
        <f t="shared" si="8"/>
        <v>0</v>
      </c>
      <c r="G48" s="2"/>
      <c r="H48" s="2"/>
      <c r="I48" s="2"/>
      <c r="J48" s="19">
        <f t="shared" si="9"/>
        <v>0</v>
      </c>
      <c r="K48" s="2"/>
      <c r="L48" s="2">
        <f t="shared" si="10"/>
        <v>0</v>
      </c>
      <c r="M48" s="2"/>
      <c r="N48" s="19">
        <f t="shared" si="11"/>
        <v>0</v>
      </c>
      <c r="O48" s="11"/>
      <c r="P48" s="2">
        <v>88.75</v>
      </c>
      <c r="Q48" s="2"/>
      <c r="R48" s="19">
        <f t="shared" si="12"/>
        <v>5.921067480334534E-5</v>
      </c>
      <c r="S48" s="2"/>
      <c r="T48" s="2"/>
      <c r="U48" s="2"/>
      <c r="V48" s="19">
        <f t="shared" si="13"/>
        <v>0</v>
      </c>
      <c r="W48" s="2"/>
      <c r="X48" s="2">
        <f t="shared" si="14"/>
        <v>88.75</v>
      </c>
      <c r="Y48" s="2"/>
      <c r="Z48" s="19">
        <f t="shared" si="15"/>
        <v>0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>
        <v>-87449</v>
      </c>
      <c r="E49" s="2"/>
      <c r="F49" s="19">
        <f t="shared" si="8"/>
        <v>-0.54492036500672725</v>
      </c>
      <c r="G49" s="2"/>
      <c r="H49" s="2"/>
      <c r="I49" s="2"/>
      <c r="J49" s="19">
        <f t="shared" si="9"/>
        <v>0</v>
      </c>
      <c r="K49" s="2"/>
      <c r="L49" s="2">
        <f t="shared" si="10"/>
        <v>-87449</v>
      </c>
      <c r="M49" s="2"/>
      <c r="N49" s="19">
        <f t="shared" si="11"/>
        <v>0</v>
      </c>
      <c r="O49" s="11"/>
      <c r="P49" s="2">
        <v>-1221498</v>
      </c>
      <c r="Q49" s="2"/>
      <c r="R49" s="19">
        <f t="shared" si="12"/>
        <v>-0.81493769972886454</v>
      </c>
      <c r="S49" s="2"/>
      <c r="T49" s="2"/>
      <c r="U49" s="2"/>
      <c r="V49" s="19">
        <f t="shared" si="13"/>
        <v>0</v>
      </c>
      <c r="W49" s="2"/>
      <c r="X49" s="2">
        <f t="shared" si="14"/>
        <v>-1221498</v>
      </c>
      <c r="Y49" s="2"/>
      <c r="Z49" s="19">
        <f t="shared" si="15"/>
        <v>0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136420</v>
      </c>
      <c r="E50" s="2"/>
      <c r="F50" s="19">
        <f t="shared" si="8"/>
        <v>0.85007302764145654</v>
      </c>
      <c r="G50" s="2"/>
      <c r="H50" s="2"/>
      <c r="I50" s="2"/>
      <c r="J50" s="19">
        <f t="shared" si="9"/>
        <v>0</v>
      </c>
      <c r="K50" s="2"/>
      <c r="L50" s="2">
        <f t="shared" si="10"/>
        <v>136420</v>
      </c>
      <c r="M50" s="2"/>
      <c r="N50" s="19">
        <f t="shared" si="11"/>
        <v>0</v>
      </c>
      <c r="O50" s="11"/>
      <c r="P50" s="2">
        <v>1336499</v>
      </c>
      <c r="Q50" s="2"/>
      <c r="R50" s="19">
        <f t="shared" si="12"/>
        <v>0.89166205818587319</v>
      </c>
      <c r="S50" s="2"/>
      <c r="T50" s="2"/>
      <c r="U50" s="2"/>
      <c r="V50" s="19">
        <f t="shared" si="13"/>
        <v>0</v>
      </c>
      <c r="W50" s="2"/>
      <c r="X50" s="2">
        <f t="shared" si="14"/>
        <v>1336499</v>
      </c>
      <c r="Y50" s="2"/>
      <c r="Z50" s="19">
        <f t="shared" si="15"/>
        <v>0</v>
      </c>
    </row>
    <row r="51" spans="1:26" s="24" customFormat="1" hidden="1" outlineLevel="1" x14ac:dyDescent="0.25">
      <c r="A51" s="44"/>
      <c r="B51" s="11" t="str">
        <f>CONCATENATE("          ", "5581", " - ", "FREIGHT-IN-ELECTRONICS")</f>
        <v xml:space="preserve">          5581 - FREIGHT-IN-ELECTRONICS</v>
      </c>
      <c r="C51" s="11"/>
      <c r="D51" s="2"/>
      <c r="E51" s="2"/>
      <c r="F51" s="19">
        <f t="shared" si="8"/>
        <v>0</v>
      </c>
      <c r="G51" s="2"/>
      <c r="H51" s="2"/>
      <c r="I51" s="2"/>
      <c r="J51" s="19">
        <f t="shared" si="9"/>
        <v>0</v>
      </c>
      <c r="K51" s="2"/>
      <c r="L51" s="2">
        <f t="shared" si="10"/>
        <v>0</v>
      </c>
      <c r="M51" s="2"/>
      <c r="N51" s="19">
        <f t="shared" si="11"/>
        <v>0</v>
      </c>
      <c r="O51" s="11"/>
      <c r="P51" s="2">
        <v>105.75</v>
      </c>
      <c r="Q51" s="2"/>
      <c r="R51" s="19">
        <f t="shared" si="12"/>
        <v>7.0552437864267832E-5</v>
      </c>
      <c r="S51" s="2"/>
      <c r="T51" s="2"/>
      <c r="U51" s="2"/>
      <c r="V51" s="19">
        <f t="shared" si="13"/>
        <v>0</v>
      </c>
      <c r="W51" s="2"/>
      <c r="X51" s="2">
        <f t="shared" si="14"/>
        <v>105.75</v>
      </c>
      <c r="Y51" s="2"/>
      <c r="Z51" s="19">
        <f t="shared" si="15"/>
        <v>0</v>
      </c>
    </row>
    <row r="52" spans="1:26" s="24" customFormat="1" hidden="1" outlineLevel="1" x14ac:dyDescent="0.25">
      <c r="A52" s="44"/>
      <c r="B52" s="11" t="str">
        <f>CONCATENATE("          ", "5582", " - ", "FREIGHT-IN-COMPUTER HARDWARE")</f>
        <v xml:space="preserve">          5582 - FREIGHT-IN-COMPUTER HARDWARE</v>
      </c>
      <c r="C52" s="11"/>
      <c r="D52" s="2"/>
      <c r="E52" s="2"/>
      <c r="F52" s="19">
        <f t="shared" si="8"/>
        <v>0</v>
      </c>
      <c r="G52" s="2"/>
      <c r="H52" s="2"/>
      <c r="I52" s="2"/>
      <c r="J52" s="19">
        <f t="shared" si="9"/>
        <v>0</v>
      </c>
      <c r="K52" s="2"/>
      <c r="L52" s="2">
        <f t="shared" si="10"/>
        <v>0</v>
      </c>
      <c r="M52" s="2"/>
      <c r="N52" s="19">
        <f t="shared" si="11"/>
        <v>0</v>
      </c>
      <c r="O52" s="11"/>
      <c r="P52" s="2">
        <v>4.84</v>
      </c>
      <c r="Q52" s="2"/>
      <c r="R52" s="19">
        <f t="shared" si="12"/>
        <v>3.2290666596979319E-6</v>
      </c>
      <c r="S52" s="2"/>
      <c r="T52" s="2"/>
      <c r="U52" s="2"/>
      <c r="V52" s="19">
        <f t="shared" si="13"/>
        <v>0</v>
      </c>
      <c r="W52" s="2"/>
      <c r="X52" s="2">
        <f t="shared" si="14"/>
        <v>4.84</v>
      </c>
      <c r="Y52" s="2"/>
      <c r="Z52" s="19">
        <f t="shared" si="15"/>
        <v>0</v>
      </c>
    </row>
    <row r="53" spans="1:26" s="24" customFormat="1" hidden="1" outlineLevel="1" x14ac:dyDescent="0.25">
      <c r="A53" s="44"/>
      <c r="B53" s="11" t="str">
        <f>CONCATENATE("          ", "5583", " - ", "FREIGHT-IN-COMPUTER EQUIPMENT")</f>
        <v xml:space="preserve">          5583 - FREIGHT-IN-COMPUTER EQUIPMENT</v>
      </c>
      <c r="C53" s="11"/>
      <c r="D53" s="2"/>
      <c r="E53" s="2"/>
      <c r="F53" s="19">
        <f t="shared" si="8"/>
        <v>0</v>
      </c>
      <c r="G53" s="2"/>
      <c r="H53" s="2"/>
      <c r="I53" s="2"/>
      <c r="J53" s="19">
        <f t="shared" si="9"/>
        <v>0</v>
      </c>
      <c r="K53" s="2"/>
      <c r="L53" s="2">
        <f t="shared" si="10"/>
        <v>0</v>
      </c>
      <c r="M53" s="2"/>
      <c r="N53" s="19">
        <f t="shared" si="11"/>
        <v>0</v>
      </c>
      <c r="O53" s="11"/>
      <c r="P53" s="2">
        <v>41</v>
      </c>
      <c r="Q53" s="2"/>
      <c r="R53" s="19">
        <f t="shared" si="12"/>
        <v>2.735366385281306E-5</v>
      </c>
      <c r="S53" s="2"/>
      <c r="T53" s="2"/>
      <c r="U53" s="2"/>
      <c r="V53" s="19">
        <f t="shared" si="13"/>
        <v>0</v>
      </c>
      <c r="W53" s="2"/>
      <c r="X53" s="2">
        <f t="shared" si="14"/>
        <v>41</v>
      </c>
      <c r="Y53" s="2"/>
      <c r="Z53" s="19">
        <f t="shared" si="15"/>
        <v>0</v>
      </c>
    </row>
    <row r="54" spans="1:26" s="24" customFormat="1" hidden="1" outlineLevel="1" x14ac:dyDescent="0.25">
      <c r="A54" s="44"/>
      <c r="B54" s="11" t="str">
        <f>CONCATENATE("          ", "5586", " - ", "FREIGHT-IN-COMPUTER SUPPLIES")</f>
        <v xml:space="preserve">          5586 - FREIGHT-IN-COMPUTER SUPPLIES</v>
      </c>
      <c r="C54" s="11"/>
      <c r="D54" s="2"/>
      <c r="E54" s="2"/>
      <c r="F54" s="19">
        <f t="shared" si="8"/>
        <v>0</v>
      </c>
      <c r="G54" s="2"/>
      <c r="H54" s="2"/>
      <c r="I54" s="2"/>
      <c r="J54" s="19">
        <f t="shared" si="9"/>
        <v>0</v>
      </c>
      <c r="K54" s="2"/>
      <c r="L54" s="2">
        <f t="shared" si="10"/>
        <v>0</v>
      </c>
      <c r="M54" s="2"/>
      <c r="N54" s="19">
        <f t="shared" si="11"/>
        <v>0</v>
      </c>
      <c r="O54" s="11"/>
      <c r="P54" s="2">
        <v>162.51</v>
      </c>
      <c r="Q54" s="2"/>
      <c r="R54" s="19">
        <f t="shared" si="12"/>
        <v>1.0842058323708902E-4</v>
      </c>
      <c r="S54" s="2"/>
      <c r="T54" s="2"/>
      <c r="U54" s="2"/>
      <c r="V54" s="19">
        <f t="shared" si="13"/>
        <v>0</v>
      </c>
      <c r="W54" s="2"/>
      <c r="X54" s="2">
        <f t="shared" si="14"/>
        <v>162.51</v>
      </c>
      <c r="Y54" s="2"/>
      <c r="Z54" s="19">
        <f t="shared" si="15"/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8" t="s">
        <v>6</v>
      </c>
      <c r="C56" s="28"/>
      <c r="D56" s="20">
        <f>D12-D40</f>
        <v>24060.269999999931</v>
      </c>
      <c r="E56" s="14"/>
      <c r="F56" s="22">
        <f>IF(D$12=0,0,D56/D$12)</f>
        <v>0.14992659848094742</v>
      </c>
      <c r="G56" s="14"/>
      <c r="H56" s="20">
        <f>H12-H40</f>
        <v>32047</v>
      </c>
      <c r="I56" s="14"/>
      <c r="J56" s="22">
        <f>IF(H$12=0,0,H56/H$12)</f>
        <v>0.21903792000437433</v>
      </c>
      <c r="K56" s="16"/>
      <c r="L56" s="20">
        <f>+D56-H56</f>
        <v>-7986.7300000000687</v>
      </c>
      <c r="M56" s="16"/>
      <c r="N56" s="22">
        <f>IF(H56=0,0,L56/H56)</f>
        <v>-0.24921927169470057</v>
      </c>
      <c r="O56" s="29"/>
      <c r="P56" s="20">
        <f>P12-P40</f>
        <v>162384.07000000007</v>
      </c>
      <c r="Q56" s="14"/>
      <c r="R56" s="22">
        <f>IF(P$12=0,0,P56/P$12)</f>
        <v>0.10833656745930896</v>
      </c>
      <c r="S56" s="14"/>
      <c r="T56" s="20">
        <f>T12-T40</f>
        <v>280780.99999999988</v>
      </c>
      <c r="U56" s="14"/>
      <c r="V56" s="22">
        <f>IF(T$12=0,0,T56/T$12)</f>
        <v>0.21903707656207086</v>
      </c>
      <c r="W56" s="16"/>
      <c r="X56" s="20">
        <f>+P56-T56</f>
        <v>-118396.92999999982</v>
      </c>
      <c r="Y56" s="16"/>
      <c r="Z56" s="22">
        <f>IF(T56=0,0,X56/T56)</f>
        <v>-0.42167002040736329</v>
      </c>
    </row>
    <row r="57" spans="1:26" x14ac:dyDescent="0.25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9" t="s">
        <v>9</v>
      </c>
      <c r="C58" s="10"/>
      <c r="D58" s="21">
        <f>SUM(OSRRefD22x_0)</f>
        <v>-4593.2599999999984</v>
      </c>
      <c r="E58" s="21"/>
      <c r="F58" s="33">
        <f t="shared" ref="F58:F69" si="16">IF(D$12=0,0,D58/D$12)</f>
        <v>-2.8621950116877255E-2</v>
      </c>
      <c r="G58" s="21"/>
      <c r="H58" s="21">
        <f>SUM(OSRRefH22x_0)</f>
        <v>15164.038912316923</v>
      </c>
      <c r="I58" s="21"/>
      <c r="J58" s="33">
        <f t="shared" ref="J58:J69" si="17">IF(H$12=0,0,H58/H$12)</f>
        <v>0.10364463264016269</v>
      </c>
      <c r="K58" s="4"/>
      <c r="L58" s="21">
        <f t="shared" ref="L58:L69" si="18">+D58-H58</f>
        <v>-19757.298912316921</v>
      </c>
      <c r="M58" s="4"/>
      <c r="N58" s="33">
        <f t="shared" ref="N58:N69" si="19">IF(H58=0,0,L58/H58)</f>
        <v>-1.3029047885302605</v>
      </c>
      <c r="O58" s="10"/>
      <c r="P58" s="21">
        <f>SUM(OSRRefP22x_0)</f>
        <v>115125.59</v>
      </c>
      <c r="Q58" s="21"/>
      <c r="R58" s="33">
        <f t="shared" ref="R58:R69" si="20">IF(P$12=0,0,P58/P$12)</f>
        <v>7.6807480236994546E-2</v>
      </c>
      <c r="S58" s="21"/>
      <c r="T58" s="21">
        <f>SUM(OSRRefT22x_0)</f>
        <v>83775.586394843078</v>
      </c>
      <c r="U58" s="21"/>
      <c r="V58" s="33">
        <f t="shared" ref="V58:V69" si="21">IF(T$12=0,0,T58/T$12)</f>
        <v>6.5353280781817971E-2</v>
      </c>
      <c r="W58" s="4"/>
      <c r="X58" s="21">
        <f t="shared" ref="X58:X69" si="22">+P58-T58</f>
        <v>31350.003605156919</v>
      </c>
      <c r="Y58" s="4"/>
      <c r="Z58" s="33">
        <f t="shared" ref="Z58:Z69" si="23">IF(T58=0,0,X58/T58)</f>
        <v>0.37421407541573126</v>
      </c>
    </row>
    <row r="59" spans="1:26" s="26" customFormat="1" outlineLevel="1" collapsed="1" x14ac:dyDescent="0.25">
      <c r="A59" s="27"/>
      <c r="B59" s="13" t="str">
        <f>CONCATENATE("     ","*Benefits                                         ")</f>
        <v xml:space="preserve">     *Benefits                                         </v>
      </c>
      <c r="C59" s="13"/>
      <c r="D59" s="1">
        <f>SUM(OSRRefD22_0x_0)</f>
        <v>2953.7200000000003</v>
      </c>
      <c r="E59" s="1"/>
      <c r="F59" s="5">
        <f t="shared" si="16"/>
        <v>1.8405495552009404E-2</v>
      </c>
      <c r="G59" s="1"/>
      <c r="H59" s="1">
        <f>SUM(OSRRefH22_0x_0)</f>
        <v>2389.3775215476921</v>
      </c>
      <c r="I59" s="1"/>
      <c r="J59" s="5">
        <f t="shared" si="17"/>
        <v>1.6331147452960139E-2</v>
      </c>
      <c r="K59" s="1"/>
      <c r="L59" s="1">
        <f t="shared" si="18"/>
        <v>564.34247845230811</v>
      </c>
      <c r="M59" s="1"/>
      <c r="N59" s="5">
        <f t="shared" si="19"/>
        <v>0.23618807549790696</v>
      </c>
      <c r="O59" s="13"/>
      <c r="P59" s="1">
        <f>SUM(OSRRefP22_0x_0)</f>
        <v>15230</v>
      </c>
      <c r="Q59" s="1"/>
      <c r="R59" s="5">
        <f t="shared" si="20"/>
        <v>1.0160885377520558E-2</v>
      </c>
      <c r="S59" s="1"/>
      <c r="T59" s="1">
        <f>SUM(OSRRefT22_0x_0)</f>
        <v>13328.278745612306</v>
      </c>
      <c r="U59" s="1"/>
      <c r="V59" s="5">
        <f t="shared" si="21"/>
        <v>1.0397381632102264E-2</v>
      </c>
      <c r="W59" s="1"/>
      <c r="X59" s="1">
        <f t="shared" si="22"/>
        <v>1901.721254387694</v>
      </c>
      <c r="Y59" s="1"/>
      <c r="Z59" s="5">
        <f t="shared" si="23"/>
        <v>0.14268318442947811</v>
      </c>
    </row>
    <row r="60" spans="1:26" s="24" customFormat="1" hidden="1" outlineLevel="2" x14ac:dyDescent="0.25">
      <c r="A60" s="25"/>
      <c r="B60" s="11" t="str">
        <f>CONCATENATE("          ", "6111", " - ", "F.I.C.A.")</f>
        <v xml:space="preserve">          6111 - F.I.C.A.</v>
      </c>
      <c r="C60" s="11"/>
      <c r="D60" s="6">
        <v>566.58000000000004</v>
      </c>
      <c r="E60" s="2"/>
      <c r="F60" s="7">
        <f t="shared" si="16"/>
        <v>3.5305261398702278E-3</v>
      </c>
      <c r="G60" s="2"/>
      <c r="H60" s="6">
        <v>368.84942751692296</v>
      </c>
      <c r="I60" s="2"/>
      <c r="J60" s="7">
        <f t="shared" si="17"/>
        <v>2.5210475675760927E-3</v>
      </c>
      <c r="K60" s="2"/>
      <c r="L60" s="6">
        <f t="shared" si="18"/>
        <v>197.73057248307708</v>
      </c>
      <c r="M60" s="2"/>
      <c r="N60" s="7">
        <f t="shared" si="19"/>
        <v>0.53607395791336865</v>
      </c>
      <c r="O60" s="11"/>
      <c r="P60" s="6">
        <v>3701.74</v>
      </c>
      <c r="Q60" s="2"/>
      <c r="R60" s="7">
        <f t="shared" si="20"/>
        <v>2.4696622348905416E-3</v>
      </c>
      <c r="S60" s="2"/>
      <c r="T60" s="6">
        <v>2743.5898564430772</v>
      </c>
      <c r="U60" s="2"/>
      <c r="V60" s="7">
        <f t="shared" si="21"/>
        <v>2.1402726731532531E-3</v>
      </c>
      <c r="W60" s="2"/>
      <c r="X60" s="6">
        <f t="shared" si="22"/>
        <v>958.15014355692256</v>
      </c>
      <c r="Y60" s="2"/>
      <c r="Z60" s="7">
        <f t="shared" si="23"/>
        <v>0.34923228095000863</v>
      </c>
    </row>
    <row r="61" spans="1:26" s="24" customFormat="1" hidden="1" outlineLevel="2" x14ac:dyDescent="0.25">
      <c r="A61" s="25"/>
      <c r="B61" s="11" t="str">
        <f>CONCATENATE("          ", "6112", " - ", "COMPENSATION INSURANCE")</f>
        <v xml:space="preserve">          6112 - COMPENSATION INSURANCE</v>
      </c>
      <c r="C61" s="11"/>
      <c r="D61" s="6">
        <v>194.36</v>
      </c>
      <c r="E61" s="2"/>
      <c r="F61" s="7">
        <f t="shared" si="16"/>
        <v>1.2111141595982516E-3</v>
      </c>
      <c r="G61" s="2"/>
      <c r="H61" s="6">
        <v>176.76025046153799</v>
      </c>
      <c r="I61" s="2"/>
      <c r="J61" s="7">
        <f t="shared" si="17"/>
        <v>1.2081379723701915E-3</v>
      </c>
      <c r="K61" s="2"/>
      <c r="L61" s="6">
        <f t="shared" si="18"/>
        <v>17.599749538462021</v>
      </c>
      <c r="M61" s="2"/>
      <c r="N61" s="7">
        <f t="shared" si="19"/>
        <v>9.9568480427626602E-2</v>
      </c>
      <c r="O61" s="11"/>
      <c r="P61" s="6">
        <v>705.92</v>
      </c>
      <c r="Q61" s="2"/>
      <c r="R61" s="7">
        <f t="shared" si="20"/>
        <v>4.709633752921413E-4</v>
      </c>
      <c r="S61" s="2"/>
      <c r="T61" s="6">
        <v>1011.3056075384599</v>
      </c>
      <c r="U61" s="2"/>
      <c r="V61" s="7">
        <f t="shared" si="21"/>
        <v>7.8891885058480918E-4</v>
      </c>
      <c r="W61" s="2"/>
      <c r="X61" s="6">
        <f t="shared" si="22"/>
        <v>-305.38560753845991</v>
      </c>
      <c r="Y61" s="2"/>
      <c r="Z61" s="7">
        <f t="shared" si="23"/>
        <v>-0.30197163474824906</v>
      </c>
    </row>
    <row r="62" spans="1:26" s="24" customFormat="1" hidden="1" outlineLevel="2" x14ac:dyDescent="0.25">
      <c r="A62" s="25"/>
      <c r="B62" s="11" t="str">
        <f>CONCATENATE("          ", "6113", " - ", "GROUP INSURANCE")</f>
        <v xml:space="preserve">          6113 - GROUP INSURANCE</v>
      </c>
      <c r="C62" s="11"/>
      <c r="D62" s="6">
        <v>1287.6500000000001</v>
      </c>
      <c r="E62" s="2"/>
      <c r="F62" s="7">
        <f t="shared" si="16"/>
        <v>8.0237247767374394E-3</v>
      </c>
      <c r="G62" s="2"/>
      <c r="H62" s="6">
        <v>1186.2</v>
      </c>
      <c r="I62" s="2"/>
      <c r="J62" s="7">
        <f t="shared" si="17"/>
        <v>8.1075539273313835E-3</v>
      </c>
      <c r="K62" s="2"/>
      <c r="L62" s="6">
        <f t="shared" si="18"/>
        <v>101.45000000000005</v>
      </c>
      <c r="M62" s="2"/>
      <c r="N62" s="7">
        <f t="shared" si="19"/>
        <v>8.5525206541898532E-2</v>
      </c>
      <c r="O62" s="11"/>
      <c r="P62" s="6">
        <v>5147.17</v>
      </c>
      <c r="Q62" s="2"/>
      <c r="R62" s="7">
        <f t="shared" si="20"/>
        <v>3.4339989749581413E-3</v>
      </c>
      <c r="S62" s="2"/>
      <c r="T62" s="6">
        <v>5931</v>
      </c>
      <c r="U62" s="2"/>
      <c r="V62" s="7">
        <f t="shared" si="21"/>
        <v>4.6267692653336329E-3</v>
      </c>
      <c r="W62" s="2"/>
      <c r="X62" s="6">
        <f t="shared" si="22"/>
        <v>-783.82999999999993</v>
      </c>
      <c r="Y62" s="2"/>
      <c r="Z62" s="7">
        <f t="shared" si="23"/>
        <v>-0.13215815208227955</v>
      </c>
    </row>
    <row r="63" spans="1:26" s="24" customFormat="1" hidden="1" outlineLevel="2" x14ac:dyDescent="0.25">
      <c r="A63" s="25"/>
      <c r="B63" s="11" t="str">
        <f>CONCATENATE("          ", "6114", " - ", "STATE UNEMPLOYMENT INSURANCE")</f>
        <v xml:space="preserve">          6114 - STATE UNEMPLOYMENT INSURANCE</v>
      </c>
      <c r="C63" s="11"/>
      <c r="D63" s="6">
        <v>28.65</v>
      </c>
      <c r="E63" s="2"/>
      <c r="F63" s="7">
        <f t="shared" si="16"/>
        <v>1.7852655213258854E-4</v>
      </c>
      <c r="G63" s="2"/>
      <c r="H63" s="6">
        <v>24.1882448</v>
      </c>
      <c r="I63" s="2"/>
      <c r="J63" s="7">
        <f t="shared" si="17"/>
        <v>1.6532414358750035E-4</v>
      </c>
      <c r="K63" s="2"/>
      <c r="L63" s="6">
        <f t="shared" si="18"/>
        <v>4.4617551999999989</v>
      </c>
      <c r="M63" s="2"/>
      <c r="N63" s="7">
        <f t="shared" si="19"/>
        <v>0.18445965124348332</v>
      </c>
      <c r="O63" s="11"/>
      <c r="P63" s="6">
        <v>125.05</v>
      </c>
      <c r="Q63" s="2"/>
      <c r="R63" s="7">
        <f t="shared" si="20"/>
        <v>8.3428674751079827E-5</v>
      </c>
      <c r="S63" s="2"/>
      <c r="T63" s="6">
        <v>138.38918839999999</v>
      </c>
      <c r="U63" s="2"/>
      <c r="V63" s="7">
        <f t="shared" si="21"/>
        <v>1.0795731639581617E-4</v>
      </c>
      <c r="W63" s="2"/>
      <c r="X63" s="6">
        <f t="shared" si="22"/>
        <v>-13.339188399999998</v>
      </c>
      <c r="Y63" s="2"/>
      <c r="Z63" s="7">
        <f t="shared" si="23"/>
        <v>-9.6388948834965474E-2</v>
      </c>
    </row>
    <row r="64" spans="1:26" s="24" customFormat="1" hidden="1" outlineLevel="2" x14ac:dyDescent="0.25">
      <c r="A64" s="25"/>
      <c r="B64" s="11" t="str">
        <f>CONCATENATE("          ", "6115", " - ", "P.E.R.S.")</f>
        <v xml:space="preserve">          6115 - P.E.R.S.</v>
      </c>
      <c r="C64" s="11"/>
      <c r="D64" s="6">
        <v>263.31</v>
      </c>
      <c r="E64" s="2"/>
      <c r="F64" s="7">
        <f t="shared" si="16"/>
        <v>1.6407618304374132E-3</v>
      </c>
      <c r="G64" s="2"/>
      <c r="H64" s="6">
        <v>294.022912615385</v>
      </c>
      <c r="I64" s="2"/>
      <c r="J64" s="7">
        <f t="shared" si="17"/>
        <v>2.0096161017537318E-3</v>
      </c>
      <c r="K64" s="2"/>
      <c r="L64" s="6">
        <f t="shared" si="18"/>
        <v>-30.712912615384994</v>
      </c>
      <c r="M64" s="2"/>
      <c r="N64" s="7">
        <f t="shared" si="19"/>
        <v>-0.10445754836651433</v>
      </c>
      <c r="O64" s="11"/>
      <c r="P64" s="6">
        <v>1022.61</v>
      </c>
      <c r="Q64" s="2"/>
      <c r="R64" s="7">
        <f t="shared" si="20"/>
        <v>6.8224707786646737E-4</v>
      </c>
      <c r="S64" s="2"/>
      <c r="T64" s="6">
        <v>1617.1260193846169</v>
      </c>
      <c r="U64" s="2"/>
      <c r="V64" s="7">
        <f t="shared" si="21"/>
        <v>1.2615189621750238E-3</v>
      </c>
      <c r="W64" s="2"/>
      <c r="X64" s="6">
        <f t="shared" si="22"/>
        <v>-594.51601938461692</v>
      </c>
      <c r="Y64" s="2"/>
      <c r="Z64" s="7">
        <f t="shared" si="23"/>
        <v>-0.36763740874743622</v>
      </c>
    </row>
    <row r="65" spans="1:26" s="24" customFormat="1" hidden="1" outlineLevel="2" x14ac:dyDescent="0.25">
      <c r="A65" s="25"/>
      <c r="B65" s="11" t="str">
        <f>CONCATENATE("          ", "6116", " - ", "EDUCATIONAL BENEFITS")</f>
        <v xml:space="preserve">          6116 - EDUCATIONAL BENEFITS</v>
      </c>
      <c r="C65" s="11"/>
      <c r="D65" s="6"/>
      <c r="E65" s="2"/>
      <c r="F65" s="7">
        <f t="shared" si="16"/>
        <v>0</v>
      </c>
      <c r="G65" s="2"/>
      <c r="H65" s="6">
        <v>0</v>
      </c>
      <c r="I65" s="2"/>
      <c r="J65" s="7">
        <f t="shared" si="17"/>
        <v>0</v>
      </c>
      <c r="K65" s="2"/>
      <c r="L65" s="6">
        <f t="shared" si="18"/>
        <v>0</v>
      </c>
      <c r="M65" s="2"/>
      <c r="N65" s="7">
        <f t="shared" si="19"/>
        <v>0</v>
      </c>
      <c r="O65" s="11"/>
      <c r="P65" s="6"/>
      <c r="Q65" s="2"/>
      <c r="R65" s="7">
        <f t="shared" si="20"/>
        <v>0</v>
      </c>
      <c r="S65" s="2"/>
      <c r="T65" s="6">
        <v>0</v>
      </c>
      <c r="U65" s="2"/>
      <c r="V65" s="7">
        <f t="shared" si="21"/>
        <v>0</v>
      </c>
      <c r="W65" s="2"/>
      <c r="X65" s="6">
        <f t="shared" si="22"/>
        <v>0</v>
      </c>
      <c r="Y65" s="2"/>
      <c r="Z65" s="7">
        <f t="shared" si="23"/>
        <v>0</v>
      </c>
    </row>
    <row r="66" spans="1:26" s="24" customFormat="1" hidden="1" outlineLevel="2" x14ac:dyDescent="0.25">
      <c r="A66" s="25"/>
      <c r="B66" s="11" t="str">
        <f>CONCATENATE("          ", "6117", " - ", "RETIREMENT STAFF HOURLY")</f>
        <v xml:space="preserve">          6117 - RETIREMENT STAFF HOURLY</v>
      </c>
      <c r="C66" s="11"/>
      <c r="D66" s="6">
        <v>173.93</v>
      </c>
      <c r="E66" s="2"/>
      <c r="F66" s="7">
        <f t="shared" si="16"/>
        <v>1.0838088381298822E-3</v>
      </c>
      <c r="G66" s="2"/>
      <c r="H66" s="6"/>
      <c r="I66" s="2"/>
      <c r="J66" s="7">
        <f t="shared" si="17"/>
        <v>0</v>
      </c>
      <c r="K66" s="2"/>
      <c r="L66" s="6">
        <f t="shared" si="18"/>
        <v>173.93</v>
      </c>
      <c r="M66" s="2"/>
      <c r="N66" s="7">
        <f t="shared" si="19"/>
        <v>0</v>
      </c>
      <c r="O66" s="11"/>
      <c r="P66" s="6">
        <v>872.68</v>
      </c>
      <c r="Q66" s="2"/>
      <c r="R66" s="7">
        <f t="shared" si="20"/>
        <v>5.8221939929446092E-4</v>
      </c>
      <c r="S66" s="2"/>
      <c r="T66" s="6"/>
      <c r="U66" s="2"/>
      <c r="V66" s="7">
        <f t="shared" si="21"/>
        <v>0</v>
      </c>
      <c r="W66" s="2"/>
      <c r="X66" s="6">
        <f t="shared" si="22"/>
        <v>872.68</v>
      </c>
      <c r="Y66" s="2"/>
      <c r="Z66" s="7">
        <f t="shared" si="23"/>
        <v>0</v>
      </c>
    </row>
    <row r="67" spans="1:26" s="24" customFormat="1" hidden="1" outlineLevel="2" x14ac:dyDescent="0.25">
      <c r="A67" s="25"/>
      <c r="B67" s="11" t="str">
        <f>CONCATENATE("          ", "6118", " - ", "VACATION")</f>
        <v xml:space="preserve">          6118 - VACATION</v>
      </c>
      <c r="C67" s="11"/>
      <c r="D67" s="6">
        <v>114.56</v>
      </c>
      <c r="E67" s="2"/>
      <c r="F67" s="7">
        <f t="shared" si="16"/>
        <v>7.1385695679962804E-4</v>
      </c>
      <c r="G67" s="2"/>
      <c r="H67" s="6">
        <v>170.943553846154</v>
      </c>
      <c r="I67" s="2"/>
      <c r="J67" s="7">
        <f t="shared" si="17"/>
        <v>1.1683814545079831E-3</v>
      </c>
      <c r="K67" s="2"/>
      <c r="L67" s="6">
        <f t="shared" si="18"/>
        <v>-56.383553846154001</v>
      </c>
      <c r="M67" s="2"/>
      <c r="N67" s="7">
        <f t="shared" si="19"/>
        <v>-0.32983726252057533</v>
      </c>
      <c r="O67" s="11"/>
      <c r="P67" s="6">
        <v>1405.57</v>
      </c>
      <c r="Q67" s="2"/>
      <c r="R67" s="7">
        <f t="shared" si="20"/>
        <v>9.3774364150240122E-4</v>
      </c>
      <c r="S67" s="2"/>
      <c r="T67" s="6">
        <v>940.18954615384598</v>
      </c>
      <c r="U67" s="2"/>
      <c r="V67" s="7">
        <f t="shared" si="21"/>
        <v>7.3344125707850143E-4</v>
      </c>
      <c r="W67" s="2"/>
      <c r="X67" s="6">
        <f t="shared" si="22"/>
        <v>465.38045384615396</v>
      </c>
      <c r="Y67" s="2"/>
      <c r="Z67" s="7">
        <f t="shared" si="23"/>
        <v>0.49498577786781983</v>
      </c>
    </row>
    <row r="68" spans="1:26" s="24" customFormat="1" hidden="1" outlineLevel="2" x14ac:dyDescent="0.25">
      <c r="A68" s="25"/>
      <c r="B68" s="11" t="str">
        <f>CONCATENATE("          ", "6119", " - ", "SICK LEAVE")</f>
        <v xml:space="preserve">          6119 - SICK LEAVE</v>
      </c>
      <c r="C68" s="11"/>
      <c r="D68" s="6">
        <v>173.86</v>
      </c>
      <c r="E68" s="2"/>
      <c r="F68" s="7">
        <f t="shared" si="16"/>
        <v>1.0833726476011116E-3</v>
      </c>
      <c r="G68" s="2"/>
      <c r="H68" s="6">
        <v>168.413132307692</v>
      </c>
      <c r="I68" s="2"/>
      <c r="J68" s="7">
        <f t="shared" si="17"/>
        <v>1.1510862858332559E-3</v>
      </c>
      <c r="K68" s="2"/>
      <c r="L68" s="6">
        <f t="shared" si="18"/>
        <v>5.4468676923080181</v>
      </c>
      <c r="M68" s="2"/>
      <c r="N68" s="7">
        <f t="shared" si="19"/>
        <v>3.2342297881833536E-2</v>
      </c>
      <c r="O68" s="11"/>
      <c r="P68" s="6">
        <v>1454.26</v>
      </c>
      <c r="Q68" s="2"/>
      <c r="R68" s="7">
        <f t="shared" si="20"/>
        <v>9.702277852339492E-4</v>
      </c>
      <c r="S68" s="2"/>
      <c r="T68" s="6">
        <v>946.67852769230603</v>
      </c>
      <c r="U68" s="2"/>
      <c r="V68" s="7">
        <f t="shared" si="21"/>
        <v>7.3850330738122675E-4</v>
      </c>
      <c r="W68" s="2"/>
      <c r="X68" s="6">
        <f t="shared" si="22"/>
        <v>507.58147230769396</v>
      </c>
      <c r="Y68" s="2"/>
      <c r="Z68" s="7">
        <f t="shared" si="23"/>
        <v>0.53617089377215754</v>
      </c>
    </row>
    <row r="69" spans="1:26" s="24" customFormat="1" hidden="1" outlineLevel="2" x14ac:dyDescent="0.25">
      <c r="A69" s="25"/>
      <c r="B69" s="11" t="str">
        <f>CONCATENATE("          ", "6156", " - ", "EMPLOYEE MEALS")</f>
        <v xml:space="preserve">          6156 - EMPLOYEE MEALS</v>
      </c>
      <c r="C69" s="11"/>
      <c r="D69" s="6">
        <v>150.82</v>
      </c>
      <c r="E69" s="2"/>
      <c r="F69" s="7">
        <f t="shared" si="16"/>
        <v>9.3980365070286227E-4</v>
      </c>
      <c r="G69" s="2"/>
      <c r="H69" s="6"/>
      <c r="I69" s="2"/>
      <c r="J69" s="7">
        <f t="shared" si="17"/>
        <v>0</v>
      </c>
      <c r="K69" s="2"/>
      <c r="L69" s="6">
        <f t="shared" si="18"/>
        <v>150.82</v>
      </c>
      <c r="M69" s="2"/>
      <c r="N69" s="7">
        <f t="shared" si="19"/>
        <v>0</v>
      </c>
      <c r="O69" s="11"/>
      <c r="P69" s="6">
        <v>795</v>
      </c>
      <c r="Q69" s="2"/>
      <c r="R69" s="7">
        <f t="shared" si="20"/>
        <v>5.3039421373137516E-4</v>
      </c>
      <c r="S69" s="2"/>
      <c r="T69" s="6"/>
      <c r="U69" s="2"/>
      <c r="V69" s="7">
        <f t="shared" si="21"/>
        <v>0</v>
      </c>
      <c r="W69" s="2"/>
      <c r="X69" s="6">
        <f t="shared" si="22"/>
        <v>795</v>
      </c>
      <c r="Y69" s="2"/>
      <c r="Z69" s="7">
        <f t="shared" si="23"/>
        <v>0</v>
      </c>
    </row>
    <row r="70" spans="1:26" s="26" customFormat="1" outlineLevel="1" collapsed="1" x14ac:dyDescent="0.25">
      <c r="A70" s="27"/>
      <c r="B70" s="13" t="str">
        <f>CONCATENATE("     ","*Payroll                                          ")</f>
        <v xml:space="preserve">     *Payroll                                          </v>
      </c>
      <c r="C70" s="13"/>
      <c r="D70" s="1">
        <f>SUM(OSRRefD22_1x_0)</f>
        <v>9624.76</v>
      </c>
      <c r="E70" s="1"/>
      <c r="F70" s="5">
        <f t="shared" ref="F70:F80" si="24">IF(D$12=0,0,D70/D$12)</f>
        <v>5.997470219558998E-2</v>
      </c>
      <c r="G70" s="1"/>
      <c r="H70" s="1">
        <f>SUM(OSRRefH22_1x_0)</f>
        <v>9029.6613907692299</v>
      </c>
      <c r="I70" s="1"/>
      <c r="J70" s="5">
        <f t="shared" ref="J70:J80" si="25">IF(H$12=0,0,H70/H$12)</f>
        <v>6.171679874490274E-2</v>
      </c>
      <c r="K70" s="1"/>
      <c r="L70" s="1">
        <f t="shared" ref="L70:L80" si="26">+D70-H70</f>
        <v>595.09860923077031</v>
      </c>
      <c r="M70" s="1"/>
      <c r="N70" s="5">
        <f t="shared" ref="N70:N80" si="27">IF(H70=0,0,L70/H70)</f>
        <v>6.590486436613481E-2</v>
      </c>
      <c r="O70" s="13"/>
      <c r="P70" s="1">
        <f>SUM(OSRRefP22_1x_0)</f>
        <v>48719.140000000007</v>
      </c>
      <c r="Q70" s="1"/>
      <c r="R70" s="5">
        <f t="shared" ref="R70:R80" si="28">IF(P$12=0,0,P70/P$12)</f>
        <v>3.250358484775949E-2</v>
      </c>
      <c r="S70" s="1"/>
      <c r="T70" s="1">
        <f>SUM(OSRRefT22_1x_0)</f>
        <v>51722.307649230774</v>
      </c>
      <c r="U70" s="1"/>
      <c r="V70" s="5">
        <f t="shared" ref="V70:V80" si="29">IF(T$12=0,0,T70/T$12)</f>
        <v>4.0348538756296008E-2</v>
      </c>
      <c r="W70" s="1"/>
      <c r="X70" s="1">
        <f t="shared" ref="X70:X80" si="30">+P70-T70</f>
        <v>-3003.167649230767</v>
      </c>
      <c r="Y70" s="1"/>
      <c r="Z70" s="5">
        <f t="shared" ref="Z70:Z80" si="31">IF(T70=0,0,X70/T70)</f>
        <v>-5.8063295814208139E-2</v>
      </c>
    </row>
    <row r="71" spans="1:26" s="24" customFormat="1" hidden="1" outlineLevel="2" x14ac:dyDescent="0.25">
      <c r="A71" s="25"/>
      <c r="B71" s="11" t="str">
        <f>CONCATENATE("          ", "6001", " - ", "ADMINISTRATIVE SALARIES")</f>
        <v xml:space="preserve">          6001 - ADMINISTRATIVE SALARIES</v>
      </c>
      <c r="C71" s="11"/>
      <c r="D71" s="6"/>
      <c r="E71" s="2"/>
      <c r="F71" s="7">
        <f t="shared" si="24"/>
        <v>0</v>
      </c>
      <c r="G71" s="2"/>
      <c r="H71" s="6">
        <v>3145.3613907692297</v>
      </c>
      <c r="I71" s="2"/>
      <c r="J71" s="7">
        <f t="shared" si="25"/>
        <v>2.1498218762946865E-2</v>
      </c>
      <c r="K71" s="2"/>
      <c r="L71" s="6">
        <f t="shared" si="26"/>
        <v>-3145.3613907692297</v>
      </c>
      <c r="M71" s="2"/>
      <c r="N71" s="7">
        <f t="shared" si="27"/>
        <v>-1</v>
      </c>
      <c r="O71" s="11"/>
      <c r="P71" s="6"/>
      <c r="Q71" s="2"/>
      <c r="R71" s="7">
        <f t="shared" si="28"/>
        <v>0</v>
      </c>
      <c r="S71" s="2"/>
      <c r="T71" s="6">
        <v>17299.48764923077</v>
      </c>
      <c r="U71" s="2"/>
      <c r="V71" s="7">
        <f t="shared" si="29"/>
        <v>1.3495319130244429E-2</v>
      </c>
      <c r="W71" s="2"/>
      <c r="X71" s="6">
        <f t="shared" si="30"/>
        <v>-17299.48764923077</v>
      </c>
      <c r="Y71" s="2"/>
      <c r="Z71" s="7">
        <f t="shared" si="31"/>
        <v>-1</v>
      </c>
    </row>
    <row r="72" spans="1:26" s="24" customFormat="1" hidden="1" outlineLevel="2" x14ac:dyDescent="0.25">
      <c r="A72" s="25"/>
      <c r="B72" s="11" t="str">
        <f>CONCATENATE("          ", "6002", " - ", "STAFF SALARIES")</f>
        <v xml:space="preserve">          6002 - STAFF SALARIES</v>
      </c>
      <c r="C72" s="11"/>
      <c r="D72" s="6">
        <v>3193.56</v>
      </c>
      <c r="E72" s="2"/>
      <c r="F72" s="7">
        <f t="shared" si="24"/>
        <v>1.9900008929443262E-2</v>
      </c>
      <c r="G72" s="2"/>
      <c r="H72" s="6">
        <v>0</v>
      </c>
      <c r="I72" s="2"/>
      <c r="J72" s="7">
        <f t="shared" si="25"/>
        <v>0</v>
      </c>
      <c r="K72" s="2"/>
      <c r="L72" s="6">
        <f t="shared" si="26"/>
        <v>3193.56</v>
      </c>
      <c r="M72" s="2"/>
      <c r="N72" s="7">
        <f t="shared" si="27"/>
        <v>0</v>
      </c>
      <c r="O72" s="11"/>
      <c r="P72" s="6">
        <v>15056.58</v>
      </c>
      <c r="Q72" s="2"/>
      <c r="R72" s="7">
        <f t="shared" si="28"/>
        <v>1.0045186051048489E-2</v>
      </c>
      <c r="S72" s="2"/>
      <c r="T72" s="6">
        <v>0</v>
      </c>
      <c r="U72" s="2"/>
      <c r="V72" s="7">
        <f t="shared" si="29"/>
        <v>0</v>
      </c>
      <c r="W72" s="2"/>
      <c r="X72" s="6">
        <f t="shared" si="30"/>
        <v>15056.58</v>
      </c>
      <c r="Y72" s="2"/>
      <c r="Z72" s="7">
        <f t="shared" si="31"/>
        <v>0</v>
      </c>
    </row>
    <row r="73" spans="1:26" s="24" customFormat="1" hidden="1" outlineLevel="2" x14ac:dyDescent="0.25">
      <c r="A73" s="25"/>
      <c r="B73" s="11" t="str">
        <f>CONCATENATE("          ", "6003", " - ", "STAFF HOURLY-9 MONTH")</f>
        <v xml:space="preserve">          6003 - STAFF HOURLY-9 MONTH</v>
      </c>
      <c r="C73" s="11"/>
      <c r="D73" s="6"/>
      <c r="E73" s="2"/>
      <c r="F73" s="7">
        <f t="shared" si="24"/>
        <v>0</v>
      </c>
      <c r="G73" s="2"/>
      <c r="H73" s="6">
        <v>0</v>
      </c>
      <c r="I73" s="2"/>
      <c r="J73" s="7">
        <f t="shared" si="25"/>
        <v>0</v>
      </c>
      <c r="K73" s="2"/>
      <c r="L73" s="6">
        <f t="shared" si="26"/>
        <v>0</v>
      </c>
      <c r="M73" s="2"/>
      <c r="N73" s="7">
        <f t="shared" si="27"/>
        <v>0</v>
      </c>
      <c r="O73" s="11"/>
      <c r="P73" s="6"/>
      <c r="Q73" s="2"/>
      <c r="R73" s="7">
        <f t="shared" si="28"/>
        <v>0</v>
      </c>
      <c r="S73" s="2"/>
      <c r="T73" s="6">
        <v>0</v>
      </c>
      <c r="U73" s="2"/>
      <c r="V73" s="7">
        <f t="shared" si="29"/>
        <v>0</v>
      </c>
      <c r="W73" s="2"/>
      <c r="X73" s="6">
        <f t="shared" si="30"/>
        <v>0</v>
      </c>
      <c r="Y73" s="2"/>
      <c r="Z73" s="7">
        <f t="shared" si="31"/>
        <v>0</v>
      </c>
    </row>
    <row r="74" spans="1:26" s="24" customFormat="1" hidden="1" outlineLevel="2" x14ac:dyDescent="0.25">
      <c r="A74" s="25"/>
      <c r="B74" s="11" t="str">
        <f>CONCATENATE("          ", "6004", " - ", "STAFF HOURLY")</f>
        <v xml:space="preserve">          6004 - STAFF HOURLY</v>
      </c>
      <c r="C74" s="11"/>
      <c r="D74" s="6"/>
      <c r="E74" s="2"/>
      <c r="F74" s="7">
        <f t="shared" si="24"/>
        <v>0</v>
      </c>
      <c r="G74" s="2"/>
      <c r="H74" s="6">
        <v>1400.8</v>
      </c>
      <c r="I74" s="2"/>
      <c r="J74" s="7">
        <f t="shared" si="25"/>
        <v>9.5743226617819935E-3</v>
      </c>
      <c r="K74" s="2"/>
      <c r="L74" s="6">
        <f t="shared" si="26"/>
        <v>-1400.8</v>
      </c>
      <c r="M74" s="2"/>
      <c r="N74" s="7">
        <f t="shared" si="27"/>
        <v>-1</v>
      </c>
      <c r="O74" s="11"/>
      <c r="P74" s="6"/>
      <c r="Q74" s="2"/>
      <c r="R74" s="7">
        <f t="shared" si="28"/>
        <v>0</v>
      </c>
      <c r="S74" s="2"/>
      <c r="T74" s="6">
        <v>7667.32</v>
      </c>
      <c r="U74" s="2"/>
      <c r="V74" s="7">
        <f t="shared" si="29"/>
        <v>5.9812713747222843E-3</v>
      </c>
      <c r="W74" s="2"/>
      <c r="X74" s="6">
        <f t="shared" si="30"/>
        <v>-7667.32</v>
      </c>
      <c r="Y74" s="2"/>
      <c r="Z74" s="7">
        <f t="shared" si="31"/>
        <v>-1</v>
      </c>
    </row>
    <row r="75" spans="1:26" s="24" customFormat="1" hidden="1" outlineLevel="2" x14ac:dyDescent="0.25">
      <c r="A75" s="25"/>
      <c r="B75" s="11" t="str">
        <f>CONCATENATE("          ", "6005", " - ", "TEMPORARY WAGES-HOURLY")</f>
        <v xml:space="preserve">          6005 - TEMPORARY WAGES-HOURLY</v>
      </c>
      <c r="C75" s="11"/>
      <c r="D75" s="6">
        <v>3063.73</v>
      </c>
      <c r="E75" s="2"/>
      <c r="F75" s="7">
        <f t="shared" si="24"/>
        <v>1.9091000124438935E-2</v>
      </c>
      <c r="G75" s="2"/>
      <c r="H75" s="6">
        <v>0</v>
      </c>
      <c r="I75" s="2"/>
      <c r="J75" s="7">
        <f t="shared" si="25"/>
        <v>0</v>
      </c>
      <c r="K75" s="2"/>
      <c r="L75" s="6">
        <f t="shared" si="26"/>
        <v>3063.73</v>
      </c>
      <c r="M75" s="2"/>
      <c r="N75" s="7">
        <f t="shared" si="27"/>
        <v>0</v>
      </c>
      <c r="O75" s="11"/>
      <c r="P75" s="6">
        <v>17202.25</v>
      </c>
      <c r="Q75" s="2"/>
      <c r="R75" s="7">
        <f t="shared" si="28"/>
        <v>1.1476696683220817E-2</v>
      </c>
      <c r="S75" s="2"/>
      <c r="T75" s="6">
        <v>0</v>
      </c>
      <c r="U75" s="2"/>
      <c r="V75" s="7">
        <f t="shared" si="29"/>
        <v>0</v>
      </c>
      <c r="W75" s="2"/>
      <c r="X75" s="6">
        <f t="shared" si="30"/>
        <v>17202.25</v>
      </c>
      <c r="Y75" s="2"/>
      <c r="Z75" s="7">
        <f t="shared" si="31"/>
        <v>0</v>
      </c>
    </row>
    <row r="76" spans="1:26" s="24" customFormat="1" hidden="1" outlineLevel="2" x14ac:dyDescent="0.25">
      <c r="A76" s="25"/>
      <c r="B76" s="11" t="str">
        <f>CONCATENATE("          ", "6006", " - ", "TEMPORARY PART TIME")</f>
        <v xml:space="preserve">          6006 - TEMPORARY PART TIME</v>
      </c>
      <c r="C76" s="11"/>
      <c r="D76" s="6">
        <v>1053</v>
      </c>
      <c r="E76" s="2"/>
      <c r="F76" s="7">
        <f t="shared" si="24"/>
        <v>6.5615518113652958E-3</v>
      </c>
      <c r="G76" s="2"/>
      <c r="H76" s="6">
        <v>0</v>
      </c>
      <c r="I76" s="2"/>
      <c r="J76" s="7">
        <f t="shared" si="25"/>
        <v>0</v>
      </c>
      <c r="K76" s="2"/>
      <c r="L76" s="6">
        <f t="shared" si="26"/>
        <v>1053</v>
      </c>
      <c r="M76" s="2"/>
      <c r="N76" s="7">
        <f t="shared" si="27"/>
        <v>0</v>
      </c>
      <c r="O76" s="11"/>
      <c r="P76" s="6">
        <v>7601.16</v>
      </c>
      <c r="Q76" s="2"/>
      <c r="R76" s="7">
        <f t="shared" si="28"/>
        <v>5.0712091593036225E-3</v>
      </c>
      <c r="S76" s="2"/>
      <c r="T76" s="6">
        <v>0</v>
      </c>
      <c r="U76" s="2"/>
      <c r="V76" s="7">
        <f t="shared" si="29"/>
        <v>0</v>
      </c>
      <c r="W76" s="2"/>
      <c r="X76" s="6">
        <f t="shared" si="30"/>
        <v>7601.16</v>
      </c>
      <c r="Y76" s="2"/>
      <c r="Z76" s="7">
        <f t="shared" si="31"/>
        <v>0</v>
      </c>
    </row>
    <row r="77" spans="1:26" s="24" customFormat="1" hidden="1" outlineLevel="2" x14ac:dyDescent="0.25">
      <c r="A77" s="25"/>
      <c r="B77" s="11" t="str">
        <f>CONCATENATE("          ", "6007", " - ", "STUDENT HOURLY")</f>
        <v xml:space="preserve">          6007 - STUDENT HOURLY</v>
      </c>
      <c r="C77" s="11"/>
      <c r="D77" s="6">
        <v>2314.4699999999998</v>
      </c>
      <c r="E77" s="2"/>
      <c r="F77" s="7">
        <f t="shared" si="24"/>
        <v>1.4422141330342484E-2</v>
      </c>
      <c r="G77" s="2"/>
      <c r="H77" s="6">
        <v>0</v>
      </c>
      <c r="I77" s="2"/>
      <c r="J77" s="7">
        <f t="shared" si="25"/>
        <v>0</v>
      </c>
      <c r="K77" s="2"/>
      <c r="L77" s="6">
        <f t="shared" si="26"/>
        <v>2314.4699999999998</v>
      </c>
      <c r="M77" s="2"/>
      <c r="N77" s="7">
        <f t="shared" si="27"/>
        <v>0</v>
      </c>
      <c r="O77" s="11"/>
      <c r="P77" s="6">
        <v>8859.15</v>
      </c>
      <c r="Q77" s="2"/>
      <c r="R77" s="7">
        <f t="shared" si="28"/>
        <v>5.910492954186556E-3</v>
      </c>
      <c r="S77" s="2"/>
      <c r="T77" s="6">
        <v>9378.75</v>
      </c>
      <c r="U77" s="2"/>
      <c r="V77" s="7">
        <f t="shared" si="29"/>
        <v>7.3163568112034746E-3</v>
      </c>
      <c r="W77" s="2"/>
      <c r="X77" s="6">
        <f t="shared" si="30"/>
        <v>-519.60000000000036</v>
      </c>
      <c r="Y77" s="2"/>
      <c r="Z77" s="7">
        <f t="shared" si="31"/>
        <v>-5.5401839264294324E-2</v>
      </c>
    </row>
    <row r="78" spans="1:26" s="24" customFormat="1" hidden="1" outlineLevel="2" x14ac:dyDescent="0.25">
      <c r="A78" s="25"/>
      <c r="B78" s="11" t="str">
        <f>CONCATENATE("          ", "6008", " - ", "STUDENT HOURLY-FICA EXEMPT")</f>
        <v xml:space="preserve">          6008 - STUDENT HOURLY-FICA EXEMPT</v>
      </c>
      <c r="C78" s="11"/>
      <c r="D78" s="6"/>
      <c r="E78" s="2"/>
      <c r="F78" s="7">
        <f t="shared" si="24"/>
        <v>0</v>
      </c>
      <c r="G78" s="2"/>
      <c r="H78" s="6">
        <v>4483.5</v>
      </c>
      <c r="I78" s="2"/>
      <c r="J78" s="7">
        <f t="shared" si="25"/>
        <v>3.0644257320173878E-2</v>
      </c>
      <c r="K78" s="2"/>
      <c r="L78" s="6">
        <f t="shared" si="26"/>
        <v>-4483.5</v>
      </c>
      <c r="M78" s="2"/>
      <c r="N78" s="7">
        <f t="shared" si="27"/>
        <v>-1</v>
      </c>
      <c r="O78" s="11"/>
      <c r="P78" s="6"/>
      <c r="Q78" s="2"/>
      <c r="R78" s="7">
        <f t="shared" si="28"/>
        <v>0</v>
      </c>
      <c r="S78" s="2"/>
      <c r="T78" s="6">
        <v>17376.75</v>
      </c>
      <c r="U78" s="2"/>
      <c r="V78" s="7">
        <f t="shared" si="29"/>
        <v>1.3555591440125815E-2</v>
      </c>
      <c r="W78" s="2"/>
      <c r="X78" s="6">
        <f t="shared" si="30"/>
        <v>-17376.75</v>
      </c>
      <c r="Y78" s="2"/>
      <c r="Z78" s="7">
        <f t="shared" si="31"/>
        <v>-1</v>
      </c>
    </row>
    <row r="79" spans="1:26" s="24" customFormat="1" hidden="1" outlineLevel="2" x14ac:dyDescent="0.25">
      <c r="A79" s="25"/>
      <c r="B79" s="11" t="str">
        <f>CONCATENATE("          ", "6009", " - ", "TEMPORARY-SEASONAL")</f>
        <v xml:space="preserve">          6009 - TEMPORARY-SEASONAL</v>
      </c>
      <c r="C79" s="11"/>
      <c r="D79" s="6"/>
      <c r="E79" s="2"/>
      <c r="F79" s="7">
        <f t="shared" si="24"/>
        <v>0</v>
      </c>
      <c r="G79" s="2"/>
      <c r="H79" s="6">
        <v>0</v>
      </c>
      <c r="I79" s="2"/>
      <c r="J79" s="7">
        <f t="shared" si="25"/>
        <v>0</v>
      </c>
      <c r="K79" s="2"/>
      <c r="L79" s="6">
        <f t="shared" si="26"/>
        <v>0</v>
      </c>
      <c r="M79" s="2"/>
      <c r="N79" s="7">
        <f t="shared" si="27"/>
        <v>0</v>
      </c>
      <c r="O79" s="11"/>
      <c r="P79" s="6"/>
      <c r="Q79" s="2"/>
      <c r="R79" s="7">
        <f t="shared" si="28"/>
        <v>0</v>
      </c>
      <c r="S79" s="2"/>
      <c r="T79" s="6">
        <v>0</v>
      </c>
      <c r="U79" s="2"/>
      <c r="V79" s="7">
        <f t="shared" si="29"/>
        <v>0</v>
      </c>
      <c r="W79" s="2"/>
      <c r="X79" s="6">
        <f t="shared" si="30"/>
        <v>0</v>
      </c>
      <c r="Y79" s="2"/>
      <c r="Z79" s="7">
        <f t="shared" si="31"/>
        <v>0</v>
      </c>
    </row>
    <row r="80" spans="1:26" s="24" customFormat="1" hidden="1" outlineLevel="2" x14ac:dyDescent="0.25">
      <c r="A80" s="25"/>
      <c r="B80" s="11" t="str">
        <f>CONCATENATE("          ", "6010", " - ", "GRATUITY")</f>
        <v xml:space="preserve">          6010 - GRATUITY</v>
      </c>
      <c r="C80" s="11"/>
      <c r="D80" s="6"/>
      <c r="E80" s="2"/>
      <c r="F80" s="7">
        <f t="shared" si="24"/>
        <v>0</v>
      </c>
      <c r="G80" s="2"/>
      <c r="H80" s="6">
        <v>0</v>
      </c>
      <c r="I80" s="2"/>
      <c r="J80" s="7">
        <f t="shared" si="25"/>
        <v>0</v>
      </c>
      <c r="K80" s="2"/>
      <c r="L80" s="6">
        <f t="shared" si="26"/>
        <v>0</v>
      </c>
      <c r="M80" s="2"/>
      <c r="N80" s="7">
        <f t="shared" si="27"/>
        <v>0</v>
      </c>
      <c r="O80" s="11"/>
      <c r="P80" s="6"/>
      <c r="Q80" s="2"/>
      <c r="R80" s="7">
        <f t="shared" si="28"/>
        <v>0</v>
      </c>
      <c r="S80" s="2"/>
      <c r="T80" s="6">
        <v>0</v>
      </c>
      <c r="U80" s="2"/>
      <c r="V80" s="7">
        <f t="shared" si="29"/>
        <v>0</v>
      </c>
      <c r="W80" s="2"/>
      <c r="X80" s="6">
        <f t="shared" si="30"/>
        <v>0</v>
      </c>
      <c r="Y80" s="2"/>
      <c r="Z80" s="7">
        <f t="shared" si="31"/>
        <v>0</v>
      </c>
    </row>
    <row r="81" spans="1:26" s="26" customFormat="1" outlineLevel="1" collapsed="1" x14ac:dyDescent="0.25">
      <c r="A81" s="27"/>
      <c r="B81" s="13" t="str">
        <f>CONCATENATE("     ","Advertising/Promo                                 ")</f>
        <v xml:space="preserve">     Advertising/Promo                                 </v>
      </c>
      <c r="C81" s="13"/>
      <c r="D81" s="1">
        <f>SUM(OSRRefD22_2x_0)</f>
        <v>208.92</v>
      </c>
      <c r="E81" s="1"/>
      <c r="F81" s="5">
        <f t="shared" ref="F81:F95" si="32">IF(D$12=0,0,D81/D$12)</f>
        <v>1.3018417895825619E-3</v>
      </c>
      <c r="G81" s="1"/>
      <c r="H81" s="1">
        <f>SUM(OSRRefH22_2x_0)</f>
        <v>250</v>
      </c>
      <c r="I81" s="1"/>
      <c r="J81" s="5">
        <f t="shared" ref="J81:J95" si="33">IF(H$12=0,0,H81/H$12)</f>
        <v>1.7087240615687453E-3</v>
      </c>
      <c r="K81" s="1"/>
      <c r="L81" s="1">
        <f t="shared" ref="L81:L95" si="34">+D81-H81</f>
        <v>-41.080000000000013</v>
      </c>
      <c r="M81" s="1"/>
      <c r="N81" s="5">
        <f t="shared" ref="N81:N95" si="35">IF(H81=0,0,L81/H81)</f>
        <v>-0.16432000000000005</v>
      </c>
      <c r="O81" s="13"/>
      <c r="P81" s="1">
        <f>SUM(OSRRefP22_2x_0)</f>
        <v>1428.71</v>
      </c>
      <c r="Q81" s="1"/>
      <c r="R81" s="5">
        <f t="shared" ref="R81:R95" si="36">IF(P$12=0,0,P81/P$12)</f>
        <v>9.5318178251591577E-4</v>
      </c>
      <c r="S81" s="1"/>
      <c r="T81" s="1">
        <f>SUM(OSRRefT22_2x_0)</f>
        <v>1250</v>
      </c>
      <c r="U81" s="1"/>
      <c r="V81" s="5">
        <f t="shared" ref="V81:V95" si="37">IF(T$12=0,0,T81/T$12)</f>
        <v>9.7512419181706978E-4</v>
      </c>
      <c r="W81" s="1"/>
      <c r="X81" s="1">
        <f t="shared" ref="X81:X95" si="38">+P81-T81</f>
        <v>178.71000000000004</v>
      </c>
      <c r="Y81" s="1"/>
      <c r="Z81" s="5">
        <f t="shared" ref="Z81:Z95" si="39">IF(T81=0,0,X81/T81)</f>
        <v>0.14296800000000004</v>
      </c>
    </row>
    <row r="82" spans="1:26" s="24" customFormat="1" hidden="1" outlineLevel="2" x14ac:dyDescent="0.25">
      <c r="A82" s="25"/>
      <c r="B82" s="11" t="str">
        <f>CONCATENATE("          ", "6362", " - ", "ADVERTISING EXPENSE")</f>
        <v xml:space="preserve">          6362 - ADVERTISING EXPENSE</v>
      </c>
      <c r="C82" s="11"/>
      <c r="D82" s="6">
        <v>208.92</v>
      </c>
      <c r="E82" s="2"/>
      <c r="F82" s="7">
        <f t="shared" si="32"/>
        <v>1.3018417895825619E-3</v>
      </c>
      <c r="G82" s="2"/>
      <c r="H82" s="6">
        <v>250</v>
      </c>
      <c r="I82" s="2"/>
      <c r="J82" s="7">
        <f t="shared" si="33"/>
        <v>1.7087240615687453E-3</v>
      </c>
      <c r="K82" s="2"/>
      <c r="L82" s="6">
        <f t="shared" si="34"/>
        <v>-41.080000000000013</v>
      </c>
      <c r="M82" s="2"/>
      <c r="N82" s="7">
        <f t="shared" si="35"/>
        <v>-0.16432000000000005</v>
      </c>
      <c r="O82" s="11"/>
      <c r="P82" s="6">
        <v>1428.71</v>
      </c>
      <c r="Q82" s="2"/>
      <c r="R82" s="7">
        <f t="shared" si="36"/>
        <v>9.5318178251591577E-4</v>
      </c>
      <c r="S82" s="2"/>
      <c r="T82" s="6">
        <v>1250</v>
      </c>
      <c r="U82" s="2"/>
      <c r="V82" s="7">
        <f t="shared" si="37"/>
        <v>9.7512419181706978E-4</v>
      </c>
      <c r="W82" s="2"/>
      <c r="X82" s="6">
        <f t="shared" si="38"/>
        <v>178.71000000000004</v>
      </c>
      <c r="Y82" s="2"/>
      <c r="Z82" s="7">
        <f t="shared" si="39"/>
        <v>0.14296800000000004</v>
      </c>
    </row>
    <row r="83" spans="1:26" s="26" customFormat="1" outlineLevel="1" collapsed="1" x14ac:dyDescent="0.25">
      <c r="A83" s="27"/>
      <c r="B83" s="13" t="str">
        <f>CONCATENATE("     ","Depreciation                                      ")</f>
        <v xml:space="preserve">     Depreciation                                      </v>
      </c>
      <c r="C83" s="13"/>
      <c r="D83" s="1">
        <f>SUM(OSRRefD22_3x_0)</f>
        <v>280.44</v>
      </c>
      <c r="E83" s="1"/>
      <c r="F83" s="5">
        <f t="shared" si="32"/>
        <v>1.7475038841208771E-3</v>
      </c>
      <c r="G83" s="1"/>
      <c r="H83" s="1">
        <f>SUM(OSRRefH22_3x_0)</f>
        <v>0</v>
      </c>
      <c r="I83" s="1"/>
      <c r="J83" s="5">
        <f t="shared" si="33"/>
        <v>0</v>
      </c>
      <c r="K83" s="1"/>
      <c r="L83" s="1">
        <f t="shared" si="34"/>
        <v>280.44</v>
      </c>
      <c r="M83" s="1"/>
      <c r="N83" s="5">
        <f t="shared" si="35"/>
        <v>0</v>
      </c>
      <c r="O83" s="13"/>
      <c r="P83" s="1">
        <f>SUM(OSRRefP22_3x_0)</f>
        <v>1402.2</v>
      </c>
      <c r="Q83" s="1"/>
      <c r="R83" s="5">
        <f t="shared" si="36"/>
        <v>9.3549530376620669E-4</v>
      </c>
      <c r="S83" s="1"/>
      <c r="T83" s="1">
        <f>SUM(OSRRefT22_3x_0)</f>
        <v>0</v>
      </c>
      <c r="U83" s="1"/>
      <c r="V83" s="5">
        <f t="shared" si="37"/>
        <v>0</v>
      </c>
      <c r="W83" s="1"/>
      <c r="X83" s="1">
        <f t="shared" si="38"/>
        <v>1402.2</v>
      </c>
      <c r="Y83" s="1"/>
      <c r="Z83" s="5">
        <f t="shared" si="39"/>
        <v>0</v>
      </c>
    </row>
    <row r="84" spans="1:26" s="24" customFormat="1" hidden="1" outlineLevel="2" x14ac:dyDescent="0.25">
      <c r="A84" s="25"/>
      <c r="B84" s="11" t="str">
        <f>CONCATENATE("          ", "6322", " - ", "EQUIPMENT DEPRECIATION EXPENSE")</f>
        <v xml:space="preserve">          6322 - EQUIPMENT DEPRECIATION EXPENSE</v>
      </c>
      <c r="C84" s="11"/>
      <c r="D84" s="6">
        <v>280.44</v>
      </c>
      <c r="E84" s="2"/>
      <c r="F84" s="7">
        <f t="shared" si="32"/>
        <v>1.7475038841208771E-3</v>
      </c>
      <c r="G84" s="2"/>
      <c r="H84" s="6"/>
      <c r="I84" s="2"/>
      <c r="J84" s="7">
        <f t="shared" si="33"/>
        <v>0</v>
      </c>
      <c r="K84" s="2"/>
      <c r="L84" s="6">
        <f t="shared" si="34"/>
        <v>280.44</v>
      </c>
      <c r="M84" s="2"/>
      <c r="N84" s="7">
        <f t="shared" si="35"/>
        <v>0</v>
      </c>
      <c r="O84" s="11"/>
      <c r="P84" s="6">
        <v>1402.2</v>
      </c>
      <c r="Q84" s="2"/>
      <c r="R84" s="7">
        <f t="shared" si="36"/>
        <v>9.3549530376620669E-4</v>
      </c>
      <c r="S84" s="2"/>
      <c r="T84" s="6"/>
      <c r="U84" s="2"/>
      <c r="V84" s="7">
        <f t="shared" si="37"/>
        <v>0</v>
      </c>
      <c r="W84" s="2"/>
      <c r="X84" s="6">
        <f t="shared" si="38"/>
        <v>1402.2</v>
      </c>
      <c r="Y84" s="2"/>
      <c r="Z84" s="7">
        <f t="shared" si="39"/>
        <v>0</v>
      </c>
    </row>
    <row r="85" spans="1:26" s="26" customFormat="1" outlineLevel="1" collapsed="1" x14ac:dyDescent="0.25">
      <c r="A85" s="27"/>
      <c r="B85" s="13" t="str">
        <f>CONCATENATE("     ","Discounts and Markdowns                           ")</f>
        <v xml:space="preserve">     Discounts and Markdowns                           </v>
      </c>
      <c r="C85" s="13"/>
      <c r="D85" s="1">
        <f>SUM(OSRRefD22_4x_0)</f>
        <v>-20040.96</v>
      </c>
      <c r="E85" s="1"/>
      <c r="F85" s="5">
        <f t="shared" si="32"/>
        <v>-0.12488109913532711</v>
      </c>
      <c r="G85" s="1"/>
      <c r="H85" s="1">
        <f>SUM(OSRRefH22_4x_0)</f>
        <v>2500</v>
      </c>
      <c r="I85" s="1"/>
      <c r="J85" s="5">
        <f t="shared" si="33"/>
        <v>1.7087240615687452E-2</v>
      </c>
      <c r="K85" s="1"/>
      <c r="L85" s="1">
        <f t="shared" si="34"/>
        <v>-22540.959999999999</v>
      </c>
      <c r="M85" s="1"/>
      <c r="N85" s="5">
        <f t="shared" si="35"/>
        <v>-9.0163840000000004</v>
      </c>
      <c r="O85" s="13"/>
      <c r="P85" s="1">
        <f>SUM(OSRRefP22_4x_0)</f>
        <v>48337.17</v>
      </c>
      <c r="Q85" s="1"/>
      <c r="R85" s="5">
        <f t="shared" si="36"/>
        <v>3.2248748775031214E-2</v>
      </c>
      <c r="S85" s="1"/>
      <c r="T85" s="1">
        <f>SUM(OSRRefT22_4x_0)</f>
        <v>12500</v>
      </c>
      <c r="U85" s="1"/>
      <c r="V85" s="5">
        <f t="shared" si="37"/>
        <v>9.7512419181706982E-3</v>
      </c>
      <c r="W85" s="1"/>
      <c r="X85" s="1">
        <f t="shared" si="38"/>
        <v>35837.17</v>
      </c>
      <c r="Y85" s="1"/>
      <c r="Z85" s="5">
        <f t="shared" si="39"/>
        <v>2.8669735999999997</v>
      </c>
    </row>
    <row r="86" spans="1:26" s="24" customFormat="1" hidden="1" outlineLevel="2" x14ac:dyDescent="0.25">
      <c r="A86" s="25"/>
      <c r="B86" s="11" t="str">
        <f>CONCATENATE("          ", "6382", " - ", "DISCOUNTS/MARK DOWNS")</f>
        <v xml:space="preserve">          6382 - DISCOUNTS/MARK DOWNS</v>
      </c>
      <c r="C86" s="11"/>
      <c r="D86" s="6">
        <v>-20040.96</v>
      </c>
      <c r="E86" s="2"/>
      <c r="F86" s="7">
        <f t="shared" si="32"/>
        <v>-0.12488109913532711</v>
      </c>
      <c r="G86" s="2"/>
      <c r="H86" s="6">
        <v>2500</v>
      </c>
      <c r="I86" s="2"/>
      <c r="J86" s="7">
        <f t="shared" si="33"/>
        <v>1.7087240615687452E-2</v>
      </c>
      <c r="K86" s="2"/>
      <c r="L86" s="6">
        <f t="shared" si="34"/>
        <v>-22540.959999999999</v>
      </c>
      <c r="M86" s="2"/>
      <c r="N86" s="7">
        <f t="shared" si="35"/>
        <v>-9.0163840000000004</v>
      </c>
      <c r="O86" s="11"/>
      <c r="P86" s="6">
        <v>48337.17</v>
      </c>
      <c r="Q86" s="2"/>
      <c r="R86" s="7">
        <f t="shared" si="36"/>
        <v>3.2248748775031214E-2</v>
      </c>
      <c r="S86" s="2"/>
      <c r="T86" s="6">
        <v>12500</v>
      </c>
      <c r="U86" s="2"/>
      <c r="V86" s="7">
        <f t="shared" si="37"/>
        <v>9.7512419181706982E-3</v>
      </c>
      <c r="W86" s="2"/>
      <c r="X86" s="6">
        <f t="shared" si="38"/>
        <v>35837.17</v>
      </c>
      <c r="Y86" s="2"/>
      <c r="Z86" s="7">
        <f t="shared" si="39"/>
        <v>2.8669735999999997</v>
      </c>
    </row>
    <row r="87" spans="1:26" s="26" customFormat="1" outlineLevel="1" collapsed="1" x14ac:dyDescent="0.25">
      <c r="A87" s="27"/>
      <c r="B87" s="13" t="str">
        <f>CONCATENATE("     ","Employees' Appreciation                           ")</f>
        <v xml:space="preserve">     Employees' Appreciation                           </v>
      </c>
      <c r="C87" s="13"/>
      <c r="D87" s="1">
        <f>SUM(OSRRefD22_5x_0)</f>
        <v>0</v>
      </c>
      <c r="E87" s="1"/>
      <c r="F87" s="5">
        <f t="shared" si="32"/>
        <v>0</v>
      </c>
      <c r="G87" s="1"/>
      <c r="H87" s="1">
        <f>SUM(OSRRefH22_5x_0)</f>
        <v>40</v>
      </c>
      <c r="I87" s="1"/>
      <c r="J87" s="5">
        <f t="shared" si="33"/>
        <v>2.7339584985099926E-4</v>
      </c>
      <c r="K87" s="1"/>
      <c r="L87" s="1">
        <f t="shared" si="34"/>
        <v>-40</v>
      </c>
      <c r="M87" s="1"/>
      <c r="N87" s="5">
        <f t="shared" si="35"/>
        <v>-1</v>
      </c>
      <c r="O87" s="13"/>
      <c r="P87" s="1">
        <f>SUM(OSRRefP22_5x_0)</f>
        <v>0</v>
      </c>
      <c r="Q87" s="1"/>
      <c r="R87" s="5">
        <f t="shared" si="36"/>
        <v>0</v>
      </c>
      <c r="S87" s="1"/>
      <c r="T87" s="1">
        <f>SUM(OSRRefT22_5x_0)</f>
        <v>200</v>
      </c>
      <c r="U87" s="1"/>
      <c r="V87" s="5">
        <f t="shared" si="37"/>
        <v>1.5601987069073118E-4</v>
      </c>
      <c r="W87" s="1"/>
      <c r="X87" s="1">
        <f t="shared" si="38"/>
        <v>-200</v>
      </c>
      <c r="Y87" s="1"/>
      <c r="Z87" s="5">
        <f t="shared" si="39"/>
        <v>-1</v>
      </c>
    </row>
    <row r="88" spans="1:26" s="24" customFormat="1" hidden="1" outlineLevel="2" x14ac:dyDescent="0.25">
      <c r="A88" s="25"/>
      <c r="B88" s="11" t="str">
        <f>CONCATENATE("          ", "6277", " - ", "EMPLOYEE APPRECIATION")</f>
        <v xml:space="preserve">          6277 - EMPLOYEE APPRECIATION</v>
      </c>
      <c r="C88" s="11"/>
      <c r="D88" s="6"/>
      <c r="E88" s="2"/>
      <c r="F88" s="7">
        <f t="shared" si="32"/>
        <v>0</v>
      </c>
      <c r="G88" s="2"/>
      <c r="H88" s="6">
        <v>40</v>
      </c>
      <c r="I88" s="2"/>
      <c r="J88" s="7">
        <f t="shared" si="33"/>
        <v>2.7339584985099926E-4</v>
      </c>
      <c r="K88" s="2"/>
      <c r="L88" s="6">
        <f t="shared" si="34"/>
        <v>-40</v>
      </c>
      <c r="M88" s="2"/>
      <c r="N88" s="7">
        <f t="shared" si="35"/>
        <v>-1</v>
      </c>
      <c r="O88" s="11"/>
      <c r="P88" s="6"/>
      <c r="Q88" s="2"/>
      <c r="R88" s="7">
        <f t="shared" si="36"/>
        <v>0</v>
      </c>
      <c r="S88" s="2"/>
      <c r="T88" s="6">
        <v>200</v>
      </c>
      <c r="U88" s="2"/>
      <c r="V88" s="7">
        <f t="shared" si="37"/>
        <v>1.5601987069073118E-4</v>
      </c>
      <c r="W88" s="2"/>
      <c r="X88" s="6">
        <f t="shared" si="38"/>
        <v>-200</v>
      </c>
      <c r="Y88" s="2"/>
      <c r="Z88" s="7">
        <f t="shared" si="39"/>
        <v>-1</v>
      </c>
    </row>
    <row r="89" spans="1:26" s="26" customFormat="1" outlineLevel="1" collapsed="1" x14ac:dyDescent="0.25">
      <c r="A89" s="27"/>
      <c r="B89" s="13" t="str">
        <f>CONCATENATE("     ","Freight out/Postage                               ")</f>
        <v xml:space="preserve">     Freight out/Postage                               </v>
      </c>
      <c r="C89" s="13"/>
      <c r="D89" s="1">
        <f>SUM(OSRRefD22_6x_0)</f>
        <v>30.85</v>
      </c>
      <c r="E89" s="1"/>
      <c r="F89" s="5">
        <f t="shared" si="32"/>
        <v>1.9223539732252554E-4</v>
      </c>
      <c r="G89" s="1"/>
      <c r="H89" s="1">
        <f>SUM(OSRRefH22_6x_0)</f>
        <v>25</v>
      </c>
      <c r="I89" s="1"/>
      <c r="J89" s="5">
        <f t="shared" si="33"/>
        <v>1.7087240615687454E-4</v>
      </c>
      <c r="K89" s="1"/>
      <c r="L89" s="1">
        <f t="shared" si="34"/>
        <v>5.8500000000000014</v>
      </c>
      <c r="M89" s="1"/>
      <c r="N89" s="5">
        <f t="shared" si="35"/>
        <v>0.23400000000000007</v>
      </c>
      <c r="O89" s="13"/>
      <c r="P89" s="1">
        <f>SUM(OSRRefP22_6x_0)</f>
        <v>41.61</v>
      </c>
      <c r="Q89" s="1"/>
      <c r="R89" s="5">
        <f t="shared" si="36"/>
        <v>2.7760632997940277E-5</v>
      </c>
      <c r="S89" s="1"/>
      <c r="T89" s="1">
        <f>SUM(OSRRefT22_6x_0)</f>
        <v>125</v>
      </c>
      <c r="U89" s="1"/>
      <c r="V89" s="5">
        <f t="shared" si="37"/>
        <v>9.7512419181706989E-5</v>
      </c>
      <c r="W89" s="1"/>
      <c r="X89" s="1">
        <f t="shared" si="38"/>
        <v>-83.39</v>
      </c>
      <c r="Y89" s="1"/>
      <c r="Z89" s="5">
        <f t="shared" si="39"/>
        <v>-0.66712000000000005</v>
      </c>
    </row>
    <row r="90" spans="1:26" s="24" customFormat="1" hidden="1" outlineLevel="2" x14ac:dyDescent="0.25">
      <c r="A90" s="25"/>
      <c r="B90" s="11" t="str">
        <f>CONCATENATE("          ", "6305", " - ", "FREIGHT OUT")</f>
        <v xml:space="preserve">          6305 - FREIGHT OUT</v>
      </c>
      <c r="C90" s="11"/>
      <c r="D90" s="6">
        <v>30.85</v>
      </c>
      <c r="E90" s="2"/>
      <c r="F90" s="7">
        <f t="shared" si="32"/>
        <v>1.9223539732252554E-4</v>
      </c>
      <c r="G90" s="2"/>
      <c r="H90" s="6">
        <v>25</v>
      </c>
      <c r="I90" s="2"/>
      <c r="J90" s="7">
        <f t="shared" si="33"/>
        <v>1.7087240615687454E-4</v>
      </c>
      <c r="K90" s="2"/>
      <c r="L90" s="6">
        <f t="shared" si="34"/>
        <v>5.8500000000000014</v>
      </c>
      <c r="M90" s="2"/>
      <c r="N90" s="7">
        <f t="shared" si="35"/>
        <v>0.23400000000000007</v>
      </c>
      <c r="O90" s="11"/>
      <c r="P90" s="6">
        <v>41.61</v>
      </c>
      <c r="Q90" s="2"/>
      <c r="R90" s="7">
        <f t="shared" si="36"/>
        <v>2.7760632997940277E-5</v>
      </c>
      <c r="S90" s="2"/>
      <c r="T90" s="6">
        <v>125</v>
      </c>
      <c r="U90" s="2"/>
      <c r="V90" s="7">
        <f t="shared" si="37"/>
        <v>9.7512419181706989E-5</v>
      </c>
      <c r="W90" s="2"/>
      <c r="X90" s="6">
        <f t="shared" si="38"/>
        <v>-83.39</v>
      </c>
      <c r="Y90" s="2"/>
      <c r="Z90" s="7">
        <f t="shared" si="39"/>
        <v>-0.66712000000000005</v>
      </c>
    </row>
    <row r="91" spans="1:26" s="26" customFormat="1" outlineLevel="1" collapsed="1" x14ac:dyDescent="0.25">
      <c r="A91" s="27"/>
      <c r="B91" s="13" t="str">
        <f>CONCATENATE("     ","Subscriptions &amp; Dues                              ")</f>
        <v xml:space="preserve">     Subscriptions &amp; Dues                              </v>
      </c>
      <c r="C91" s="13"/>
      <c r="D91" s="1">
        <f>SUM(OSRRefD22_7x_0)</f>
        <v>0</v>
      </c>
      <c r="E91" s="1"/>
      <c r="F91" s="5">
        <f t="shared" si="32"/>
        <v>0</v>
      </c>
      <c r="G91" s="1"/>
      <c r="H91" s="1">
        <f>SUM(OSRRefH22_7x_0)</f>
        <v>0</v>
      </c>
      <c r="I91" s="1"/>
      <c r="J91" s="5">
        <f t="shared" si="33"/>
        <v>0</v>
      </c>
      <c r="K91" s="1"/>
      <c r="L91" s="1">
        <f t="shared" si="34"/>
        <v>0</v>
      </c>
      <c r="M91" s="1"/>
      <c r="N91" s="5">
        <f t="shared" si="35"/>
        <v>0</v>
      </c>
      <c r="O91" s="13"/>
      <c r="P91" s="1">
        <f>SUM(OSRRefP22_7x_0)</f>
        <v>-5000</v>
      </c>
      <c r="Q91" s="1"/>
      <c r="R91" s="5">
        <f t="shared" si="36"/>
        <v>-3.3358126649772023E-3</v>
      </c>
      <c r="S91" s="1"/>
      <c r="T91" s="1">
        <f>SUM(OSRRefT22_7x_0)</f>
        <v>0</v>
      </c>
      <c r="U91" s="1"/>
      <c r="V91" s="5">
        <f t="shared" si="37"/>
        <v>0</v>
      </c>
      <c r="W91" s="1"/>
      <c r="X91" s="1">
        <f t="shared" si="38"/>
        <v>-5000</v>
      </c>
      <c r="Y91" s="1"/>
      <c r="Z91" s="5">
        <f t="shared" si="39"/>
        <v>0</v>
      </c>
    </row>
    <row r="92" spans="1:26" s="24" customFormat="1" hidden="1" outlineLevel="2" x14ac:dyDescent="0.25">
      <c r="A92" s="25"/>
      <c r="B92" s="11" t="str">
        <f>CONCATENATE("          ", "6258", " - ", "MEMBERSHIP DUES")</f>
        <v xml:space="preserve">          6258 - MEMBERSHIP DUES</v>
      </c>
      <c r="C92" s="11"/>
      <c r="D92" s="6"/>
      <c r="E92" s="2"/>
      <c r="F92" s="7">
        <f t="shared" si="32"/>
        <v>0</v>
      </c>
      <c r="G92" s="2"/>
      <c r="H92" s="6"/>
      <c r="I92" s="2"/>
      <c r="J92" s="7">
        <f t="shared" si="33"/>
        <v>0</v>
      </c>
      <c r="K92" s="2"/>
      <c r="L92" s="6">
        <f t="shared" si="34"/>
        <v>0</v>
      </c>
      <c r="M92" s="2"/>
      <c r="N92" s="7">
        <f t="shared" si="35"/>
        <v>0</v>
      </c>
      <c r="O92" s="11"/>
      <c r="P92" s="6">
        <v>-5000</v>
      </c>
      <c r="Q92" s="2"/>
      <c r="R92" s="7">
        <f t="shared" si="36"/>
        <v>-3.3358126649772023E-3</v>
      </c>
      <c r="S92" s="2"/>
      <c r="T92" s="6"/>
      <c r="U92" s="2"/>
      <c r="V92" s="7">
        <f t="shared" si="37"/>
        <v>0</v>
      </c>
      <c r="W92" s="2"/>
      <c r="X92" s="6">
        <f t="shared" si="38"/>
        <v>-5000</v>
      </c>
      <c r="Y92" s="2"/>
      <c r="Z92" s="7">
        <f t="shared" si="39"/>
        <v>0</v>
      </c>
    </row>
    <row r="93" spans="1:26" s="26" customFormat="1" outlineLevel="1" collapsed="1" x14ac:dyDescent="0.25">
      <c r="A93" s="27"/>
      <c r="B93" s="13" t="str">
        <f>CONCATENATE("     ","Supplies                                          ")</f>
        <v xml:space="preserve">     Supplies                                          </v>
      </c>
      <c r="C93" s="13"/>
      <c r="D93" s="1">
        <f>SUM(OSRRefD22_8x_0)</f>
        <v>1145.08</v>
      </c>
      <c r="E93" s="1"/>
      <c r="F93" s="5">
        <f t="shared" si="32"/>
        <v>7.1353292954968398E-3</v>
      </c>
      <c r="G93" s="1"/>
      <c r="H93" s="1">
        <f>SUM(OSRRefH22_8x_0)</f>
        <v>275</v>
      </c>
      <c r="I93" s="1"/>
      <c r="J93" s="5">
        <f t="shared" si="33"/>
        <v>1.8795964677256198E-3</v>
      </c>
      <c r="K93" s="1"/>
      <c r="L93" s="1">
        <f t="shared" si="34"/>
        <v>870.07999999999993</v>
      </c>
      <c r="M93" s="1"/>
      <c r="N93" s="5">
        <f t="shared" si="35"/>
        <v>3.1639272727272725</v>
      </c>
      <c r="O93" s="13"/>
      <c r="P93" s="1">
        <f>SUM(OSRRefP22_8x_0)</f>
        <v>2702.03</v>
      </c>
      <c r="Q93" s="1"/>
      <c r="R93" s="5">
        <f t="shared" si="36"/>
        <v>1.8026931790296702E-3</v>
      </c>
      <c r="S93" s="1"/>
      <c r="T93" s="1">
        <f>SUM(OSRRefT22_8x_0)</f>
        <v>1375</v>
      </c>
      <c r="U93" s="1"/>
      <c r="V93" s="5">
        <f t="shared" si="37"/>
        <v>1.0726366109987768E-3</v>
      </c>
      <c r="W93" s="1"/>
      <c r="X93" s="1">
        <f t="shared" si="38"/>
        <v>1327.0300000000002</v>
      </c>
      <c r="Y93" s="1"/>
      <c r="Z93" s="5">
        <f t="shared" si="39"/>
        <v>0.96511272727272746</v>
      </c>
    </row>
    <row r="94" spans="1:26" s="24" customFormat="1" hidden="1" outlineLevel="2" x14ac:dyDescent="0.25">
      <c r="A94" s="25"/>
      <c r="B94" s="11" t="str">
        <f>CONCATENATE("          ", "6241", " - ", "OFFICE EXPENSE")</f>
        <v xml:space="preserve">          6241 - OFFICE EXPENSE</v>
      </c>
      <c r="C94" s="11"/>
      <c r="D94" s="6">
        <v>76.349999999999994</v>
      </c>
      <c r="E94" s="2"/>
      <c r="F94" s="7">
        <f t="shared" si="32"/>
        <v>4.7575924102349508E-4</v>
      </c>
      <c r="G94" s="2"/>
      <c r="H94" s="6">
        <v>275</v>
      </c>
      <c r="I94" s="2"/>
      <c r="J94" s="7">
        <f t="shared" si="33"/>
        <v>1.8795964677256198E-3</v>
      </c>
      <c r="K94" s="2"/>
      <c r="L94" s="6">
        <f t="shared" si="34"/>
        <v>-198.65</v>
      </c>
      <c r="M94" s="2"/>
      <c r="N94" s="7">
        <f t="shared" si="35"/>
        <v>-0.72236363636363643</v>
      </c>
      <c r="O94" s="11"/>
      <c r="P94" s="6">
        <v>692.65</v>
      </c>
      <c r="Q94" s="2"/>
      <c r="R94" s="7">
        <f t="shared" si="36"/>
        <v>4.6211012847929183E-4</v>
      </c>
      <c r="S94" s="2"/>
      <c r="T94" s="6">
        <v>1375</v>
      </c>
      <c r="U94" s="2"/>
      <c r="V94" s="7">
        <f t="shared" si="37"/>
        <v>1.0726366109987768E-3</v>
      </c>
      <c r="W94" s="2"/>
      <c r="X94" s="6">
        <f t="shared" si="38"/>
        <v>-682.35</v>
      </c>
      <c r="Y94" s="2"/>
      <c r="Z94" s="7">
        <f t="shared" si="39"/>
        <v>-0.49625454545454545</v>
      </c>
    </row>
    <row r="95" spans="1:26" s="24" customFormat="1" hidden="1" outlineLevel="2" x14ac:dyDescent="0.25">
      <c r="A95" s="25"/>
      <c r="B95" s="11" t="str">
        <f>CONCATENATE("          ", "6247", " - ", "STORE SUPPLIES")</f>
        <v xml:space="preserve">          6247 - STORE SUPPLIES</v>
      </c>
      <c r="C95" s="11"/>
      <c r="D95" s="6">
        <v>1068.73</v>
      </c>
      <c r="E95" s="2"/>
      <c r="F95" s="7">
        <f t="shared" si="32"/>
        <v>6.659570054473346E-3</v>
      </c>
      <c r="G95" s="2"/>
      <c r="H95" s="6"/>
      <c r="I95" s="2"/>
      <c r="J95" s="7">
        <f t="shared" si="33"/>
        <v>0</v>
      </c>
      <c r="K95" s="2"/>
      <c r="L95" s="6">
        <f t="shared" si="34"/>
        <v>1068.73</v>
      </c>
      <c r="M95" s="2"/>
      <c r="N95" s="7">
        <f t="shared" si="35"/>
        <v>0</v>
      </c>
      <c r="O95" s="11"/>
      <c r="P95" s="6">
        <v>2009.38</v>
      </c>
      <c r="Q95" s="2"/>
      <c r="R95" s="7">
        <f t="shared" si="36"/>
        <v>1.3405830505503783E-3</v>
      </c>
      <c r="S95" s="2"/>
      <c r="T95" s="6"/>
      <c r="U95" s="2"/>
      <c r="V95" s="7">
        <f t="shared" si="37"/>
        <v>0</v>
      </c>
      <c r="W95" s="2"/>
      <c r="X95" s="6">
        <f t="shared" si="38"/>
        <v>2009.38</v>
      </c>
      <c r="Y95" s="2"/>
      <c r="Z95" s="7">
        <f t="shared" si="39"/>
        <v>0</v>
      </c>
    </row>
    <row r="96" spans="1:26" s="26" customFormat="1" outlineLevel="1" collapsed="1" x14ac:dyDescent="0.25">
      <c r="A96" s="27"/>
      <c r="B96" s="13" t="str">
        <f>CONCATENATE("     ","Telephone/Data Lines                              ")</f>
        <v xml:space="preserve">     Telephone/Data Lines                              </v>
      </c>
      <c r="C96" s="13"/>
      <c r="D96" s="1">
        <f>SUM(OSRRefD22_9x_0)</f>
        <v>258.35000000000002</v>
      </c>
      <c r="E96" s="1"/>
      <c r="F96" s="5">
        <f t="shared" ref="F96:F98" si="40">IF(D$12=0,0,D96/D$12)</f>
        <v>1.6098546158273737E-3</v>
      </c>
      <c r="G96" s="1"/>
      <c r="H96" s="1">
        <f>SUM(OSRRefH22_9x_0)</f>
        <v>280</v>
      </c>
      <c r="I96" s="1"/>
      <c r="J96" s="5">
        <f t="shared" ref="J96:J98" si="41">IF(H$12=0,0,H96/H$12)</f>
        <v>1.9137709489569948E-3</v>
      </c>
      <c r="K96" s="1"/>
      <c r="L96" s="1">
        <f t="shared" ref="L96:L98" si="42">+D96-H96</f>
        <v>-21.649999999999977</v>
      </c>
      <c r="M96" s="1"/>
      <c r="N96" s="5">
        <f t="shared" ref="N96:N98" si="43">IF(H96=0,0,L96/H96)</f>
        <v>-7.7321428571428485E-2</v>
      </c>
      <c r="O96" s="13"/>
      <c r="P96" s="1">
        <f>SUM(OSRRefP22_9x_0)</f>
        <v>1279.1500000000001</v>
      </c>
      <c r="Q96" s="1"/>
      <c r="R96" s="5">
        <f t="shared" ref="R96:R98" si="44">IF(P$12=0,0,P96/P$12)</f>
        <v>8.5340095408111775E-4</v>
      </c>
      <c r="S96" s="1"/>
      <c r="T96" s="1">
        <f>SUM(OSRRefT22_9x_0)</f>
        <v>1400</v>
      </c>
      <c r="U96" s="1"/>
      <c r="V96" s="5">
        <f t="shared" ref="V96:V98" si="45">IF(T$12=0,0,T96/T$12)</f>
        <v>1.0921390948351183E-3</v>
      </c>
      <c r="W96" s="1"/>
      <c r="X96" s="1">
        <f t="shared" ref="X96:X98" si="46">+P96-T96</f>
        <v>-120.84999999999991</v>
      </c>
      <c r="Y96" s="1"/>
      <c r="Z96" s="5">
        <f t="shared" ref="Z96:Z98" si="47">IF(T96=0,0,X96/T96)</f>
        <v>-8.6321428571428507E-2</v>
      </c>
    </row>
    <row r="97" spans="1:26" s="24" customFormat="1" hidden="1" outlineLevel="2" x14ac:dyDescent="0.25">
      <c r="A97" s="25"/>
      <c r="B97" s="11" t="str">
        <f>CONCATENATE("          ", "6303", " - ", "DATA PHONE LINES")</f>
        <v xml:space="preserve">          6303 - DATA PHONE LINES</v>
      </c>
      <c r="C97" s="11"/>
      <c r="D97" s="6"/>
      <c r="E97" s="2"/>
      <c r="F97" s="7">
        <f t="shared" si="40"/>
        <v>0</v>
      </c>
      <c r="G97" s="2"/>
      <c r="H97" s="6">
        <v>280</v>
      </c>
      <c r="I97" s="2"/>
      <c r="J97" s="7">
        <f t="shared" si="41"/>
        <v>1.9137709489569948E-3</v>
      </c>
      <c r="K97" s="2"/>
      <c r="L97" s="6">
        <f t="shared" si="42"/>
        <v>-280</v>
      </c>
      <c r="M97" s="2"/>
      <c r="N97" s="7">
        <f t="shared" si="43"/>
        <v>-1</v>
      </c>
      <c r="O97" s="11"/>
      <c r="P97" s="6"/>
      <c r="Q97" s="2"/>
      <c r="R97" s="7">
        <f t="shared" si="44"/>
        <v>0</v>
      </c>
      <c r="S97" s="2"/>
      <c r="T97" s="6">
        <v>1400</v>
      </c>
      <c r="U97" s="2"/>
      <c r="V97" s="7">
        <f t="shared" si="45"/>
        <v>1.0921390948351183E-3</v>
      </c>
      <c r="W97" s="2"/>
      <c r="X97" s="6">
        <f t="shared" si="46"/>
        <v>-1400</v>
      </c>
      <c r="Y97" s="2"/>
      <c r="Z97" s="7">
        <f t="shared" si="47"/>
        <v>-1</v>
      </c>
    </row>
    <row r="98" spans="1:26" s="24" customFormat="1" hidden="1" outlineLevel="2" x14ac:dyDescent="0.25">
      <c r="A98" s="25"/>
      <c r="B98" s="11" t="str">
        <f>CONCATENATE("          ", "6309", " - ", "TELEPHONE")</f>
        <v xml:space="preserve">          6309 - TELEPHONE</v>
      </c>
      <c r="C98" s="11"/>
      <c r="D98" s="6">
        <v>258.35000000000002</v>
      </c>
      <c r="E98" s="2"/>
      <c r="F98" s="7">
        <f t="shared" si="40"/>
        <v>1.6098546158273737E-3</v>
      </c>
      <c r="G98" s="2"/>
      <c r="H98" s="6"/>
      <c r="I98" s="2"/>
      <c r="J98" s="7">
        <f t="shared" si="41"/>
        <v>0</v>
      </c>
      <c r="K98" s="2"/>
      <c r="L98" s="6">
        <f t="shared" si="42"/>
        <v>258.35000000000002</v>
      </c>
      <c r="M98" s="2"/>
      <c r="N98" s="7">
        <f t="shared" si="43"/>
        <v>0</v>
      </c>
      <c r="O98" s="11"/>
      <c r="P98" s="6">
        <v>1279.1500000000001</v>
      </c>
      <c r="Q98" s="2"/>
      <c r="R98" s="7">
        <f t="shared" si="44"/>
        <v>8.5340095408111775E-4</v>
      </c>
      <c r="S98" s="2"/>
      <c r="T98" s="6"/>
      <c r="U98" s="2"/>
      <c r="V98" s="7">
        <f t="shared" si="45"/>
        <v>0</v>
      </c>
      <c r="W98" s="2"/>
      <c r="X98" s="6">
        <f t="shared" si="46"/>
        <v>1279.1500000000001</v>
      </c>
      <c r="Y98" s="2"/>
      <c r="Z98" s="7">
        <f t="shared" si="47"/>
        <v>0</v>
      </c>
    </row>
    <row r="99" spans="1:26" s="26" customFormat="1" outlineLevel="1" collapsed="1" x14ac:dyDescent="0.25">
      <c r="A99" s="27"/>
      <c r="B99" s="13" t="str">
        <f>CONCATENATE("     ","Training                                          ")</f>
        <v xml:space="preserve">     Training                                          </v>
      </c>
      <c r="C99" s="13"/>
      <c r="D99" s="1">
        <f>SUM(OSRRefD22_10x_0)</f>
        <v>1123.6400000000001</v>
      </c>
      <c r="E99" s="1"/>
      <c r="F99" s="5">
        <f t="shared" ref="F99:F102" si="48">IF(D$12=0,0,D99/D$12)</f>
        <v>7.0017303678276376E-3</v>
      </c>
      <c r="G99" s="1"/>
      <c r="H99" s="1">
        <f>SUM(OSRRefH22_10x_0)</f>
        <v>375</v>
      </c>
      <c r="I99" s="1"/>
      <c r="J99" s="5">
        <f t="shared" ref="J99:J102" si="49">IF(H$12=0,0,H99/H$12)</f>
        <v>2.5630860923531182E-3</v>
      </c>
      <c r="K99" s="1"/>
      <c r="L99" s="1">
        <f t="shared" ref="L99:L102" si="50">+D99-H99</f>
        <v>748.6400000000001</v>
      </c>
      <c r="M99" s="1"/>
      <c r="N99" s="5">
        <f t="shared" ref="N99:N102" si="51">IF(H99=0,0,L99/H99)</f>
        <v>1.9963733333333336</v>
      </c>
      <c r="O99" s="13"/>
      <c r="P99" s="1">
        <f>SUM(OSRRefP22_10x_0)</f>
        <v>1163.6400000000001</v>
      </c>
      <c r="Q99" s="1"/>
      <c r="R99" s="5">
        <f t="shared" ref="R99:R102" si="52">IF(P$12=0,0,P99/P$12)</f>
        <v>7.7633700989481445E-4</v>
      </c>
      <c r="S99" s="1"/>
      <c r="T99" s="1">
        <f>SUM(OSRRefT22_10x_0)</f>
        <v>1875</v>
      </c>
      <c r="U99" s="1"/>
      <c r="V99" s="5">
        <f t="shared" ref="V99:V102" si="53">IF(T$12=0,0,T99/T$12)</f>
        <v>1.4626862877256048E-3</v>
      </c>
      <c r="W99" s="1"/>
      <c r="X99" s="1">
        <f t="shared" ref="X99:X102" si="54">+P99-T99</f>
        <v>-711.3599999999999</v>
      </c>
      <c r="Y99" s="1"/>
      <c r="Z99" s="5">
        <f t="shared" ref="Z99:Z102" si="55">IF(T99=0,0,X99/T99)</f>
        <v>-0.37939199999999995</v>
      </c>
    </row>
    <row r="100" spans="1:26" s="24" customFormat="1" hidden="1" outlineLevel="2" x14ac:dyDescent="0.25">
      <c r="A100" s="25"/>
      <c r="B100" s="11" t="str">
        <f>CONCATENATE("          ", "6376", " - ", "TRAINING")</f>
        <v xml:space="preserve">          6376 - TRAINING</v>
      </c>
      <c r="C100" s="11"/>
      <c r="D100" s="6">
        <v>1123.6400000000001</v>
      </c>
      <c r="E100" s="2"/>
      <c r="F100" s="7">
        <f t="shared" si="48"/>
        <v>7.0017303678276376E-3</v>
      </c>
      <c r="G100" s="2"/>
      <c r="H100" s="6">
        <v>375</v>
      </c>
      <c r="I100" s="2"/>
      <c r="J100" s="7">
        <f t="shared" si="49"/>
        <v>2.5630860923531182E-3</v>
      </c>
      <c r="K100" s="2"/>
      <c r="L100" s="6">
        <f t="shared" si="50"/>
        <v>748.6400000000001</v>
      </c>
      <c r="M100" s="2"/>
      <c r="N100" s="7">
        <f t="shared" si="51"/>
        <v>1.9963733333333336</v>
      </c>
      <c r="O100" s="11"/>
      <c r="P100" s="6">
        <v>1163.6400000000001</v>
      </c>
      <c r="Q100" s="2"/>
      <c r="R100" s="7">
        <f t="shared" si="52"/>
        <v>7.7633700989481445E-4</v>
      </c>
      <c r="S100" s="2"/>
      <c r="T100" s="6">
        <v>1875</v>
      </c>
      <c r="U100" s="2"/>
      <c r="V100" s="7">
        <f t="shared" si="53"/>
        <v>1.4626862877256048E-3</v>
      </c>
      <c r="W100" s="2"/>
      <c r="X100" s="6">
        <f t="shared" si="54"/>
        <v>-711.3599999999999</v>
      </c>
      <c r="Y100" s="2"/>
      <c r="Z100" s="7">
        <f t="shared" si="55"/>
        <v>-0.37939199999999995</v>
      </c>
    </row>
    <row r="101" spans="1:26" s="26" customFormat="1" outlineLevel="1" collapsed="1" x14ac:dyDescent="0.25">
      <c r="A101" s="27"/>
      <c r="B101" s="13" t="str">
        <f>CONCATENATE("     ","Travel                                            ")</f>
        <v xml:space="preserve">     Travel                                            </v>
      </c>
      <c r="C101" s="13"/>
      <c r="D101" s="1">
        <f>SUM(OSRRefD22_11x_0)</f>
        <v>-178.06</v>
      </c>
      <c r="E101" s="1"/>
      <c r="F101" s="5">
        <f t="shared" si="48"/>
        <v>-1.1095440793273549E-3</v>
      </c>
      <c r="G101" s="1"/>
      <c r="H101" s="1">
        <f>SUM(OSRRefH22_11x_0)</f>
        <v>0</v>
      </c>
      <c r="I101" s="1"/>
      <c r="J101" s="5">
        <f t="shared" si="49"/>
        <v>0</v>
      </c>
      <c r="K101" s="1"/>
      <c r="L101" s="1">
        <f t="shared" si="50"/>
        <v>-178.06</v>
      </c>
      <c r="M101" s="1"/>
      <c r="N101" s="5">
        <f t="shared" si="51"/>
        <v>0</v>
      </c>
      <c r="O101" s="13"/>
      <c r="P101" s="1">
        <f>SUM(OSRRefP22_11x_0)</f>
        <v>-178.06</v>
      </c>
      <c r="Q101" s="1"/>
      <c r="R101" s="5">
        <f t="shared" si="52"/>
        <v>-1.1879496062516813E-4</v>
      </c>
      <c r="S101" s="1"/>
      <c r="T101" s="1">
        <f>SUM(OSRRefT22_11x_0)</f>
        <v>0</v>
      </c>
      <c r="U101" s="1"/>
      <c r="V101" s="5">
        <f t="shared" si="53"/>
        <v>0</v>
      </c>
      <c r="W101" s="1"/>
      <c r="X101" s="1">
        <f t="shared" si="54"/>
        <v>-178.06</v>
      </c>
      <c r="Y101" s="1"/>
      <c r="Z101" s="5">
        <f t="shared" si="55"/>
        <v>0</v>
      </c>
    </row>
    <row r="102" spans="1:26" s="24" customFormat="1" hidden="1" outlineLevel="2" x14ac:dyDescent="0.25">
      <c r="A102" s="25"/>
      <c r="B102" s="11" t="str">
        <f>CONCATENATE("          ", "6292", " - ", "TRAVEL/CONFERENCE")</f>
        <v xml:space="preserve">          6292 - TRAVEL/CONFERENCE</v>
      </c>
      <c r="C102" s="11"/>
      <c r="D102" s="6">
        <v>-178.06</v>
      </c>
      <c r="E102" s="2"/>
      <c r="F102" s="7">
        <f t="shared" si="48"/>
        <v>-1.1095440793273549E-3</v>
      </c>
      <c r="G102" s="2"/>
      <c r="H102" s="6"/>
      <c r="I102" s="2"/>
      <c r="J102" s="7">
        <f t="shared" si="49"/>
        <v>0</v>
      </c>
      <c r="K102" s="2"/>
      <c r="L102" s="6">
        <f t="shared" si="50"/>
        <v>-178.06</v>
      </c>
      <c r="M102" s="2"/>
      <c r="N102" s="7">
        <f t="shared" si="51"/>
        <v>0</v>
      </c>
      <c r="O102" s="11"/>
      <c r="P102" s="6">
        <v>-178.06</v>
      </c>
      <c r="Q102" s="2"/>
      <c r="R102" s="7">
        <f t="shared" si="52"/>
        <v>-1.1879496062516813E-4</v>
      </c>
      <c r="S102" s="2"/>
      <c r="T102" s="6"/>
      <c r="U102" s="2"/>
      <c r="V102" s="7">
        <f t="shared" si="53"/>
        <v>0</v>
      </c>
      <c r="W102" s="2"/>
      <c r="X102" s="6">
        <f t="shared" si="54"/>
        <v>-178.06</v>
      </c>
      <c r="Y102" s="2"/>
      <c r="Z102" s="7">
        <f t="shared" si="55"/>
        <v>0</v>
      </c>
    </row>
    <row r="103" spans="1:26" s="59" customFormat="1" x14ac:dyDescent="0.25">
      <c r="A103" s="36"/>
      <c r="B103" s="36"/>
      <c r="C103" s="36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6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collapsed="1" x14ac:dyDescent="0.25">
      <c r="A104" s="10"/>
      <c r="B104" s="29" t="s">
        <v>0</v>
      </c>
      <c r="C104" s="10"/>
      <c r="D104" s="4">
        <f>SUM(OSRRefD25x_0)</f>
        <v>942.8</v>
      </c>
      <c r="E104" s="4"/>
      <c r="F104" s="12">
        <f t="shared" ref="F104:F107" si="56">IF(D$12=0,0,D104/D$12)</f>
        <v>5.8748632932148154E-3</v>
      </c>
      <c r="G104" s="4"/>
      <c r="H104" s="4">
        <f>SUM(OSRRefH25x_0)</f>
        <v>2025</v>
      </c>
      <c r="I104" s="4"/>
      <c r="J104" s="12">
        <f t="shared" ref="J104:J107" si="57">IF(H$12=0,0,H104/H$12)</f>
        <v>1.3840664898706837E-2</v>
      </c>
      <c r="K104" s="4"/>
      <c r="L104" s="4">
        <f t="shared" ref="L104:L107" si="58">+D104-H104</f>
        <v>-1082.2</v>
      </c>
      <c r="M104" s="4"/>
      <c r="N104" s="12">
        <f t="shared" ref="N104:N107" si="59">IF(H104=0,0,L104/H104)</f>
        <v>-0.53441975308641976</v>
      </c>
      <c r="O104" s="10"/>
      <c r="P104" s="4">
        <f>SUM(OSRRefP25x_0)</f>
        <v>7231.7300000000005</v>
      </c>
      <c r="Q104" s="4"/>
      <c r="R104" s="12">
        <f t="shared" ref="R104:R107" si="60">IF(P$12=0,0,P104/P$12)</f>
        <v>4.8247393047391174E-3</v>
      </c>
      <c r="S104" s="4"/>
      <c r="T104" s="4">
        <f>SUM(OSRRefT25x_0)</f>
        <v>9450</v>
      </c>
      <c r="U104" s="4"/>
      <c r="V104" s="12">
        <f t="shared" ref="V104:V107" si="61">IF(T$12=0,0,T104/T$12)</f>
        <v>7.371938890137048E-3</v>
      </c>
      <c r="W104" s="4"/>
      <c r="X104" s="4">
        <f t="shared" ref="X104:X107" si="62">+P104-T104</f>
        <v>-2218.2699999999995</v>
      </c>
      <c r="Y104" s="4"/>
      <c r="Z104" s="12">
        <f t="shared" ref="Z104:Z107" si="63">IF(T104=0,0,X104/T104)</f>
        <v>-0.23473756613756608</v>
      </c>
    </row>
    <row r="105" spans="1:26" s="24" customFormat="1" hidden="1" outlineLevel="1" x14ac:dyDescent="0.25">
      <c r="A105" s="44"/>
      <c r="B105" s="11" t="str">
        <f>CONCATENATE("          ", "4187", " - ", "NON-TAXABLE SALES-COMPUTER REP")</f>
        <v xml:space="preserve">          4187 - NON-TAXABLE SALES-COMPUTER REP</v>
      </c>
      <c r="C105" s="11"/>
      <c r="D105" s="2">
        <f>--949.24</f>
        <v>949.24</v>
      </c>
      <c r="E105" s="2"/>
      <c r="F105" s="19">
        <f t="shared" si="56"/>
        <v>5.9149928218617228E-3</v>
      </c>
      <c r="G105" s="2"/>
      <c r="H105" s="2"/>
      <c r="I105" s="2"/>
      <c r="J105" s="19">
        <f t="shared" si="57"/>
        <v>0</v>
      </c>
      <c r="K105" s="2"/>
      <c r="L105" s="2">
        <f t="shared" si="58"/>
        <v>949.24</v>
      </c>
      <c r="M105" s="2"/>
      <c r="N105" s="19">
        <f t="shared" si="59"/>
        <v>0</v>
      </c>
      <c r="O105" s="11"/>
      <c r="P105" s="2">
        <f>--12731.93</f>
        <v>12731.93</v>
      </c>
      <c r="Q105" s="2"/>
      <c r="R105" s="19">
        <f t="shared" si="60"/>
        <v>8.4942666687206382E-3</v>
      </c>
      <c r="S105" s="2"/>
      <c r="T105" s="2"/>
      <c r="U105" s="2"/>
      <c r="V105" s="19">
        <f t="shared" si="61"/>
        <v>0</v>
      </c>
      <c r="W105" s="2"/>
      <c r="X105" s="2">
        <f t="shared" si="62"/>
        <v>12731.93</v>
      </c>
      <c r="Y105" s="2"/>
      <c r="Z105" s="19">
        <f t="shared" si="63"/>
        <v>0</v>
      </c>
    </row>
    <row r="106" spans="1:26" s="24" customFormat="1" hidden="1" outlineLevel="1" x14ac:dyDescent="0.25">
      <c r="A106" s="44"/>
      <c r="B106" s="11" t="str">
        <f>CONCATENATE("          ", "4387", " - ", "SALES RETURN NON TAXABLE-COMPU")</f>
        <v xml:space="preserve">          4387 - SALES RETURN NON TAXABLE-COMPU</v>
      </c>
      <c r="C106" s="11"/>
      <c r="D106" s="2">
        <f>-1098.25</f>
        <v>-1098.25</v>
      </c>
      <c r="E106" s="2"/>
      <c r="F106" s="19">
        <f t="shared" si="56"/>
        <v>-6.8435178317492271E-3</v>
      </c>
      <c r="G106" s="2"/>
      <c r="H106" s="2"/>
      <c r="I106" s="2"/>
      <c r="J106" s="19">
        <f t="shared" si="57"/>
        <v>0</v>
      </c>
      <c r="K106" s="2"/>
      <c r="L106" s="2">
        <f t="shared" si="58"/>
        <v>-1098.25</v>
      </c>
      <c r="M106" s="2"/>
      <c r="N106" s="19">
        <f t="shared" si="59"/>
        <v>0</v>
      </c>
      <c r="O106" s="11"/>
      <c r="P106" s="2">
        <f>-7889</f>
        <v>-7889</v>
      </c>
      <c r="Q106" s="2"/>
      <c r="R106" s="19">
        <f t="shared" si="60"/>
        <v>-5.26324522280103E-3</v>
      </c>
      <c r="S106" s="2"/>
      <c r="T106" s="2"/>
      <c r="U106" s="2"/>
      <c r="V106" s="19">
        <f t="shared" si="61"/>
        <v>0</v>
      </c>
      <c r="W106" s="2"/>
      <c r="X106" s="2">
        <f t="shared" si="62"/>
        <v>-7889</v>
      </c>
      <c r="Y106" s="2"/>
      <c r="Z106" s="19">
        <f t="shared" si="63"/>
        <v>0</v>
      </c>
    </row>
    <row r="107" spans="1:26" s="24" customFormat="1" hidden="1" outlineLevel="1" x14ac:dyDescent="0.25">
      <c r="A107" s="44"/>
      <c r="B107" s="11" t="str">
        <f>CONCATENATE("          ", "9150", " - ", "MISC. INCOME")</f>
        <v xml:space="preserve">          9150 - MISC. INCOME</v>
      </c>
      <c r="C107" s="11"/>
      <c r="D107" s="2">
        <f>--1091.81</f>
        <v>1091.81</v>
      </c>
      <c r="E107" s="2"/>
      <c r="F107" s="19">
        <f t="shared" si="56"/>
        <v>6.8033883031023206E-3</v>
      </c>
      <c r="G107" s="2"/>
      <c r="H107" s="2">
        <v>2025</v>
      </c>
      <c r="I107" s="2"/>
      <c r="J107" s="19">
        <f t="shared" si="57"/>
        <v>1.3840664898706837E-2</v>
      </c>
      <c r="K107" s="2"/>
      <c r="L107" s="2">
        <f t="shared" si="58"/>
        <v>-933.19</v>
      </c>
      <c r="M107" s="2"/>
      <c r="N107" s="19">
        <f t="shared" si="59"/>
        <v>-0.46083456790123462</v>
      </c>
      <c r="O107" s="11"/>
      <c r="P107" s="2">
        <f>--2388.8</f>
        <v>2388.8000000000002</v>
      </c>
      <c r="Q107" s="2"/>
      <c r="R107" s="19">
        <f t="shared" si="60"/>
        <v>1.5937178588195083E-3</v>
      </c>
      <c r="S107" s="2"/>
      <c r="T107" s="2">
        <v>9450</v>
      </c>
      <c r="U107" s="2"/>
      <c r="V107" s="19">
        <f t="shared" si="61"/>
        <v>7.371938890137048E-3</v>
      </c>
      <c r="W107" s="2"/>
      <c r="X107" s="2">
        <f t="shared" si="62"/>
        <v>-7061.2</v>
      </c>
      <c r="Y107" s="2"/>
      <c r="Z107" s="19">
        <f t="shared" si="63"/>
        <v>-0.74721693121693122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10"/>
      <c r="B109" s="28" t="s">
        <v>3</v>
      </c>
      <c r="C109" s="28"/>
      <c r="D109" s="20">
        <f>+D56-D58+D104</f>
        <v>29596.329999999929</v>
      </c>
      <c r="E109" s="14"/>
      <c r="F109" s="22">
        <f>IF(D$12=0,0,D109/D$12)</f>
        <v>0.1844234118910395</v>
      </c>
      <c r="G109" s="14"/>
      <c r="H109" s="20">
        <f>+H56-H58+H104</f>
        <v>18907.961087683077</v>
      </c>
      <c r="I109" s="14"/>
      <c r="J109" s="22">
        <f>IF(H$12=0,0,H109/H$12)</f>
        <v>0.12923395226291848</v>
      </c>
      <c r="K109" s="16"/>
      <c r="L109" s="20">
        <f>+D109-H109</f>
        <v>10688.368912316851</v>
      </c>
      <c r="M109" s="16"/>
      <c r="N109" s="22">
        <f>IF(H109=0,0,L109/H109)</f>
        <v>0.56528405483547406</v>
      </c>
      <c r="O109" s="29"/>
      <c r="P109" s="20">
        <f>+P56-P58+P104</f>
        <v>54490.210000000072</v>
      </c>
      <c r="Q109" s="14"/>
      <c r="R109" s="22">
        <f>IF(P$12=0,0,P109/P$12)</f>
        <v>3.6353826527053525E-2</v>
      </c>
      <c r="S109" s="14"/>
      <c r="T109" s="20">
        <f>+T56-T58+T104</f>
        <v>206455.41360515682</v>
      </c>
      <c r="U109" s="14"/>
      <c r="V109" s="22">
        <f>IF(T$12=0,0,T109/T$12)</f>
        <v>0.16105573467038994</v>
      </c>
      <c r="W109" s="16"/>
      <c r="X109" s="20">
        <f>+P109-T109</f>
        <v>-151965.20360515674</v>
      </c>
      <c r="Y109" s="16"/>
      <c r="Z109" s="22">
        <f>IF(T109=0,0,X109/T109)</f>
        <v>-0.73606790421000112</v>
      </c>
    </row>
    <row r="110" spans="1:26" x14ac:dyDescent="0.25">
      <c r="A110" s="9"/>
      <c r="B110" s="10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52"/>
      <c r="B111" s="10" t="s">
        <v>14</v>
      </c>
      <c r="C111" s="10"/>
      <c r="D111" s="4">
        <v>23994.560000000001</v>
      </c>
      <c r="E111" s="4"/>
      <c r="F111" s="12">
        <f>IF(D$12=0,0,D111/D$12)</f>
        <v>0.14951714020029752</v>
      </c>
      <c r="G111" s="4"/>
      <c r="H111" s="4">
        <v>25706</v>
      </c>
      <c r="I111" s="4"/>
      <c r="J111" s="12">
        <f>IF(H$12=0,0,H111/H$12)</f>
        <v>0.17569784290674467</v>
      </c>
      <c r="K111" s="4"/>
      <c r="L111" s="4">
        <f>+D111-H111</f>
        <v>-1711.4399999999987</v>
      </c>
      <c r="M111" s="4"/>
      <c r="N111" s="12">
        <f>IF(H111=0,0,L111/H111)</f>
        <v>-6.6577452734770046E-2</v>
      </c>
      <c r="O111" s="10"/>
      <c r="P111" s="4">
        <v>158721.79999999999</v>
      </c>
      <c r="Q111" s="4"/>
      <c r="R111" s="12">
        <f>IF(P$12=0,0,P111/P$12)</f>
        <v>0.1058932381295957</v>
      </c>
      <c r="S111" s="4"/>
      <c r="T111" s="4">
        <v>162456</v>
      </c>
      <c r="U111" s="4"/>
      <c r="V111" s="12">
        <f>IF(T$12=0,0,T111/T$12)</f>
        <v>0.12673182056466711</v>
      </c>
      <c r="W111" s="4"/>
      <c r="X111" s="4">
        <f>+P111-T111</f>
        <v>-3734.2000000000116</v>
      </c>
      <c r="Y111" s="4"/>
      <c r="Z111" s="12">
        <f>IF(T111=0,0,X111/T111)</f>
        <v>-2.2985916186536733E-2</v>
      </c>
    </row>
    <row r="112" spans="1:26" x14ac:dyDescent="0.2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8" t="s">
        <v>4</v>
      </c>
      <c r="C113" s="28"/>
      <c r="D113" s="30">
        <f>+D109-D111</f>
        <v>5601.7699999999277</v>
      </c>
      <c r="E113" s="14"/>
      <c r="F113" s="32">
        <f>IF(D$12=0,0,D113/D$12)</f>
        <v>3.4906271690741973E-2</v>
      </c>
      <c r="G113" s="14"/>
      <c r="H113" s="30">
        <f>+H109-H111</f>
        <v>-6798.0389123169225</v>
      </c>
      <c r="I113" s="14"/>
      <c r="J113" s="32">
        <f>IF(H$12=0,0,H113/H$12)</f>
        <v>-4.6463890643826194E-2</v>
      </c>
      <c r="K113" s="16"/>
      <c r="L113" s="30">
        <f>D113-H113</f>
        <v>12399.80891231685</v>
      </c>
      <c r="M113" s="16"/>
      <c r="N113" s="32">
        <f>IF(H113=0,0,L113/H113)</f>
        <v>-1.824027351454321</v>
      </c>
      <c r="O113" s="29"/>
      <c r="P113" s="30">
        <f>+P109-P111</f>
        <v>-104231.58999999991</v>
      </c>
      <c r="Q113" s="14"/>
      <c r="R113" s="32">
        <f>IF(P$12=0,0,P113/P$12)</f>
        <v>-6.9539411602542164E-2</v>
      </c>
      <c r="S113" s="14"/>
      <c r="T113" s="30">
        <f>+T109-T111</f>
        <v>43999.41360515682</v>
      </c>
      <c r="U113" s="14"/>
      <c r="V113" s="32">
        <f>IF(T$12=0,0,T113/T$12)</f>
        <v>3.4323914105722823E-2</v>
      </c>
      <c r="W113" s="16"/>
      <c r="X113" s="30">
        <f>P113-T113</f>
        <v>-148231.00360515673</v>
      </c>
      <c r="Y113" s="16"/>
      <c r="Z113" s="32">
        <f>IF(T113=0,0,X113/T113)</f>
        <v>-3.3689313438437223</v>
      </c>
    </row>
    <row r="114" spans="1:26" ht="15.75" thickTop="1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8" t="s">
        <v>5</v>
      </c>
      <c r="C116" s="28"/>
      <c r="D116" s="31">
        <f>SUM(D113:D115)</f>
        <v>5601.7699999999277</v>
      </c>
      <c r="E116" s="14"/>
      <c r="F116" s="35">
        <f>IF(D$12=0,0,D116/D$12)</f>
        <v>3.4906271690741973E-2</v>
      </c>
      <c r="G116" s="14"/>
      <c r="H116" s="31">
        <f>SUM(H113:H115)</f>
        <v>-6798.0389123169225</v>
      </c>
      <c r="I116" s="14"/>
      <c r="J116" s="35">
        <f>IF(H$12=0,0,H116/H$12)</f>
        <v>-4.6463890643826194E-2</v>
      </c>
      <c r="K116" s="16"/>
      <c r="L116" s="31">
        <f>+D116-H116</f>
        <v>12399.80891231685</v>
      </c>
      <c r="M116" s="16"/>
      <c r="N116" s="35">
        <f>IF(H116=0,0,L116/H116)</f>
        <v>-1.824027351454321</v>
      </c>
      <c r="O116" s="29"/>
      <c r="P116" s="31">
        <f>SUM(P113:P115)</f>
        <v>-104231.58999999991</v>
      </c>
      <c r="Q116" s="14"/>
      <c r="R116" s="35">
        <f>IF(P$12=0,0,P116/P$12)</f>
        <v>-6.9539411602542164E-2</v>
      </c>
      <c r="S116" s="14"/>
      <c r="T116" s="31">
        <f>SUM(T113:T115)</f>
        <v>43999.41360515682</v>
      </c>
      <c r="U116" s="14"/>
      <c r="V116" s="35">
        <f>IF(T$12=0,0,T116/T$12)</f>
        <v>3.4323914105722823E-2</v>
      </c>
      <c r="W116" s="16"/>
      <c r="X116" s="31">
        <f>+P116-T116</f>
        <v>-148231.00360515673</v>
      </c>
      <c r="Y116" s="16"/>
      <c r="Z116" s="35">
        <f>IF(T116=0,0,X116/T116)</f>
        <v>-3.3689313438437223</v>
      </c>
    </row>
    <row r="117" spans="1:26" ht="15.75" thickTop="1" x14ac:dyDescent="0.25">
      <c r="A117" s="9"/>
      <c r="C117" s="9"/>
      <c r="D117" s="17"/>
      <c r="E117" s="17"/>
      <c r="G117" s="17"/>
      <c r="H117" s="17"/>
      <c r="I117" s="17"/>
      <c r="J117" s="43"/>
      <c r="K117" s="17"/>
      <c r="L117" s="17"/>
      <c r="M117" s="17"/>
      <c r="P117" s="17"/>
      <c r="Q117" s="17"/>
      <c r="R117" s="43"/>
      <c r="S117" s="17"/>
      <c r="T117" s="17"/>
      <c r="U117" s="17"/>
      <c r="V117" s="43"/>
      <c r="W117" s="17"/>
      <c r="X117" s="17"/>
    </row>
    <row r="118" spans="1:26" x14ac:dyDescent="0.25">
      <c r="A118" s="9"/>
      <c r="B118" s="56">
        <v>43815.483416319446</v>
      </c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  <row r="119" spans="1:26" x14ac:dyDescent="0.25">
      <c r="A119" s="9"/>
      <c r="B119" s="62" t="s">
        <v>314</v>
      </c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  <row r="120" spans="1:26" x14ac:dyDescent="0.25">
      <c r="A120" s="9"/>
      <c r="B120" s="58"/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  <row r="121" spans="1:26" x14ac:dyDescent="0.25">
      <c r="D121" s="17"/>
      <c r="E121" s="17"/>
      <c r="G121" s="17"/>
      <c r="H121" s="17"/>
      <c r="I121" s="17"/>
      <c r="J121" s="43"/>
      <c r="K121" s="17"/>
      <c r="L121" s="17"/>
      <c r="M121" s="17"/>
      <c r="P121" s="17"/>
      <c r="Q121" s="17"/>
      <c r="R121" s="43"/>
      <c r="S121" s="17"/>
      <c r="T121" s="17"/>
      <c r="U121" s="17"/>
      <c r="V121" s="43"/>
      <c r="W121" s="17"/>
      <c r="X121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","317", " - ", "Computer Store")</f>
        <v>Department 317 - Computer Store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160480.32999999993</v>
      </c>
      <c r="E12" s="4"/>
      <c r="F12" s="12"/>
      <c r="G12" s="4"/>
      <c r="H12" s="4">
        <f>SUM(OSRRefH13x_0)</f>
        <v>146308</v>
      </c>
      <c r="I12" s="4"/>
      <c r="J12" s="12"/>
      <c r="K12" s="4"/>
      <c r="L12" s="4">
        <f t="shared" ref="L12:L38" si="0">+D12-H12</f>
        <v>14172.329999999929</v>
      </c>
      <c r="M12" s="4"/>
      <c r="N12" s="12">
        <f t="shared" ref="N12:N38" si="1">IF(H12=0,0,L12/H12)</f>
        <v>9.6866405117969817E-2</v>
      </c>
      <c r="O12" s="10"/>
      <c r="P12" s="4">
        <f>SUM(OSRRefP13x_0)</f>
        <v>1498885.13</v>
      </c>
      <c r="Q12" s="4"/>
      <c r="R12" s="12"/>
      <c r="S12" s="4"/>
      <c r="T12" s="4">
        <f>SUM(OSRRefT13x_0)</f>
        <v>1281888</v>
      </c>
      <c r="U12" s="4"/>
      <c r="V12" s="12"/>
      <c r="W12" s="4"/>
      <c r="X12" s="4">
        <f t="shared" ref="X12:X38" si="2">+P12-T12</f>
        <v>216997.12999999989</v>
      </c>
      <c r="Y12" s="4"/>
      <c r="Z12" s="12">
        <f t="shared" ref="Z12:Z38" si="3">IF(T12=0,0,X12/T12)</f>
        <v>0.16927932081429883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128751</v>
      </c>
      <c r="I13" s="2"/>
      <c r="J13" s="19"/>
      <c r="K13" s="2"/>
      <c r="L13" s="2">
        <f t="shared" si="0"/>
        <v>-128751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1128060</v>
      </c>
      <c r="U13" s="2"/>
      <c r="V13" s="19"/>
      <c r="W13" s="2"/>
      <c r="X13" s="2">
        <f t="shared" si="2"/>
        <v>-1128060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--16123.77</f>
        <v>16123.77</v>
      </c>
      <c r="E14" s="2"/>
      <c r="F14" s="19"/>
      <c r="G14" s="2"/>
      <c r="H14" s="2"/>
      <c r="I14" s="2"/>
      <c r="J14" s="19"/>
      <c r="K14" s="2"/>
      <c r="L14" s="2">
        <f t="shared" si="0"/>
        <v>16123.77</v>
      </c>
      <c r="M14" s="2"/>
      <c r="N14" s="19">
        <f t="shared" si="1"/>
        <v>0</v>
      </c>
      <c r="O14" s="11"/>
      <c r="P14" s="2">
        <f>--229580.58</f>
        <v>229580.58</v>
      </c>
      <c r="Q14" s="2"/>
      <c r="R14" s="19"/>
      <c r="S14" s="2"/>
      <c r="T14" s="2"/>
      <c r="U14" s="2"/>
      <c r="V14" s="19"/>
      <c r="W14" s="2"/>
      <c r="X14" s="2">
        <f t="shared" si="2"/>
        <v>229580.58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--134369.21</f>
        <v>134369.21</v>
      </c>
      <c r="E15" s="2"/>
      <c r="F15" s="19"/>
      <c r="G15" s="2"/>
      <c r="H15" s="2"/>
      <c r="I15" s="2"/>
      <c r="J15" s="19"/>
      <c r="K15" s="2"/>
      <c r="L15" s="2">
        <f t="shared" si="0"/>
        <v>134369.21</v>
      </c>
      <c r="M15" s="2"/>
      <c r="N15" s="19">
        <f t="shared" si="1"/>
        <v>0</v>
      </c>
      <c r="O15" s="11"/>
      <c r="P15" s="2">
        <f>--1282768.84</f>
        <v>1282768.8400000001</v>
      </c>
      <c r="Q15" s="2"/>
      <c r="R15" s="19"/>
      <c r="S15" s="2"/>
      <c r="T15" s="2"/>
      <c r="U15" s="2"/>
      <c r="V15" s="19"/>
      <c r="W15" s="2"/>
      <c r="X15" s="2">
        <f t="shared" si="2"/>
        <v>1282768.8400000001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--9897.8</f>
        <v>9897.7999999999993</v>
      </c>
      <c r="E16" s="2"/>
      <c r="F16" s="19"/>
      <c r="G16" s="2"/>
      <c r="H16" s="2"/>
      <c r="I16" s="2"/>
      <c r="J16" s="19"/>
      <c r="K16" s="2"/>
      <c r="L16" s="2">
        <f t="shared" si="0"/>
        <v>9897.7999999999993</v>
      </c>
      <c r="M16" s="2"/>
      <c r="N16" s="19">
        <f t="shared" si="1"/>
        <v>0</v>
      </c>
      <c r="O16" s="11"/>
      <c r="P16" s="2">
        <f>--63504.02</f>
        <v>63504.02</v>
      </c>
      <c r="Q16" s="2"/>
      <c r="R16" s="19"/>
      <c r="S16" s="2"/>
      <c r="T16" s="2"/>
      <c r="U16" s="2"/>
      <c r="V16" s="19"/>
      <c r="W16" s="2"/>
      <c r="X16" s="2">
        <f t="shared" si="2"/>
        <v>63504.02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 t="shared" ref="D17:D18" si="4"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--129</f>
        <v>129</v>
      </c>
      <c r="Q17" s="2"/>
      <c r="R17" s="19"/>
      <c r="S17" s="2"/>
      <c r="T17" s="2"/>
      <c r="U17" s="2"/>
      <c r="V17" s="19"/>
      <c r="W17" s="2"/>
      <c r="X17" s="2">
        <f t="shared" si="2"/>
        <v>129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 t="shared" si="4"/>
        <v>0</v>
      </c>
      <c r="E18" s="2"/>
      <c r="F18" s="19"/>
      <c r="G18" s="2"/>
      <c r="H18" s="2"/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--4407.94</f>
        <v>4407.9399999999996</v>
      </c>
      <c r="Q18" s="2"/>
      <c r="R18" s="19"/>
      <c r="S18" s="2"/>
      <c r="T18" s="2"/>
      <c r="U18" s="2"/>
      <c r="V18" s="19"/>
      <c r="W18" s="2"/>
      <c r="X18" s="2">
        <f t="shared" si="2"/>
        <v>4407.9399999999996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--3769.61</f>
        <v>3769.61</v>
      </c>
      <c r="E19" s="2"/>
      <c r="F19" s="19"/>
      <c r="G19" s="2"/>
      <c r="H19" s="2"/>
      <c r="I19" s="2"/>
      <c r="J19" s="19"/>
      <c r="K19" s="2"/>
      <c r="L19" s="2">
        <f t="shared" si="0"/>
        <v>3769.61</v>
      </c>
      <c r="M19" s="2"/>
      <c r="N19" s="19">
        <f t="shared" si="1"/>
        <v>0</v>
      </c>
      <c r="O19" s="11"/>
      <c r="P19" s="2">
        <f>--30367.91</f>
        <v>30367.91</v>
      </c>
      <c r="Q19" s="2"/>
      <c r="R19" s="19"/>
      <c r="S19" s="2"/>
      <c r="T19" s="2"/>
      <c r="U19" s="2"/>
      <c r="V19" s="19"/>
      <c r="W19" s="2"/>
      <c r="X19" s="2">
        <f t="shared" si="2"/>
        <v>30367.91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--118.97</f>
        <v>118.97</v>
      </c>
      <c r="E20" s="2"/>
      <c r="F20" s="19"/>
      <c r="G20" s="2"/>
      <c r="H20" s="2"/>
      <c r="I20" s="2"/>
      <c r="J20" s="19"/>
      <c r="K20" s="2"/>
      <c r="L20" s="2">
        <f t="shared" si="0"/>
        <v>118.97</v>
      </c>
      <c r="M20" s="2"/>
      <c r="N20" s="19">
        <f t="shared" si="1"/>
        <v>0</v>
      </c>
      <c r="O20" s="11"/>
      <c r="P20" s="2">
        <f>--936.91</f>
        <v>936.91</v>
      </c>
      <c r="Q20" s="2"/>
      <c r="R20" s="19"/>
      <c r="S20" s="2"/>
      <c r="T20" s="2"/>
      <c r="U20" s="2"/>
      <c r="V20" s="19"/>
      <c r="W20" s="2"/>
      <c r="X20" s="2">
        <f t="shared" si="2"/>
        <v>936.91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 t="shared" ref="D21:D22" si="5">0</f>
        <v>0</v>
      </c>
      <c r="E21" s="2"/>
      <c r="F21" s="19"/>
      <c r="G21" s="2"/>
      <c r="H21" s="2">
        <v>17557</v>
      </c>
      <c r="I21" s="2"/>
      <c r="J21" s="19"/>
      <c r="K21" s="2"/>
      <c r="L21" s="2">
        <f t="shared" si="0"/>
        <v>-17557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153828</v>
      </c>
      <c r="U21" s="2"/>
      <c r="V21" s="19"/>
      <c r="W21" s="2"/>
      <c r="X21" s="2">
        <f t="shared" si="2"/>
        <v>-153828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 t="shared" si="5"/>
        <v>0</v>
      </c>
      <c r="E22" s="2"/>
      <c r="F22" s="19"/>
      <c r="G22" s="2"/>
      <c r="H22" s="2"/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--1462.51</f>
        <v>1462.51</v>
      </c>
      <c r="Q22" s="2"/>
      <c r="R22" s="19"/>
      <c r="S22" s="2"/>
      <c r="T22" s="2"/>
      <c r="U22" s="2"/>
      <c r="V22" s="19"/>
      <c r="W22" s="2"/>
      <c r="X22" s="2">
        <f t="shared" si="2"/>
        <v>1462.51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--5749</f>
        <v>5749</v>
      </c>
      <c r="E23" s="2"/>
      <c r="F23" s="19"/>
      <c r="G23" s="2"/>
      <c r="H23" s="2"/>
      <c r="I23" s="2"/>
      <c r="J23" s="19"/>
      <c r="K23" s="2"/>
      <c r="L23" s="2">
        <f t="shared" si="0"/>
        <v>5749</v>
      </c>
      <c r="M23" s="2"/>
      <c r="N23" s="19">
        <f t="shared" si="1"/>
        <v>0</v>
      </c>
      <c r="O23" s="11"/>
      <c r="P23" s="2">
        <f>--62309</f>
        <v>62309</v>
      </c>
      <c r="Q23" s="2"/>
      <c r="R23" s="19"/>
      <c r="S23" s="2"/>
      <c r="T23" s="2"/>
      <c r="U23" s="2"/>
      <c r="V23" s="19"/>
      <c r="W23" s="2"/>
      <c r="X23" s="2">
        <f t="shared" si="2"/>
        <v>62309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--249.96</f>
        <v>249.96</v>
      </c>
      <c r="E24" s="2"/>
      <c r="F24" s="19"/>
      <c r="G24" s="2"/>
      <c r="H24" s="2"/>
      <c r="I24" s="2"/>
      <c r="J24" s="19"/>
      <c r="K24" s="2"/>
      <c r="L24" s="2">
        <f t="shared" si="0"/>
        <v>249.96</v>
      </c>
      <c r="M24" s="2"/>
      <c r="N24" s="19">
        <f t="shared" si="1"/>
        <v>0</v>
      </c>
      <c r="O24" s="11"/>
      <c r="P24" s="2">
        <f>--3304.88</f>
        <v>3304.88</v>
      </c>
      <c r="Q24" s="2"/>
      <c r="R24" s="19"/>
      <c r="S24" s="2"/>
      <c r="T24" s="2"/>
      <c r="U24" s="2"/>
      <c r="V24" s="19"/>
      <c r="W24" s="2"/>
      <c r="X24" s="2">
        <f t="shared" si="2"/>
        <v>3304.88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"4184", " - ", "NON-TAXABLE SALES-SOFTWARE LIC")</f>
        <v xml:space="preserve">          4184 - NON-TAXABLE SALES-SOFTWARE LIC</v>
      </c>
      <c r="C25" s="11"/>
      <c r="D25" s="2">
        <f>--1206</f>
        <v>1206</v>
      </c>
      <c r="E25" s="2"/>
      <c r="F25" s="19"/>
      <c r="G25" s="2"/>
      <c r="H25" s="2"/>
      <c r="I25" s="2"/>
      <c r="J25" s="19"/>
      <c r="K25" s="2"/>
      <c r="L25" s="2">
        <f t="shared" si="0"/>
        <v>1206</v>
      </c>
      <c r="M25" s="2"/>
      <c r="N25" s="19">
        <f t="shared" si="1"/>
        <v>0</v>
      </c>
      <c r="O25" s="11"/>
      <c r="P25" s="2">
        <f>--2728</f>
        <v>2728</v>
      </c>
      <c r="Q25" s="2"/>
      <c r="R25" s="19"/>
      <c r="S25" s="2"/>
      <c r="T25" s="2"/>
      <c r="U25" s="2"/>
      <c r="V25" s="19"/>
      <c r="W25" s="2"/>
      <c r="X25" s="2">
        <f t="shared" si="2"/>
        <v>2728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"4185", " - ", "NON-TAXABLE SALES-SOFTWARE")</f>
        <v xml:space="preserve">          4185 - NON-TAXABLE SALES-SOFTWARE</v>
      </c>
      <c r="C26" s="11"/>
      <c r="D26" s="2">
        <f>--495.98</f>
        <v>495.98</v>
      </c>
      <c r="E26" s="2"/>
      <c r="F26" s="19"/>
      <c r="G26" s="2"/>
      <c r="H26" s="2"/>
      <c r="I26" s="2"/>
      <c r="J26" s="19"/>
      <c r="K26" s="2"/>
      <c r="L26" s="2">
        <f t="shared" si="0"/>
        <v>495.98</v>
      </c>
      <c r="M26" s="2"/>
      <c r="N26" s="19">
        <f t="shared" si="1"/>
        <v>0</v>
      </c>
      <c r="O26" s="11"/>
      <c r="P26" s="2">
        <f>--8963.87</f>
        <v>8963.8700000000008</v>
      </c>
      <c r="Q26" s="2"/>
      <c r="R26" s="19"/>
      <c r="S26" s="2"/>
      <c r="T26" s="2"/>
      <c r="U26" s="2"/>
      <c r="V26" s="19"/>
      <c r="W26" s="2"/>
      <c r="X26" s="2">
        <f t="shared" si="2"/>
        <v>8963.8700000000008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"4186", " - ", "NON-TAXABLE SALES-COMPUTER SUP")</f>
        <v xml:space="preserve">          4186 - NON-TAXABLE SALES-COMPUTER SUP</v>
      </c>
      <c r="C27" s="11"/>
      <c r="D27" s="2">
        <f>--49.99</f>
        <v>49.99</v>
      </c>
      <c r="E27" s="2"/>
      <c r="F27" s="19"/>
      <c r="G27" s="2"/>
      <c r="H27" s="2"/>
      <c r="I27" s="2"/>
      <c r="J27" s="19"/>
      <c r="K27" s="2"/>
      <c r="L27" s="2">
        <f t="shared" si="0"/>
        <v>49.99</v>
      </c>
      <c r="M27" s="2"/>
      <c r="N27" s="19">
        <f t="shared" si="1"/>
        <v>0</v>
      </c>
      <c r="O27" s="11"/>
      <c r="P27" s="2">
        <f>--1603.37</f>
        <v>1603.37</v>
      </c>
      <c r="Q27" s="2"/>
      <c r="R27" s="19"/>
      <c r="S27" s="2"/>
      <c r="T27" s="2"/>
      <c r="U27" s="2"/>
      <c r="V27" s="19"/>
      <c r="W27" s="2"/>
      <c r="X27" s="2">
        <f t="shared" si="2"/>
        <v>1603.37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"4188", " - ", "NON-TAXABLE SALES-MUSIC")</f>
        <v xml:space="preserve">          4188 - NON-TAXABLE SALES-MUSIC</v>
      </c>
      <c r="C28" s="11"/>
      <c r="D28" s="2">
        <f>0</f>
        <v>0</v>
      </c>
      <c r="E28" s="2"/>
      <c r="F28" s="19"/>
      <c r="G28" s="2"/>
      <c r="H28" s="2"/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--219.96</f>
        <v>219.96</v>
      </c>
      <c r="Q28" s="2"/>
      <c r="R28" s="19"/>
      <c r="S28" s="2"/>
      <c r="T28" s="2"/>
      <c r="U28" s="2"/>
      <c r="V28" s="19"/>
      <c r="W28" s="2"/>
      <c r="X28" s="2">
        <f t="shared" si="2"/>
        <v>219.96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"4281", " - ", "SALES RETURN TAXABLE-ELECTRONI")</f>
        <v xml:space="preserve">          4281 - SALES RETURN TAXABLE-ELECTRONI</v>
      </c>
      <c r="C29" s="11"/>
      <c r="D29" s="2">
        <f>-445.93</f>
        <v>-445.93</v>
      </c>
      <c r="E29" s="2"/>
      <c r="F29" s="19"/>
      <c r="G29" s="2"/>
      <c r="H29" s="2"/>
      <c r="I29" s="2"/>
      <c r="J29" s="19"/>
      <c r="K29" s="2"/>
      <c r="L29" s="2">
        <f t="shared" si="0"/>
        <v>-445.93</v>
      </c>
      <c r="M29" s="2"/>
      <c r="N29" s="19">
        <f t="shared" si="1"/>
        <v>0</v>
      </c>
      <c r="O29" s="11"/>
      <c r="P29" s="2">
        <f>-5002.08</f>
        <v>-5002.08</v>
      </c>
      <c r="Q29" s="2"/>
      <c r="R29" s="19"/>
      <c r="S29" s="2"/>
      <c r="T29" s="2"/>
      <c r="U29" s="2"/>
      <c r="V29" s="19"/>
      <c r="W29" s="2"/>
      <c r="X29" s="2">
        <f t="shared" si="2"/>
        <v>-5002.08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"4282", " - ", "SALES RETURN TAXABLE-COMPUTER")</f>
        <v xml:space="preserve">          4282 - SALES RETURN TAXABLE-COMPUTER</v>
      </c>
      <c r="C30" s="11"/>
      <c r="D30" s="2">
        <f>-10339.73</f>
        <v>-10339.73</v>
      </c>
      <c r="E30" s="2"/>
      <c r="F30" s="19"/>
      <c r="G30" s="2"/>
      <c r="H30" s="2"/>
      <c r="I30" s="2"/>
      <c r="J30" s="19"/>
      <c r="K30" s="2"/>
      <c r="L30" s="2">
        <f t="shared" si="0"/>
        <v>-10339.73</v>
      </c>
      <c r="M30" s="2"/>
      <c r="N30" s="19">
        <f t="shared" si="1"/>
        <v>0</v>
      </c>
      <c r="O30" s="11"/>
      <c r="P30" s="2">
        <f>-180477.59</f>
        <v>-180477.59</v>
      </c>
      <c r="Q30" s="2"/>
      <c r="R30" s="19"/>
      <c r="S30" s="2"/>
      <c r="T30" s="2"/>
      <c r="U30" s="2"/>
      <c r="V30" s="19"/>
      <c r="W30" s="2"/>
      <c r="X30" s="2">
        <f t="shared" si="2"/>
        <v>-180477.59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"4283", " - ", "SALES RETURN TAXABLE-COMPUTER")</f>
        <v xml:space="preserve">          4283 - SALES RETURN TAXABLE-COMPUTER</v>
      </c>
      <c r="C31" s="11"/>
      <c r="D31" s="2">
        <f>-423.91</f>
        <v>-423.91</v>
      </c>
      <c r="E31" s="2"/>
      <c r="F31" s="19"/>
      <c r="G31" s="2"/>
      <c r="H31" s="2"/>
      <c r="I31" s="2"/>
      <c r="J31" s="19"/>
      <c r="K31" s="2"/>
      <c r="L31" s="2">
        <f t="shared" si="0"/>
        <v>-423.91</v>
      </c>
      <c r="M31" s="2"/>
      <c r="N31" s="19">
        <f t="shared" si="1"/>
        <v>0</v>
      </c>
      <c r="O31" s="11"/>
      <c r="P31" s="2">
        <f>-2956.24</f>
        <v>-2956.24</v>
      </c>
      <c r="Q31" s="2"/>
      <c r="R31" s="19"/>
      <c r="S31" s="2"/>
      <c r="T31" s="2"/>
      <c r="U31" s="2"/>
      <c r="V31" s="19"/>
      <c r="W31" s="2"/>
      <c r="X31" s="2">
        <f t="shared" si="2"/>
        <v>-2956.24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"4284", " - ", "SALES RETURN TAXABLE-SOFTWARE")</f>
        <v xml:space="preserve">          4284 - SALES RETURN TAXABLE-SOFTWARE</v>
      </c>
      <c r="C32" s="11"/>
      <c r="D32" s="2">
        <f t="shared" ref="D32:D33" si="6">0</f>
        <v>0</v>
      </c>
      <c r="E32" s="2"/>
      <c r="F32" s="19"/>
      <c r="G32" s="2"/>
      <c r="H32" s="2"/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-129</f>
        <v>-129</v>
      </c>
      <c r="Q32" s="2"/>
      <c r="R32" s="19"/>
      <c r="S32" s="2"/>
      <c r="T32" s="2"/>
      <c r="U32" s="2"/>
      <c r="V32" s="19"/>
      <c r="W32" s="2"/>
      <c r="X32" s="2">
        <f t="shared" si="2"/>
        <v>-129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"4285", " - ", "SALES RETURN TAXABLE-SOFTWARE")</f>
        <v xml:space="preserve">          4285 - SALES RETURN TAXABLE-SOFTWARE</v>
      </c>
      <c r="C33" s="11"/>
      <c r="D33" s="2">
        <f t="shared" si="6"/>
        <v>0</v>
      </c>
      <c r="E33" s="2"/>
      <c r="F33" s="19"/>
      <c r="G33" s="2"/>
      <c r="H33" s="2"/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>-655.98</f>
        <v>-655.98</v>
      </c>
      <c r="Q33" s="2"/>
      <c r="R33" s="19"/>
      <c r="S33" s="2"/>
      <c r="T33" s="2"/>
      <c r="U33" s="2"/>
      <c r="V33" s="19"/>
      <c r="W33" s="2"/>
      <c r="X33" s="2">
        <f t="shared" si="2"/>
        <v>-655.98</v>
      </c>
      <c r="Y33" s="2"/>
      <c r="Z33" s="19">
        <f t="shared" si="3"/>
        <v>0</v>
      </c>
    </row>
    <row r="34" spans="1:26" s="24" customFormat="1" hidden="1" outlineLevel="1" x14ac:dyDescent="0.25">
      <c r="A34" s="44"/>
      <c r="B34" s="11" t="str">
        <f>CONCATENATE("          ", "4286", " - ", "SALES RETURN TAXABLE-COMPUTER")</f>
        <v xml:space="preserve">          4286 - SALES RETURN TAXABLE-COMPUTER</v>
      </c>
      <c r="C34" s="11"/>
      <c r="D34" s="2">
        <f>-340.39</f>
        <v>-340.39</v>
      </c>
      <c r="E34" s="2"/>
      <c r="F34" s="19"/>
      <c r="G34" s="2"/>
      <c r="H34" s="2"/>
      <c r="I34" s="2"/>
      <c r="J34" s="19"/>
      <c r="K34" s="2"/>
      <c r="L34" s="2">
        <f t="shared" si="0"/>
        <v>-340.39</v>
      </c>
      <c r="M34" s="2"/>
      <c r="N34" s="19">
        <f t="shared" si="1"/>
        <v>0</v>
      </c>
      <c r="O34" s="11"/>
      <c r="P34" s="2">
        <f>-2791.99</f>
        <v>-2791.99</v>
      </c>
      <c r="Q34" s="2"/>
      <c r="R34" s="19"/>
      <c r="S34" s="2"/>
      <c r="T34" s="2"/>
      <c r="U34" s="2"/>
      <c r="V34" s="19"/>
      <c r="W34" s="2"/>
      <c r="X34" s="2">
        <f t="shared" si="2"/>
        <v>-2791.99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"4288", " - ", "TAXABLE SALES RETURN-MUSIC")</f>
        <v xml:space="preserve">          4288 - TAXABLE SALES RETURN-MUSIC</v>
      </c>
      <c r="C35" s="11"/>
      <c r="D35" s="2">
        <f t="shared" ref="D35:D38" si="7">0</f>
        <v>0</v>
      </c>
      <c r="E35" s="2"/>
      <c r="F35" s="19"/>
      <c r="G35" s="2"/>
      <c r="H35" s="2"/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-3.99</f>
        <v>-3.99</v>
      </c>
      <c r="Q35" s="2"/>
      <c r="R35" s="19"/>
      <c r="S35" s="2"/>
      <c r="T35" s="2"/>
      <c r="U35" s="2"/>
      <c r="V35" s="19"/>
      <c r="W35" s="2"/>
      <c r="X35" s="2">
        <f t="shared" si="2"/>
        <v>-3.99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"4381", " - ", "SALES RETURN NON TAXABLE-ELECT")</f>
        <v xml:space="preserve">          4381 - SALES RETURN NON TAXABLE-ELECT</v>
      </c>
      <c r="C36" s="11"/>
      <c r="D36" s="2">
        <f t="shared" si="7"/>
        <v>0</v>
      </c>
      <c r="E36" s="2"/>
      <c r="F36" s="19"/>
      <c r="G36" s="2"/>
      <c r="H36" s="2"/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-1279.84</f>
        <v>-1279.8399999999999</v>
      </c>
      <c r="Q36" s="2"/>
      <c r="R36" s="19"/>
      <c r="S36" s="2"/>
      <c r="T36" s="2"/>
      <c r="U36" s="2"/>
      <c r="V36" s="19"/>
      <c r="W36" s="2"/>
      <c r="X36" s="2">
        <f t="shared" si="2"/>
        <v>-1279.8399999999999</v>
      </c>
      <c r="Y36" s="2"/>
      <c r="Z36" s="19">
        <f t="shared" si="3"/>
        <v>0</v>
      </c>
    </row>
    <row r="37" spans="1:26" s="24" customFormat="1" hidden="1" outlineLevel="1" x14ac:dyDescent="0.25">
      <c r="A37" s="44"/>
      <c r="B37" s="11" t="str">
        <f>CONCATENATE("          ", "4383", " - ", "SALES RETURN NON TAXABLE-COMPU")</f>
        <v xml:space="preserve">          4383 - SALES RETURN NON TAXABLE-COMPU</v>
      </c>
      <c r="C37" s="11"/>
      <c r="D37" s="2">
        <f t="shared" si="7"/>
        <v>0</v>
      </c>
      <c r="E37" s="2"/>
      <c r="F37" s="19"/>
      <c r="G37" s="2"/>
      <c r="H37" s="2"/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-49.98</f>
        <v>-49.98</v>
      </c>
      <c r="Q37" s="2"/>
      <c r="R37" s="19"/>
      <c r="S37" s="2"/>
      <c r="T37" s="2"/>
      <c r="U37" s="2"/>
      <c r="V37" s="19"/>
      <c r="W37" s="2"/>
      <c r="X37" s="2">
        <f t="shared" si="2"/>
        <v>-49.98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"4386", " - ", "SALES RETURN NON TAXABLE-COMPU")</f>
        <v xml:space="preserve">          4386 - SALES RETURN NON TAXABLE-COMPU</v>
      </c>
      <c r="C38" s="11"/>
      <c r="D38" s="2">
        <f t="shared" si="7"/>
        <v>0</v>
      </c>
      <c r="E38" s="2"/>
      <c r="F38" s="19"/>
      <c r="G38" s="2"/>
      <c r="H38" s="2"/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-54.97</f>
        <v>-54.97</v>
      </c>
      <c r="Q38" s="2"/>
      <c r="R38" s="19"/>
      <c r="S38" s="2"/>
      <c r="T38" s="2"/>
      <c r="U38" s="2"/>
      <c r="V38" s="19"/>
      <c r="W38" s="2"/>
      <c r="X38" s="2">
        <f t="shared" si="2"/>
        <v>-54.97</v>
      </c>
      <c r="Y38" s="2"/>
      <c r="Z38" s="19">
        <f t="shared" si="3"/>
        <v>0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9" t="s">
        <v>8</v>
      </c>
      <c r="C40" s="10"/>
      <c r="D40" s="4">
        <f>SUM(OSRRefD16x_0)</f>
        <v>136420.06</v>
      </c>
      <c r="E40" s="4"/>
      <c r="F40" s="12">
        <f t="shared" ref="F40:F54" si="8">IF(D$12=0,0,D40/D$12)</f>
        <v>0.85007340151905253</v>
      </c>
      <c r="G40" s="4"/>
      <c r="H40" s="4">
        <f>SUM(OSRRefH16x_0)</f>
        <v>114261</v>
      </c>
      <c r="I40" s="4"/>
      <c r="J40" s="12">
        <f t="shared" ref="J40:J54" si="9">IF(H$12=0,0,H40/H$12)</f>
        <v>0.78096207999562561</v>
      </c>
      <c r="K40" s="4"/>
      <c r="L40" s="4">
        <f t="shared" ref="L40:L54" si="10">+D40-H40</f>
        <v>22159.059999999998</v>
      </c>
      <c r="M40" s="4"/>
      <c r="N40" s="12">
        <f t="shared" ref="N40:N54" si="11">IF(H40=0,0,L40/H40)</f>
        <v>0.193933713165472</v>
      </c>
      <c r="O40" s="10"/>
      <c r="P40" s="4">
        <f>SUM(OSRRefP16x_0)</f>
        <v>1336501.0599999998</v>
      </c>
      <c r="Q40" s="4"/>
      <c r="R40" s="12">
        <f t="shared" ref="R40:R54" si="12">IF(P$12=0,0,P40/P$12)</f>
        <v>0.89166343254069103</v>
      </c>
      <c r="S40" s="4"/>
      <c r="T40" s="4">
        <f>SUM(OSRRefT16x_0)</f>
        <v>1001107.0000000001</v>
      </c>
      <c r="U40" s="4"/>
      <c r="V40" s="12">
        <f t="shared" ref="V40:V54" si="13">IF(T$12=0,0,T40/T$12)</f>
        <v>0.78096292343792917</v>
      </c>
      <c r="W40" s="4"/>
      <c r="X40" s="4">
        <f t="shared" ref="X40:X54" si="14">+P40-T40</f>
        <v>335394.05999999971</v>
      </c>
      <c r="Y40" s="4"/>
      <c r="Z40" s="12">
        <f t="shared" ref="Z40:Z54" si="15">IF(T40=0,0,X40/T40)</f>
        <v>0.335023189329412</v>
      </c>
    </row>
    <row r="41" spans="1:26" s="24" customFormat="1" hidden="1" outlineLevel="1" x14ac:dyDescent="0.25">
      <c r="A41" s="44"/>
      <c r="B41" s="11" t="str">
        <f>CONCATENATE("          ", "5000", " - ", "PURCHASES @ COST")</f>
        <v xml:space="preserve">          5000 - PURCHASES @ COST</v>
      </c>
      <c r="C41" s="11"/>
      <c r="D41" s="2"/>
      <c r="E41" s="2"/>
      <c r="F41" s="19">
        <f t="shared" si="8"/>
        <v>0</v>
      </c>
      <c r="G41" s="2"/>
      <c r="H41" s="2">
        <v>114261</v>
      </c>
      <c r="I41" s="2"/>
      <c r="J41" s="19">
        <f t="shared" si="9"/>
        <v>0.78096207999562561</v>
      </c>
      <c r="K41" s="2"/>
      <c r="L41" s="2">
        <f t="shared" si="10"/>
        <v>-114261</v>
      </c>
      <c r="M41" s="2"/>
      <c r="N41" s="19">
        <f t="shared" si="11"/>
        <v>-1</v>
      </c>
      <c r="O41" s="11"/>
      <c r="P41" s="2"/>
      <c r="Q41" s="2"/>
      <c r="R41" s="19">
        <f t="shared" si="12"/>
        <v>0</v>
      </c>
      <c r="S41" s="2"/>
      <c r="T41" s="2">
        <v>1001107.0000000001</v>
      </c>
      <c r="U41" s="2"/>
      <c r="V41" s="19">
        <f t="shared" si="13"/>
        <v>0.78096292343792917</v>
      </c>
      <c r="W41" s="2"/>
      <c r="X41" s="2">
        <f t="shared" si="14"/>
        <v>-1001107.0000000001</v>
      </c>
      <c r="Y41" s="2"/>
      <c r="Z41" s="19">
        <f t="shared" si="15"/>
        <v>-1</v>
      </c>
    </row>
    <row r="42" spans="1:26" s="24" customFormat="1" hidden="1" outlineLevel="1" x14ac:dyDescent="0.25">
      <c r="A42" s="44"/>
      <c r="B42" s="11" t="str">
        <f>CONCATENATE("          ", "5081", " - ", "PURCHASES @ COST-ELECTRONICS")</f>
        <v xml:space="preserve">          5081 - PURCHASES @ COST-ELECTRONICS</v>
      </c>
      <c r="C42" s="11"/>
      <c r="D42" s="2">
        <v>16634.11</v>
      </c>
      <c r="E42" s="2"/>
      <c r="F42" s="19">
        <f t="shared" si="8"/>
        <v>0.10365201766471946</v>
      </c>
      <c r="G42" s="2"/>
      <c r="H42" s="2"/>
      <c r="I42" s="2"/>
      <c r="J42" s="19">
        <f t="shared" si="9"/>
        <v>0</v>
      </c>
      <c r="K42" s="2"/>
      <c r="L42" s="2">
        <f t="shared" si="10"/>
        <v>16634.11</v>
      </c>
      <c r="M42" s="2"/>
      <c r="N42" s="19">
        <f t="shared" si="11"/>
        <v>0</v>
      </c>
      <c r="O42" s="11"/>
      <c r="P42" s="2">
        <v>184807.73</v>
      </c>
      <c r="Q42" s="2"/>
      <c r="R42" s="19">
        <f t="shared" si="12"/>
        <v>0.12329679326393746</v>
      </c>
      <c r="S42" s="2"/>
      <c r="T42" s="2"/>
      <c r="U42" s="2"/>
      <c r="V42" s="19">
        <f t="shared" si="13"/>
        <v>0</v>
      </c>
      <c r="W42" s="2"/>
      <c r="X42" s="2">
        <f t="shared" si="14"/>
        <v>184807.73</v>
      </c>
      <c r="Y42" s="2"/>
      <c r="Z42" s="19">
        <f t="shared" si="15"/>
        <v>0</v>
      </c>
    </row>
    <row r="43" spans="1:26" s="24" customFormat="1" hidden="1" outlineLevel="1" x14ac:dyDescent="0.25">
      <c r="A43" s="44"/>
      <c r="B43" s="11" t="str">
        <f>CONCATENATE("          ", "5082", " - ", "PURCHASES @ COST-COMPUTER HARD")</f>
        <v xml:space="preserve">          5082 - PURCHASES @ COST-COMPUTER HARD</v>
      </c>
      <c r="C43" s="11"/>
      <c r="D43" s="2">
        <v>62712.56</v>
      </c>
      <c r="E43" s="2"/>
      <c r="F43" s="19">
        <f t="shared" si="8"/>
        <v>0.39078035295665225</v>
      </c>
      <c r="G43" s="2"/>
      <c r="H43" s="2"/>
      <c r="I43" s="2"/>
      <c r="J43" s="19">
        <f t="shared" si="9"/>
        <v>0</v>
      </c>
      <c r="K43" s="2"/>
      <c r="L43" s="2">
        <f t="shared" si="10"/>
        <v>62712.56</v>
      </c>
      <c r="M43" s="2"/>
      <c r="N43" s="19">
        <f t="shared" si="11"/>
        <v>0</v>
      </c>
      <c r="O43" s="11"/>
      <c r="P43" s="2">
        <v>958350.26</v>
      </c>
      <c r="Q43" s="2"/>
      <c r="R43" s="19">
        <f t="shared" si="12"/>
        <v>0.63937538695843898</v>
      </c>
      <c r="S43" s="2"/>
      <c r="T43" s="2"/>
      <c r="U43" s="2"/>
      <c r="V43" s="19">
        <f t="shared" si="13"/>
        <v>0</v>
      </c>
      <c r="W43" s="2"/>
      <c r="X43" s="2">
        <f t="shared" si="14"/>
        <v>958350.26</v>
      </c>
      <c r="Y43" s="2"/>
      <c r="Z43" s="19">
        <f t="shared" si="15"/>
        <v>0</v>
      </c>
    </row>
    <row r="44" spans="1:26" s="24" customFormat="1" hidden="1" outlineLevel="1" x14ac:dyDescent="0.25">
      <c r="A44" s="44"/>
      <c r="B44" s="11" t="str">
        <f>CONCATENATE("          ", "5083", " - ", "PURCHASES @ COST-COMPUTER EQUI")</f>
        <v xml:space="preserve">          5083 - PURCHASES @ COST-COMPUTER EQUI</v>
      </c>
      <c r="C44" s="11"/>
      <c r="D44" s="2">
        <v>7127.48</v>
      </c>
      <c r="E44" s="2"/>
      <c r="F44" s="19">
        <f t="shared" si="8"/>
        <v>4.4413418142896406E-2</v>
      </c>
      <c r="G44" s="2"/>
      <c r="H44" s="2"/>
      <c r="I44" s="2"/>
      <c r="J44" s="19">
        <f t="shared" si="9"/>
        <v>0</v>
      </c>
      <c r="K44" s="2"/>
      <c r="L44" s="2">
        <f t="shared" si="10"/>
        <v>7127.48</v>
      </c>
      <c r="M44" s="2"/>
      <c r="N44" s="19">
        <f t="shared" si="11"/>
        <v>0</v>
      </c>
      <c r="O44" s="11"/>
      <c r="P44" s="2">
        <v>48936.17</v>
      </c>
      <c r="Q44" s="2"/>
      <c r="R44" s="19">
        <f t="shared" si="12"/>
        <v>3.2648379132295485E-2</v>
      </c>
      <c r="S44" s="2"/>
      <c r="T44" s="2"/>
      <c r="U44" s="2"/>
      <c r="V44" s="19">
        <f t="shared" si="13"/>
        <v>0</v>
      </c>
      <c r="W44" s="2"/>
      <c r="X44" s="2">
        <f t="shared" si="14"/>
        <v>48936.17</v>
      </c>
      <c r="Y44" s="2"/>
      <c r="Z44" s="19">
        <f t="shared" si="15"/>
        <v>0</v>
      </c>
    </row>
    <row r="45" spans="1:26" s="24" customFormat="1" hidden="1" outlineLevel="1" x14ac:dyDescent="0.25">
      <c r="A45" s="44"/>
      <c r="B45" s="11" t="str">
        <f>CONCATENATE("          ", "5084", " - ", "PURCHASES @ COST-SOFTWARE LICE")</f>
        <v xml:space="preserve">          5084 - PURCHASES @ COST-SOFTWARE LICE</v>
      </c>
      <c r="C45" s="11"/>
      <c r="D45" s="2"/>
      <c r="E45" s="2"/>
      <c r="F45" s="19">
        <f t="shared" si="8"/>
        <v>0</v>
      </c>
      <c r="G45" s="2"/>
      <c r="H45" s="2"/>
      <c r="I45" s="2"/>
      <c r="J45" s="19">
        <f t="shared" si="9"/>
        <v>0</v>
      </c>
      <c r="K45" s="2"/>
      <c r="L45" s="2">
        <f t="shared" si="10"/>
        <v>0</v>
      </c>
      <c r="M45" s="2"/>
      <c r="N45" s="19">
        <f t="shared" si="11"/>
        <v>0</v>
      </c>
      <c r="O45" s="11"/>
      <c r="P45" s="2">
        <v>2728</v>
      </c>
      <c r="Q45" s="2"/>
      <c r="R45" s="19">
        <f t="shared" si="12"/>
        <v>1.8200193900115617E-3</v>
      </c>
      <c r="S45" s="2"/>
      <c r="T45" s="2"/>
      <c r="U45" s="2"/>
      <c r="V45" s="19">
        <f t="shared" si="13"/>
        <v>0</v>
      </c>
      <c r="W45" s="2"/>
      <c r="X45" s="2">
        <f t="shared" si="14"/>
        <v>2728</v>
      </c>
      <c r="Y45" s="2"/>
      <c r="Z45" s="19">
        <f t="shared" si="15"/>
        <v>0</v>
      </c>
    </row>
    <row r="46" spans="1:26" s="24" customFormat="1" hidden="1" outlineLevel="1" x14ac:dyDescent="0.25">
      <c r="A46" s="44"/>
      <c r="B46" s="11" t="str">
        <f>CONCATENATE("          ", "5085", " - ", "PURCHASES @ COST-SOFTWARE")</f>
        <v xml:space="preserve">          5085 - PURCHASES @ COST-SOFTWARE</v>
      </c>
      <c r="C46" s="11"/>
      <c r="D46" s="2">
        <v>148.36000000000001</v>
      </c>
      <c r="E46" s="2"/>
      <c r="F46" s="19">
        <f t="shared" si="8"/>
        <v>9.2447466926320551E-4</v>
      </c>
      <c r="G46" s="2"/>
      <c r="H46" s="2"/>
      <c r="I46" s="2"/>
      <c r="J46" s="19">
        <f t="shared" si="9"/>
        <v>0</v>
      </c>
      <c r="K46" s="2"/>
      <c r="L46" s="2">
        <f t="shared" si="10"/>
        <v>148.36000000000001</v>
      </c>
      <c r="M46" s="2"/>
      <c r="N46" s="19">
        <f t="shared" si="11"/>
        <v>0</v>
      </c>
      <c r="O46" s="11"/>
      <c r="P46" s="2">
        <v>7080.4</v>
      </c>
      <c r="Q46" s="2"/>
      <c r="R46" s="19">
        <f t="shared" si="12"/>
        <v>4.723777598620916E-3</v>
      </c>
      <c r="S46" s="2"/>
      <c r="T46" s="2"/>
      <c r="U46" s="2"/>
      <c r="V46" s="19">
        <f t="shared" si="13"/>
        <v>0</v>
      </c>
      <c r="W46" s="2"/>
      <c r="X46" s="2">
        <f t="shared" si="14"/>
        <v>7080.4</v>
      </c>
      <c r="Y46" s="2"/>
      <c r="Z46" s="19">
        <f t="shared" si="15"/>
        <v>0</v>
      </c>
    </row>
    <row r="47" spans="1:26" s="24" customFormat="1" hidden="1" outlineLevel="1" x14ac:dyDescent="0.25">
      <c r="A47" s="44"/>
      <c r="B47" s="11" t="str">
        <f>CONCATENATE("          ", "5086", " - ", "PURCHASES @ COST-COMPUTER SUPP")</f>
        <v xml:space="preserve">          5086 - PURCHASES @ COST-COMPUTER SUPP</v>
      </c>
      <c r="C47" s="11"/>
      <c r="D47" s="2">
        <v>826.55</v>
      </c>
      <c r="E47" s="2"/>
      <c r="F47" s="19">
        <f t="shared" si="8"/>
        <v>5.1504754507920086E-3</v>
      </c>
      <c r="G47" s="2"/>
      <c r="H47" s="2"/>
      <c r="I47" s="2"/>
      <c r="J47" s="19">
        <f t="shared" si="9"/>
        <v>0</v>
      </c>
      <c r="K47" s="2"/>
      <c r="L47" s="2">
        <f t="shared" si="10"/>
        <v>826.55</v>
      </c>
      <c r="M47" s="2"/>
      <c r="N47" s="19">
        <f t="shared" si="11"/>
        <v>0</v>
      </c>
      <c r="O47" s="11"/>
      <c r="P47" s="2">
        <v>19194.649999999998</v>
      </c>
      <c r="Q47" s="2"/>
      <c r="R47" s="19">
        <f t="shared" si="12"/>
        <v>1.280595131396093E-2</v>
      </c>
      <c r="S47" s="2"/>
      <c r="T47" s="2"/>
      <c r="U47" s="2"/>
      <c r="V47" s="19">
        <f t="shared" si="13"/>
        <v>0</v>
      </c>
      <c r="W47" s="2"/>
      <c r="X47" s="2">
        <f t="shared" si="14"/>
        <v>19194.649999999998</v>
      </c>
      <c r="Y47" s="2"/>
      <c r="Z47" s="19">
        <f t="shared" si="15"/>
        <v>0</v>
      </c>
    </row>
    <row r="48" spans="1:26" s="24" customFormat="1" hidden="1" outlineLevel="1" x14ac:dyDescent="0.25">
      <c r="A48" s="44"/>
      <c r="B48" s="11" t="str">
        <f>CONCATENATE("          ", "5088", " - ", "PURCHASES @ COST-MUSIC")</f>
        <v xml:space="preserve">          5088 - PURCHASES @ COST-MUSIC</v>
      </c>
      <c r="C48" s="11"/>
      <c r="D48" s="2"/>
      <c r="E48" s="2"/>
      <c r="F48" s="19">
        <f t="shared" si="8"/>
        <v>0</v>
      </c>
      <c r="G48" s="2"/>
      <c r="H48" s="2"/>
      <c r="I48" s="2"/>
      <c r="J48" s="19">
        <f t="shared" si="9"/>
        <v>0</v>
      </c>
      <c r="K48" s="2"/>
      <c r="L48" s="2">
        <f t="shared" si="10"/>
        <v>0</v>
      </c>
      <c r="M48" s="2"/>
      <c r="N48" s="19">
        <f t="shared" si="11"/>
        <v>0</v>
      </c>
      <c r="O48" s="11"/>
      <c r="P48" s="2">
        <v>88.75</v>
      </c>
      <c r="Q48" s="2"/>
      <c r="R48" s="19">
        <f t="shared" si="12"/>
        <v>5.921067480334534E-5</v>
      </c>
      <c r="S48" s="2"/>
      <c r="T48" s="2"/>
      <c r="U48" s="2"/>
      <c r="V48" s="19">
        <f t="shared" si="13"/>
        <v>0</v>
      </c>
      <c r="W48" s="2"/>
      <c r="X48" s="2">
        <f t="shared" si="14"/>
        <v>88.75</v>
      </c>
      <c r="Y48" s="2"/>
      <c r="Z48" s="19">
        <f t="shared" si="15"/>
        <v>0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>
        <v>-87449</v>
      </c>
      <c r="E49" s="2"/>
      <c r="F49" s="19">
        <f t="shared" si="8"/>
        <v>-0.54492036500672725</v>
      </c>
      <c r="G49" s="2"/>
      <c r="H49" s="2"/>
      <c r="I49" s="2"/>
      <c r="J49" s="19">
        <f t="shared" si="9"/>
        <v>0</v>
      </c>
      <c r="K49" s="2"/>
      <c r="L49" s="2">
        <f t="shared" si="10"/>
        <v>-87449</v>
      </c>
      <c r="M49" s="2"/>
      <c r="N49" s="19">
        <f t="shared" si="11"/>
        <v>0</v>
      </c>
      <c r="O49" s="11"/>
      <c r="P49" s="2">
        <v>-1221498</v>
      </c>
      <c r="Q49" s="2"/>
      <c r="R49" s="19">
        <f t="shared" si="12"/>
        <v>-0.81493769972886454</v>
      </c>
      <c r="S49" s="2"/>
      <c r="T49" s="2"/>
      <c r="U49" s="2"/>
      <c r="V49" s="19">
        <f t="shared" si="13"/>
        <v>0</v>
      </c>
      <c r="W49" s="2"/>
      <c r="X49" s="2">
        <f t="shared" si="14"/>
        <v>-1221498</v>
      </c>
      <c r="Y49" s="2"/>
      <c r="Z49" s="19">
        <f t="shared" si="15"/>
        <v>0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136420</v>
      </c>
      <c r="E50" s="2"/>
      <c r="F50" s="19">
        <f t="shared" si="8"/>
        <v>0.85007302764145654</v>
      </c>
      <c r="G50" s="2"/>
      <c r="H50" s="2"/>
      <c r="I50" s="2"/>
      <c r="J50" s="19">
        <f t="shared" si="9"/>
        <v>0</v>
      </c>
      <c r="K50" s="2"/>
      <c r="L50" s="2">
        <f t="shared" si="10"/>
        <v>136420</v>
      </c>
      <c r="M50" s="2"/>
      <c r="N50" s="19">
        <f t="shared" si="11"/>
        <v>0</v>
      </c>
      <c r="O50" s="11"/>
      <c r="P50" s="2">
        <v>1336499</v>
      </c>
      <c r="Q50" s="2"/>
      <c r="R50" s="19">
        <f t="shared" si="12"/>
        <v>0.89166205818587319</v>
      </c>
      <c r="S50" s="2"/>
      <c r="T50" s="2"/>
      <c r="U50" s="2"/>
      <c r="V50" s="19">
        <f t="shared" si="13"/>
        <v>0</v>
      </c>
      <c r="W50" s="2"/>
      <c r="X50" s="2">
        <f t="shared" si="14"/>
        <v>1336499</v>
      </c>
      <c r="Y50" s="2"/>
      <c r="Z50" s="19">
        <f t="shared" si="15"/>
        <v>0</v>
      </c>
    </row>
    <row r="51" spans="1:26" s="24" customFormat="1" hidden="1" outlineLevel="1" x14ac:dyDescent="0.25">
      <c r="A51" s="44"/>
      <c r="B51" s="11" t="str">
        <f>CONCATENATE("          ", "5581", " - ", "FREIGHT-IN-ELECTRONICS")</f>
        <v xml:space="preserve">          5581 - FREIGHT-IN-ELECTRONICS</v>
      </c>
      <c r="C51" s="11"/>
      <c r="D51" s="2"/>
      <c r="E51" s="2"/>
      <c r="F51" s="19">
        <f t="shared" si="8"/>
        <v>0</v>
      </c>
      <c r="G51" s="2"/>
      <c r="H51" s="2"/>
      <c r="I51" s="2"/>
      <c r="J51" s="19">
        <f t="shared" si="9"/>
        <v>0</v>
      </c>
      <c r="K51" s="2"/>
      <c r="L51" s="2">
        <f t="shared" si="10"/>
        <v>0</v>
      </c>
      <c r="M51" s="2"/>
      <c r="N51" s="19">
        <f t="shared" si="11"/>
        <v>0</v>
      </c>
      <c r="O51" s="11"/>
      <c r="P51" s="2">
        <v>105.75</v>
      </c>
      <c r="Q51" s="2"/>
      <c r="R51" s="19">
        <f t="shared" si="12"/>
        <v>7.0552437864267832E-5</v>
      </c>
      <c r="S51" s="2"/>
      <c r="T51" s="2"/>
      <c r="U51" s="2"/>
      <c r="V51" s="19">
        <f t="shared" si="13"/>
        <v>0</v>
      </c>
      <c r="W51" s="2"/>
      <c r="X51" s="2">
        <f t="shared" si="14"/>
        <v>105.75</v>
      </c>
      <c r="Y51" s="2"/>
      <c r="Z51" s="19">
        <f t="shared" si="15"/>
        <v>0</v>
      </c>
    </row>
    <row r="52" spans="1:26" s="24" customFormat="1" hidden="1" outlineLevel="1" x14ac:dyDescent="0.25">
      <c r="A52" s="44"/>
      <c r="B52" s="11" t="str">
        <f>CONCATENATE("          ", "5582", " - ", "FREIGHT-IN-COMPUTER HARDWARE")</f>
        <v xml:space="preserve">          5582 - FREIGHT-IN-COMPUTER HARDWARE</v>
      </c>
      <c r="C52" s="11"/>
      <c r="D52" s="2"/>
      <c r="E52" s="2"/>
      <c r="F52" s="19">
        <f t="shared" si="8"/>
        <v>0</v>
      </c>
      <c r="G52" s="2"/>
      <c r="H52" s="2"/>
      <c r="I52" s="2"/>
      <c r="J52" s="19">
        <f t="shared" si="9"/>
        <v>0</v>
      </c>
      <c r="K52" s="2"/>
      <c r="L52" s="2">
        <f t="shared" si="10"/>
        <v>0</v>
      </c>
      <c r="M52" s="2"/>
      <c r="N52" s="19">
        <f t="shared" si="11"/>
        <v>0</v>
      </c>
      <c r="O52" s="11"/>
      <c r="P52" s="2">
        <v>4.84</v>
      </c>
      <c r="Q52" s="2"/>
      <c r="R52" s="19">
        <f t="shared" si="12"/>
        <v>3.2290666596979319E-6</v>
      </c>
      <c r="S52" s="2"/>
      <c r="T52" s="2"/>
      <c r="U52" s="2"/>
      <c r="V52" s="19">
        <f t="shared" si="13"/>
        <v>0</v>
      </c>
      <c r="W52" s="2"/>
      <c r="X52" s="2">
        <f t="shared" si="14"/>
        <v>4.84</v>
      </c>
      <c r="Y52" s="2"/>
      <c r="Z52" s="19">
        <f t="shared" si="15"/>
        <v>0</v>
      </c>
    </row>
    <row r="53" spans="1:26" s="24" customFormat="1" hidden="1" outlineLevel="1" x14ac:dyDescent="0.25">
      <c r="A53" s="44"/>
      <c r="B53" s="11" t="str">
        <f>CONCATENATE("          ", "5583", " - ", "FREIGHT-IN-COMPUTER EQUIPMENT")</f>
        <v xml:space="preserve">          5583 - FREIGHT-IN-COMPUTER EQUIPMENT</v>
      </c>
      <c r="C53" s="11"/>
      <c r="D53" s="2"/>
      <c r="E53" s="2"/>
      <c r="F53" s="19">
        <f t="shared" si="8"/>
        <v>0</v>
      </c>
      <c r="G53" s="2"/>
      <c r="H53" s="2"/>
      <c r="I53" s="2"/>
      <c r="J53" s="19">
        <f t="shared" si="9"/>
        <v>0</v>
      </c>
      <c r="K53" s="2"/>
      <c r="L53" s="2">
        <f t="shared" si="10"/>
        <v>0</v>
      </c>
      <c r="M53" s="2"/>
      <c r="N53" s="19">
        <f t="shared" si="11"/>
        <v>0</v>
      </c>
      <c r="O53" s="11"/>
      <c r="P53" s="2">
        <v>41</v>
      </c>
      <c r="Q53" s="2"/>
      <c r="R53" s="19">
        <f t="shared" si="12"/>
        <v>2.735366385281306E-5</v>
      </c>
      <c r="S53" s="2"/>
      <c r="T53" s="2"/>
      <c r="U53" s="2"/>
      <c r="V53" s="19">
        <f t="shared" si="13"/>
        <v>0</v>
      </c>
      <c r="W53" s="2"/>
      <c r="X53" s="2">
        <f t="shared" si="14"/>
        <v>41</v>
      </c>
      <c r="Y53" s="2"/>
      <c r="Z53" s="19">
        <f t="shared" si="15"/>
        <v>0</v>
      </c>
    </row>
    <row r="54" spans="1:26" s="24" customFormat="1" hidden="1" outlineLevel="1" x14ac:dyDescent="0.25">
      <c r="A54" s="44"/>
      <c r="B54" s="11" t="str">
        <f>CONCATENATE("          ", "5586", " - ", "FREIGHT-IN-COMPUTER SUPPLIES")</f>
        <v xml:space="preserve">          5586 - FREIGHT-IN-COMPUTER SUPPLIES</v>
      </c>
      <c r="C54" s="11"/>
      <c r="D54" s="2"/>
      <c r="E54" s="2"/>
      <c r="F54" s="19">
        <f t="shared" si="8"/>
        <v>0</v>
      </c>
      <c r="G54" s="2"/>
      <c r="H54" s="2"/>
      <c r="I54" s="2"/>
      <c r="J54" s="19">
        <f t="shared" si="9"/>
        <v>0</v>
      </c>
      <c r="K54" s="2"/>
      <c r="L54" s="2">
        <f t="shared" si="10"/>
        <v>0</v>
      </c>
      <c r="M54" s="2"/>
      <c r="N54" s="19">
        <f t="shared" si="11"/>
        <v>0</v>
      </c>
      <c r="O54" s="11"/>
      <c r="P54" s="2">
        <v>162.51</v>
      </c>
      <c r="Q54" s="2"/>
      <c r="R54" s="19">
        <f t="shared" si="12"/>
        <v>1.0842058323708902E-4</v>
      </c>
      <c r="S54" s="2"/>
      <c r="T54" s="2"/>
      <c r="U54" s="2"/>
      <c r="V54" s="19">
        <f t="shared" si="13"/>
        <v>0</v>
      </c>
      <c r="W54" s="2"/>
      <c r="X54" s="2">
        <f t="shared" si="14"/>
        <v>162.51</v>
      </c>
      <c r="Y54" s="2"/>
      <c r="Z54" s="19">
        <f t="shared" si="15"/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8" t="s">
        <v>6</v>
      </c>
      <c r="C56" s="28"/>
      <c r="D56" s="20">
        <f>D12-D40</f>
        <v>24060.269999999931</v>
      </c>
      <c r="E56" s="14"/>
      <c r="F56" s="22">
        <f>IF(D$12=0,0,D56/D$12)</f>
        <v>0.14992659848094742</v>
      </c>
      <c r="G56" s="14"/>
      <c r="H56" s="20">
        <f>H12-H40</f>
        <v>32047</v>
      </c>
      <c r="I56" s="14"/>
      <c r="J56" s="22">
        <f>IF(H$12=0,0,H56/H$12)</f>
        <v>0.21903792000437433</v>
      </c>
      <c r="K56" s="16"/>
      <c r="L56" s="20">
        <f>+D56-H56</f>
        <v>-7986.7300000000687</v>
      </c>
      <c r="M56" s="16"/>
      <c r="N56" s="22">
        <f>IF(H56=0,0,L56/H56)</f>
        <v>-0.24921927169470057</v>
      </c>
      <c r="O56" s="29"/>
      <c r="P56" s="20">
        <f>P12-P40</f>
        <v>162384.07000000007</v>
      </c>
      <c r="Q56" s="14"/>
      <c r="R56" s="22">
        <f>IF(P$12=0,0,P56/P$12)</f>
        <v>0.10833656745930896</v>
      </c>
      <c r="S56" s="14"/>
      <c r="T56" s="20">
        <f>T12-T40</f>
        <v>280780.99999999988</v>
      </c>
      <c r="U56" s="14"/>
      <c r="V56" s="22">
        <f>IF(T$12=0,0,T56/T$12)</f>
        <v>0.21903707656207086</v>
      </c>
      <c r="W56" s="16"/>
      <c r="X56" s="20">
        <f>+P56-T56</f>
        <v>-118396.92999999982</v>
      </c>
      <c r="Y56" s="16"/>
      <c r="Z56" s="22">
        <f>IF(T56=0,0,X56/T56)</f>
        <v>-0.42167002040736329</v>
      </c>
    </row>
    <row r="57" spans="1:26" x14ac:dyDescent="0.25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9" t="s">
        <v>9</v>
      </c>
      <c r="C58" s="10"/>
      <c r="D58" s="21">
        <f>SUM(OSRRefD22x_0)</f>
        <v>-4593.2599999999984</v>
      </c>
      <c r="E58" s="21"/>
      <c r="F58" s="33">
        <f t="shared" ref="F58:F69" si="16">IF(D$12=0,0,D58/D$12)</f>
        <v>-2.8621950116877255E-2</v>
      </c>
      <c r="G58" s="21"/>
      <c r="H58" s="21">
        <f>SUM(OSRRefH22x_0)</f>
        <v>15164.038912316923</v>
      </c>
      <c r="I58" s="21"/>
      <c r="J58" s="33">
        <f t="shared" ref="J58:J69" si="17">IF(H$12=0,0,H58/H$12)</f>
        <v>0.10364463264016269</v>
      </c>
      <c r="K58" s="4"/>
      <c r="L58" s="21">
        <f t="shared" ref="L58:L69" si="18">+D58-H58</f>
        <v>-19757.298912316921</v>
      </c>
      <c r="M58" s="4"/>
      <c r="N58" s="33">
        <f t="shared" ref="N58:N69" si="19">IF(H58=0,0,L58/H58)</f>
        <v>-1.3029047885302605</v>
      </c>
      <c r="O58" s="10"/>
      <c r="P58" s="21">
        <f>SUM(OSRRefP22x_0)</f>
        <v>115125.59</v>
      </c>
      <c r="Q58" s="21"/>
      <c r="R58" s="33">
        <f t="shared" ref="R58:R69" si="20">IF(P$12=0,0,P58/P$12)</f>
        <v>7.6807480236994546E-2</v>
      </c>
      <c r="S58" s="21"/>
      <c r="T58" s="21">
        <f>SUM(OSRRefT22x_0)</f>
        <v>83775.586394843078</v>
      </c>
      <c r="U58" s="21"/>
      <c r="V58" s="33">
        <f t="shared" ref="V58:V69" si="21">IF(T$12=0,0,T58/T$12)</f>
        <v>6.5353280781817971E-2</v>
      </c>
      <c r="W58" s="4"/>
      <c r="X58" s="21">
        <f t="shared" ref="X58:X69" si="22">+P58-T58</f>
        <v>31350.003605156919</v>
      </c>
      <c r="Y58" s="4"/>
      <c r="Z58" s="33">
        <f t="shared" ref="Z58:Z69" si="23">IF(T58=0,0,X58/T58)</f>
        <v>0.37421407541573126</v>
      </c>
    </row>
    <row r="59" spans="1:26" s="26" customFormat="1" outlineLevel="1" collapsed="1" x14ac:dyDescent="0.25">
      <c r="A59" s="27"/>
      <c r="B59" s="13" t="str">
        <f>CONCATENATE("     ","*Benefits                                         ")</f>
        <v xml:space="preserve">     *Benefits                                         </v>
      </c>
      <c r="C59" s="13"/>
      <c r="D59" s="1">
        <f>SUM(OSRRefD22_0x_0)</f>
        <v>2953.7200000000003</v>
      </c>
      <c r="E59" s="1"/>
      <c r="F59" s="5">
        <f t="shared" si="16"/>
        <v>1.8405495552009404E-2</v>
      </c>
      <c r="G59" s="1"/>
      <c r="H59" s="1">
        <f>SUM(OSRRefH22_0x_0)</f>
        <v>2389.3775215476921</v>
      </c>
      <c r="I59" s="1"/>
      <c r="J59" s="5">
        <f t="shared" si="17"/>
        <v>1.6331147452960139E-2</v>
      </c>
      <c r="K59" s="1"/>
      <c r="L59" s="1">
        <f t="shared" si="18"/>
        <v>564.34247845230811</v>
      </c>
      <c r="M59" s="1"/>
      <c r="N59" s="5">
        <f t="shared" si="19"/>
        <v>0.23618807549790696</v>
      </c>
      <c r="O59" s="13"/>
      <c r="P59" s="1">
        <f>SUM(OSRRefP22_0x_0)</f>
        <v>15230</v>
      </c>
      <c r="Q59" s="1"/>
      <c r="R59" s="5">
        <f t="shared" si="20"/>
        <v>1.0160885377520558E-2</v>
      </c>
      <c r="S59" s="1"/>
      <c r="T59" s="1">
        <f>SUM(OSRRefT22_0x_0)</f>
        <v>13328.278745612306</v>
      </c>
      <c r="U59" s="1"/>
      <c r="V59" s="5">
        <f t="shared" si="21"/>
        <v>1.0397381632102264E-2</v>
      </c>
      <c r="W59" s="1"/>
      <c r="X59" s="1">
        <f t="shared" si="22"/>
        <v>1901.721254387694</v>
      </c>
      <c r="Y59" s="1"/>
      <c r="Z59" s="5">
        <f t="shared" si="23"/>
        <v>0.14268318442947811</v>
      </c>
    </row>
    <row r="60" spans="1:26" s="24" customFormat="1" hidden="1" outlineLevel="2" x14ac:dyDescent="0.25">
      <c r="A60" s="25"/>
      <c r="B60" s="11" t="str">
        <f>CONCATENATE("          ", "6111", " - ", "F.I.C.A.")</f>
        <v xml:space="preserve">          6111 - F.I.C.A.</v>
      </c>
      <c r="C60" s="11"/>
      <c r="D60" s="6">
        <v>566.58000000000004</v>
      </c>
      <c r="E60" s="2"/>
      <c r="F60" s="7">
        <f t="shared" si="16"/>
        <v>3.5305261398702278E-3</v>
      </c>
      <c r="G60" s="2"/>
      <c r="H60" s="6">
        <v>368.84942751692296</v>
      </c>
      <c r="I60" s="2"/>
      <c r="J60" s="7">
        <f t="shared" si="17"/>
        <v>2.5210475675760927E-3</v>
      </c>
      <c r="K60" s="2"/>
      <c r="L60" s="6">
        <f t="shared" si="18"/>
        <v>197.73057248307708</v>
      </c>
      <c r="M60" s="2"/>
      <c r="N60" s="7">
        <f t="shared" si="19"/>
        <v>0.53607395791336865</v>
      </c>
      <c r="O60" s="11"/>
      <c r="P60" s="6">
        <v>3701.74</v>
      </c>
      <c r="Q60" s="2"/>
      <c r="R60" s="7">
        <f t="shared" si="20"/>
        <v>2.4696622348905416E-3</v>
      </c>
      <c r="S60" s="2"/>
      <c r="T60" s="6">
        <v>2743.5898564430772</v>
      </c>
      <c r="U60" s="2"/>
      <c r="V60" s="7">
        <f t="shared" si="21"/>
        <v>2.1402726731532531E-3</v>
      </c>
      <c r="W60" s="2"/>
      <c r="X60" s="6">
        <f t="shared" si="22"/>
        <v>958.15014355692256</v>
      </c>
      <c r="Y60" s="2"/>
      <c r="Z60" s="7">
        <f t="shared" si="23"/>
        <v>0.34923228095000863</v>
      </c>
    </row>
    <row r="61" spans="1:26" s="24" customFormat="1" hidden="1" outlineLevel="2" x14ac:dyDescent="0.25">
      <c r="A61" s="25"/>
      <c r="B61" s="11" t="str">
        <f>CONCATENATE("          ", "6112", " - ", "COMPENSATION INSURANCE")</f>
        <v xml:space="preserve">          6112 - COMPENSATION INSURANCE</v>
      </c>
      <c r="C61" s="11"/>
      <c r="D61" s="6">
        <v>194.36</v>
      </c>
      <c r="E61" s="2"/>
      <c r="F61" s="7">
        <f t="shared" si="16"/>
        <v>1.2111141595982516E-3</v>
      </c>
      <c r="G61" s="2"/>
      <c r="H61" s="6">
        <v>176.76025046153799</v>
      </c>
      <c r="I61" s="2"/>
      <c r="J61" s="7">
        <f t="shared" si="17"/>
        <v>1.2081379723701915E-3</v>
      </c>
      <c r="K61" s="2"/>
      <c r="L61" s="6">
        <f t="shared" si="18"/>
        <v>17.599749538462021</v>
      </c>
      <c r="M61" s="2"/>
      <c r="N61" s="7">
        <f t="shared" si="19"/>
        <v>9.9568480427626602E-2</v>
      </c>
      <c r="O61" s="11"/>
      <c r="P61" s="6">
        <v>705.92</v>
      </c>
      <c r="Q61" s="2"/>
      <c r="R61" s="7">
        <f t="shared" si="20"/>
        <v>4.709633752921413E-4</v>
      </c>
      <c r="S61" s="2"/>
      <c r="T61" s="6">
        <v>1011.3056075384599</v>
      </c>
      <c r="U61" s="2"/>
      <c r="V61" s="7">
        <f t="shared" si="21"/>
        <v>7.8891885058480918E-4</v>
      </c>
      <c r="W61" s="2"/>
      <c r="X61" s="6">
        <f t="shared" si="22"/>
        <v>-305.38560753845991</v>
      </c>
      <c r="Y61" s="2"/>
      <c r="Z61" s="7">
        <f t="shared" si="23"/>
        <v>-0.30197163474824906</v>
      </c>
    </row>
    <row r="62" spans="1:26" s="24" customFormat="1" hidden="1" outlineLevel="2" x14ac:dyDescent="0.25">
      <c r="A62" s="25"/>
      <c r="B62" s="11" t="str">
        <f>CONCATENATE("          ", "6113", " - ", "GROUP INSURANCE")</f>
        <v xml:space="preserve">          6113 - GROUP INSURANCE</v>
      </c>
      <c r="C62" s="11"/>
      <c r="D62" s="6">
        <v>1287.6500000000001</v>
      </c>
      <c r="E62" s="2"/>
      <c r="F62" s="7">
        <f t="shared" si="16"/>
        <v>8.0237247767374394E-3</v>
      </c>
      <c r="G62" s="2"/>
      <c r="H62" s="6">
        <v>1186.2</v>
      </c>
      <c r="I62" s="2"/>
      <c r="J62" s="7">
        <f t="shared" si="17"/>
        <v>8.1075539273313835E-3</v>
      </c>
      <c r="K62" s="2"/>
      <c r="L62" s="6">
        <f t="shared" si="18"/>
        <v>101.45000000000005</v>
      </c>
      <c r="M62" s="2"/>
      <c r="N62" s="7">
        <f t="shared" si="19"/>
        <v>8.5525206541898532E-2</v>
      </c>
      <c r="O62" s="11"/>
      <c r="P62" s="6">
        <v>5147.17</v>
      </c>
      <c r="Q62" s="2"/>
      <c r="R62" s="7">
        <f t="shared" si="20"/>
        <v>3.4339989749581413E-3</v>
      </c>
      <c r="S62" s="2"/>
      <c r="T62" s="6">
        <v>5931</v>
      </c>
      <c r="U62" s="2"/>
      <c r="V62" s="7">
        <f t="shared" si="21"/>
        <v>4.6267692653336329E-3</v>
      </c>
      <c r="W62" s="2"/>
      <c r="X62" s="6">
        <f t="shared" si="22"/>
        <v>-783.82999999999993</v>
      </c>
      <c r="Y62" s="2"/>
      <c r="Z62" s="7">
        <f t="shared" si="23"/>
        <v>-0.13215815208227955</v>
      </c>
    </row>
    <row r="63" spans="1:26" s="24" customFormat="1" hidden="1" outlineLevel="2" x14ac:dyDescent="0.25">
      <c r="A63" s="25"/>
      <c r="B63" s="11" t="str">
        <f>CONCATENATE("          ", "6114", " - ", "STATE UNEMPLOYMENT INSURANCE")</f>
        <v xml:space="preserve">          6114 - STATE UNEMPLOYMENT INSURANCE</v>
      </c>
      <c r="C63" s="11"/>
      <c r="D63" s="6">
        <v>28.65</v>
      </c>
      <c r="E63" s="2"/>
      <c r="F63" s="7">
        <f t="shared" si="16"/>
        <v>1.7852655213258854E-4</v>
      </c>
      <c r="G63" s="2"/>
      <c r="H63" s="6">
        <v>24.1882448</v>
      </c>
      <c r="I63" s="2"/>
      <c r="J63" s="7">
        <f t="shared" si="17"/>
        <v>1.6532414358750035E-4</v>
      </c>
      <c r="K63" s="2"/>
      <c r="L63" s="6">
        <f t="shared" si="18"/>
        <v>4.4617551999999989</v>
      </c>
      <c r="M63" s="2"/>
      <c r="N63" s="7">
        <f t="shared" si="19"/>
        <v>0.18445965124348332</v>
      </c>
      <c r="O63" s="11"/>
      <c r="P63" s="6">
        <v>125.05</v>
      </c>
      <c r="Q63" s="2"/>
      <c r="R63" s="7">
        <f t="shared" si="20"/>
        <v>8.3428674751079827E-5</v>
      </c>
      <c r="S63" s="2"/>
      <c r="T63" s="6">
        <v>138.38918839999999</v>
      </c>
      <c r="U63" s="2"/>
      <c r="V63" s="7">
        <f t="shared" si="21"/>
        <v>1.0795731639581617E-4</v>
      </c>
      <c r="W63" s="2"/>
      <c r="X63" s="6">
        <f t="shared" si="22"/>
        <v>-13.339188399999998</v>
      </c>
      <c r="Y63" s="2"/>
      <c r="Z63" s="7">
        <f t="shared" si="23"/>
        <v>-9.6388948834965474E-2</v>
      </c>
    </row>
    <row r="64" spans="1:26" s="24" customFormat="1" hidden="1" outlineLevel="2" x14ac:dyDescent="0.25">
      <c r="A64" s="25"/>
      <c r="B64" s="11" t="str">
        <f>CONCATENATE("          ", "6115", " - ", "P.E.R.S.")</f>
        <v xml:space="preserve">          6115 - P.E.R.S.</v>
      </c>
      <c r="C64" s="11"/>
      <c r="D64" s="6">
        <v>263.31</v>
      </c>
      <c r="E64" s="2"/>
      <c r="F64" s="7">
        <f t="shared" si="16"/>
        <v>1.6407618304374132E-3</v>
      </c>
      <c r="G64" s="2"/>
      <c r="H64" s="6">
        <v>294.022912615385</v>
      </c>
      <c r="I64" s="2"/>
      <c r="J64" s="7">
        <f t="shared" si="17"/>
        <v>2.0096161017537318E-3</v>
      </c>
      <c r="K64" s="2"/>
      <c r="L64" s="6">
        <f t="shared" si="18"/>
        <v>-30.712912615384994</v>
      </c>
      <c r="M64" s="2"/>
      <c r="N64" s="7">
        <f t="shared" si="19"/>
        <v>-0.10445754836651433</v>
      </c>
      <c r="O64" s="11"/>
      <c r="P64" s="6">
        <v>1022.61</v>
      </c>
      <c r="Q64" s="2"/>
      <c r="R64" s="7">
        <f t="shared" si="20"/>
        <v>6.8224707786646737E-4</v>
      </c>
      <c r="S64" s="2"/>
      <c r="T64" s="6">
        <v>1617.1260193846169</v>
      </c>
      <c r="U64" s="2"/>
      <c r="V64" s="7">
        <f t="shared" si="21"/>
        <v>1.2615189621750238E-3</v>
      </c>
      <c r="W64" s="2"/>
      <c r="X64" s="6">
        <f t="shared" si="22"/>
        <v>-594.51601938461692</v>
      </c>
      <c r="Y64" s="2"/>
      <c r="Z64" s="7">
        <f t="shared" si="23"/>
        <v>-0.36763740874743622</v>
      </c>
    </row>
    <row r="65" spans="1:26" s="24" customFormat="1" hidden="1" outlineLevel="2" x14ac:dyDescent="0.25">
      <c r="A65" s="25"/>
      <c r="B65" s="11" t="str">
        <f>CONCATENATE("          ", "6116", " - ", "EDUCATIONAL BENEFITS")</f>
        <v xml:space="preserve">          6116 - EDUCATIONAL BENEFITS</v>
      </c>
      <c r="C65" s="11"/>
      <c r="D65" s="6"/>
      <c r="E65" s="2"/>
      <c r="F65" s="7">
        <f t="shared" si="16"/>
        <v>0</v>
      </c>
      <c r="G65" s="2"/>
      <c r="H65" s="6">
        <v>0</v>
      </c>
      <c r="I65" s="2"/>
      <c r="J65" s="7">
        <f t="shared" si="17"/>
        <v>0</v>
      </c>
      <c r="K65" s="2"/>
      <c r="L65" s="6">
        <f t="shared" si="18"/>
        <v>0</v>
      </c>
      <c r="M65" s="2"/>
      <c r="N65" s="7">
        <f t="shared" si="19"/>
        <v>0</v>
      </c>
      <c r="O65" s="11"/>
      <c r="P65" s="6"/>
      <c r="Q65" s="2"/>
      <c r="R65" s="7">
        <f t="shared" si="20"/>
        <v>0</v>
      </c>
      <c r="S65" s="2"/>
      <c r="T65" s="6">
        <v>0</v>
      </c>
      <c r="U65" s="2"/>
      <c r="V65" s="7">
        <f t="shared" si="21"/>
        <v>0</v>
      </c>
      <c r="W65" s="2"/>
      <c r="X65" s="6">
        <f t="shared" si="22"/>
        <v>0</v>
      </c>
      <c r="Y65" s="2"/>
      <c r="Z65" s="7">
        <f t="shared" si="23"/>
        <v>0</v>
      </c>
    </row>
    <row r="66" spans="1:26" s="24" customFormat="1" hidden="1" outlineLevel="2" x14ac:dyDescent="0.25">
      <c r="A66" s="25"/>
      <c r="B66" s="11" t="str">
        <f>CONCATENATE("          ", "6117", " - ", "RETIREMENT STAFF HOURLY")</f>
        <v xml:space="preserve">          6117 - RETIREMENT STAFF HOURLY</v>
      </c>
      <c r="C66" s="11"/>
      <c r="D66" s="6">
        <v>173.93</v>
      </c>
      <c r="E66" s="2"/>
      <c r="F66" s="7">
        <f t="shared" si="16"/>
        <v>1.0838088381298822E-3</v>
      </c>
      <c r="G66" s="2"/>
      <c r="H66" s="6"/>
      <c r="I66" s="2"/>
      <c r="J66" s="7">
        <f t="shared" si="17"/>
        <v>0</v>
      </c>
      <c r="K66" s="2"/>
      <c r="L66" s="6">
        <f t="shared" si="18"/>
        <v>173.93</v>
      </c>
      <c r="M66" s="2"/>
      <c r="N66" s="7">
        <f t="shared" si="19"/>
        <v>0</v>
      </c>
      <c r="O66" s="11"/>
      <c r="P66" s="6">
        <v>872.68</v>
      </c>
      <c r="Q66" s="2"/>
      <c r="R66" s="7">
        <f t="shared" si="20"/>
        <v>5.8221939929446092E-4</v>
      </c>
      <c r="S66" s="2"/>
      <c r="T66" s="6"/>
      <c r="U66" s="2"/>
      <c r="V66" s="7">
        <f t="shared" si="21"/>
        <v>0</v>
      </c>
      <c r="W66" s="2"/>
      <c r="X66" s="6">
        <f t="shared" si="22"/>
        <v>872.68</v>
      </c>
      <c r="Y66" s="2"/>
      <c r="Z66" s="7">
        <f t="shared" si="23"/>
        <v>0</v>
      </c>
    </row>
    <row r="67" spans="1:26" s="24" customFormat="1" hidden="1" outlineLevel="2" x14ac:dyDescent="0.25">
      <c r="A67" s="25"/>
      <c r="B67" s="11" t="str">
        <f>CONCATENATE("          ", "6118", " - ", "VACATION")</f>
        <v xml:space="preserve">          6118 - VACATION</v>
      </c>
      <c r="C67" s="11"/>
      <c r="D67" s="6">
        <v>114.56</v>
      </c>
      <c r="E67" s="2"/>
      <c r="F67" s="7">
        <f t="shared" si="16"/>
        <v>7.1385695679962804E-4</v>
      </c>
      <c r="G67" s="2"/>
      <c r="H67" s="6">
        <v>170.943553846154</v>
      </c>
      <c r="I67" s="2"/>
      <c r="J67" s="7">
        <f t="shared" si="17"/>
        <v>1.1683814545079831E-3</v>
      </c>
      <c r="K67" s="2"/>
      <c r="L67" s="6">
        <f t="shared" si="18"/>
        <v>-56.383553846154001</v>
      </c>
      <c r="M67" s="2"/>
      <c r="N67" s="7">
        <f t="shared" si="19"/>
        <v>-0.32983726252057533</v>
      </c>
      <c r="O67" s="11"/>
      <c r="P67" s="6">
        <v>1405.57</v>
      </c>
      <c r="Q67" s="2"/>
      <c r="R67" s="7">
        <f t="shared" si="20"/>
        <v>9.3774364150240122E-4</v>
      </c>
      <c r="S67" s="2"/>
      <c r="T67" s="6">
        <v>940.18954615384598</v>
      </c>
      <c r="U67" s="2"/>
      <c r="V67" s="7">
        <f t="shared" si="21"/>
        <v>7.3344125707850143E-4</v>
      </c>
      <c r="W67" s="2"/>
      <c r="X67" s="6">
        <f t="shared" si="22"/>
        <v>465.38045384615396</v>
      </c>
      <c r="Y67" s="2"/>
      <c r="Z67" s="7">
        <f t="shared" si="23"/>
        <v>0.49498577786781983</v>
      </c>
    </row>
    <row r="68" spans="1:26" s="24" customFormat="1" hidden="1" outlineLevel="2" x14ac:dyDescent="0.25">
      <c r="A68" s="25"/>
      <c r="B68" s="11" t="str">
        <f>CONCATENATE("          ", "6119", " - ", "SICK LEAVE")</f>
        <v xml:space="preserve">          6119 - SICK LEAVE</v>
      </c>
      <c r="C68" s="11"/>
      <c r="D68" s="6">
        <v>173.86</v>
      </c>
      <c r="E68" s="2"/>
      <c r="F68" s="7">
        <f t="shared" si="16"/>
        <v>1.0833726476011116E-3</v>
      </c>
      <c r="G68" s="2"/>
      <c r="H68" s="6">
        <v>168.413132307692</v>
      </c>
      <c r="I68" s="2"/>
      <c r="J68" s="7">
        <f t="shared" si="17"/>
        <v>1.1510862858332559E-3</v>
      </c>
      <c r="K68" s="2"/>
      <c r="L68" s="6">
        <f t="shared" si="18"/>
        <v>5.4468676923080181</v>
      </c>
      <c r="M68" s="2"/>
      <c r="N68" s="7">
        <f t="shared" si="19"/>
        <v>3.2342297881833536E-2</v>
      </c>
      <c r="O68" s="11"/>
      <c r="P68" s="6">
        <v>1454.26</v>
      </c>
      <c r="Q68" s="2"/>
      <c r="R68" s="7">
        <f t="shared" si="20"/>
        <v>9.702277852339492E-4</v>
      </c>
      <c r="S68" s="2"/>
      <c r="T68" s="6">
        <v>946.67852769230603</v>
      </c>
      <c r="U68" s="2"/>
      <c r="V68" s="7">
        <f t="shared" si="21"/>
        <v>7.3850330738122675E-4</v>
      </c>
      <c r="W68" s="2"/>
      <c r="X68" s="6">
        <f t="shared" si="22"/>
        <v>507.58147230769396</v>
      </c>
      <c r="Y68" s="2"/>
      <c r="Z68" s="7">
        <f t="shared" si="23"/>
        <v>0.53617089377215754</v>
      </c>
    </row>
    <row r="69" spans="1:26" s="24" customFormat="1" hidden="1" outlineLevel="2" x14ac:dyDescent="0.25">
      <c r="A69" s="25"/>
      <c r="B69" s="11" t="str">
        <f>CONCATENATE("          ", "6156", " - ", "EMPLOYEE MEALS")</f>
        <v xml:space="preserve">          6156 - EMPLOYEE MEALS</v>
      </c>
      <c r="C69" s="11"/>
      <c r="D69" s="6">
        <v>150.82</v>
      </c>
      <c r="E69" s="2"/>
      <c r="F69" s="7">
        <f t="shared" si="16"/>
        <v>9.3980365070286227E-4</v>
      </c>
      <c r="G69" s="2"/>
      <c r="H69" s="6"/>
      <c r="I69" s="2"/>
      <c r="J69" s="7">
        <f t="shared" si="17"/>
        <v>0</v>
      </c>
      <c r="K69" s="2"/>
      <c r="L69" s="6">
        <f t="shared" si="18"/>
        <v>150.82</v>
      </c>
      <c r="M69" s="2"/>
      <c r="N69" s="7">
        <f t="shared" si="19"/>
        <v>0</v>
      </c>
      <c r="O69" s="11"/>
      <c r="P69" s="6">
        <v>795</v>
      </c>
      <c r="Q69" s="2"/>
      <c r="R69" s="7">
        <f t="shared" si="20"/>
        <v>5.3039421373137516E-4</v>
      </c>
      <c r="S69" s="2"/>
      <c r="T69" s="6"/>
      <c r="U69" s="2"/>
      <c r="V69" s="7">
        <f t="shared" si="21"/>
        <v>0</v>
      </c>
      <c r="W69" s="2"/>
      <c r="X69" s="6">
        <f t="shared" si="22"/>
        <v>795</v>
      </c>
      <c r="Y69" s="2"/>
      <c r="Z69" s="7">
        <f t="shared" si="23"/>
        <v>0</v>
      </c>
    </row>
    <row r="70" spans="1:26" s="26" customFormat="1" outlineLevel="1" collapsed="1" x14ac:dyDescent="0.25">
      <c r="A70" s="27"/>
      <c r="B70" s="13" t="str">
        <f>CONCATENATE("     ","*Payroll                                          ")</f>
        <v xml:space="preserve">     *Payroll                                          </v>
      </c>
      <c r="C70" s="13"/>
      <c r="D70" s="1">
        <f>SUM(OSRRefD22_1x_0)</f>
        <v>9624.76</v>
      </c>
      <c r="E70" s="1"/>
      <c r="F70" s="5">
        <f t="shared" ref="F70:F80" si="24">IF(D$12=0,0,D70/D$12)</f>
        <v>5.997470219558998E-2</v>
      </c>
      <c r="G70" s="1"/>
      <c r="H70" s="1">
        <f>SUM(OSRRefH22_1x_0)</f>
        <v>9029.6613907692299</v>
      </c>
      <c r="I70" s="1"/>
      <c r="J70" s="5">
        <f t="shared" ref="J70:J80" si="25">IF(H$12=0,0,H70/H$12)</f>
        <v>6.171679874490274E-2</v>
      </c>
      <c r="K70" s="1"/>
      <c r="L70" s="1">
        <f t="shared" ref="L70:L80" si="26">+D70-H70</f>
        <v>595.09860923077031</v>
      </c>
      <c r="M70" s="1"/>
      <c r="N70" s="5">
        <f t="shared" ref="N70:N80" si="27">IF(H70=0,0,L70/H70)</f>
        <v>6.590486436613481E-2</v>
      </c>
      <c r="O70" s="13"/>
      <c r="P70" s="1">
        <f>SUM(OSRRefP22_1x_0)</f>
        <v>48719.140000000007</v>
      </c>
      <c r="Q70" s="1"/>
      <c r="R70" s="5">
        <f t="shared" ref="R70:R80" si="28">IF(P$12=0,0,P70/P$12)</f>
        <v>3.250358484775949E-2</v>
      </c>
      <c r="S70" s="1"/>
      <c r="T70" s="1">
        <f>SUM(OSRRefT22_1x_0)</f>
        <v>51722.307649230774</v>
      </c>
      <c r="U70" s="1"/>
      <c r="V70" s="5">
        <f t="shared" ref="V70:V80" si="29">IF(T$12=0,0,T70/T$12)</f>
        <v>4.0348538756296008E-2</v>
      </c>
      <c r="W70" s="1"/>
      <c r="X70" s="1">
        <f t="shared" ref="X70:X80" si="30">+P70-T70</f>
        <v>-3003.167649230767</v>
      </c>
      <c r="Y70" s="1"/>
      <c r="Z70" s="5">
        <f t="shared" ref="Z70:Z80" si="31">IF(T70=0,0,X70/T70)</f>
        <v>-5.8063295814208139E-2</v>
      </c>
    </row>
    <row r="71" spans="1:26" s="24" customFormat="1" hidden="1" outlineLevel="2" x14ac:dyDescent="0.25">
      <c r="A71" s="25"/>
      <c r="B71" s="11" t="str">
        <f>CONCATENATE("          ", "6001", " - ", "ADMINISTRATIVE SALARIES")</f>
        <v xml:space="preserve">          6001 - ADMINISTRATIVE SALARIES</v>
      </c>
      <c r="C71" s="11"/>
      <c r="D71" s="6"/>
      <c r="E71" s="2"/>
      <c r="F71" s="7">
        <f t="shared" si="24"/>
        <v>0</v>
      </c>
      <c r="G71" s="2"/>
      <c r="H71" s="6">
        <v>3145.3613907692297</v>
      </c>
      <c r="I71" s="2"/>
      <c r="J71" s="7">
        <f t="shared" si="25"/>
        <v>2.1498218762946865E-2</v>
      </c>
      <c r="K71" s="2"/>
      <c r="L71" s="6">
        <f t="shared" si="26"/>
        <v>-3145.3613907692297</v>
      </c>
      <c r="M71" s="2"/>
      <c r="N71" s="7">
        <f t="shared" si="27"/>
        <v>-1</v>
      </c>
      <c r="O71" s="11"/>
      <c r="P71" s="6"/>
      <c r="Q71" s="2"/>
      <c r="R71" s="7">
        <f t="shared" si="28"/>
        <v>0</v>
      </c>
      <c r="S71" s="2"/>
      <c r="T71" s="6">
        <v>17299.48764923077</v>
      </c>
      <c r="U71" s="2"/>
      <c r="V71" s="7">
        <f t="shared" si="29"/>
        <v>1.3495319130244429E-2</v>
      </c>
      <c r="W71" s="2"/>
      <c r="X71" s="6">
        <f t="shared" si="30"/>
        <v>-17299.48764923077</v>
      </c>
      <c r="Y71" s="2"/>
      <c r="Z71" s="7">
        <f t="shared" si="31"/>
        <v>-1</v>
      </c>
    </row>
    <row r="72" spans="1:26" s="24" customFormat="1" hidden="1" outlineLevel="2" x14ac:dyDescent="0.25">
      <c r="A72" s="25"/>
      <c r="B72" s="11" t="str">
        <f>CONCATENATE("          ", "6002", " - ", "STAFF SALARIES")</f>
        <v xml:space="preserve">          6002 - STAFF SALARIES</v>
      </c>
      <c r="C72" s="11"/>
      <c r="D72" s="6">
        <v>3193.56</v>
      </c>
      <c r="E72" s="2"/>
      <c r="F72" s="7">
        <f t="shared" si="24"/>
        <v>1.9900008929443262E-2</v>
      </c>
      <c r="G72" s="2"/>
      <c r="H72" s="6">
        <v>0</v>
      </c>
      <c r="I72" s="2"/>
      <c r="J72" s="7">
        <f t="shared" si="25"/>
        <v>0</v>
      </c>
      <c r="K72" s="2"/>
      <c r="L72" s="6">
        <f t="shared" si="26"/>
        <v>3193.56</v>
      </c>
      <c r="M72" s="2"/>
      <c r="N72" s="7">
        <f t="shared" si="27"/>
        <v>0</v>
      </c>
      <c r="O72" s="11"/>
      <c r="P72" s="6">
        <v>15056.58</v>
      </c>
      <c r="Q72" s="2"/>
      <c r="R72" s="7">
        <f t="shared" si="28"/>
        <v>1.0045186051048489E-2</v>
      </c>
      <c r="S72" s="2"/>
      <c r="T72" s="6">
        <v>0</v>
      </c>
      <c r="U72" s="2"/>
      <c r="V72" s="7">
        <f t="shared" si="29"/>
        <v>0</v>
      </c>
      <c r="W72" s="2"/>
      <c r="X72" s="6">
        <f t="shared" si="30"/>
        <v>15056.58</v>
      </c>
      <c r="Y72" s="2"/>
      <c r="Z72" s="7">
        <f t="shared" si="31"/>
        <v>0</v>
      </c>
    </row>
    <row r="73" spans="1:26" s="24" customFormat="1" hidden="1" outlineLevel="2" x14ac:dyDescent="0.25">
      <c r="A73" s="25"/>
      <c r="B73" s="11" t="str">
        <f>CONCATENATE("          ", "6003", " - ", "STAFF HOURLY-9 MONTH")</f>
        <v xml:space="preserve">          6003 - STAFF HOURLY-9 MONTH</v>
      </c>
      <c r="C73" s="11"/>
      <c r="D73" s="6"/>
      <c r="E73" s="2"/>
      <c r="F73" s="7">
        <f t="shared" si="24"/>
        <v>0</v>
      </c>
      <c r="G73" s="2"/>
      <c r="H73" s="6">
        <v>0</v>
      </c>
      <c r="I73" s="2"/>
      <c r="J73" s="7">
        <f t="shared" si="25"/>
        <v>0</v>
      </c>
      <c r="K73" s="2"/>
      <c r="L73" s="6">
        <f t="shared" si="26"/>
        <v>0</v>
      </c>
      <c r="M73" s="2"/>
      <c r="N73" s="7">
        <f t="shared" si="27"/>
        <v>0</v>
      </c>
      <c r="O73" s="11"/>
      <c r="P73" s="6"/>
      <c r="Q73" s="2"/>
      <c r="R73" s="7">
        <f t="shared" si="28"/>
        <v>0</v>
      </c>
      <c r="S73" s="2"/>
      <c r="T73" s="6">
        <v>0</v>
      </c>
      <c r="U73" s="2"/>
      <c r="V73" s="7">
        <f t="shared" si="29"/>
        <v>0</v>
      </c>
      <c r="W73" s="2"/>
      <c r="X73" s="6">
        <f t="shared" si="30"/>
        <v>0</v>
      </c>
      <c r="Y73" s="2"/>
      <c r="Z73" s="7">
        <f t="shared" si="31"/>
        <v>0</v>
      </c>
    </row>
    <row r="74" spans="1:26" s="24" customFormat="1" hidden="1" outlineLevel="2" x14ac:dyDescent="0.25">
      <c r="A74" s="25"/>
      <c r="B74" s="11" t="str">
        <f>CONCATENATE("          ", "6004", " - ", "STAFF HOURLY")</f>
        <v xml:space="preserve">          6004 - STAFF HOURLY</v>
      </c>
      <c r="C74" s="11"/>
      <c r="D74" s="6"/>
      <c r="E74" s="2"/>
      <c r="F74" s="7">
        <f t="shared" si="24"/>
        <v>0</v>
      </c>
      <c r="G74" s="2"/>
      <c r="H74" s="6">
        <v>1400.8</v>
      </c>
      <c r="I74" s="2"/>
      <c r="J74" s="7">
        <f t="shared" si="25"/>
        <v>9.5743226617819935E-3</v>
      </c>
      <c r="K74" s="2"/>
      <c r="L74" s="6">
        <f t="shared" si="26"/>
        <v>-1400.8</v>
      </c>
      <c r="M74" s="2"/>
      <c r="N74" s="7">
        <f t="shared" si="27"/>
        <v>-1</v>
      </c>
      <c r="O74" s="11"/>
      <c r="P74" s="6"/>
      <c r="Q74" s="2"/>
      <c r="R74" s="7">
        <f t="shared" si="28"/>
        <v>0</v>
      </c>
      <c r="S74" s="2"/>
      <c r="T74" s="6">
        <v>7667.32</v>
      </c>
      <c r="U74" s="2"/>
      <c r="V74" s="7">
        <f t="shared" si="29"/>
        <v>5.9812713747222843E-3</v>
      </c>
      <c r="W74" s="2"/>
      <c r="X74" s="6">
        <f t="shared" si="30"/>
        <v>-7667.32</v>
      </c>
      <c r="Y74" s="2"/>
      <c r="Z74" s="7">
        <f t="shared" si="31"/>
        <v>-1</v>
      </c>
    </row>
    <row r="75" spans="1:26" s="24" customFormat="1" hidden="1" outlineLevel="2" x14ac:dyDescent="0.25">
      <c r="A75" s="25"/>
      <c r="B75" s="11" t="str">
        <f>CONCATENATE("          ", "6005", " - ", "TEMPORARY WAGES-HOURLY")</f>
        <v xml:space="preserve">          6005 - TEMPORARY WAGES-HOURLY</v>
      </c>
      <c r="C75" s="11"/>
      <c r="D75" s="6">
        <v>3063.73</v>
      </c>
      <c r="E75" s="2"/>
      <c r="F75" s="7">
        <f t="shared" si="24"/>
        <v>1.9091000124438935E-2</v>
      </c>
      <c r="G75" s="2"/>
      <c r="H75" s="6">
        <v>0</v>
      </c>
      <c r="I75" s="2"/>
      <c r="J75" s="7">
        <f t="shared" si="25"/>
        <v>0</v>
      </c>
      <c r="K75" s="2"/>
      <c r="L75" s="6">
        <f t="shared" si="26"/>
        <v>3063.73</v>
      </c>
      <c r="M75" s="2"/>
      <c r="N75" s="7">
        <f t="shared" si="27"/>
        <v>0</v>
      </c>
      <c r="O75" s="11"/>
      <c r="P75" s="6">
        <v>17202.25</v>
      </c>
      <c r="Q75" s="2"/>
      <c r="R75" s="7">
        <f t="shared" si="28"/>
        <v>1.1476696683220817E-2</v>
      </c>
      <c r="S75" s="2"/>
      <c r="T75" s="6">
        <v>0</v>
      </c>
      <c r="U75" s="2"/>
      <c r="V75" s="7">
        <f t="shared" si="29"/>
        <v>0</v>
      </c>
      <c r="W75" s="2"/>
      <c r="X75" s="6">
        <f t="shared" si="30"/>
        <v>17202.25</v>
      </c>
      <c r="Y75" s="2"/>
      <c r="Z75" s="7">
        <f t="shared" si="31"/>
        <v>0</v>
      </c>
    </row>
    <row r="76" spans="1:26" s="24" customFormat="1" hidden="1" outlineLevel="2" x14ac:dyDescent="0.25">
      <c r="A76" s="25"/>
      <c r="B76" s="11" t="str">
        <f>CONCATENATE("          ", "6006", " - ", "TEMPORARY PART TIME")</f>
        <v xml:space="preserve">          6006 - TEMPORARY PART TIME</v>
      </c>
      <c r="C76" s="11"/>
      <c r="D76" s="6">
        <v>1053</v>
      </c>
      <c r="E76" s="2"/>
      <c r="F76" s="7">
        <f t="shared" si="24"/>
        <v>6.5615518113652958E-3</v>
      </c>
      <c r="G76" s="2"/>
      <c r="H76" s="6">
        <v>0</v>
      </c>
      <c r="I76" s="2"/>
      <c r="J76" s="7">
        <f t="shared" si="25"/>
        <v>0</v>
      </c>
      <c r="K76" s="2"/>
      <c r="L76" s="6">
        <f t="shared" si="26"/>
        <v>1053</v>
      </c>
      <c r="M76" s="2"/>
      <c r="N76" s="7">
        <f t="shared" si="27"/>
        <v>0</v>
      </c>
      <c r="O76" s="11"/>
      <c r="P76" s="6">
        <v>7601.16</v>
      </c>
      <c r="Q76" s="2"/>
      <c r="R76" s="7">
        <f t="shared" si="28"/>
        <v>5.0712091593036225E-3</v>
      </c>
      <c r="S76" s="2"/>
      <c r="T76" s="6">
        <v>0</v>
      </c>
      <c r="U76" s="2"/>
      <c r="V76" s="7">
        <f t="shared" si="29"/>
        <v>0</v>
      </c>
      <c r="W76" s="2"/>
      <c r="X76" s="6">
        <f t="shared" si="30"/>
        <v>7601.16</v>
      </c>
      <c r="Y76" s="2"/>
      <c r="Z76" s="7">
        <f t="shared" si="31"/>
        <v>0</v>
      </c>
    </row>
    <row r="77" spans="1:26" s="24" customFormat="1" hidden="1" outlineLevel="2" x14ac:dyDescent="0.25">
      <c r="A77" s="25"/>
      <c r="B77" s="11" t="str">
        <f>CONCATENATE("          ", "6007", " - ", "STUDENT HOURLY")</f>
        <v xml:space="preserve">          6007 - STUDENT HOURLY</v>
      </c>
      <c r="C77" s="11"/>
      <c r="D77" s="6">
        <v>2314.4699999999998</v>
      </c>
      <c r="E77" s="2"/>
      <c r="F77" s="7">
        <f t="shared" si="24"/>
        <v>1.4422141330342484E-2</v>
      </c>
      <c r="G77" s="2"/>
      <c r="H77" s="6">
        <v>0</v>
      </c>
      <c r="I77" s="2"/>
      <c r="J77" s="7">
        <f t="shared" si="25"/>
        <v>0</v>
      </c>
      <c r="K77" s="2"/>
      <c r="L77" s="6">
        <f t="shared" si="26"/>
        <v>2314.4699999999998</v>
      </c>
      <c r="M77" s="2"/>
      <c r="N77" s="7">
        <f t="shared" si="27"/>
        <v>0</v>
      </c>
      <c r="O77" s="11"/>
      <c r="P77" s="6">
        <v>8859.15</v>
      </c>
      <c r="Q77" s="2"/>
      <c r="R77" s="7">
        <f t="shared" si="28"/>
        <v>5.910492954186556E-3</v>
      </c>
      <c r="S77" s="2"/>
      <c r="T77" s="6">
        <v>9378.75</v>
      </c>
      <c r="U77" s="2"/>
      <c r="V77" s="7">
        <f t="shared" si="29"/>
        <v>7.3163568112034746E-3</v>
      </c>
      <c r="W77" s="2"/>
      <c r="X77" s="6">
        <f t="shared" si="30"/>
        <v>-519.60000000000036</v>
      </c>
      <c r="Y77" s="2"/>
      <c r="Z77" s="7">
        <f t="shared" si="31"/>
        <v>-5.5401839264294324E-2</v>
      </c>
    </row>
    <row r="78" spans="1:26" s="24" customFormat="1" hidden="1" outlineLevel="2" x14ac:dyDescent="0.25">
      <c r="A78" s="25"/>
      <c r="B78" s="11" t="str">
        <f>CONCATENATE("          ", "6008", " - ", "STUDENT HOURLY-FICA EXEMPT")</f>
        <v xml:space="preserve">          6008 - STUDENT HOURLY-FICA EXEMPT</v>
      </c>
      <c r="C78" s="11"/>
      <c r="D78" s="6"/>
      <c r="E78" s="2"/>
      <c r="F78" s="7">
        <f t="shared" si="24"/>
        <v>0</v>
      </c>
      <c r="G78" s="2"/>
      <c r="H78" s="6">
        <v>4483.5</v>
      </c>
      <c r="I78" s="2"/>
      <c r="J78" s="7">
        <f t="shared" si="25"/>
        <v>3.0644257320173878E-2</v>
      </c>
      <c r="K78" s="2"/>
      <c r="L78" s="6">
        <f t="shared" si="26"/>
        <v>-4483.5</v>
      </c>
      <c r="M78" s="2"/>
      <c r="N78" s="7">
        <f t="shared" si="27"/>
        <v>-1</v>
      </c>
      <c r="O78" s="11"/>
      <c r="P78" s="6"/>
      <c r="Q78" s="2"/>
      <c r="R78" s="7">
        <f t="shared" si="28"/>
        <v>0</v>
      </c>
      <c r="S78" s="2"/>
      <c r="T78" s="6">
        <v>17376.75</v>
      </c>
      <c r="U78" s="2"/>
      <c r="V78" s="7">
        <f t="shared" si="29"/>
        <v>1.3555591440125815E-2</v>
      </c>
      <c r="W78" s="2"/>
      <c r="X78" s="6">
        <f t="shared" si="30"/>
        <v>-17376.75</v>
      </c>
      <c r="Y78" s="2"/>
      <c r="Z78" s="7">
        <f t="shared" si="31"/>
        <v>-1</v>
      </c>
    </row>
    <row r="79" spans="1:26" s="24" customFormat="1" hidden="1" outlineLevel="2" x14ac:dyDescent="0.25">
      <c r="A79" s="25"/>
      <c r="B79" s="11" t="str">
        <f>CONCATENATE("          ", "6009", " - ", "TEMPORARY-SEASONAL")</f>
        <v xml:space="preserve">          6009 - TEMPORARY-SEASONAL</v>
      </c>
      <c r="C79" s="11"/>
      <c r="D79" s="6"/>
      <c r="E79" s="2"/>
      <c r="F79" s="7">
        <f t="shared" si="24"/>
        <v>0</v>
      </c>
      <c r="G79" s="2"/>
      <c r="H79" s="6">
        <v>0</v>
      </c>
      <c r="I79" s="2"/>
      <c r="J79" s="7">
        <f t="shared" si="25"/>
        <v>0</v>
      </c>
      <c r="K79" s="2"/>
      <c r="L79" s="6">
        <f t="shared" si="26"/>
        <v>0</v>
      </c>
      <c r="M79" s="2"/>
      <c r="N79" s="7">
        <f t="shared" si="27"/>
        <v>0</v>
      </c>
      <c r="O79" s="11"/>
      <c r="P79" s="6"/>
      <c r="Q79" s="2"/>
      <c r="R79" s="7">
        <f t="shared" si="28"/>
        <v>0</v>
      </c>
      <c r="S79" s="2"/>
      <c r="T79" s="6">
        <v>0</v>
      </c>
      <c r="U79" s="2"/>
      <c r="V79" s="7">
        <f t="shared" si="29"/>
        <v>0</v>
      </c>
      <c r="W79" s="2"/>
      <c r="X79" s="6">
        <f t="shared" si="30"/>
        <v>0</v>
      </c>
      <c r="Y79" s="2"/>
      <c r="Z79" s="7">
        <f t="shared" si="31"/>
        <v>0</v>
      </c>
    </row>
    <row r="80" spans="1:26" s="24" customFormat="1" hidden="1" outlineLevel="2" x14ac:dyDescent="0.25">
      <c r="A80" s="25"/>
      <c r="B80" s="11" t="str">
        <f>CONCATENATE("          ", "6010", " - ", "GRATUITY")</f>
        <v xml:space="preserve">          6010 - GRATUITY</v>
      </c>
      <c r="C80" s="11"/>
      <c r="D80" s="6"/>
      <c r="E80" s="2"/>
      <c r="F80" s="7">
        <f t="shared" si="24"/>
        <v>0</v>
      </c>
      <c r="G80" s="2"/>
      <c r="H80" s="6">
        <v>0</v>
      </c>
      <c r="I80" s="2"/>
      <c r="J80" s="7">
        <f t="shared" si="25"/>
        <v>0</v>
      </c>
      <c r="K80" s="2"/>
      <c r="L80" s="6">
        <f t="shared" si="26"/>
        <v>0</v>
      </c>
      <c r="M80" s="2"/>
      <c r="N80" s="7">
        <f t="shared" si="27"/>
        <v>0</v>
      </c>
      <c r="O80" s="11"/>
      <c r="P80" s="6"/>
      <c r="Q80" s="2"/>
      <c r="R80" s="7">
        <f t="shared" si="28"/>
        <v>0</v>
      </c>
      <c r="S80" s="2"/>
      <c r="T80" s="6">
        <v>0</v>
      </c>
      <c r="U80" s="2"/>
      <c r="V80" s="7">
        <f t="shared" si="29"/>
        <v>0</v>
      </c>
      <c r="W80" s="2"/>
      <c r="X80" s="6">
        <f t="shared" si="30"/>
        <v>0</v>
      </c>
      <c r="Y80" s="2"/>
      <c r="Z80" s="7">
        <f t="shared" si="31"/>
        <v>0</v>
      </c>
    </row>
    <row r="81" spans="1:26" s="26" customFormat="1" outlineLevel="1" collapsed="1" x14ac:dyDescent="0.25">
      <c r="A81" s="27"/>
      <c r="B81" s="13" t="str">
        <f>CONCATENATE("     ","Advertising/Promo                                 ")</f>
        <v xml:space="preserve">     Advertising/Promo                                 </v>
      </c>
      <c r="C81" s="13"/>
      <c r="D81" s="1">
        <f>SUM(OSRRefD22_2x_0)</f>
        <v>208.92</v>
      </c>
      <c r="E81" s="1"/>
      <c r="F81" s="5">
        <f t="shared" ref="F81:F95" si="32">IF(D$12=0,0,D81/D$12)</f>
        <v>1.3018417895825619E-3</v>
      </c>
      <c r="G81" s="1"/>
      <c r="H81" s="1">
        <f>SUM(OSRRefH22_2x_0)</f>
        <v>250</v>
      </c>
      <c r="I81" s="1"/>
      <c r="J81" s="5">
        <f t="shared" ref="J81:J95" si="33">IF(H$12=0,0,H81/H$12)</f>
        <v>1.7087240615687453E-3</v>
      </c>
      <c r="K81" s="1"/>
      <c r="L81" s="1">
        <f t="shared" ref="L81:L95" si="34">+D81-H81</f>
        <v>-41.080000000000013</v>
      </c>
      <c r="M81" s="1"/>
      <c r="N81" s="5">
        <f t="shared" ref="N81:N95" si="35">IF(H81=0,0,L81/H81)</f>
        <v>-0.16432000000000005</v>
      </c>
      <c r="O81" s="13"/>
      <c r="P81" s="1">
        <f>SUM(OSRRefP22_2x_0)</f>
        <v>1428.71</v>
      </c>
      <c r="Q81" s="1"/>
      <c r="R81" s="5">
        <f t="shared" ref="R81:R95" si="36">IF(P$12=0,0,P81/P$12)</f>
        <v>9.5318178251591577E-4</v>
      </c>
      <c r="S81" s="1"/>
      <c r="T81" s="1">
        <f>SUM(OSRRefT22_2x_0)</f>
        <v>1250</v>
      </c>
      <c r="U81" s="1"/>
      <c r="V81" s="5">
        <f t="shared" ref="V81:V95" si="37">IF(T$12=0,0,T81/T$12)</f>
        <v>9.7512419181706978E-4</v>
      </c>
      <c r="W81" s="1"/>
      <c r="X81" s="1">
        <f t="shared" ref="X81:X95" si="38">+P81-T81</f>
        <v>178.71000000000004</v>
      </c>
      <c r="Y81" s="1"/>
      <c r="Z81" s="5">
        <f t="shared" ref="Z81:Z95" si="39">IF(T81=0,0,X81/T81)</f>
        <v>0.14296800000000004</v>
      </c>
    </row>
    <row r="82" spans="1:26" s="24" customFormat="1" hidden="1" outlineLevel="2" x14ac:dyDescent="0.25">
      <c r="A82" s="25"/>
      <c r="B82" s="11" t="str">
        <f>CONCATENATE("          ", "6362", " - ", "ADVERTISING EXPENSE")</f>
        <v xml:space="preserve">          6362 - ADVERTISING EXPENSE</v>
      </c>
      <c r="C82" s="11"/>
      <c r="D82" s="6">
        <v>208.92</v>
      </c>
      <c r="E82" s="2"/>
      <c r="F82" s="7">
        <f t="shared" si="32"/>
        <v>1.3018417895825619E-3</v>
      </c>
      <c r="G82" s="2"/>
      <c r="H82" s="6">
        <v>250</v>
      </c>
      <c r="I82" s="2"/>
      <c r="J82" s="7">
        <f t="shared" si="33"/>
        <v>1.7087240615687453E-3</v>
      </c>
      <c r="K82" s="2"/>
      <c r="L82" s="6">
        <f t="shared" si="34"/>
        <v>-41.080000000000013</v>
      </c>
      <c r="M82" s="2"/>
      <c r="N82" s="7">
        <f t="shared" si="35"/>
        <v>-0.16432000000000005</v>
      </c>
      <c r="O82" s="11"/>
      <c r="P82" s="6">
        <v>1428.71</v>
      </c>
      <c r="Q82" s="2"/>
      <c r="R82" s="7">
        <f t="shared" si="36"/>
        <v>9.5318178251591577E-4</v>
      </c>
      <c r="S82" s="2"/>
      <c r="T82" s="6">
        <v>1250</v>
      </c>
      <c r="U82" s="2"/>
      <c r="V82" s="7">
        <f t="shared" si="37"/>
        <v>9.7512419181706978E-4</v>
      </c>
      <c r="W82" s="2"/>
      <c r="X82" s="6">
        <f t="shared" si="38"/>
        <v>178.71000000000004</v>
      </c>
      <c r="Y82" s="2"/>
      <c r="Z82" s="7">
        <f t="shared" si="39"/>
        <v>0.14296800000000004</v>
      </c>
    </row>
    <row r="83" spans="1:26" s="26" customFormat="1" outlineLevel="1" collapsed="1" x14ac:dyDescent="0.25">
      <c r="A83" s="27"/>
      <c r="B83" s="13" t="str">
        <f>CONCATENATE("     ","Depreciation                                      ")</f>
        <v xml:space="preserve">     Depreciation                                      </v>
      </c>
      <c r="C83" s="13"/>
      <c r="D83" s="1">
        <f>SUM(OSRRefD22_3x_0)</f>
        <v>280.44</v>
      </c>
      <c r="E83" s="1"/>
      <c r="F83" s="5">
        <f t="shared" si="32"/>
        <v>1.7475038841208771E-3</v>
      </c>
      <c r="G83" s="1"/>
      <c r="H83" s="1">
        <f>SUM(OSRRefH22_3x_0)</f>
        <v>0</v>
      </c>
      <c r="I83" s="1"/>
      <c r="J83" s="5">
        <f t="shared" si="33"/>
        <v>0</v>
      </c>
      <c r="K83" s="1"/>
      <c r="L83" s="1">
        <f t="shared" si="34"/>
        <v>280.44</v>
      </c>
      <c r="M83" s="1"/>
      <c r="N83" s="5">
        <f t="shared" si="35"/>
        <v>0</v>
      </c>
      <c r="O83" s="13"/>
      <c r="P83" s="1">
        <f>SUM(OSRRefP22_3x_0)</f>
        <v>1402.2</v>
      </c>
      <c r="Q83" s="1"/>
      <c r="R83" s="5">
        <f t="shared" si="36"/>
        <v>9.3549530376620669E-4</v>
      </c>
      <c r="S83" s="1"/>
      <c r="T83" s="1">
        <f>SUM(OSRRefT22_3x_0)</f>
        <v>0</v>
      </c>
      <c r="U83" s="1"/>
      <c r="V83" s="5">
        <f t="shared" si="37"/>
        <v>0</v>
      </c>
      <c r="W83" s="1"/>
      <c r="X83" s="1">
        <f t="shared" si="38"/>
        <v>1402.2</v>
      </c>
      <c r="Y83" s="1"/>
      <c r="Z83" s="5">
        <f t="shared" si="39"/>
        <v>0</v>
      </c>
    </row>
    <row r="84" spans="1:26" s="24" customFormat="1" hidden="1" outlineLevel="2" x14ac:dyDescent="0.25">
      <c r="A84" s="25"/>
      <c r="B84" s="11" t="str">
        <f>CONCATENATE("          ", "6322", " - ", "EQUIPMENT DEPRECIATION EXPENSE")</f>
        <v xml:space="preserve">          6322 - EQUIPMENT DEPRECIATION EXPENSE</v>
      </c>
      <c r="C84" s="11"/>
      <c r="D84" s="6">
        <v>280.44</v>
      </c>
      <c r="E84" s="2"/>
      <c r="F84" s="7">
        <f t="shared" si="32"/>
        <v>1.7475038841208771E-3</v>
      </c>
      <c r="G84" s="2"/>
      <c r="H84" s="6"/>
      <c r="I84" s="2"/>
      <c r="J84" s="7">
        <f t="shared" si="33"/>
        <v>0</v>
      </c>
      <c r="K84" s="2"/>
      <c r="L84" s="6">
        <f t="shared" si="34"/>
        <v>280.44</v>
      </c>
      <c r="M84" s="2"/>
      <c r="N84" s="7">
        <f t="shared" si="35"/>
        <v>0</v>
      </c>
      <c r="O84" s="11"/>
      <c r="P84" s="6">
        <v>1402.2</v>
      </c>
      <c r="Q84" s="2"/>
      <c r="R84" s="7">
        <f t="shared" si="36"/>
        <v>9.3549530376620669E-4</v>
      </c>
      <c r="S84" s="2"/>
      <c r="T84" s="6"/>
      <c r="U84" s="2"/>
      <c r="V84" s="7">
        <f t="shared" si="37"/>
        <v>0</v>
      </c>
      <c r="W84" s="2"/>
      <c r="X84" s="6">
        <f t="shared" si="38"/>
        <v>1402.2</v>
      </c>
      <c r="Y84" s="2"/>
      <c r="Z84" s="7">
        <f t="shared" si="39"/>
        <v>0</v>
      </c>
    </row>
    <row r="85" spans="1:26" s="26" customFormat="1" outlineLevel="1" collapsed="1" x14ac:dyDescent="0.25">
      <c r="A85" s="27"/>
      <c r="B85" s="13" t="str">
        <f>CONCATENATE("     ","Discounts and Markdowns                           ")</f>
        <v xml:space="preserve">     Discounts and Markdowns                           </v>
      </c>
      <c r="C85" s="13"/>
      <c r="D85" s="1">
        <f>SUM(OSRRefD22_4x_0)</f>
        <v>-20040.96</v>
      </c>
      <c r="E85" s="1"/>
      <c r="F85" s="5">
        <f t="shared" si="32"/>
        <v>-0.12488109913532711</v>
      </c>
      <c r="G85" s="1"/>
      <c r="H85" s="1">
        <f>SUM(OSRRefH22_4x_0)</f>
        <v>2500</v>
      </c>
      <c r="I85" s="1"/>
      <c r="J85" s="5">
        <f t="shared" si="33"/>
        <v>1.7087240615687452E-2</v>
      </c>
      <c r="K85" s="1"/>
      <c r="L85" s="1">
        <f t="shared" si="34"/>
        <v>-22540.959999999999</v>
      </c>
      <c r="M85" s="1"/>
      <c r="N85" s="5">
        <f t="shared" si="35"/>
        <v>-9.0163840000000004</v>
      </c>
      <c r="O85" s="13"/>
      <c r="P85" s="1">
        <f>SUM(OSRRefP22_4x_0)</f>
        <v>48337.17</v>
      </c>
      <c r="Q85" s="1"/>
      <c r="R85" s="5">
        <f t="shared" si="36"/>
        <v>3.2248748775031214E-2</v>
      </c>
      <c r="S85" s="1"/>
      <c r="T85" s="1">
        <f>SUM(OSRRefT22_4x_0)</f>
        <v>12500</v>
      </c>
      <c r="U85" s="1"/>
      <c r="V85" s="5">
        <f t="shared" si="37"/>
        <v>9.7512419181706982E-3</v>
      </c>
      <c r="W85" s="1"/>
      <c r="X85" s="1">
        <f t="shared" si="38"/>
        <v>35837.17</v>
      </c>
      <c r="Y85" s="1"/>
      <c r="Z85" s="5">
        <f t="shared" si="39"/>
        <v>2.8669735999999997</v>
      </c>
    </row>
    <row r="86" spans="1:26" s="24" customFormat="1" hidden="1" outlineLevel="2" x14ac:dyDescent="0.25">
      <c r="A86" s="25"/>
      <c r="B86" s="11" t="str">
        <f>CONCATENATE("          ", "6382", " - ", "DISCOUNTS/MARK DOWNS")</f>
        <v xml:space="preserve">          6382 - DISCOUNTS/MARK DOWNS</v>
      </c>
      <c r="C86" s="11"/>
      <c r="D86" s="6">
        <v>-20040.96</v>
      </c>
      <c r="E86" s="2"/>
      <c r="F86" s="7">
        <f t="shared" si="32"/>
        <v>-0.12488109913532711</v>
      </c>
      <c r="G86" s="2"/>
      <c r="H86" s="6">
        <v>2500</v>
      </c>
      <c r="I86" s="2"/>
      <c r="J86" s="7">
        <f t="shared" si="33"/>
        <v>1.7087240615687452E-2</v>
      </c>
      <c r="K86" s="2"/>
      <c r="L86" s="6">
        <f t="shared" si="34"/>
        <v>-22540.959999999999</v>
      </c>
      <c r="M86" s="2"/>
      <c r="N86" s="7">
        <f t="shared" si="35"/>
        <v>-9.0163840000000004</v>
      </c>
      <c r="O86" s="11"/>
      <c r="P86" s="6">
        <v>48337.17</v>
      </c>
      <c r="Q86" s="2"/>
      <c r="R86" s="7">
        <f t="shared" si="36"/>
        <v>3.2248748775031214E-2</v>
      </c>
      <c r="S86" s="2"/>
      <c r="T86" s="6">
        <v>12500</v>
      </c>
      <c r="U86" s="2"/>
      <c r="V86" s="7">
        <f t="shared" si="37"/>
        <v>9.7512419181706982E-3</v>
      </c>
      <c r="W86" s="2"/>
      <c r="X86" s="6">
        <f t="shared" si="38"/>
        <v>35837.17</v>
      </c>
      <c r="Y86" s="2"/>
      <c r="Z86" s="7">
        <f t="shared" si="39"/>
        <v>2.8669735999999997</v>
      </c>
    </row>
    <row r="87" spans="1:26" s="26" customFormat="1" outlineLevel="1" collapsed="1" x14ac:dyDescent="0.25">
      <c r="A87" s="27"/>
      <c r="B87" s="13" t="str">
        <f>CONCATENATE("     ","Employees' Appreciation                           ")</f>
        <v xml:space="preserve">     Employees' Appreciation                           </v>
      </c>
      <c r="C87" s="13"/>
      <c r="D87" s="1">
        <f>SUM(OSRRefD22_5x_0)</f>
        <v>0</v>
      </c>
      <c r="E87" s="1"/>
      <c r="F87" s="5">
        <f t="shared" si="32"/>
        <v>0</v>
      </c>
      <c r="G87" s="1"/>
      <c r="H87" s="1">
        <f>SUM(OSRRefH22_5x_0)</f>
        <v>40</v>
      </c>
      <c r="I87" s="1"/>
      <c r="J87" s="5">
        <f t="shared" si="33"/>
        <v>2.7339584985099926E-4</v>
      </c>
      <c r="K87" s="1"/>
      <c r="L87" s="1">
        <f t="shared" si="34"/>
        <v>-40</v>
      </c>
      <c r="M87" s="1"/>
      <c r="N87" s="5">
        <f t="shared" si="35"/>
        <v>-1</v>
      </c>
      <c r="O87" s="13"/>
      <c r="P87" s="1">
        <f>SUM(OSRRefP22_5x_0)</f>
        <v>0</v>
      </c>
      <c r="Q87" s="1"/>
      <c r="R87" s="5">
        <f t="shared" si="36"/>
        <v>0</v>
      </c>
      <c r="S87" s="1"/>
      <c r="T87" s="1">
        <f>SUM(OSRRefT22_5x_0)</f>
        <v>200</v>
      </c>
      <c r="U87" s="1"/>
      <c r="V87" s="5">
        <f t="shared" si="37"/>
        <v>1.5601987069073118E-4</v>
      </c>
      <c r="W87" s="1"/>
      <c r="X87" s="1">
        <f t="shared" si="38"/>
        <v>-200</v>
      </c>
      <c r="Y87" s="1"/>
      <c r="Z87" s="5">
        <f t="shared" si="39"/>
        <v>-1</v>
      </c>
    </row>
    <row r="88" spans="1:26" s="24" customFormat="1" hidden="1" outlineLevel="2" x14ac:dyDescent="0.25">
      <c r="A88" s="25"/>
      <c r="B88" s="11" t="str">
        <f>CONCATENATE("          ", "6277", " - ", "EMPLOYEE APPRECIATION")</f>
        <v xml:space="preserve">          6277 - EMPLOYEE APPRECIATION</v>
      </c>
      <c r="C88" s="11"/>
      <c r="D88" s="6"/>
      <c r="E88" s="2"/>
      <c r="F88" s="7">
        <f t="shared" si="32"/>
        <v>0</v>
      </c>
      <c r="G88" s="2"/>
      <c r="H88" s="6">
        <v>40</v>
      </c>
      <c r="I88" s="2"/>
      <c r="J88" s="7">
        <f t="shared" si="33"/>
        <v>2.7339584985099926E-4</v>
      </c>
      <c r="K88" s="2"/>
      <c r="L88" s="6">
        <f t="shared" si="34"/>
        <v>-40</v>
      </c>
      <c r="M88" s="2"/>
      <c r="N88" s="7">
        <f t="shared" si="35"/>
        <v>-1</v>
      </c>
      <c r="O88" s="11"/>
      <c r="P88" s="6"/>
      <c r="Q88" s="2"/>
      <c r="R88" s="7">
        <f t="shared" si="36"/>
        <v>0</v>
      </c>
      <c r="S88" s="2"/>
      <c r="T88" s="6">
        <v>200</v>
      </c>
      <c r="U88" s="2"/>
      <c r="V88" s="7">
        <f t="shared" si="37"/>
        <v>1.5601987069073118E-4</v>
      </c>
      <c r="W88" s="2"/>
      <c r="X88" s="6">
        <f t="shared" si="38"/>
        <v>-200</v>
      </c>
      <c r="Y88" s="2"/>
      <c r="Z88" s="7">
        <f t="shared" si="39"/>
        <v>-1</v>
      </c>
    </row>
    <row r="89" spans="1:26" s="26" customFormat="1" outlineLevel="1" collapsed="1" x14ac:dyDescent="0.25">
      <c r="A89" s="27"/>
      <c r="B89" s="13" t="str">
        <f>CONCATENATE("     ","Freight out/Postage                               ")</f>
        <v xml:space="preserve">     Freight out/Postage                               </v>
      </c>
      <c r="C89" s="13"/>
      <c r="D89" s="1">
        <f>SUM(OSRRefD22_6x_0)</f>
        <v>30.85</v>
      </c>
      <c r="E89" s="1"/>
      <c r="F89" s="5">
        <f t="shared" si="32"/>
        <v>1.9223539732252554E-4</v>
      </c>
      <c r="G89" s="1"/>
      <c r="H89" s="1">
        <f>SUM(OSRRefH22_6x_0)</f>
        <v>25</v>
      </c>
      <c r="I89" s="1"/>
      <c r="J89" s="5">
        <f t="shared" si="33"/>
        <v>1.7087240615687454E-4</v>
      </c>
      <c r="K89" s="1"/>
      <c r="L89" s="1">
        <f t="shared" si="34"/>
        <v>5.8500000000000014</v>
      </c>
      <c r="M89" s="1"/>
      <c r="N89" s="5">
        <f t="shared" si="35"/>
        <v>0.23400000000000007</v>
      </c>
      <c r="O89" s="13"/>
      <c r="P89" s="1">
        <f>SUM(OSRRefP22_6x_0)</f>
        <v>41.61</v>
      </c>
      <c r="Q89" s="1"/>
      <c r="R89" s="5">
        <f t="shared" si="36"/>
        <v>2.7760632997940277E-5</v>
      </c>
      <c r="S89" s="1"/>
      <c r="T89" s="1">
        <f>SUM(OSRRefT22_6x_0)</f>
        <v>125</v>
      </c>
      <c r="U89" s="1"/>
      <c r="V89" s="5">
        <f t="shared" si="37"/>
        <v>9.7512419181706989E-5</v>
      </c>
      <c r="W89" s="1"/>
      <c r="X89" s="1">
        <f t="shared" si="38"/>
        <v>-83.39</v>
      </c>
      <c r="Y89" s="1"/>
      <c r="Z89" s="5">
        <f t="shared" si="39"/>
        <v>-0.66712000000000005</v>
      </c>
    </row>
    <row r="90" spans="1:26" s="24" customFormat="1" hidden="1" outlineLevel="2" x14ac:dyDescent="0.25">
      <c r="A90" s="25"/>
      <c r="B90" s="11" t="str">
        <f>CONCATENATE("          ", "6305", " - ", "FREIGHT OUT")</f>
        <v xml:space="preserve">          6305 - FREIGHT OUT</v>
      </c>
      <c r="C90" s="11"/>
      <c r="D90" s="6">
        <v>30.85</v>
      </c>
      <c r="E90" s="2"/>
      <c r="F90" s="7">
        <f t="shared" si="32"/>
        <v>1.9223539732252554E-4</v>
      </c>
      <c r="G90" s="2"/>
      <c r="H90" s="6">
        <v>25</v>
      </c>
      <c r="I90" s="2"/>
      <c r="J90" s="7">
        <f t="shared" si="33"/>
        <v>1.7087240615687454E-4</v>
      </c>
      <c r="K90" s="2"/>
      <c r="L90" s="6">
        <f t="shared" si="34"/>
        <v>5.8500000000000014</v>
      </c>
      <c r="M90" s="2"/>
      <c r="N90" s="7">
        <f t="shared" si="35"/>
        <v>0.23400000000000007</v>
      </c>
      <c r="O90" s="11"/>
      <c r="P90" s="6">
        <v>41.61</v>
      </c>
      <c r="Q90" s="2"/>
      <c r="R90" s="7">
        <f t="shared" si="36"/>
        <v>2.7760632997940277E-5</v>
      </c>
      <c r="S90" s="2"/>
      <c r="T90" s="6">
        <v>125</v>
      </c>
      <c r="U90" s="2"/>
      <c r="V90" s="7">
        <f t="shared" si="37"/>
        <v>9.7512419181706989E-5</v>
      </c>
      <c r="W90" s="2"/>
      <c r="X90" s="6">
        <f t="shared" si="38"/>
        <v>-83.39</v>
      </c>
      <c r="Y90" s="2"/>
      <c r="Z90" s="7">
        <f t="shared" si="39"/>
        <v>-0.66712000000000005</v>
      </c>
    </row>
    <row r="91" spans="1:26" s="26" customFormat="1" outlineLevel="1" collapsed="1" x14ac:dyDescent="0.25">
      <c r="A91" s="27"/>
      <c r="B91" s="13" t="str">
        <f>CONCATENATE("     ","Subscriptions &amp; Dues                              ")</f>
        <v xml:space="preserve">     Subscriptions &amp; Dues                              </v>
      </c>
      <c r="C91" s="13"/>
      <c r="D91" s="1">
        <f>SUM(OSRRefD22_7x_0)</f>
        <v>0</v>
      </c>
      <c r="E91" s="1"/>
      <c r="F91" s="5">
        <f t="shared" si="32"/>
        <v>0</v>
      </c>
      <c r="G91" s="1"/>
      <c r="H91" s="1">
        <f>SUM(OSRRefH22_7x_0)</f>
        <v>0</v>
      </c>
      <c r="I91" s="1"/>
      <c r="J91" s="5">
        <f t="shared" si="33"/>
        <v>0</v>
      </c>
      <c r="K91" s="1"/>
      <c r="L91" s="1">
        <f t="shared" si="34"/>
        <v>0</v>
      </c>
      <c r="M91" s="1"/>
      <c r="N91" s="5">
        <f t="shared" si="35"/>
        <v>0</v>
      </c>
      <c r="O91" s="13"/>
      <c r="P91" s="1">
        <f>SUM(OSRRefP22_7x_0)</f>
        <v>-5000</v>
      </c>
      <c r="Q91" s="1"/>
      <c r="R91" s="5">
        <f t="shared" si="36"/>
        <v>-3.3358126649772023E-3</v>
      </c>
      <c r="S91" s="1"/>
      <c r="T91" s="1">
        <f>SUM(OSRRefT22_7x_0)</f>
        <v>0</v>
      </c>
      <c r="U91" s="1"/>
      <c r="V91" s="5">
        <f t="shared" si="37"/>
        <v>0</v>
      </c>
      <c r="W91" s="1"/>
      <c r="X91" s="1">
        <f t="shared" si="38"/>
        <v>-5000</v>
      </c>
      <c r="Y91" s="1"/>
      <c r="Z91" s="5">
        <f t="shared" si="39"/>
        <v>0</v>
      </c>
    </row>
    <row r="92" spans="1:26" s="24" customFormat="1" hidden="1" outlineLevel="2" x14ac:dyDescent="0.25">
      <c r="A92" s="25"/>
      <c r="B92" s="11" t="str">
        <f>CONCATENATE("          ", "6258", " - ", "MEMBERSHIP DUES")</f>
        <v xml:space="preserve">          6258 - MEMBERSHIP DUES</v>
      </c>
      <c r="C92" s="11"/>
      <c r="D92" s="6"/>
      <c r="E92" s="2"/>
      <c r="F92" s="7">
        <f t="shared" si="32"/>
        <v>0</v>
      </c>
      <c r="G92" s="2"/>
      <c r="H92" s="6"/>
      <c r="I92" s="2"/>
      <c r="J92" s="7">
        <f t="shared" si="33"/>
        <v>0</v>
      </c>
      <c r="K92" s="2"/>
      <c r="L92" s="6">
        <f t="shared" si="34"/>
        <v>0</v>
      </c>
      <c r="M92" s="2"/>
      <c r="N92" s="7">
        <f t="shared" si="35"/>
        <v>0</v>
      </c>
      <c r="O92" s="11"/>
      <c r="P92" s="6">
        <v>-5000</v>
      </c>
      <c r="Q92" s="2"/>
      <c r="R92" s="7">
        <f t="shared" si="36"/>
        <v>-3.3358126649772023E-3</v>
      </c>
      <c r="S92" s="2"/>
      <c r="T92" s="6"/>
      <c r="U92" s="2"/>
      <c r="V92" s="7">
        <f t="shared" si="37"/>
        <v>0</v>
      </c>
      <c r="W92" s="2"/>
      <c r="X92" s="6">
        <f t="shared" si="38"/>
        <v>-5000</v>
      </c>
      <c r="Y92" s="2"/>
      <c r="Z92" s="7">
        <f t="shared" si="39"/>
        <v>0</v>
      </c>
    </row>
    <row r="93" spans="1:26" s="26" customFormat="1" outlineLevel="1" collapsed="1" x14ac:dyDescent="0.25">
      <c r="A93" s="27"/>
      <c r="B93" s="13" t="str">
        <f>CONCATENATE("     ","Supplies                                          ")</f>
        <v xml:space="preserve">     Supplies                                          </v>
      </c>
      <c r="C93" s="13"/>
      <c r="D93" s="1">
        <f>SUM(OSRRefD22_8x_0)</f>
        <v>1145.08</v>
      </c>
      <c r="E93" s="1"/>
      <c r="F93" s="5">
        <f t="shared" si="32"/>
        <v>7.1353292954968398E-3</v>
      </c>
      <c r="G93" s="1"/>
      <c r="H93" s="1">
        <f>SUM(OSRRefH22_8x_0)</f>
        <v>275</v>
      </c>
      <c r="I93" s="1"/>
      <c r="J93" s="5">
        <f t="shared" si="33"/>
        <v>1.8795964677256198E-3</v>
      </c>
      <c r="K93" s="1"/>
      <c r="L93" s="1">
        <f t="shared" si="34"/>
        <v>870.07999999999993</v>
      </c>
      <c r="M93" s="1"/>
      <c r="N93" s="5">
        <f t="shared" si="35"/>
        <v>3.1639272727272725</v>
      </c>
      <c r="O93" s="13"/>
      <c r="P93" s="1">
        <f>SUM(OSRRefP22_8x_0)</f>
        <v>2702.03</v>
      </c>
      <c r="Q93" s="1"/>
      <c r="R93" s="5">
        <f t="shared" si="36"/>
        <v>1.8026931790296702E-3</v>
      </c>
      <c r="S93" s="1"/>
      <c r="T93" s="1">
        <f>SUM(OSRRefT22_8x_0)</f>
        <v>1375</v>
      </c>
      <c r="U93" s="1"/>
      <c r="V93" s="5">
        <f t="shared" si="37"/>
        <v>1.0726366109987768E-3</v>
      </c>
      <c r="W93" s="1"/>
      <c r="X93" s="1">
        <f t="shared" si="38"/>
        <v>1327.0300000000002</v>
      </c>
      <c r="Y93" s="1"/>
      <c r="Z93" s="5">
        <f t="shared" si="39"/>
        <v>0.96511272727272746</v>
      </c>
    </row>
    <row r="94" spans="1:26" s="24" customFormat="1" hidden="1" outlineLevel="2" x14ac:dyDescent="0.25">
      <c r="A94" s="25"/>
      <c r="B94" s="11" t="str">
        <f>CONCATENATE("          ", "6241", " - ", "OFFICE EXPENSE")</f>
        <v xml:space="preserve">          6241 - OFFICE EXPENSE</v>
      </c>
      <c r="C94" s="11"/>
      <c r="D94" s="6">
        <v>76.349999999999994</v>
      </c>
      <c r="E94" s="2"/>
      <c r="F94" s="7">
        <f t="shared" si="32"/>
        <v>4.7575924102349508E-4</v>
      </c>
      <c r="G94" s="2"/>
      <c r="H94" s="6">
        <v>275</v>
      </c>
      <c r="I94" s="2"/>
      <c r="J94" s="7">
        <f t="shared" si="33"/>
        <v>1.8795964677256198E-3</v>
      </c>
      <c r="K94" s="2"/>
      <c r="L94" s="6">
        <f t="shared" si="34"/>
        <v>-198.65</v>
      </c>
      <c r="M94" s="2"/>
      <c r="N94" s="7">
        <f t="shared" si="35"/>
        <v>-0.72236363636363643</v>
      </c>
      <c r="O94" s="11"/>
      <c r="P94" s="6">
        <v>692.65</v>
      </c>
      <c r="Q94" s="2"/>
      <c r="R94" s="7">
        <f t="shared" si="36"/>
        <v>4.6211012847929183E-4</v>
      </c>
      <c r="S94" s="2"/>
      <c r="T94" s="6">
        <v>1375</v>
      </c>
      <c r="U94" s="2"/>
      <c r="V94" s="7">
        <f t="shared" si="37"/>
        <v>1.0726366109987768E-3</v>
      </c>
      <c r="W94" s="2"/>
      <c r="X94" s="6">
        <f t="shared" si="38"/>
        <v>-682.35</v>
      </c>
      <c r="Y94" s="2"/>
      <c r="Z94" s="7">
        <f t="shared" si="39"/>
        <v>-0.49625454545454545</v>
      </c>
    </row>
    <row r="95" spans="1:26" s="24" customFormat="1" hidden="1" outlineLevel="2" x14ac:dyDescent="0.25">
      <c r="A95" s="25"/>
      <c r="B95" s="11" t="str">
        <f>CONCATENATE("          ", "6247", " - ", "STORE SUPPLIES")</f>
        <v xml:space="preserve">          6247 - STORE SUPPLIES</v>
      </c>
      <c r="C95" s="11"/>
      <c r="D95" s="6">
        <v>1068.73</v>
      </c>
      <c r="E95" s="2"/>
      <c r="F95" s="7">
        <f t="shared" si="32"/>
        <v>6.659570054473346E-3</v>
      </c>
      <c r="G95" s="2"/>
      <c r="H95" s="6"/>
      <c r="I95" s="2"/>
      <c r="J95" s="7">
        <f t="shared" si="33"/>
        <v>0</v>
      </c>
      <c r="K95" s="2"/>
      <c r="L95" s="6">
        <f t="shared" si="34"/>
        <v>1068.73</v>
      </c>
      <c r="M95" s="2"/>
      <c r="N95" s="7">
        <f t="shared" si="35"/>
        <v>0</v>
      </c>
      <c r="O95" s="11"/>
      <c r="P95" s="6">
        <v>2009.38</v>
      </c>
      <c r="Q95" s="2"/>
      <c r="R95" s="7">
        <f t="shared" si="36"/>
        <v>1.3405830505503783E-3</v>
      </c>
      <c r="S95" s="2"/>
      <c r="T95" s="6"/>
      <c r="U95" s="2"/>
      <c r="V95" s="7">
        <f t="shared" si="37"/>
        <v>0</v>
      </c>
      <c r="W95" s="2"/>
      <c r="X95" s="6">
        <f t="shared" si="38"/>
        <v>2009.38</v>
      </c>
      <c r="Y95" s="2"/>
      <c r="Z95" s="7">
        <f t="shared" si="39"/>
        <v>0</v>
      </c>
    </row>
    <row r="96" spans="1:26" s="26" customFormat="1" outlineLevel="1" collapsed="1" x14ac:dyDescent="0.25">
      <c r="A96" s="27"/>
      <c r="B96" s="13" t="str">
        <f>CONCATENATE("     ","Telephone/Data Lines                              ")</f>
        <v xml:space="preserve">     Telephone/Data Lines                              </v>
      </c>
      <c r="C96" s="13"/>
      <c r="D96" s="1">
        <f>SUM(OSRRefD22_9x_0)</f>
        <v>258.35000000000002</v>
      </c>
      <c r="E96" s="1"/>
      <c r="F96" s="5">
        <f t="shared" ref="F96:F98" si="40">IF(D$12=0,0,D96/D$12)</f>
        <v>1.6098546158273737E-3</v>
      </c>
      <c r="G96" s="1"/>
      <c r="H96" s="1">
        <f>SUM(OSRRefH22_9x_0)</f>
        <v>280</v>
      </c>
      <c r="I96" s="1"/>
      <c r="J96" s="5">
        <f t="shared" ref="J96:J98" si="41">IF(H$12=0,0,H96/H$12)</f>
        <v>1.9137709489569948E-3</v>
      </c>
      <c r="K96" s="1"/>
      <c r="L96" s="1">
        <f t="shared" ref="L96:L98" si="42">+D96-H96</f>
        <v>-21.649999999999977</v>
      </c>
      <c r="M96" s="1"/>
      <c r="N96" s="5">
        <f t="shared" ref="N96:N98" si="43">IF(H96=0,0,L96/H96)</f>
        <v>-7.7321428571428485E-2</v>
      </c>
      <c r="O96" s="13"/>
      <c r="P96" s="1">
        <f>SUM(OSRRefP22_9x_0)</f>
        <v>1279.1500000000001</v>
      </c>
      <c r="Q96" s="1"/>
      <c r="R96" s="5">
        <f t="shared" ref="R96:R98" si="44">IF(P$12=0,0,P96/P$12)</f>
        <v>8.5340095408111775E-4</v>
      </c>
      <c r="S96" s="1"/>
      <c r="T96" s="1">
        <f>SUM(OSRRefT22_9x_0)</f>
        <v>1400</v>
      </c>
      <c r="U96" s="1"/>
      <c r="V96" s="5">
        <f t="shared" ref="V96:V98" si="45">IF(T$12=0,0,T96/T$12)</f>
        <v>1.0921390948351183E-3</v>
      </c>
      <c r="W96" s="1"/>
      <c r="X96" s="1">
        <f t="shared" ref="X96:X98" si="46">+P96-T96</f>
        <v>-120.84999999999991</v>
      </c>
      <c r="Y96" s="1"/>
      <c r="Z96" s="5">
        <f t="shared" ref="Z96:Z98" si="47">IF(T96=0,0,X96/T96)</f>
        <v>-8.6321428571428507E-2</v>
      </c>
    </row>
    <row r="97" spans="1:26" s="24" customFormat="1" hidden="1" outlineLevel="2" x14ac:dyDescent="0.25">
      <c r="A97" s="25"/>
      <c r="B97" s="11" t="str">
        <f>CONCATENATE("          ", "6303", " - ", "DATA PHONE LINES")</f>
        <v xml:space="preserve">          6303 - DATA PHONE LINES</v>
      </c>
      <c r="C97" s="11"/>
      <c r="D97" s="6"/>
      <c r="E97" s="2"/>
      <c r="F97" s="7">
        <f t="shared" si="40"/>
        <v>0</v>
      </c>
      <c r="G97" s="2"/>
      <c r="H97" s="6">
        <v>280</v>
      </c>
      <c r="I97" s="2"/>
      <c r="J97" s="7">
        <f t="shared" si="41"/>
        <v>1.9137709489569948E-3</v>
      </c>
      <c r="K97" s="2"/>
      <c r="L97" s="6">
        <f t="shared" si="42"/>
        <v>-280</v>
      </c>
      <c r="M97" s="2"/>
      <c r="N97" s="7">
        <f t="shared" si="43"/>
        <v>-1</v>
      </c>
      <c r="O97" s="11"/>
      <c r="P97" s="6"/>
      <c r="Q97" s="2"/>
      <c r="R97" s="7">
        <f t="shared" si="44"/>
        <v>0</v>
      </c>
      <c r="S97" s="2"/>
      <c r="T97" s="6">
        <v>1400</v>
      </c>
      <c r="U97" s="2"/>
      <c r="V97" s="7">
        <f t="shared" si="45"/>
        <v>1.0921390948351183E-3</v>
      </c>
      <c r="W97" s="2"/>
      <c r="X97" s="6">
        <f t="shared" si="46"/>
        <v>-1400</v>
      </c>
      <c r="Y97" s="2"/>
      <c r="Z97" s="7">
        <f t="shared" si="47"/>
        <v>-1</v>
      </c>
    </row>
    <row r="98" spans="1:26" s="24" customFormat="1" hidden="1" outlineLevel="2" x14ac:dyDescent="0.25">
      <c r="A98" s="25"/>
      <c r="B98" s="11" t="str">
        <f>CONCATENATE("          ", "6309", " - ", "TELEPHONE")</f>
        <v xml:space="preserve">          6309 - TELEPHONE</v>
      </c>
      <c r="C98" s="11"/>
      <c r="D98" s="6">
        <v>258.35000000000002</v>
      </c>
      <c r="E98" s="2"/>
      <c r="F98" s="7">
        <f t="shared" si="40"/>
        <v>1.6098546158273737E-3</v>
      </c>
      <c r="G98" s="2"/>
      <c r="H98" s="6"/>
      <c r="I98" s="2"/>
      <c r="J98" s="7">
        <f t="shared" si="41"/>
        <v>0</v>
      </c>
      <c r="K98" s="2"/>
      <c r="L98" s="6">
        <f t="shared" si="42"/>
        <v>258.35000000000002</v>
      </c>
      <c r="M98" s="2"/>
      <c r="N98" s="7">
        <f t="shared" si="43"/>
        <v>0</v>
      </c>
      <c r="O98" s="11"/>
      <c r="P98" s="6">
        <v>1279.1500000000001</v>
      </c>
      <c r="Q98" s="2"/>
      <c r="R98" s="7">
        <f t="shared" si="44"/>
        <v>8.5340095408111775E-4</v>
      </c>
      <c r="S98" s="2"/>
      <c r="T98" s="6"/>
      <c r="U98" s="2"/>
      <c r="V98" s="7">
        <f t="shared" si="45"/>
        <v>0</v>
      </c>
      <c r="W98" s="2"/>
      <c r="X98" s="6">
        <f t="shared" si="46"/>
        <v>1279.1500000000001</v>
      </c>
      <c r="Y98" s="2"/>
      <c r="Z98" s="7">
        <f t="shared" si="47"/>
        <v>0</v>
      </c>
    </row>
    <row r="99" spans="1:26" s="26" customFormat="1" outlineLevel="1" collapsed="1" x14ac:dyDescent="0.25">
      <c r="A99" s="27"/>
      <c r="B99" s="13" t="str">
        <f>CONCATENATE("     ","Training                                          ")</f>
        <v xml:space="preserve">     Training                                          </v>
      </c>
      <c r="C99" s="13"/>
      <c r="D99" s="1">
        <f>SUM(OSRRefD22_10x_0)</f>
        <v>1123.6400000000001</v>
      </c>
      <c r="E99" s="1"/>
      <c r="F99" s="5">
        <f t="shared" ref="F99:F102" si="48">IF(D$12=0,0,D99/D$12)</f>
        <v>7.0017303678276376E-3</v>
      </c>
      <c r="G99" s="1"/>
      <c r="H99" s="1">
        <f>SUM(OSRRefH22_10x_0)</f>
        <v>375</v>
      </c>
      <c r="I99" s="1"/>
      <c r="J99" s="5">
        <f t="shared" ref="J99:J102" si="49">IF(H$12=0,0,H99/H$12)</f>
        <v>2.5630860923531182E-3</v>
      </c>
      <c r="K99" s="1"/>
      <c r="L99" s="1">
        <f t="shared" ref="L99:L102" si="50">+D99-H99</f>
        <v>748.6400000000001</v>
      </c>
      <c r="M99" s="1"/>
      <c r="N99" s="5">
        <f t="shared" ref="N99:N102" si="51">IF(H99=0,0,L99/H99)</f>
        <v>1.9963733333333336</v>
      </c>
      <c r="O99" s="13"/>
      <c r="P99" s="1">
        <f>SUM(OSRRefP22_10x_0)</f>
        <v>1163.6400000000001</v>
      </c>
      <c r="Q99" s="1"/>
      <c r="R99" s="5">
        <f t="shared" ref="R99:R102" si="52">IF(P$12=0,0,P99/P$12)</f>
        <v>7.7633700989481445E-4</v>
      </c>
      <c r="S99" s="1"/>
      <c r="T99" s="1">
        <f>SUM(OSRRefT22_10x_0)</f>
        <v>1875</v>
      </c>
      <c r="U99" s="1"/>
      <c r="V99" s="5">
        <f t="shared" ref="V99:V102" si="53">IF(T$12=0,0,T99/T$12)</f>
        <v>1.4626862877256048E-3</v>
      </c>
      <c r="W99" s="1"/>
      <c r="X99" s="1">
        <f t="shared" ref="X99:X102" si="54">+P99-T99</f>
        <v>-711.3599999999999</v>
      </c>
      <c r="Y99" s="1"/>
      <c r="Z99" s="5">
        <f t="shared" ref="Z99:Z102" si="55">IF(T99=0,0,X99/T99)</f>
        <v>-0.37939199999999995</v>
      </c>
    </row>
    <row r="100" spans="1:26" s="24" customFormat="1" hidden="1" outlineLevel="2" x14ac:dyDescent="0.25">
      <c r="A100" s="25"/>
      <c r="B100" s="11" t="str">
        <f>CONCATENATE("          ", "6376", " - ", "TRAINING")</f>
        <v xml:space="preserve">          6376 - TRAINING</v>
      </c>
      <c r="C100" s="11"/>
      <c r="D100" s="6">
        <v>1123.6400000000001</v>
      </c>
      <c r="E100" s="2"/>
      <c r="F100" s="7">
        <f t="shared" si="48"/>
        <v>7.0017303678276376E-3</v>
      </c>
      <c r="G100" s="2"/>
      <c r="H100" s="6">
        <v>375</v>
      </c>
      <c r="I100" s="2"/>
      <c r="J100" s="7">
        <f t="shared" si="49"/>
        <v>2.5630860923531182E-3</v>
      </c>
      <c r="K100" s="2"/>
      <c r="L100" s="6">
        <f t="shared" si="50"/>
        <v>748.6400000000001</v>
      </c>
      <c r="M100" s="2"/>
      <c r="N100" s="7">
        <f t="shared" si="51"/>
        <v>1.9963733333333336</v>
      </c>
      <c r="O100" s="11"/>
      <c r="P100" s="6">
        <v>1163.6400000000001</v>
      </c>
      <c r="Q100" s="2"/>
      <c r="R100" s="7">
        <f t="shared" si="52"/>
        <v>7.7633700989481445E-4</v>
      </c>
      <c r="S100" s="2"/>
      <c r="T100" s="6">
        <v>1875</v>
      </c>
      <c r="U100" s="2"/>
      <c r="V100" s="7">
        <f t="shared" si="53"/>
        <v>1.4626862877256048E-3</v>
      </c>
      <c r="W100" s="2"/>
      <c r="X100" s="6">
        <f t="shared" si="54"/>
        <v>-711.3599999999999</v>
      </c>
      <c r="Y100" s="2"/>
      <c r="Z100" s="7">
        <f t="shared" si="55"/>
        <v>-0.37939199999999995</v>
      </c>
    </row>
    <row r="101" spans="1:26" s="26" customFormat="1" outlineLevel="1" collapsed="1" x14ac:dyDescent="0.25">
      <c r="A101" s="27"/>
      <c r="B101" s="13" t="str">
        <f>CONCATENATE("     ","Travel                                            ")</f>
        <v xml:space="preserve">     Travel                                            </v>
      </c>
      <c r="C101" s="13"/>
      <c r="D101" s="1">
        <f>SUM(OSRRefD22_11x_0)</f>
        <v>-178.06</v>
      </c>
      <c r="E101" s="1"/>
      <c r="F101" s="5">
        <f t="shared" si="48"/>
        <v>-1.1095440793273549E-3</v>
      </c>
      <c r="G101" s="1"/>
      <c r="H101" s="1">
        <f>SUM(OSRRefH22_11x_0)</f>
        <v>0</v>
      </c>
      <c r="I101" s="1"/>
      <c r="J101" s="5">
        <f t="shared" si="49"/>
        <v>0</v>
      </c>
      <c r="K101" s="1"/>
      <c r="L101" s="1">
        <f t="shared" si="50"/>
        <v>-178.06</v>
      </c>
      <c r="M101" s="1"/>
      <c r="N101" s="5">
        <f t="shared" si="51"/>
        <v>0</v>
      </c>
      <c r="O101" s="13"/>
      <c r="P101" s="1">
        <f>SUM(OSRRefP22_11x_0)</f>
        <v>-178.06</v>
      </c>
      <c r="Q101" s="1"/>
      <c r="R101" s="5">
        <f t="shared" si="52"/>
        <v>-1.1879496062516813E-4</v>
      </c>
      <c r="S101" s="1"/>
      <c r="T101" s="1">
        <f>SUM(OSRRefT22_11x_0)</f>
        <v>0</v>
      </c>
      <c r="U101" s="1"/>
      <c r="V101" s="5">
        <f t="shared" si="53"/>
        <v>0</v>
      </c>
      <c r="W101" s="1"/>
      <c r="X101" s="1">
        <f t="shared" si="54"/>
        <v>-178.06</v>
      </c>
      <c r="Y101" s="1"/>
      <c r="Z101" s="5">
        <f t="shared" si="55"/>
        <v>0</v>
      </c>
    </row>
    <row r="102" spans="1:26" s="24" customFormat="1" hidden="1" outlineLevel="2" x14ac:dyDescent="0.25">
      <c r="A102" s="25"/>
      <c r="B102" s="11" t="str">
        <f>CONCATENATE("          ", "6292", " - ", "TRAVEL/CONFERENCE")</f>
        <v xml:space="preserve">          6292 - TRAVEL/CONFERENCE</v>
      </c>
      <c r="C102" s="11"/>
      <c r="D102" s="6">
        <v>-178.06</v>
      </c>
      <c r="E102" s="2"/>
      <c r="F102" s="7">
        <f t="shared" si="48"/>
        <v>-1.1095440793273549E-3</v>
      </c>
      <c r="G102" s="2"/>
      <c r="H102" s="6"/>
      <c r="I102" s="2"/>
      <c r="J102" s="7">
        <f t="shared" si="49"/>
        <v>0</v>
      </c>
      <c r="K102" s="2"/>
      <c r="L102" s="6">
        <f t="shared" si="50"/>
        <v>-178.06</v>
      </c>
      <c r="M102" s="2"/>
      <c r="N102" s="7">
        <f t="shared" si="51"/>
        <v>0</v>
      </c>
      <c r="O102" s="11"/>
      <c r="P102" s="6">
        <v>-178.06</v>
      </c>
      <c r="Q102" s="2"/>
      <c r="R102" s="7">
        <f t="shared" si="52"/>
        <v>-1.1879496062516813E-4</v>
      </c>
      <c r="S102" s="2"/>
      <c r="T102" s="6"/>
      <c r="U102" s="2"/>
      <c r="V102" s="7">
        <f t="shared" si="53"/>
        <v>0</v>
      </c>
      <c r="W102" s="2"/>
      <c r="X102" s="6">
        <f t="shared" si="54"/>
        <v>-178.06</v>
      </c>
      <c r="Y102" s="2"/>
      <c r="Z102" s="7">
        <f t="shared" si="55"/>
        <v>0</v>
      </c>
    </row>
    <row r="103" spans="1:26" s="59" customFormat="1" x14ac:dyDescent="0.25">
      <c r="A103" s="36"/>
      <c r="B103" s="36"/>
      <c r="C103" s="36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6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collapsed="1" x14ac:dyDescent="0.25">
      <c r="A104" s="10"/>
      <c r="B104" s="29" t="s">
        <v>0</v>
      </c>
      <c r="C104" s="10"/>
      <c r="D104" s="4">
        <f>SUM(OSRRefD25x_0)</f>
        <v>942.8</v>
      </c>
      <c r="E104" s="4"/>
      <c r="F104" s="12">
        <f t="shared" ref="F104:F107" si="56">IF(D$12=0,0,D104/D$12)</f>
        <v>5.8748632932148154E-3</v>
      </c>
      <c r="G104" s="4"/>
      <c r="H104" s="4">
        <f>SUM(OSRRefH25x_0)</f>
        <v>2025</v>
      </c>
      <c r="I104" s="4"/>
      <c r="J104" s="12">
        <f t="shared" ref="J104:J107" si="57">IF(H$12=0,0,H104/H$12)</f>
        <v>1.3840664898706837E-2</v>
      </c>
      <c r="K104" s="4"/>
      <c r="L104" s="4">
        <f t="shared" ref="L104:L107" si="58">+D104-H104</f>
        <v>-1082.2</v>
      </c>
      <c r="M104" s="4"/>
      <c r="N104" s="12">
        <f t="shared" ref="N104:N107" si="59">IF(H104=0,0,L104/H104)</f>
        <v>-0.53441975308641976</v>
      </c>
      <c r="O104" s="10"/>
      <c r="P104" s="4">
        <f>SUM(OSRRefP25x_0)</f>
        <v>7231.7300000000005</v>
      </c>
      <c r="Q104" s="4"/>
      <c r="R104" s="12">
        <f t="shared" ref="R104:R107" si="60">IF(P$12=0,0,P104/P$12)</f>
        <v>4.8247393047391174E-3</v>
      </c>
      <c r="S104" s="4"/>
      <c r="T104" s="4">
        <f>SUM(OSRRefT25x_0)</f>
        <v>9450</v>
      </c>
      <c r="U104" s="4"/>
      <c r="V104" s="12">
        <f t="shared" ref="V104:V107" si="61">IF(T$12=0,0,T104/T$12)</f>
        <v>7.371938890137048E-3</v>
      </c>
      <c r="W104" s="4"/>
      <c r="X104" s="4">
        <f t="shared" ref="X104:X107" si="62">+P104-T104</f>
        <v>-2218.2699999999995</v>
      </c>
      <c r="Y104" s="4"/>
      <c r="Z104" s="12">
        <f t="shared" ref="Z104:Z107" si="63">IF(T104=0,0,X104/T104)</f>
        <v>-0.23473756613756608</v>
      </c>
    </row>
    <row r="105" spans="1:26" s="24" customFormat="1" hidden="1" outlineLevel="1" x14ac:dyDescent="0.25">
      <c r="A105" s="44"/>
      <c r="B105" s="11" t="str">
        <f>CONCATENATE("          ", "4187", " - ", "NON-TAXABLE SALES-COMPUTER REP")</f>
        <v xml:space="preserve">          4187 - NON-TAXABLE SALES-COMPUTER REP</v>
      </c>
      <c r="C105" s="11"/>
      <c r="D105" s="2">
        <f>--949.24</f>
        <v>949.24</v>
      </c>
      <c r="E105" s="2"/>
      <c r="F105" s="19">
        <f t="shared" si="56"/>
        <v>5.9149928218617228E-3</v>
      </c>
      <c r="G105" s="2"/>
      <c r="H105" s="2"/>
      <c r="I105" s="2"/>
      <c r="J105" s="19">
        <f t="shared" si="57"/>
        <v>0</v>
      </c>
      <c r="K105" s="2"/>
      <c r="L105" s="2">
        <f t="shared" si="58"/>
        <v>949.24</v>
      </c>
      <c r="M105" s="2"/>
      <c r="N105" s="19">
        <f t="shared" si="59"/>
        <v>0</v>
      </c>
      <c r="O105" s="11"/>
      <c r="P105" s="2">
        <f>--12731.93</f>
        <v>12731.93</v>
      </c>
      <c r="Q105" s="2"/>
      <c r="R105" s="19">
        <f t="shared" si="60"/>
        <v>8.4942666687206382E-3</v>
      </c>
      <c r="S105" s="2"/>
      <c r="T105" s="2"/>
      <c r="U105" s="2"/>
      <c r="V105" s="19">
        <f t="shared" si="61"/>
        <v>0</v>
      </c>
      <c r="W105" s="2"/>
      <c r="X105" s="2">
        <f t="shared" si="62"/>
        <v>12731.93</v>
      </c>
      <c r="Y105" s="2"/>
      <c r="Z105" s="19">
        <f t="shared" si="63"/>
        <v>0</v>
      </c>
    </row>
    <row r="106" spans="1:26" s="24" customFormat="1" hidden="1" outlineLevel="1" x14ac:dyDescent="0.25">
      <c r="A106" s="44"/>
      <c r="B106" s="11" t="str">
        <f>CONCATENATE("          ", "4387", " - ", "SALES RETURN NON TAXABLE-COMPU")</f>
        <v xml:space="preserve">          4387 - SALES RETURN NON TAXABLE-COMPU</v>
      </c>
      <c r="C106" s="11"/>
      <c r="D106" s="2">
        <f>-1098.25</f>
        <v>-1098.25</v>
      </c>
      <c r="E106" s="2"/>
      <c r="F106" s="19">
        <f t="shared" si="56"/>
        <v>-6.8435178317492271E-3</v>
      </c>
      <c r="G106" s="2"/>
      <c r="H106" s="2"/>
      <c r="I106" s="2"/>
      <c r="J106" s="19">
        <f t="shared" si="57"/>
        <v>0</v>
      </c>
      <c r="K106" s="2"/>
      <c r="L106" s="2">
        <f t="shared" si="58"/>
        <v>-1098.25</v>
      </c>
      <c r="M106" s="2"/>
      <c r="N106" s="19">
        <f t="shared" si="59"/>
        <v>0</v>
      </c>
      <c r="O106" s="11"/>
      <c r="P106" s="2">
        <f>-7889</f>
        <v>-7889</v>
      </c>
      <c r="Q106" s="2"/>
      <c r="R106" s="19">
        <f t="shared" si="60"/>
        <v>-5.26324522280103E-3</v>
      </c>
      <c r="S106" s="2"/>
      <c r="T106" s="2"/>
      <c r="U106" s="2"/>
      <c r="V106" s="19">
        <f t="shared" si="61"/>
        <v>0</v>
      </c>
      <c r="W106" s="2"/>
      <c r="X106" s="2">
        <f t="shared" si="62"/>
        <v>-7889</v>
      </c>
      <c r="Y106" s="2"/>
      <c r="Z106" s="19">
        <f t="shared" si="63"/>
        <v>0</v>
      </c>
    </row>
    <row r="107" spans="1:26" s="24" customFormat="1" hidden="1" outlineLevel="1" x14ac:dyDescent="0.25">
      <c r="A107" s="44"/>
      <c r="B107" s="11" t="str">
        <f>CONCATENATE("          ", "9150", " - ", "MISC. INCOME")</f>
        <v xml:space="preserve">          9150 - MISC. INCOME</v>
      </c>
      <c r="C107" s="11"/>
      <c r="D107" s="2">
        <f>--1091.81</f>
        <v>1091.81</v>
      </c>
      <c r="E107" s="2"/>
      <c r="F107" s="19">
        <f t="shared" si="56"/>
        <v>6.8033883031023206E-3</v>
      </c>
      <c r="G107" s="2"/>
      <c r="H107" s="2">
        <v>2025</v>
      </c>
      <c r="I107" s="2"/>
      <c r="J107" s="19">
        <f t="shared" si="57"/>
        <v>1.3840664898706837E-2</v>
      </c>
      <c r="K107" s="2"/>
      <c r="L107" s="2">
        <f t="shared" si="58"/>
        <v>-933.19</v>
      </c>
      <c r="M107" s="2"/>
      <c r="N107" s="19">
        <f t="shared" si="59"/>
        <v>-0.46083456790123462</v>
      </c>
      <c r="O107" s="11"/>
      <c r="P107" s="2">
        <f>--2388.8</f>
        <v>2388.8000000000002</v>
      </c>
      <c r="Q107" s="2"/>
      <c r="R107" s="19">
        <f t="shared" si="60"/>
        <v>1.5937178588195083E-3</v>
      </c>
      <c r="S107" s="2"/>
      <c r="T107" s="2">
        <v>9450</v>
      </c>
      <c r="U107" s="2"/>
      <c r="V107" s="19">
        <f t="shared" si="61"/>
        <v>7.371938890137048E-3</v>
      </c>
      <c r="W107" s="2"/>
      <c r="X107" s="2">
        <f t="shared" si="62"/>
        <v>-7061.2</v>
      </c>
      <c r="Y107" s="2"/>
      <c r="Z107" s="19">
        <f t="shared" si="63"/>
        <v>-0.74721693121693122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10"/>
      <c r="B109" s="28" t="s">
        <v>3</v>
      </c>
      <c r="C109" s="28"/>
      <c r="D109" s="20">
        <f>+D56-D58+D104</f>
        <v>29596.329999999929</v>
      </c>
      <c r="E109" s="14"/>
      <c r="F109" s="22">
        <f>IF(D$12=0,0,D109/D$12)</f>
        <v>0.1844234118910395</v>
      </c>
      <c r="G109" s="14"/>
      <c r="H109" s="20">
        <f>+H56-H58+H104</f>
        <v>18907.961087683077</v>
      </c>
      <c r="I109" s="14"/>
      <c r="J109" s="22">
        <f>IF(H$12=0,0,H109/H$12)</f>
        <v>0.12923395226291848</v>
      </c>
      <c r="K109" s="16"/>
      <c r="L109" s="20">
        <f>+D109-H109</f>
        <v>10688.368912316851</v>
      </c>
      <c r="M109" s="16"/>
      <c r="N109" s="22">
        <f>IF(H109=0,0,L109/H109)</f>
        <v>0.56528405483547406</v>
      </c>
      <c r="O109" s="29"/>
      <c r="P109" s="20">
        <f>+P56-P58+P104</f>
        <v>54490.210000000072</v>
      </c>
      <c r="Q109" s="14"/>
      <c r="R109" s="22">
        <f>IF(P$12=0,0,P109/P$12)</f>
        <v>3.6353826527053525E-2</v>
      </c>
      <c r="S109" s="14"/>
      <c r="T109" s="20">
        <f>+T56-T58+T104</f>
        <v>206455.41360515682</v>
      </c>
      <c r="U109" s="14"/>
      <c r="V109" s="22">
        <f>IF(T$12=0,0,T109/T$12)</f>
        <v>0.16105573467038994</v>
      </c>
      <c r="W109" s="16"/>
      <c r="X109" s="20">
        <f>+P109-T109</f>
        <v>-151965.20360515674</v>
      </c>
      <c r="Y109" s="16"/>
      <c r="Z109" s="22">
        <f>IF(T109=0,0,X109/T109)</f>
        <v>-0.73606790421000112</v>
      </c>
    </row>
    <row r="110" spans="1:26" x14ac:dyDescent="0.25">
      <c r="A110" s="9"/>
      <c r="B110" s="10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25">
      <c r="A111" s="52"/>
      <c r="B111" s="10" t="s">
        <v>14</v>
      </c>
      <c r="C111" s="10"/>
      <c r="D111" s="4">
        <v>23994.560000000001</v>
      </c>
      <c r="E111" s="4"/>
      <c r="F111" s="12">
        <f>IF(D$12=0,0,D111/D$12)</f>
        <v>0.14951714020029752</v>
      </c>
      <c r="G111" s="4"/>
      <c r="H111" s="4">
        <v>25706</v>
      </c>
      <c r="I111" s="4"/>
      <c r="J111" s="12">
        <f>IF(H$12=0,0,H111/H$12)</f>
        <v>0.17569784290674467</v>
      </c>
      <c r="K111" s="4"/>
      <c r="L111" s="4">
        <f>+D111-H111</f>
        <v>-1711.4399999999987</v>
      </c>
      <c r="M111" s="4"/>
      <c r="N111" s="12">
        <f>IF(H111=0,0,L111/H111)</f>
        <v>-6.6577452734770046E-2</v>
      </c>
      <c r="O111" s="10"/>
      <c r="P111" s="4">
        <v>158721.79999999999</v>
      </c>
      <c r="Q111" s="4"/>
      <c r="R111" s="12">
        <f>IF(P$12=0,0,P111/P$12)</f>
        <v>0.1058932381295957</v>
      </c>
      <c r="S111" s="4"/>
      <c r="T111" s="4">
        <v>162456</v>
      </c>
      <c r="U111" s="4"/>
      <c r="V111" s="12">
        <f>IF(T$12=0,0,T111/T$12)</f>
        <v>0.12673182056466711</v>
      </c>
      <c r="W111" s="4"/>
      <c r="X111" s="4">
        <f>+P111-T111</f>
        <v>-3734.2000000000116</v>
      </c>
      <c r="Y111" s="4"/>
      <c r="Z111" s="12">
        <f>IF(T111=0,0,X111/T111)</f>
        <v>-2.2985916186536733E-2</v>
      </c>
    </row>
    <row r="112" spans="1:26" x14ac:dyDescent="0.2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ht="15.75" thickBot="1" x14ac:dyDescent="0.3">
      <c r="A113" s="10"/>
      <c r="B113" s="28" t="s">
        <v>4</v>
      </c>
      <c r="C113" s="28"/>
      <c r="D113" s="30">
        <f>+D109-D111</f>
        <v>5601.7699999999277</v>
      </c>
      <c r="E113" s="14"/>
      <c r="F113" s="32">
        <f>IF(D$12=0,0,D113/D$12)</f>
        <v>3.4906271690741973E-2</v>
      </c>
      <c r="G113" s="14"/>
      <c r="H113" s="30">
        <f>+H109-H111</f>
        <v>-6798.0389123169225</v>
      </c>
      <c r="I113" s="14"/>
      <c r="J113" s="32">
        <f>IF(H$12=0,0,H113/H$12)</f>
        <v>-4.6463890643826194E-2</v>
      </c>
      <c r="K113" s="16"/>
      <c r="L113" s="30">
        <f>D113-H113</f>
        <v>12399.80891231685</v>
      </c>
      <c r="M113" s="16"/>
      <c r="N113" s="32">
        <f>IF(H113=0,0,L113/H113)</f>
        <v>-1.824027351454321</v>
      </c>
      <c r="O113" s="29"/>
      <c r="P113" s="30">
        <f>+P109-P111</f>
        <v>-104231.58999999991</v>
      </c>
      <c r="Q113" s="14"/>
      <c r="R113" s="32">
        <f>IF(P$12=0,0,P113/P$12)</f>
        <v>-6.9539411602542164E-2</v>
      </c>
      <c r="S113" s="14"/>
      <c r="T113" s="30">
        <f>+T109-T111</f>
        <v>43999.41360515682</v>
      </c>
      <c r="U113" s="14"/>
      <c r="V113" s="32">
        <f>IF(T$12=0,0,T113/T$12)</f>
        <v>3.4323914105722823E-2</v>
      </c>
      <c r="W113" s="16"/>
      <c r="X113" s="30">
        <f>P113-T113</f>
        <v>-148231.00360515673</v>
      </c>
      <c r="Y113" s="16"/>
      <c r="Z113" s="32">
        <f>IF(T113=0,0,X113/T113)</f>
        <v>-3.3689313438437223</v>
      </c>
    </row>
    <row r="114" spans="1:26" ht="15.75" thickTop="1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8" t="s">
        <v>5</v>
      </c>
      <c r="C116" s="28"/>
      <c r="D116" s="31">
        <f>SUM(D113:D115)</f>
        <v>5601.7699999999277</v>
      </c>
      <c r="E116" s="14"/>
      <c r="F116" s="35">
        <f>IF(D$12=0,0,D116/D$12)</f>
        <v>3.4906271690741973E-2</v>
      </c>
      <c r="G116" s="14"/>
      <c r="H116" s="31">
        <f>SUM(H113:H115)</f>
        <v>-6798.0389123169225</v>
      </c>
      <c r="I116" s="14"/>
      <c r="J116" s="35">
        <f>IF(H$12=0,0,H116/H$12)</f>
        <v>-4.6463890643826194E-2</v>
      </c>
      <c r="K116" s="16"/>
      <c r="L116" s="31">
        <f>+D116-H116</f>
        <v>12399.80891231685</v>
      </c>
      <c r="M116" s="16"/>
      <c r="N116" s="35">
        <f>IF(H116=0,0,L116/H116)</f>
        <v>-1.824027351454321</v>
      </c>
      <c r="O116" s="29"/>
      <c r="P116" s="31">
        <f>SUM(P113:P115)</f>
        <v>-104231.58999999991</v>
      </c>
      <c r="Q116" s="14"/>
      <c r="R116" s="35">
        <f>IF(P$12=0,0,P116/P$12)</f>
        <v>-6.9539411602542164E-2</v>
      </c>
      <c r="S116" s="14"/>
      <c r="T116" s="31">
        <f>SUM(T113:T115)</f>
        <v>43999.41360515682</v>
      </c>
      <c r="U116" s="14"/>
      <c r="V116" s="35">
        <f>IF(T$12=0,0,T116/T$12)</f>
        <v>3.4323914105722823E-2</v>
      </c>
      <c r="W116" s="16"/>
      <c r="X116" s="31">
        <f>+P116-T116</f>
        <v>-148231.00360515673</v>
      </c>
      <c r="Y116" s="16"/>
      <c r="Z116" s="35">
        <f>IF(T116=0,0,X116/T116)</f>
        <v>-3.3689313438437223</v>
      </c>
    </row>
    <row r="117" spans="1:26" ht="15.75" thickTop="1" x14ac:dyDescent="0.25">
      <c r="A117" s="9"/>
      <c r="C117" s="9"/>
      <c r="D117" s="17"/>
      <c r="E117" s="17"/>
      <c r="G117" s="17"/>
      <c r="H117" s="17"/>
      <c r="I117" s="17"/>
      <c r="J117" s="43"/>
      <c r="K117" s="17"/>
      <c r="L117" s="17"/>
      <c r="M117" s="17"/>
      <c r="P117" s="17"/>
      <c r="Q117" s="17"/>
      <c r="R117" s="43"/>
      <c r="S117" s="17"/>
      <c r="T117" s="17"/>
      <c r="U117" s="17"/>
      <c r="V117" s="43"/>
      <c r="W117" s="17"/>
      <c r="X117" s="17"/>
    </row>
    <row r="118" spans="1:26" x14ac:dyDescent="0.25">
      <c r="A118" s="9"/>
      <c r="B118" s="56">
        <v>43815.483774687498</v>
      </c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  <row r="119" spans="1:26" x14ac:dyDescent="0.25">
      <c r="A119" s="9"/>
      <c r="B119" s="62" t="s">
        <v>314</v>
      </c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  <row r="120" spans="1:26" x14ac:dyDescent="0.25">
      <c r="A120" s="9"/>
      <c r="B120" s="58"/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  <row r="121" spans="1:26" x14ac:dyDescent="0.25">
      <c r="D121" s="17"/>
      <c r="E121" s="17"/>
      <c r="G121" s="17"/>
      <c r="H121" s="17"/>
      <c r="I121" s="17"/>
      <c r="J121" s="43"/>
      <c r="K121" s="17"/>
      <c r="L121" s="17"/>
      <c r="M121" s="17"/>
      <c r="P121" s="17"/>
      <c r="Q121" s="17"/>
      <c r="R121" s="43"/>
      <c r="S121" s="17"/>
      <c r="T121" s="17"/>
      <c r="U121" s="17"/>
      <c r="V121" s="43"/>
      <c r="W121" s="17"/>
      <c r="X121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","318", " - ", "E-Commerce")</f>
        <v>Department 318 - E-Commerce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SUM(0)</f>
        <v>0</v>
      </c>
      <c r="E18" s="21"/>
      <c r="F18" s="33">
        <f>IF(D$12=0,0,D18/D$12)</f>
        <v>0</v>
      </c>
      <c r="G18" s="21"/>
      <c r="H18" s="21">
        <f>SUM(0)</f>
        <v>0</v>
      </c>
      <c r="I18" s="21"/>
      <c r="J18" s="33">
        <f>IF(H$12=0,0,H18/H$12)</f>
        <v>0</v>
      </c>
      <c r="K18" s="4"/>
      <c r="L18" s="21">
        <f>+D18-H18</f>
        <v>0</v>
      </c>
      <c r="M18" s="4"/>
      <c r="N18" s="33">
        <f>IF(H18=0,0,L18/H18)</f>
        <v>0</v>
      </c>
      <c r="O18" s="10"/>
      <c r="P18" s="21">
        <f>SUM(0)</f>
        <v>0</v>
      </c>
      <c r="Q18" s="21"/>
      <c r="R18" s="33">
        <f>IF(P$12=0,0,P18/P$12)</f>
        <v>0</v>
      </c>
      <c r="S18" s="21"/>
      <c r="T18" s="21">
        <f>SUM(0)</f>
        <v>0</v>
      </c>
      <c r="U18" s="21"/>
      <c r="V18" s="33">
        <f>IF(T$12=0,0,T18/T$12)</f>
        <v>0</v>
      </c>
      <c r="W18" s="4"/>
      <c r="X18" s="21">
        <f>+P18-T18</f>
        <v>0</v>
      </c>
      <c r="Y18" s="4"/>
      <c r="Z18" s="33">
        <f>IF(T18=0,0,X18/T18)</f>
        <v>0</v>
      </c>
    </row>
    <row r="19" spans="1:26" s="59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0">
        <f>+D16-D18+D20</f>
        <v>0</v>
      </c>
      <c r="E22" s="14"/>
      <c r="F22" s="22">
        <f>IF(D$12=0,0,D22/D$12)</f>
        <v>0</v>
      </c>
      <c r="G22" s="14"/>
      <c r="H22" s="20">
        <f>+H16-H18+H20</f>
        <v>0</v>
      </c>
      <c r="I22" s="14"/>
      <c r="J22" s="22">
        <f>IF(H$12=0,0,H22/H$12)</f>
        <v>0</v>
      </c>
      <c r="K22" s="16"/>
      <c r="L22" s="20">
        <f>+D22-H22</f>
        <v>0</v>
      </c>
      <c r="M22" s="16"/>
      <c r="N22" s="22">
        <f>IF(H22=0,0,L22/H22)</f>
        <v>0</v>
      </c>
      <c r="O22" s="29"/>
      <c r="P22" s="20">
        <f>+P16-P18+P20</f>
        <v>0</v>
      </c>
      <c r="Q22" s="14"/>
      <c r="R22" s="22">
        <f>IF(P$12=0,0,P22/P$12)</f>
        <v>0</v>
      </c>
      <c r="S22" s="14"/>
      <c r="T22" s="20">
        <f>+T16-T18+T20</f>
        <v>0</v>
      </c>
      <c r="U22" s="14"/>
      <c r="V22" s="22">
        <f>IF(T$12=0,0,T22/T$12)</f>
        <v>0</v>
      </c>
      <c r="W22" s="16"/>
      <c r="X22" s="20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0">
        <f>+D22-D24</f>
        <v>0</v>
      </c>
      <c r="E26" s="14"/>
      <c r="F26" s="32">
        <f>IF(D$12=0,0,D26/D$12)</f>
        <v>0</v>
      </c>
      <c r="G26" s="14"/>
      <c r="H26" s="30">
        <f>+H22-H24</f>
        <v>0</v>
      </c>
      <c r="I26" s="14"/>
      <c r="J26" s="32">
        <f>IF(H$12=0,0,H26/H$12)</f>
        <v>0</v>
      </c>
      <c r="K26" s="16"/>
      <c r="L26" s="30">
        <f>D26-H26</f>
        <v>0</v>
      </c>
      <c r="M26" s="16"/>
      <c r="N26" s="32">
        <f>IF(H26=0,0,L26/H26)</f>
        <v>0</v>
      </c>
      <c r="O26" s="29"/>
      <c r="P26" s="30">
        <f>+P22-P24</f>
        <v>0</v>
      </c>
      <c r="Q26" s="14"/>
      <c r="R26" s="32">
        <f>IF(P$12=0,0,P26/P$12)</f>
        <v>0</v>
      </c>
      <c r="S26" s="14"/>
      <c r="T26" s="30">
        <f>+T22-T24</f>
        <v>0</v>
      </c>
      <c r="U26" s="14"/>
      <c r="V26" s="32">
        <f>IF(T$12=0,0,T26/T$12)</f>
        <v>0</v>
      </c>
      <c r="W26" s="16"/>
      <c r="X26" s="30">
        <f>P26-T26</f>
        <v>0</v>
      </c>
      <c r="Y26" s="16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8" t="s">
        <v>5</v>
      </c>
      <c r="C29" s="28"/>
      <c r="D29" s="31">
        <f>SUM(D26:D28)</f>
        <v>0</v>
      </c>
      <c r="E29" s="14"/>
      <c r="F29" s="35">
        <f>IF(D$12=0,0,D29/D$12)</f>
        <v>0</v>
      </c>
      <c r="G29" s="14"/>
      <c r="H29" s="31">
        <f>SUM(H26:H28)</f>
        <v>0</v>
      </c>
      <c r="I29" s="14"/>
      <c r="J29" s="35">
        <f>IF(H$12=0,0,H29/H$12)</f>
        <v>0</v>
      </c>
      <c r="K29" s="16"/>
      <c r="L29" s="31">
        <f>+D29-H29</f>
        <v>0</v>
      </c>
      <c r="M29" s="16"/>
      <c r="N29" s="35">
        <f>IF(H29=0,0,L29/H29)</f>
        <v>0</v>
      </c>
      <c r="O29" s="29"/>
      <c r="P29" s="31">
        <f>SUM(P26:P28)</f>
        <v>0</v>
      </c>
      <c r="Q29" s="14"/>
      <c r="R29" s="35">
        <f>IF(P$12=0,0,P29/P$12)</f>
        <v>0</v>
      </c>
      <c r="S29" s="14"/>
      <c r="T29" s="31">
        <f>SUM(T26:T28)</f>
        <v>0</v>
      </c>
      <c r="U29" s="14"/>
      <c r="V29" s="35">
        <f>IF(T$12=0,0,T29/T$12)</f>
        <v>0</v>
      </c>
      <c r="W29" s="16"/>
      <c r="X29" s="31">
        <f>+P29-T29</f>
        <v>0</v>
      </c>
      <c r="Y29" s="16"/>
      <c r="Z29" s="35">
        <f>IF(T29=0,0,X29/T29)</f>
        <v>0</v>
      </c>
    </row>
    <row r="30" spans="1:26" ht="15.75" thickTop="1" x14ac:dyDescent="0.25">
      <c r="A30" s="9"/>
      <c r="C30" s="9"/>
      <c r="D30" s="17"/>
      <c r="E30" s="17"/>
      <c r="G30" s="17"/>
      <c r="H30" s="17"/>
      <c r="I30" s="17"/>
      <c r="J30" s="43"/>
      <c r="K30" s="17"/>
      <c r="L30" s="17"/>
      <c r="M30" s="17"/>
      <c r="P30" s="17"/>
      <c r="Q30" s="17"/>
      <c r="R30" s="43"/>
      <c r="S30" s="17"/>
      <c r="T30" s="17"/>
      <c r="U30" s="17"/>
      <c r="V30" s="43"/>
      <c r="W30" s="17"/>
      <c r="X30" s="17"/>
    </row>
    <row r="31" spans="1:26" x14ac:dyDescent="0.25">
      <c r="A31" s="9"/>
      <c r="B31" s="56">
        <v>43815.483788078702</v>
      </c>
      <c r="D31" s="17"/>
      <c r="E31" s="17"/>
      <c r="G31" s="17"/>
      <c r="H31" s="17"/>
      <c r="I31" s="17"/>
      <c r="J31" s="43"/>
      <c r="K31" s="17"/>
      <c r="L31" s="17"/>
      <c r="M31" s="17"/>
      <c r="P31" s="17"/>
      <c r="Q31" s="17"/>
      <c r="R31" s="43"/>
      <c r="S31" s="17"/>
      <c r="T31" s="17"/>
      <c r="U31" s="17"/>
      <c r="V31" s="43"/>
      <c r="W31" s="17"/>
      <c r="X31" s="17"/>
    </row>
    <row r="32" spans="1:26" x14ac:dyDescent="0.25">
      <c r="A32" s="9"/>
      <c r="B32" s="62" t="s">
        <v>314</v>
      </c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8"/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307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300753.08</v>
      </c>
      <c r="E12" s="4"/>
      <c r="F12" s="12"/>
      <c r="G12" s="4"/>
      <c r="H12" s="4">
        <f>SUM(OSRRefH13x_0)</f>
        <v>266373</v>
      </c>
      <c r="I12" s="4"/>
      <c r="J12" s="12"/>
      <c r="K12" s="4"/>
      <c r="L12" s="4">
        <f t="shared" ref="L12:L22" si="0">+D12-H12</f>
        <v>34380.080000000016</v>
      </c>
      <c r="M12" s="4"/>
      <c r="N12" s="12">
        <f t="shared" ref="N12:N22" si="1">IF(H12=0,0,L12/H12)</f>
        <v>0.12906743551335914</v>
      </c>
      <c r="O12" s="10"/>
      <c r="P12" s="4">
        <f>SUM(OSRRefP13x_0)</f>
        <v>1418825.52</v>
      </c>
      <c r="Q12" s="4"/>
      <c r="R12" s="12"/>
      <c r="S12" s="4"/>
      <c r="T12" s="4">
        <f>SUM(OSRRefT13x_0)</f>
        <v>1385138.2</v>
      </c>
      <c r="U12" s="4"/>
      <c r="V12" s="12"/>
      <c r="W12" s="4"/>
      <c r="X12" s="4">
        <f t="shared" ref="X12:X22" si="2">+P12-T12</f>
        <v>33687.320000000065</v>
      </c>
      <c r="Y12" s="4"/>
      <c r="Z12" s="12">
        <f t="shared" ref="Z12:Z22" si="3">IF(T12=0,0,X12/T12)</f>
        <v>2.4320547942436405E-2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62259.000000000007</v>
      </c>
      <c r="I13" s="2"/>
      <c r="J13" s="19"/>
      <c r="K13" s="2"/>
      <c r="L13" s="2">
        <f t="shared" si="0"/>
        <v>-62259.000000000007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326423.19999999995</v>
      </c>
      <c r="U13" s="2"/>
      <c r="V13" s="19"/>
      <c r="W13" s="2"/>
      <c r="X13" s="2">
        <f t="shared" si="2"/>
        <v>-326423.19999999995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>--29698.86</f>
        <v>29698.86</v>
      </c>
      <c r="E14" s="2"/>
      <c r="F14" s="19"/>
      <c r="G14" s="2"/>
      <c r="H14" s="2"/>
      <c r="I14" s="2"/>
      <c r="J14" s="19"/>
      <c r="K14" s="2"/>
      <c r="L14" s="2">
        <f t="shared" si="0"/>
        <v>29698.86</v>
      </c>
      <c r="M14" s="2"/>
      <c r="N14" s="19">
        <f t="shared" si="1"/>
        <v>0</v>
      </c>
      <c r="O14" s="11"/>
      <c r="P14" s="2">
        <f>--161513.73</f>
        <v>161513.73000000001</v>
      </c>
      <c r="Q14" s="2"/>
      <c r="R14" s="19"/>
      <c r="S14" s="2"/>
      <c r="T14" s="2"/>
      <c r="U14" s="2"/>
      <c r="V14" s="19"/>
      <c r="W14" s="2"/>
      <c r="X14" s="2">
        <f t="shared" si="2"/>
        <v>161513.73000000001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--237.09</f>
        <v>237.09</v>
      </c>
      <c r="E15" s="2"/>
      <c r="F15" s="19"/>
      <c r="G15" s="2"/>
      <c r="H15" s="2"/>
      <c r="I15" s="2"/>
      <c r="J15" s="19"/>
      <c r="K15" s="2"/>
      <c r="L15" s="2">
        <f t="shared" si="0"/>
        <v>237.09</v>
      </c>
      <c r="M15" s="2"/>
      <c r="N15" s="19">
        <f t="shared" si="1"/>
        <v>0</v>
      </c>
      <c r="O15" s="11"/>
      <c r="P15" s="2">
        <f>--1919.17</f>
        <v>1919.17</v>
      </c>
      <c r="Q15" s="2"/>
      <c r="R15" s="19"/>
      <c r="S15" s="2"/>
      <c r="T15" s="2"/>
      <c r="U15" s="2"/>
      <c r="V15" s="19"/>
      <c r="W15" s="2"/>
      <c r="X15" s="2">
        <f t="shared" si="2"/>
        <v>1919.17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--17577.92</f>
        <v>17577.919999999998</v>
      </c>
      <c r="E16" s="2"/>
      <c r="F16" s="19"/>
      <c r="G16" s="2"/>
      <c r="H16" s="2"/>
      <c r="I16" s="2"/>
      <c r="J16" s="19"/>
      <c r="K16" s="2"/>
      <c r="L16" s="2">
        <f t="shared" si="0"/>
        <v>17577.919999999998</v>
      </c>
      <c r="M16" s="2"/>
      <c r="N16" s="19">
        <f t="shared" si="1"/>
        <v>0</v>
      </c>
      <c r="O16" s="11"/>
      <c r="P16" s="2">
        <f>--91997.19</f>
        <v>91997.19</v>
      </c>
      <c r="Q16" s="2"/>
      <c r="R16" s="19"/>
      <c r="S16" s="2"/>
      <c r="T16" s="2"/>
      <c r="U16" s="2"/>
      <c r="V16" s="19"/>
      <c r="W16" s="2"/>
      <c r="X16" s="2">
        <f t="shared" si="2"/>
        <v>91997.19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0</f>
        <v>0</v>
      </c>
      <c r="E17" s="2"/>
      <c r="F17" s="19"/>
      <c r="G17" s="2"/>
      <c r="H17" s="2">
        <v>204114</v>
      </c>
      <c r="I17" s="2"/>
      <c r="J17" s="19"/>
      <c r="K17" s="2"/>
      <c r="L17" s="2">
        <f t="shared" si="0"/>
        <v>-204114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v>1058715</v>
      </c>
      <c r="U17" s="2"/>
      <c r="V17" s="19"/>
      <c r="W17" s="2"/>
      <c r="X17" s="2">
        <f t="shared" si="2"/>
        <v>-1058715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"4132", " - ", "NON-TAXABLE SALES-JUICE")</f>
        <v xml:space="preserve">          4132 - NON-TAXABLE SALES-JUICE</v>
      </c>
      <c r="C18" s="11"/>
      <c r="D18" s="2">
        <f>--139966.75</f>
        <v>139966.75</v>
      </c>
      <c r="E18" s="2"/>
      <c r="F18" s="19"/>
      <c r="G18" s="2"/>
      <c r="H18" s="2"/>
      <c r="I18" s="2"/>
      <c r="J18" s="19"/>
      <c r="K18" s="2"/>
      <c r="L18" s="2">
        <f t="shared" si="0"/>
        <v>139966.75</v>
      </c>
      <c r="M18" s="2"/>
      <c r="N18" s="19">
        <f t="shared" si="1"/>
        <v>0</v>
      </c>
      <c r="O18" s="11"/>
      <c r="P18" s="2">
        <f>--655070.4</f>
        <v>655070.4</v>
      </c>
      <c r="Q18" s="2"/>
      <c r="R18" s="19"/>
      <c r="S18" s="2"/>
      <c r="T18" s="2"/>
      <c r="U18" s="2"/>
      <c r="V18" s="19"/>
      <c r="W18" s="2"/>
      <c r="X18" s="2">
        <f t="shared" si="2"/>
        <v>655070.4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"4134", " - ", "NON-TAXABLE SALES-SODA")</f>
        <v xml:space="preserve">          4134 - NON-TAXABLE SALES-SODA</v>
      </c>
      <c r="C19" s="11"/>
      <c r="D19" s="2">
        <f>0</f>
        <v>0</v>
      </c>
      <c r="E19" s="2"/>
      <c r="F19" s="19"/>
      <c r="G19" s="2"/>
      <c r="H19" s="2"/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--0.39</f>
        <v>0.39</v>
      </c>
      <c r="Q19" s="2"/>
      <c r="R19" s="19"/>
      <c r="S19" s="2"/>
      <c r="T19" s="2"/>
      <c r="U19" s="2"/>
      <c r="V19" s="19"/>
      <c r="W19" s="2"/>
      <c r="X19" s="2">
        <f t="shared" si="2"/>
        <v>0.39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"4137", " - ", "NON-TAXABLE SALES-WATER")</f>
        <v xml:space="preserve">          4137 - NON-TAXABLE SALES-WATER</v>
      </c>
      <c r="C20" s="11"/>
      <c r="D20" s="2">
        <f>--175.69</f>
        <v>175.69</v>
      </c>
      <c r="E20" s="2"/>
      <c r="F20" s="19"/>
      <c r="G20" s="2"/>
      <c r="H20" s="2"/>
      <c r="I20" s="2"/>
      <c r="J20" s="19"/>
      <c r="K20" s="2"/>
      <c r="L20" s="2">
        <f t="shared" si="0"/>
        <v>175.69</v>
      </c>
      <c r="M20" s="2"/>
      <c r="N20" s="19">
        <f t="shared" si="1"/>
        <v>0</v>
      </c>
      <c r="O20" s="11"/>
      <c r="P20" s="2">
        <f>--1024.54</f>
        <v>1024.54</v>
      </c>
      <c r="Q20" s="2"/>
      <c r="R20" s="19"/>
      <c r="S20" s="2"/>
      <c r="T20" s="2"/>
      <c r="U20" s="2"/>
      <c r="V20" s="19"/>
      <c r="W20" s="2"/>
      <c r="X20" s="2">
        <f t="shared" si="2"/>
        <v>1024.54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"4151", " - ", "NON-TAXABLE SALES-FOOD")</f>
        <v xml:space="preserve">          4151 - NON-TAXABLE SALES-FOOD</v>
      </c>
      <c r="C21" s="11"/>
      <c r="D21" s="2">
        <f>--111550.27</f>
        <v>111550.27</v>
      </c>
      <c r="E21" s="2"/>
      <c r="F21" s="19"/>
      <c r="G21" s="2"/>
      <c r="H21" s="2"/>
      <c r="I21" s="2"/>
      <c r="J21" s="19"/>
      <c r="K21" s="2"/>
      <c r="L21" s="2">
        <f t="shared" si="0"/>
        <v>111550.27</v>
      </c>
      <c r="M21" s="2"/>
      <c r="N21" s="19">
        <f t="shared" si="1"/>
        <v>0</v>
      </c>
      <c r="O21" s="11"/>
      <c r="P21" s="2">
        <f>--500473.1</f>
        <v>500473.1</v>
      </c>
      <c r="Q21" s="2"/>
      <c r="R21" s="19"/>
      <c r="S21" s="2"/>
      <c r="T21" s="2"/>
      <c r="U21" s="2"/>
      <c r="V21" s="19"/>
      <c r="W21" s="2"/>
      <c r="X21" s="2">
        <f t="shared" si="2"/>
        <v>500473.1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"4153", " - ", "NON-TAXABLE SALES-FOOD")</f>
        <v xml:space="preserve">          4153 - NON-TAXABLE SALES-FOOD</v>
      </c>
      <c r="C22" s="11"/>
      <c r="D22" s="2">
        <f>--1546.5</f>
        <v>1546.5</v>
      </c>
      <c r="E22" s="2"/>
      <c r="F22" s="19"/>
      <c r="G22" s="2"/>
      <c r="H22" s="2"/>
      <c r="I22" s="2"/>
      <c r="J22" s="19"/>
      <c r="K22" s="2"/>
      <c r="L22" s="2">
        <f t="shared" si="0"/>
        <v>1546.5</v>
      </c>
      <c r="M22" s="2"/>
      <c r="N22" s="19">
        <f t="shared" si="1"/>
        <v>0</v>
      </c>
      <c r="O22" s="11"/>
      <c r="P22" s="2">
        <f>--6827</f>
        <v>6827</v>
      </c>
      <c r="Q22" s="2"/>
      <c r="R22" s="19"/>
      <c r="S22" s="2"/>
      <c r="T22" s="2"/>
      <c r="U22" s="2"/>
      <c r="V22" s="19"/>
      <c r="W22" s="2"/>
      <c r="X22" s="2">
        <f t="shared" si="2"/>
        <v>6827</v>
      </c>
      <c r="Y22" s="2"/>
      <c r="Z22" s="19">
        <f t="shared" si="3"/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collapsed="1" x14ac:dyDescent="0.25">
      <c r="A24" s="10"/>
      <c r="B24" s="29" t="s">
        <v>8</v>
      </c>
      <c r="C24" s="10"/>
      <c r="D24" s="4">
        <f>SUM(OSRRefD16x_0)</f>
        <v>145315.98000000001</v>
      </c>
      <c r="E24" s="4"/>
      <c r="F24" s="12">
        <f t="shared" ref="F24:F27" si="4">IF(D$12=0,0,D24/D$12)</f>
        <v>0.48317370515374275</v>
      </c>
      <c r="G24" s="4"/>
      <c r="H24" s="4">
        <f>SUM(OSRRefH16x_0)</f>
        <v>128357</v>
      </c>
      <c r="I24" s="4"/>
      <c r="J24" s="12">
        <f t="shared" ref="J24:J27" si="5">IF(H$12=0,0,H24/H$12)</f>
        <v>0.48186940868631578</v>
      </c>
      <c r="K24" s="4"/>
      <c r="L24" s="4">
        <f t="shared" ref="L24:L27" si="6">+D24-H24</f>
        <v>16958.98000000001</v>
      </c>
      <c r="M24" s="4"/>
      <c r="N24" s="12">
        <f t="shared" ref="N24:N27" si="7">IF(H24=0,0,L24/H24)</f>
        <v>0.1321235304658103</v>
      </c>
      <c r="O24" s="10"/>
      <c r="P24" s="4">
        <f>SUM(OSRRefP16x_0)</f>
        <v>678854.58000000007</v>
      </c>
      <c r="Q24" s="4"/>
      <c r="R24" s="12">
        <f t="shared" ref="R24:R27" si="8">IF(P$12=0,0,P24/P$12)</f>
        <v>0.47846234116228759</v>
      </c>
      <c r="S24" s="4"/>
      <c r="T24" s="4">
        <f>SUM(OSRRefT16x_0)</f>
        <v>667417</v>
      </c>
      <c r="U24" s="4"/>
      <c r="V24" s="12">
        <f t="shared" ref="V24:V27" si="9">IF(T$12=0,0,T24/T$12)</f>
        <v>0.48184145091081887</v>
      </c>
      <c r="W24" s="4"/>
      <c r="X24" s="4">
        <f t="shared" ref="X24:X27" si="10">+P24-T24</f>
        <v>11437.580000000075</v>
      </c>
      <c r="Y24" s="4"/>
      <c r="Z24" s="12">
        <f t="shared" ref="Z24:Z27" si="11">IF(T24=0,0,X24/T24)</f>
        <v>1.7137082213968289E-2</v>
      </c>
    </row>
    <row r="25" spans="1:26" s="24" customFormat="1" hidden="1" outlineLevel="1" x14ac:dyDescent="0.25">
      <c r="A25" s="44"/>
      <c r="B25" s="11" t="str">
        <f>CONCATENATE("          ", "5000", " - ", "PURCHASES @ COST")</f>
        <v xml:space="preserve">          5000 - PURCHASES @ COST</v>
      </c>
      <c r="C25" s="11"/>
      <c r="D25" s="2"/>
      <c r="E25" s="2"/>
      <c r="F25" s="19">
        <f t="shared" si="4"/>
        <v>0</v>
      </c>
      <c r="G25" s="2"/>
      <c r="H25" s="2">
        <v>128357</v>
      </c>
      <c r="I25" s="2"/>
      <c r="J25" s="19">
        <f t="shared" si="5"/>
        <v>0.48186940868631578</v>
      </c>
      <c r="K25" s="2"/>
      <c r="L25" s="2">
        <f t="shared" si="6"/>
        <v>-128357</v>
      </c>
      <c r="M25" s="2"/>
      <c r="N25" s="19">
        <f t="shared" si="7"/>
        <v>-1</v>
      </c>
      <c r="O25" s="11"/>
      <c r="P25" s="2"/>
      <c r="Q25" s="2"/>
      <c r="R25" s="19">
        <f t="shared" si="8"/>
        <v>0</v>
      </c>
      <c r="S25" s="2"/>
      <c r="T25" s="2">
        <v>667417</v>
      </c>
      <c r="U25" s="2"/>
      <c r="V25" s="19">
        <f t="shared" si="9"/>
        <v>0.48184145091081887</v>
      </c>
      <c r="W25" s="2"/>
      <c r="X25" s="2">
        <f t="shared" si="10"/>
        <v>-667417</v>
      </c>
      <c r="Y25" s="2"/>
      <c r="Z25" s="19">
        <f t="shared" si="11"/>
        <v>-1</v>
      </c>
    </row>
    <row r="26" spans="1:26" s="24" customFormat="1" hidden="1" outlineLevel="1" x14ac:dyDescent="0.25">
      <c r="A26" s="44"/>
      <c r="B26" s="11" t="str">
        <f>CONCATENATE("          ", "5053", " - ", "PURCHASES @ COST-FOOD")</f>
        <v xml:space="preserve">          5053 - PURCHASES @ COST-FOOD</v>
      </c>
      <c r="C26" s="11"/>
      <c r="D26" s="2">
        <v>135831.22</v>
      </c>
      <c r="E26" s="2"/>
      <c r="F26" s="19">
        <f t="shared" si="4"/>
        <v>0.45163700401671697</v>
      </c>
      <c r="G26" s="2"/>
      <c r="H26" s="2"/>
      <c r="I26" s="2"/>
      <c r="J26" s="19">
        <f t="shared" si="5"/>
        <v>0</v>
      </c>
      <c r="K26" s="2"/>
      <c r="L26" s="2">
        <f t="shared" si="6"/>
        <v>135831.22</v>
      </c>
      <c r="M26" s="2"/>
      <c r="N26" s="19">
        <f t="shared" si="7"/>
        <v>0</v>
      </c>
      <c r="O26" s="11"/>
      <c r="P26" s="2">
        <v>713015.79</v>
      </c>
      <c r="Q26" s="2"/>
      <c r="R26" s="19">
        <f t="shared" si="8"/>
        <v>0.50253944544217111</v>
      </c>
      <c r="S26" s="2"/>
      <c r="T26" s="2"/>
      <c r="U26" s="2"/>
      <c r="V26" s="19">
        <f t="shared" si="9"/>
        <v>0</v>
      </c>
      <c r="W26" s="2"/>
      <c r="X26" s="2">
        <f t="shared" si="10"/>
        <v>713015.79</v>
      </c>
      <c r="Y26" s="2"/>
      <c r="Z26" s="19">
        <f t="shared" si="11"/>
        <v>0</v>
      </c>
    </row>
    <row r="27" spans="1:26" s="24" customFormat="1" hidden="1" outlineLevel="1" x14ac:dyDescent="0.25">
      <c r="A27" s="44"/>
      <c r="B27" s="11" t="str">
        <f>CONCATENATE("          ", "5059", " - ", "PURCHASES @ COST-FOOD")</f>
        <v xml:space="preserve">          5059 - PURCHASES @ COST-FOOD</v>
      </c>
      <c r="C27" s="11"/>
      <c r="D27" s="2">
        <v>9484.76</v>
      </c>
      <c r="E27" s="2"/>
      <c r="F27" s="19">
        <f t="shared" si="4"/>
        <v>3.1536701137025759E-2</v>
      </c>
      <c r="G27" s="2"/>
      <c r="H27" s="2"/>
      <c r="I27" s="2"/>
      <c r="J27" s="19">
        <f t="shared" si="5"/>
        <v>0</v>
      </c>
      <c r="K27" s="2"/>
      <c r="L27" s="2">
        <f t="shared" si="6"/>
        <v>9484.76</v>
      </c>
      <c r="M27" s="2"/>
      <c r="N27" s="19">
        <f t="shared" si="7"/>
        <v>0</v>
      </c>
      <c r="O27" s="11"/>
      <c r="P27" s="2">
        <v>-34161.21</v>
      </c>
      <c r="Q27" s="2"/>
      <c r="R27" s="19">
        <f t="shared" si="8"/>
        <v>-2.4077104279883545E-2</v>
      </c>
      <c r="S27" s="2"/>
      <c r="T27" s="2"/>
      <c r="U27" s="2"/>
      <c r="V27" s="19">
        <f t="shared" si="9"/>
        <v>0</v>
      </c>
      <c r="W27" s="2"/>
      <c r="X27" s="2">
        <f t="shared" si="10"/>
        <v>-34161.21</v>
      </c>
      <c r="Y27" s="2"/>
      <c r="Z27" s="19">
        <f t="shared" si="11"/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8" t="s">
        <v>6</v>
      </c>
      <c r="C29" s="28"/>
      <c r="D29" s="20">
        <f>D12-D24</f>
        <v>155437.1</v>
      </c>
      <c r="E29" s="14"/>
      <c r="F29" s="22">
        <f>IF(D$12=0,0,D29/D$12)</f>
        <v>0.51682629484625731</v>
      </c>
      <c r="G29" s="14"/>
      <c r="H29" s="20">
        <f>H12-H24</f>
        <v>138016</v>
      </c>
      <c r="I29" s="14"/>
      <c r="J29" s="22">
        <f>IF(H$12=0,0,H29/H$12)</f>
        <v>0.51813059131368422</v>
      </c>
      <c r="K29" s="16"/>
      <c r="L29" s="20">
        <f>+D29-H29</f>
        <v>17421.100000000006</v>
      </c>
      <c r="M29" s="16"/>
      <c r="N29" s="22">
        <f>IF(H29=0,0,L29/H29)</f>
        <v>0.12622522026431723</v>
      </c>
      <c r="O29" s="29"/>
      <c r="P29" s="20">
        <f>P12-P24</f>
        <v>739970.94</v>
      </c>
      <c r="Q29" s="14"/>
      <c r="R29" s="22">
        <f>IF(P$12=0,0,P29/P$12)</f>
        <v>0.52153765883771241</v>
      </c>
      <c r="S29" s="14"/>
      <c r="T29" s="20">
        <f>T12-T24</f>
        <v>717721.2</v>
      </c>
      <c r="U29" s="14"/>
      <c r="V29" s="22">
        <f>IF(T$12=0,0,T29/T$12)</f>
        <v>0.51815854908918113</v>
      </c>
      <c r="W29" s="16"/>
      <c r="X29" s="20">
        <f>+P29-T29</f>
        <v>22249.739999999991</v>
      </c>
      <c r="Y29" s="16"/>
      <c r="Z29" s="22">
        <f>IF(T29=0,0,X29/T29)</f>
        <v>3.1000533354734391E-2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9" t="s">
        <v>9</v>
      </c>
      <c r="C31" s="10"/>
      <c r="D31" s="21">
        <f>SUM(OSRRefD22x_0)</f>
        <v>101756.24</v>
      </c>
      <c r="E31" s="21"/>
      <c r="F31" s="33">
        <f t="shared" ref="F31:F41" si="12">IF(D$12=0,0,D31/D$12)</f>
        <v>0.33833814769245257</v>
      </c>
      <c r="G31" s="21"/>
      <c r="H31" s="21">
        <f>SUM(OSRRefH22x_0)</f>
        <v>100201.63762513848</v>
      </c>
      <c r="I31" s="21"/>
      <c r="J31" s="33">
        <f t="shared" ref="J31:J41" si="13">IF(H$12=0,0,H31/H$12)</f>
        <v>0.3761703987458882</v>
      </c>
      <c r="K31" s="4"/>
      <c r="L31" s="21">
        <f t="shared" ref="L31:L41" si="14">+D31-H31</f>
        <v>1554.6023748615262</v>
      </c>
      <c r="M31" s="4"/>
      <c r="N31" s="33">
        <f t="shared" ref="N31:N41" si="15">IF(H31=0,0,L31/H31)</f>
        <v>1.551474019493978E-2</v>
      </c>
      <c r="O31" s="10"/>
      <c r="P31" s="21">
        <f>SUM(OSRRefP22x_0)</f>
        <v>538932.37999999989</v>
      </c>
      <c r="Q31" s="21"/>
      <c r="R31" s="33">
        <f t="shared" ref="R31:R41" si="16">IF(P$12=0,0,P31/P$12)</f>
        <v>0.37984401351901248</v>
      </c>
      <c r="S31" s="21"/>
      <c r="T31" s="21">
        <f>SUM(OSRRefT22x_0)</f>
        <v>519387.75073801156</v>
      </c>
      <c r="U31" s="21"/>
      <c r="V31" s="33">
        <f t="shared" ref="V31:V41" si="17">IF(T$12=0,0,T31/T$12)</f>
        <v>0.37497179035132494</v>
      </c>
      <c r="W31" s="4"/>
      <c r="X31" s="21">
        <f t="shared" ref="X31:X41" si="18">+P31-T31</f>
        <v>19544.629261988332</v>
      </c>
      <c r="Y31" s="4"/>
      <c r="Z31" s="33">
        <f t="shared" ref="Z31:Z41" si="19">IF(T31=0,0,X31/T31)</f>
        <v>3.7630131311754772E-2</v>
      </c>
    </row>
    <row r="32" spans="1:26" s="26" customFormat="1" outlineLevel="1" collapsed="1" x14ac:dyDescent="0.25">
      <c r="A32" s="27"/>
      <c r="B32" s="13" t="str">
        <f>CONCATENATE("     ","*Benefits                                         ")</f>
        <v xml:space="preserve">     *Benefits                                         </v>
      </c>
      <c r="C32" s="13"/>
      <c r="D32" s="1">
        <f>SUM(OSRRefD22_0x_0)</f>
        <v>14286.189999999999</v>
      </c>
      <c r="E32" s="1"/>
      <c r="F32" s="5">
        <f t="shared" si="12"/>
        <v>4.7501392171943838E-2</v>
      </c>
      <c r="G32" s="1"/>
      <c r="H32" s="1">
        <f>SUM(OSRRefH22_0x_0)</f>
        <v>12374.310163599999</v>
      </c>
      <c r="I32" s="1"/>
      <c r="J32" s="5">
        <f t="shared" si="13"/>
        <v>4.6454821485661081E-2</v>
      </c>
      <c r="K32" s="1"/>
      <c r="L32" s="1">
        <f t="shared" si="14"/>
        <v>1911.8798363999995</v>
      </c>
      <c r="M32" s="1"/>
      <c r="N32" s="5">
        <f t="shared" si="15"/>
        <v>0.15450395303844439</v>
      </c>
      <c r="O32" s="13"/>
      <c r="P32" s="1">
        <f>SUM(OSRRefP22_0x_0)</f>
        <v>72862.559999999998</v>
      </c>
      <c r="Q32" s="1"/>
      <c r="R32" s="5">
        <f t="shared" si="16"/>
        <v>5.1354136906136279E-2</v>
      </c>
      <c r="S32" s="1"/>
      <c r="T32" s="1">
        <f>SUM(OSRRefT22_0x_0)</f>
        <v>65182.183449549993</v>
      </c>
      <c r="U32" s="1"/>
      <c r="V32" s="5">
        <f t="shared" si="17"/>
        <v>4.7058252706877912E-2</v>
      </c>
      <c r="W32" s="1"/>
      <c r="X32" s="1">
        <f t="shared" si="18"/>
        <v>7680.3765504500043</v>
      </c>
      <c r="Y32" s="1"/>
      <c r="Z32" s="5">
        <f t="shared" si="19"/>
        <v>0.11782938441137826</v>
      </c>
    </row>
    <row r="33" spans="1:26" s="24" customFormat="1" hidden="1" outlineLevel="2" x14ac:dyDescent="0.25">
      <c r="A33" s="25"/>
      <c r="B33" s="11" t="str">
        <f>CONCATENATE("          ", "6111", " - ", "F.I.C.A.")</f>
        <v xml:space="preserve">          6111 - F.I.C.A.</v>
      </c>
      <c r="C33" s="11"/>
      <c r="D33" s="6">
        <v>1851.48</v>
      </c>
      <c r="E33" s="2"/>
      <c r="F33" s="7">
        <f t="shared" si="12"/>
        <v>6.1561464308195939E-3</v>
      </c>
      <c r="G33" s="2"/>
      <c r="H33" s="6">
        <v>1466.481753138461</v>
      </c>
      <c r="I33" s="2"/>
      <c r="J33" s="7">
        <f t="shared" si="13"/>
        <v>5.5053693622794395E-3</v>
      </c>
      <c r="K33" s="2"/>
      <c r="L33" s="6">
        <f t="shared" si="14"/>
        <v>384.99824686153897</v>
      </c>
      <c r="M33" s="2"/>
      <c r="N33" s="7">
        <f t="shared" si="15"/>
        <v>0.2625319040196667</v>
      </c>
      <c r="O33" s="11"/>
      <c r="P33" s="6">
        <v>12693.44</v>
      </c>
      <c r="Q33" s="2"/>
      <c r="R33" s="7">
        <f t="shared" si="16"/>
        <v>8.9464418429688244E-3</v>
      </c>
      <c r="S33" s="2"/>
      <c r="T33" s="6">
        <v>9159.8813220115371</v>
      </c>
      <c r="U33" s="2"/>
      <c r="V33" s="7">
        <f t="shared" si="17"/>
        <v>6.6129728586010678E-3</v>
      </c>
      <c r="W33" s="2"/>
      <c r="X33" s="6">
        <f t="shared" si="18"/>
        <v>3533.5586779884634</v>
      </c>
      <c r="Y33" s="2"/>
      <c r="Z33" s="7">
        <f t="shared" si="19"/>
        <v>0.3857646790136014</v>
      </c>
    </row>
    <row r="34" spans="1:26" s="24" customFormat="1" hidden="1" outlineLevel="2" x14ac:dyDescent="0.25">
      <c r="A34" s="25"/>
      <c r="B34" s="11" t="str">
        <f>CONCATENATE("          ", "6112", " - ", "COMPENSATION INSURANCE")</f>
        <v xml:space="preserve">          6112 - COMPENSATION INSURANCE</v>
      </c>
      <c r="C34" s="11"/>
      <c r="D34" s="6">
        <v>1174.08</v>
      </c>
      <c r="E34" s="2"/>
      <c r="F34" s="7">
        <f t="shared" si="12"/>
        <v>3.9038004199325235E-3</v>
      </c>
      <c r="G34" s="2"/>
      <c r="H34" s="6">
        <v>1054.683949230769</v>
      </c>
      <c r="I34" s="2"/>
      <c r="J34" s="7">
        <f t="shared" si="13"/>
        <v>3.9594251265359813E-3</v>
      </c>
      <c r="K34" s="2"/>
      <c r="L34" s="6">
        <f t="shared" si="14"/>
        <v>119.3960507692309</v>
      </c>
      <c r="M34" s="2"/>
      <c r="N34" s="7">
        <f t="shared" si="15"/>
        <v>0.11320552555702786</v>
      </c>
      <c r="O34" s="11"/>
      <c r="P34" s="6">
        <v>4041.84</v>
      </c>
      <c r="Q34" s="2"/>
      <c r="R34" s="7">
        <f t="shared" si="16"/>
        <v>2.8487223714442353E-3</v>
      </c>
      <c r="S34" s="2"/>
      <c r="T34" s="6">
        <v>5396.9181457692303</v>
      </c>
      <c r="U34" s="2"/>
      <c r="V34" s="7">
        <f t="shared" si="17"/>
        <v>3.8963030156624304E-3</v>
      </c>
      <c r="W34" s="2"/>
      <c r="X34" s="6">
        <f t="shared" si="18"/>
        <v>-1355.0781457692301</v>
      </c>
      <c r="Y34" s="2"/>
      <c r="Z34" s="7">
        <f t="shared" si="19"/>
        <v>-0.25108369428050475</v>
      </c>
    </row>
    <row r="35" spans="1:26" s="24" customFormat="1" hidden="1" outlineLevel="2" x14ac:dyDescent="0.25">
      <c r="A35" s="25"/>
      <c r="B35" s="11" t="str">
        <f>CONCATENATE("          ", "6113", " - ", "GROUP INSURANCE")</f>
        <v xml:space="preserve">          6113 - GROUP INSURANCE</v>
      </c>
      <c r="C35" s="11"/>
      <c r="D35" s="6">
        <v>6378.17</v>
      </c>
      <c r="E35" s="2"/>
      <c r="F35" s="7">
        <f t="shared" si="12"/>
        <v>2.1207330611543528E-2</v>
      </c>
      <c r="G35" s="2"/>
      <c r="H35" s="6">
        <v>5998</v>
      </c>
      <c r="I35" s="2"/>
      <c r="J35" s="7">
        <f t="shared" si="13"/>
        <v>2.2517297173512332E-2</v>
      </c>
      <c r="K35" s="2"/>
      <c r="L35" s="6">
        <f t="shared" si="14"/>
        <v>380.17000000000007</v>
      </c>
      <c r="M35" s="2"/>
      <c r="N35" s="7">
        <f t="shared" si="15"/>
        <v>6.3382794264754933E-2</v>
      </c>
      <c r="O35" s="11"/>
      <c r="P35" s="6">
        <v>32358.499999999996</v>
      </c>
      <c r="Q35" s="2"/>
      <c r="R35" s="7">
        <f t="shared" si="16"/>
        <v>2.2806539312881822E-2</v>
      </c>
      <c r="S35" s="2"/>
      <c r="T35" s="6">
        <v>29990</v>
      </c>
      <c r="U35" s="2"/>
      <c r="V35" s="7">
        <f t="shared" si="17"/>
        <v>2.1651269165777105E-2</v>
      </c>
      <c r="W35" s="2"/>
      <c r="X35" s="6">
        <f t="shared" si="18"/>
        <v>2368.4999999999964</v>
      </c>
      <c r="Y35" s="2"/>
      <c r="Z35" s="7">
        <f t="shared" si="19"/>
        <v>7.8976325441813822E-2</v>
      </c>
    </row>
    <row r="36" spans="1:26" s="24" customFormat="1" hidden="1" outlineLevel="2" x14ac:dyDescent="0.25">
      <c r="A36" s="25"/>
      <c r="B36" s="11" t="str">
        <f>CONCATENATE("          ", "6114", " - ", "STATE UNEMPLOYMENT INSURANCE")</f>
        <v xml:space="preserve">          6114 - STATE UNEMPLOYMENT INSURANCE</v>
      </c>
      <c r="C36" s="11"/>
      <c r="D36" s="6">
        <v>160.66</v>
      </c>
      <c r="E36" s="2"/>
      <c r="F36" s="7">
        <f t="shared" si="12"/>
        <v>5.3419236803825911E-4</v>
      </c>
      <c r="G36" s="2"/>
      <c r="H36" s="6">
        <v>144.32517200000001</v>
      </c>
      <c r="I36" s="2"/>
      <c r="J36" s="7">
        <f t="shared" si="13"/>
        <v>5.4181606994702916E-4</v>
      </c>
      <c r="K36" s="2"/>
      <c r="L36" s="6">
        <f t="shared" si="14"/>
        <v>16.334827999999987</v>
      </c>
      <c r="M36" s="2"/>
      <c r="N36" s="7">
        <f t="shared" si="15"/>
        <v>0.11318072775274424</v>
      </c>
      <c r="O36" s="11"/>
      <c r="P36" s="6">
        <v>691.55</v>
      </c>
      <c r="Q36" s="2"/>
      <c r="R36" s="7">
        <f t="shared" si="16"/>
        <v>4.874101785256865E-4</v>
      </c>
      <c r="S36" s="2"/>
      <c r="T36" s="6">
        <v>738.52564099999995</v>
      </c>
      <c r="U36" s="2"/>
      <c r="V36" s="7">
        <f t="shared" si="17"/>
        <v>5.331783074064378E-4</v>
      </c>
      <c r="W36" s="2"/>
      <c r="X36" s="6">
        <f t="shared" si="18"/>
        <v>-46.975640999999996</v>
      </c>
      <c r="Y36" s="2"/>
      <c r="Z36" s="7">
        <f t="shared" si="19"/>
        <v>-6.3607325720462016E-2</v>
      </c>
    </row>
    <row r="37" spans="1:26" s="24" customFormat="1" hidden="1" outlineLevel="2" x14ac:dyDescent="0.25">
      <c r="A37" s="25"/>
      <c r="B37" s="11" t="str">
        <f>CONCATENATE("          ", "6115", " - ", "P.E.R.S.")</f>
        <v xml:space="preserve">          6115 - P.E.R.S.</v>
      </c>
      <c r="C37" s="11"/>
      <c r="D37" s="6">
        <v>1497.9</v>
      </c>
      <c r="E37" s="2"/>
      <c r="F37" s="7">
        <f t="shared" si="12"/>
        <v>4.980497622833987E-3</v>
      </c>
      <c r="G37" s="2"/>
      <c r="H37" s="6">
        <v>1499.133212307692</v>
      </c>
      <c r="I37" s="2"/>
      <c r="J37" s="7">
        <f t="shared" si="13"/>
        <v>5.6279473231434568E-3</v>
      </c>
      <c r="K37" s="2"/>
      <c r="L37" s="6">
        <f t="shared" si="14"/>
        <v>-1.2332123076919288</v>
      </c>
      <c r="M37" s="2"/>
      <c r="N37" s="7">
        <f t="shared" si="15"/>
        <v>-8.2261689459443193E-4</v>
      </c>
      <c r="O37" s="11"/>
      <c r="P37" s="6">
        <v>8287.8799999999992</v>
      </c>
      <c r="Q37" s="2"/>
      <c r="R37" s="7">
        <f t="shared" si="16"/>
        <v>5.8413665973529984E-3</v>
      </c>
      <c r="S37" s="2"/>
      <c r="T37" s="6">
        <v>8245.2326676923076</v>
      </c>
      <c r="U37" s="2"/>
      <c r="V37" s="7">
        <f t="shared" si="17"/>
        <v>5.9526426082915831E-3</v>
      </c>
      <c r="W37" s="2"/>
      <c r="X37" s="6">
        <f t="shared" si="18"/>
        <v>42.647332307691613</v>
      </c>
      <c r="Y37" s="2"/>
      <c r="Z37" s="7">
        <f t="shared" si="19"/>
        <v>5.1723625064940505E-3</v>
      </c>
    </row>
    <row r="38" spans="1:26" s="24" customFormat="1" hidden="1" outlineLevel="2" x14ac:dyDescent="0.25">
      <c r="A38" s="25"/>
      <c r="B38" s="11" t="str">
        <f>CONCATENATE("          ", "6116", " - ", "EDUCATIONAL BENEFITS")</f>
        <v xml:space="preserve">          6116 - EDUCATIONAL BENEFITS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/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25">
      <c r="A39" s="25"/>
      <c r="B39" s="11" t="str">
        <f>CONCATENATE("          ", "6118", " - ", "VACATION")</f>
        <v xml:space="preserve">          6118 - VACATION</v>
      </c>
      <c r="C39" s="11"/>
      <c r="D39" s="6">
        <v>1823.14</v>
      </c>
      <c r="E39" s="2"/>
      <c r="F39" s="7">
        <f t="shared" si="12"/>
        <v>6.0619163068920193E-3</v>
      </c>
      <c r="G39" s="2"/>
      <c r="H39" s="6">
        <v>634.19329230769222</v>
      </c>
      <c r="I39" s="2"/>
      <c r="J39" s="7">
        <f t="shared" si="13"/>
        <v>2.3808467536412933E-3</v>
      </c>
      <c r="K39" s="2"/>
      <c r="L39" s="6">
        <f t="shared" si="14"/>
        <v>1188.9467076923079</v>
      </c>
      <c r="M39" s="2"/>
      <c r="N39" s="7">
        <f t="shared" si="15"/>
        <v>1.8747386989319739</v>
      </c>
      <c r="O39" s="11"/>
      <c r="P39" s="6">
        <v>6888.44</v>
      </c>
      <c r="Q39" s="2"/>
      <c r="R39" s="7">
        <f t="shared" si="16"/>
        <v>4.8550296727112715E-3</v>
      </c>
      <c r="S39" s="2"/>
      <c r="T39" s="6">
        <v>3481.5741076923077</v>
      </c>
      <c r="U39" s="2"/>
      <c r="V39" s="7">
        <f t="shared" si="17"/>
        <v>2.513521111245295E-3</v>
      </c>
      <c r="W39" s="2"/>
      <c r="X39" s="6">
        <f t="shared" si="18"/>
        <v>3406.8658923076919</v>
      </c>
      <c r="Y39" s="2"/>
      <c r="Z39" s="7">
        <f t="shared" si="19"/>
        <v>0.97854182818640767</v>
      </c>
    </row>
    <row r="40" spans="1:26" s="24" customFormat="1" hidden="1" outlineLevel="2" x14ac:dyDescent="0.25">
      <c r="A40" s="25"/>
      <c r="B40" s="11" t="str">
        <f>CONCATENATE("          ", "6119", " - ", "SICK LEAVE")</f>
        <v xml:space="preserve">          6119 - SICK LEAVE</v>
      </c>
      <c r="C40" s="11"/>
      <c r="D40" s="6">
        <v>788.12</v>
      </c>
      <c r="E40" s="2"/>
      <c r="F40" s="7">
        <f t="shared" si="12"/>
        <v>2.6204885416302301E-3</v>
      </c>
      <c r="G40" s="2"/>
      <c r="H40" s="6">
        <v>1577.4927846153851</v>
      </c>
      <c r="I40" s="2"/>
      <c r="J40" s="7">
        <f t="shared" si="13"/>
        <v>5.9221196766015517E-3</v>
      </c>
      <c r="K40" s="2"/>
      <c r="L40" s="6">
        <f t="shared" si="14"/>
        <v>-789.37278461538506</v>
      </c>
      <c r="M40" s="2"/>
      <c r="N40" s="7">
        <f t="shared" si="15"/>
        <v>-0.50039708093361912</v>
      </c>
      <c r="O40" s="11"/>
      <c r="P40" s="6">
        <v>4739.08</v>
      </c>
      <c r="Q40" s="2"/>
      <c r="R40" s="7">
        <f t="shared" si="16"/>
        <v>3.3401429091859018E-3</v>
      </c>
      <c r="S40" s="2"/>
      <c r="T40" s="6">
        <v>8045.0515653846169</v>
      </c>
      <c r="U40" s="2"/>
      <c r="V40" s="7">
        <f t="shared" si="17"/>
        <v>5.8081219371356714E-3</v>
      </c>
      <c r="W40" s="2"/>
      <c r="X40" s="6">
        <f t="shared" si="18"/>
        <v>-3305.971565384617</v>
      </c>
      <c r="Y40" s="2"/>
      <c r="Z40" s="7">
        <f t="shared" si="19"/>
        <v>-0.41093230273491299</v>
      </c>
    </row>
    <row r="41" spans="1:26" s="24" customFormat="1" hidden="1" outlineLevel="2" x14ac:dyDescent="0.25">
      <c r="A41" s="25"/>
      <c r="B41" s="11" t="str">
        <f>CONCATENATE("          ", "6156", " - ", "EMPLOYEE MEALS")</f>
        <v xml:space="preserve">          6156 - EMPLOYEE MEALS</v>
      </c>
      <c r="C41" s="11"/>
      <c r="D41" s="6">
        <v>612.64</v>
      </c>
      <c r="E41" s="2"/>
      <c r="F41" s="7">
        <f t="shared" si="12"/>
        <v>2.0370198702536978E-3</v>
      </c>
      <c r="G41" s="2"/>
      <c r="H41" s="6"/>
      <c r="I41" s="2"/>
      <c r="J41" s="7">
        <f t="shared" si="13"/>
        <v>0</v>
      </c>
      <c r="K41" s="2"/>
      <c r="L41" s="6">
        <f t="shared" si="14"/>
        <v>612.64</v>
      </c>
      <c r="M41" s="2"/>
      <c r="N41" s="7">
        <f t="shared" si="15"/>
        <v>0</v>
      </c>
      <c r="O41" s="11"/>
      <c r="P41" s="6">
        <v>3161.83</v>
      </c>
      <c r="Q41" s="2"/>
      <c r="R41" s="7">
        <f t="shared" si="16"/>
        <v>2.2284840210655358E-3</v>
      </c>
      <c r="S41" s="2"/>
      <c r="T41" s="6">
        <v>125</v>
      </c>
      <c r="U41" s="2"/>
      <c r="V41" s="7">
        <f t="shared" si="17"/>
        <v>9.0243702758324051E-5</v>
      </c>
      <c r="W41" s="2"/>
      <c r="X41" s="6">
        <f t="shared" si="18"/>
        <v>3036.83</v>
      </c>
      <c r="Y41" s="2"/>
      <c r="Z41" s="7">
        <f t="shared" si="19"/>
        <v>24.294640000000001</v>
      </c>
    </row>
    <row r="42" spans="1:26" s="26" customFormat="1" outlineLevel="1" collapsed="1" x14ac:dyDescent="0.25">
      <c r="A42" s="27"/>
      <c r="B42" s="13" t="str">
        <f>CONCATENATE("     ","*Payroll                                          ")</f>
        <v xml:space="preserve">     *Payroll                                          </v>
      </c>
      <c r="C42" s="13"/>
      <c r="D42" s="1">
        <f>SUM(OSRRefD22_1x_0)</f>
        <v>52691.03</v>
      </c>
      <c r="E42" s="1"/>
      <c r="F42" s="5">
        <f t="shared" ref="F42:F52" si="20">IF(D$12=0,0,D42/D$12)</f>
        <v>0.17519697553887062</v>
      </c>
      <c r="G42" s="1"/>
      <c r="H42" s="1">
        <f>SUM(OSRRefH22_1x_0)</f>
        <v>54226.327461538473</v>
      </c>
      <c r="I42" s="1"/>
      <c r="J42" s="5">
        <f t="shared" ref="J42:J52" si="21">IF(H$12=0,0,H42/H$12)</f>
        <v>0.203572912650826</v>
      </c>
      <c r="K42" s="1"/>
      <c r="L42" s="1">
        <f t="shared" ref="L42:L52" si="22">+D42-H42</f>
        <v>-1535.2974615384737</v>
      </c>
      <c r="M42" s="1"/>
      <c r="N42" s="5">
        <f t="shared" ref="N42:N52" si="23">IF(H42=0,0,L42/H42)</f>
        <v>-2.8312768601698613E-2</v>
      </c>
      <c r="O42" s="13"/>
      <c r="P42" s="1">
        <f>SUM(OSRRefP22_1x_0)</f>
        <v>272962.57999999996</v>
      </c>
      <c r="Q42" s="1"/>
      <c r="R42" s="5">
        <f t="shared" ref="R42:R52" si="24">IF(P$12=0,0,P42/P$12)</f>
        <v>0.19238629144477185</v>
      </c>
      <c r="S42" s="1"/>
      <c r="T42" s="1">
        <f>SUM(OSRRefT22_1x_0)</f>
        <v>277138.56728846161</v>
      </c>
      <c r="U42" s="1"/>
      <c r="V42" s="5">
        <f t="shared" ref="V42:V52" si="25">IF(T$12=0,0,T42/T$12)</f>
        <v>0.20008008391398174</v>
      </c>
      <c r="W42" s="1"/>
      <c r="X42" s="1">
        <f t="shared" ref="X42:X52" si="26">+P42-T42</f>
        <v>-4175.9872884616489</v>
      </c>
      <c r="Y42" s="1"/>
      <c r="Z42" s="5">
        <f t="shared" ref="Z42:Z52" si="27">IF(T42=0,0,X42/T42)</f>
        <v>-1.5068228609679733E-2</v>
      </c>
    </row>
    <row r="43" spans="1:26" s="24" customFormat="1" hidden="1" outlineLevel="2" x14ac:dyDescent="0.25">
      <c r="A43" s="25"/>
      <c r="B43" s="11" t="str">
        <f>CONCATENATE("          ", "6001", " - ", "ADMINISTRATIVE SALARIES")</f>
        <v xml:space="preserve">          6001 - ADMINISTRATIVE SALARIES</v>
      </c>
      <c r="C43" s="11"/>
      <c r="D43" s="6"/>
      <c r="E43" s="2"/>
      <c r="F43" s="7">
        <f t="shared" si="20"/>
        <v>0</v>
      </c>
      <c r="G43" s="2"/>
      <c r="H43" s="6">
        <v>12802.75246153847</v>
      </c>
      <c r="I43" s="2"/>
      <c r="J43" s="7">
        <f t="shared" si="21"/>
        <v>4.8063251386358488E-2</v>
      </c>
      <c r="K43" s="2"/>
      <c r="L43" s="6">
        <f t="shared" si="22"/>
        <v>-12802.75246153847</v>
      </c>
      <c r="M43" s="2"/>
      <c r="N43" s="7">
        <f t="shared" si="23"/>
        <v>-1</v>
      </c>
      <c r="O43" s="11"/>
      <c r="P43" s="6"/>
      <c r="Q43" s="2"/>
      <c r="R43" s="7">
        <f t="shared" si="24"/>
        <v>0</v>
      </c>
      <c r="S43" s="2"/>
      <c r="T43" s="6">
        <v>70415.138538461571</v>
      </c>
      <c r="U43" s="2"/>
      <c r="V43" s="7">
        <f t="shared" si="25"/>
        <v>5.0836182655609075E-2</v>
      </c>
      <c r="W43" s="2"/>
      <c r="X43" s="6">
        <f t="shared" si="26"/>
        <v>-70415.138538461571</v>
      </c>
      <c r="Y43" s="2"/>
      <c r="Z43" s="7">
        <f t="shared" si="27"/>
        <v>-1</v>
      </c>
    </row>
    <row r="44" spans="1:26" s="24" customFormat="1" hidden="1" outlineLevel="2" x14ac:dyDescent="0.25">
      <c r="A44" s="25"/>
      <c r="B44" s="11" t="str">
        <f>CONCATENATE("          ", "6002", " - ", "STAFF SALARIES")</f>
        <v xml:space="preserve">          6002 - STAFF SALARIES</v>
      </c>
      <c r="C44" s="11"/>
      <c r="D44" s="6">
        <v>15100.79</v>
      </c>
      <c r="E44" s="2"/>
      <c r="F44" s="7">
        <f t="shared" si="20"/>
        <v>5.0209926362183889E-2</v>
      </c>
      <c r="G44" s="2"/>
      <c r="H44" s="6">
        <v>3559.68</v>
      </c>
      <c r="I44" s="2"/>
      <c r="J44" s="7">
        <f t="shared" si="21"/>
        <v>1.3363516572625604E-2</v>
      </c>
      <c r="K44" s="2"/>
      <c r="L44" s="6">
        <f t="shared" si="22"/>
        <v>11541.11</v>
      </c>
      <c r="M44" s="2"/>
      <c r="N44" s="7">
        <f t="shared" si="23"/>
        <v>3.2421762630348798</v>
      </c>
      <c r="O44" s="11"/>
      <c r="P44" s="6">
        <v>86167.47</v>
      </c>
      <c r="Q44" s="2"/>
      <c r="R44" s="7">
        <f t="shared" si="24"/>
        <v>6.0731547879121883E-2</v>
      </c>
      <c r="S44" s="2"/>
      <c r="T44" s="6">
        <v>19578.240000000002</v>
      </c>
      <c r="U44" s="2"/>
      <c r="V44" s="7">
        <f t="shared" si="25"/>
        <v>1.4134502968729043E-2</v>
      </c>
      <c r="W44" s="2"/>
      <c r="X44" s="6">
        <f t="shared" si="26"/>
        <v>66589.23</v>
      </c>
      <c r="Y44" s="2"/>
      <c r="Z44" s="7">
        <f t="shared" si="27"/>
        <v>3.4011857041286646</v>
      </c>
    </row>
    <row r="45" spans="1:26" s="24" customFormat="1" hidden="1" outlineLevel="2" x14ac:dyDescent="0.25">
      <c r="A45" s="25"/>
      <c r="B45" s="11" t="str">
        <f>CONCATENATE("          ", "6003", " - ", "STAFF HOURLY-9 MONTH")</f>
        <v xml:space="preserve">          6003 - STAFF HOURLY-9 MONTH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5"/>
      <c r="B46" s="11" t="str">
        <f>CONCATENATE("          ", "6004", " - ", "STAFF HOURLY")</f>
        <v xml:space="preserve">          6004 - STAFF HOURLY</v>
      </c>
      <c r="C46" s="11"/>
      <c r="D46" s="6"/>
      <c r="E46" s="2"/>
      <c r="F46" s="7">
        <f t="shared" si="20"/>
        <v>0</v>
      </c>
      <c r="G46" s="2"/>
      <c r="H46" s="6">
        <v>1730.4</v>
      </c>
      <c r="I46" s="2"/>
      <c r="J46" s="7">
        <f t="shared" si="21"/>
        <v>6.4961538894707802E-3</v>
      </c>
      <c r="K46" s="2"/>
      <c r="L46" s="6">
        <f t="shared" si="22"/>
        <v>-1730.4</v>
      </c>
      <c r="M46" s="2"/>
      <c r="N46" s="7">
        <f t="shared" si="23"/>
        <v>-1</v>
      </c>
      <c r="O46" s="11"/>
      <c r="P46" s="6">
        <v>254.64</v>
      </c>
      <c r="Q46" s="2"/>
      <c r="R46" s="7">
        <f t="shared" si="24"/>
        <v>1.7947238501884289E-4</v>
      </c>
      <c r="S46" s="2"/>
      <c r="T46" s="6">
        <v>9300.9</v>
      </c>
      <c r="U46" s="2"/>
      <c r="V46" s="7">
        <f t="shared" si="25"/>
        <v>6.714781239879169E-3</v>
      </c>
      <c r="W46" s="2"/>
      <c r="X46" s="6">
        <f t="shared" si="26"/>
        <v>-9046.26</v>
      </c>
      <c r="Y46" s="2"/>
      <c r="Z46" s="7">
        <f t="shared" si="27"/>
        <v>-0.97262200432216239</v>
      </c>
    </row>
    <row r="47" spans="1:26" s="24" customFormat="1" hidden="1" outlineLevel="2" x14ac:dyDescent="0.25">
      <c r="A47" s="25"/>
      <c r="B47" s="11" t="str">
        <f>CONCATENATE("          ", "6005", " - ", "TEMPORARY WAGES-HOURLY")</f>
        <v xml:space="preserve">          6005 - TEMPORARY WAGES-HOURLY</v>
      </c>
      <c r="C47" s="11"/>
      <c r="D47" s="6">
        <v>6085.73</v>
      </c>
      <c r="E47" s="2"/>
      <c r="F47" s="7">
        <f t="shared" si="20"/>
        <v>2.0234971492228773E-2</v>
      </c>
      <c r="G47" s="2"/>
      <c r="H47" s="6">
        <v>1290.0999999999999</v>
      </c>
      <c r="I47" s="2"/>
      <c r="J47" s="7">
        <f t="shared" si="21"/>
        <v>4.8432085834525266E-3</v>
      </c>
      <c r="K47" s="2"/>
      <c r="L47" s="6">
        <f t="shared" si="22"/>
        <v>4795.6299999999992</v>
      </c>
      <c r="M47" s="2"/>
      <c r="N47" s="7">
        <f t="shared" si="23"/>
        <v>3.7172544763971782</v>
      </c>
      <c r="O47" s="11"/>
      <c r="P47" s="6">
        <v>33248.79</v>
      </c>
      <c r="Q47" s="2"/>
      <c r="R47" s="7">
        <f t="shared" si="24"/>
        <v>2.3434023092564617E-2</v>
      </c>
      <c r="S47" s="2"/>
      <c r="T47" s="6">
        <v>5527.06</v>
      </c>
      <c r="U47" s="2"/>
      <c r="V47" s="7">
        <f t="shared" si="25"/>
        <v>3.9902588781393807E-3</v>
      </c>
      <c r="W47" s="2"/>
      <c r="X47" s="6">
        <f t="shared" si="26"/>
        <v>27721.73</v>
      </c>
      <c r="Y47" s="2"/>
      <c r="Z47" s="7">
        <f t="shared" si="27"/>
        <v>5.0156376084211134</v>
      </c>
    </row>
    <row r="48" spans="1:26" s="24" customFormat="1" hidden="1" outlineLevel="2" x14ac:dyDescent="0.25">
      <c r="A48" s="25"/>
      <c r="B48" s="11" t="str">
        <f>CONCATENATE("          ", "6006", " - ", "TEMPORARY PART TIME")</f>
        <v xml:space="preserve">          6006 - TEMPORARY PART TIME</v>
      </c>
      <c r="C48" s="11"/>
      <c r="D48" s="6">
        <v>1792.23</v>
      </c>
      <c r="E48" s="2"/>
      <c r="F48" s="7">
        <f t="shared" si="20"/>
        <v>5.9591409670684001E-3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1792.23</v>
      </c>
      <c r="M48" s="2"/>
      <c r="N48" s="7">
        <f t="shared" si="23"/>
        <v>0</v>
      </c>
      <c r="O48" s="11"/>
      <c r="P48" s="6">
        <v>8481.2999999999993</v>
      </c>
      <c r="Q48" s="2"/>
      <c r="R48" s="7">
        <f t="shared" si="24"/>
        <v>5.9776906183644056E-3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8481.2999999999993</v>
      </c>
      <c r="Y48" s="2"/>
      <c r="Z48" s="7">
        <f t="shared" si="27"/>
        <v>0</v>
      </c>
    </row>
    <row r="49" spans="1:26" s="24" customFormat="1" hidden="1" outlineLevel="2" x14ac:dyDescent="0.25">
      <c r="A49" s="25"/>
      <c r="B49" s="11" t="str">
        <f>CONCATENATE("          ", "6007", " - ", "STUDENT HOURLY")</f>
        <v xml:space="preserve">          6007 - STUDENT HOURLY</v>
      </c>
      <c r="C49" s="11"/>
      <c r="D49" s="6">
        <v>28776.28</v>
      </c>
      <c r="E49" s="2"/>
      <c r="F49" s="7">
        <f t="shared" si="20"/>
        <v>9.5680749138130183E-2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28776.28</v>
      </c>
      <c r="M49" s="2"/>
      <c r="N49" s="7">
        <f t="shared" si="23"/>
        <v>0</v>
      </c>
      <c r="O49" s="11"/>
      <c r="P49" s="6">
        <v>137026.59</v>
      </c>
      <c r="Q49" s="2"/>
      <c r="R49" s="7">
        <f t="shared" si="24"/>
        <v>9.6577477687319863E-2</v>
      </c>
      <c r="S49" s="2"/>
      <c r="T49" s="6">
        <v>14410.143749999999</v>
      </c>
      <c r="U49" s="2"/>
      <c r="V49" s="7">
        <f t="shared" si="25"/>
        <v>1.0403397834237767E-2</v>
      </c>
      <c r="W49" s="2"/>
      <c r="X49" s="6">
        <f t="shared" si="26"/>
        <v>122616.44624999999</v>
      </c>
      <c r="Y49" s="2"/>
      <c r="Z49" s="7">
        <f t="shared" si="27"/>
        <v>8.509036993472046</v>
      </c>
    </row>
    <row r="50" spans="1:26" s="24" customFormat="1" hidden="1" outlineLevel="2" x14ac:dyDescent="0.25">
      <c r="A50" s="25"/>
      <c r="B50" s="11" t="str">
        <f>CONCATENATE("          ", "6008", " - ", "STUDENT HOURLY-FICA EXEMPT")</f>
        <v xml:space="preserve">          6008 - STUDENT HOURLY-FICA EXEMPT</v>
      </c>
      <c r="C50" s="11"/>
      <c r="D50" s="6">
        <v>936</v>
      </c>
      <c r="E50" s="2"/>
      <c r="F50" s="7">
        <f t="shared" si="20"/>
        <v>3.1121875792593711E-3</v>
      </c>
      <c r="G50" s="2"/>
      <c r="H50" s="6">
        <v>34843.395000000004</v>
      </c>
      <c r="I50" s="2"/>
      <c r="J50" s="7">
        <f t="shared" si="21"/>
        <v>0.13080678221891859</v>
      </c>
      <c r="K50" s="2"/>
      <c r="L50" s="6">
        <f t="shared" si="22"/>
        <v>-33907.395000000004</v>
      </c>
      <c r="M50" s="2"/>
      <c r="N50" s="7">
        <f t="shared" si="23"/>
        <v>-0.97313694604099288</v>
      </c>
      <c r="O50" s="11"/>
      <c r="P50" s="6">
        <v>7783.79</v>
      </c>
      <c r="Q50" s="2"/>
      <c r="R50" s="7">
        <f t="shared" si="24"/>
        <v>5.4860797823822619E-3</v>
      </c>
      <c r="S50" s="2"/>
      <c r="T50" s="6">
        <v>157907.08500000002</v>
      </c>
      <c r="U50" s="2"/>
      <c r="V50" s="7">
        <f t="shared" si="25"/>
        <v>0.1140009603373873</v>
      </c>
      <c r="W50" s="2"/>
      <c r="X50" s="6">
        <f t="shared" si="26"/>
        <v>-150123.29500000001</v>
      </c>
      <c r="Y50" s="2"/>
      <c r="Z50" s="7">
        <f t="shared" si="27"/>
        <v>-0.95070651833006725</v>
      </c>
    </row>
    <row r="51" spans="1:26" s="24" customFormat="1" hidden="1" outlineLevel="2" x14ac:dyDescent="0.25">
      <c r="A51" s="25"/>
      <c r="B51" s="11" t="str">
        <f>CONCATENATE("          ", "6009", " - ", "TEMPORARY-SEASONAL")</f>
        <v xml:space="preserve">          6009 - TEMPORARY-SEASONAL</v>
      </c>
      <c r="C51" s="11"/>
      <c r="D51" s="6"/>
      <c r="E51" s="2"/>
      <c r="F51" s="7">
        <f t="shared" si="20"/>
        <v>0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0</v>
      </c>
      <c r="Y51" s="2"/>
      <c r="Z51" s="7">
        <f t="shared" si="27"/>
        <v>0</v>
      </c>
    </row>
    <row r="52" spans="1:26" s="24" customFormat="1" hidden="1" outlineLevel="2" x14ac:dyDescent="0.25">
      <c r="A52" s="25"/>
      <c r="B52" s="11" t="str">
        <f>CONCATENATE("          ", "6010", " - ", "GRATUITY")</f>
        <v xml:space="preserve">          6010 - GRATUITY</v>
      </c>
      <c r="C52" s="11"/>
      <c r="D52" s="6"/>
      <c r="E52" s="2"/>
      <c r="F52" s="7">
        <f t="shared" si="20"/>
        <v>0</v>
      </c>
      <c r="G52" s="2"/>
      <c r="H52" s="6">
        <v>0</v>
      </c>
      <c r="I52" s="2"/>
      <c r="J52" s="7">
        <f t="shared" si="21"/>
        <v>0</v>
      </c>
      <c r="K52" s="2"/>
      <c r="L52" s="6">
        <f t="shared" si="22"/>
        <v>0</v>
      </c>
      <c r="M52" s="2"/>
      <c r="N52" s="7">
        <f t="shared" si="23"/>
        <v>0</v>
      </c>
      <c r="O52" s="11"/>
      <c r="P52" s="6"/>
      <c r="Q52" s="2"/>
      <c r="R52" s="7">
        <f t="shared" si="24"/>
        <v>0</v>
      </c>
      <c r="S52" s="2"/>
      <c r="T52" s="6">
        <v>0</v>
      </c>
      <c r="U52" s="2"/>
      <c r="V52" s="7">
        <f t="shared" si="25"/>
        <v>0</v>
      </c>
      <c r="W52" s="2"/>
      <c r="X52" s="6">
        <f t="shared" si="26"/>
        <v>0</v>
      </c>
      <c r="Y52" s="2"/>
      <c r="Z52" s="7">
        <f t="shared" si="27"/>
        <v>0</v>
      </c>
    </row>
    <row r="53" spans="1:26" s="26" customFormat="1" outlineLevel="1" collapsed="1" x14ac:dyDescent="0.25">
      <c r="A53" s="27"/>
      <c r="B53" s="13" t="str">
        <f>CONCATENATE("     ","Advertising/Promo                                 ")</f>
        <v xml:space="preserve">     Advertising/Promo                                 </v>
      </c>
      <c r="C53" s="13"/>
      <c r="D53" s="1">
        <f>SUM(OSRRefD22_2x_0)</f>
        <v>761.16</v>
      </c>
      <c r="E53" s="1"/>
      <c r="F53" s="5">
        <f t="shared" ref="F53:F62" si="28">IF(D$12=0,0,D53/D$12)</f>
        <v>2.5308468993900245E-3</v>
      </c>
      <c r="G53" s="1"/>
      <c r="H53" s="1">
        <f>SUM(OSRRefH22_2x_0)</f>
        <v>75</v>
      </c>
      <c r="I53" s="1"/>
      <c r="J53" s="5">
        <f t="shared" ref="J53:J62" si="29">IF(H$12=0,0,H53/H$12)</f>
        <v>2.8156006802491245E-4</v>
      </c>
      <c r="K53" s="1"/>
      <c r="L53" s="1">
        <f t="shared" ref="L53:L62" si="30">+D53-H53</f>
        <v>686.16</v>
      </c>
      <c r="M53" s="1"/>
      <c r="N53" s="5">
        <f t="shared" ref="N53:N62" si="31">IF(H53=0,0,L53/H53)</f>
        <v>9.1487999999999996</v>
      </c>
      <c r="O53" s="13"/>
      <c r="P53" s="1">
        <f>SUM(OSRRefP22_2x_0)</f>
        <v>1814.1</v>
      </c>
      <c r="Q53" s="1"/>
      <c r="R53" s="5">
        <f t="shared" ref="R53:R62" si="32">IF(P$12=0,0,P53/P$12)</f>
        <v>1.2785927335166624E-3</v>
      </c>
      <c r="S53" s="1"/>
      <c r="T53" s="1">
        <f>SUM(OSRRefT22_2x_0)</f>
        <v>525</v>
      </c>
      <c r="U53" s="1"/>
      <c r="V53" s="5">
        <f t="shared" ref="V53:V62" si="33">IF(T$12=0,0,T53/T$12)</f>
        <v>3.7902355158496101E-4</v>
      </c>
      <c r="W53" s="1"/>
      <c r="X53" s="1">
        <f t="shared" ref="X53:X62" si="34">+P53-T53</f>
        <v>1289.0999999999999</v>
      </c>
      <c r="Y53" s="1"/>
      <c r="Z53" s="5">
        <f t="shared" ref="Z53:Z62" si="35">IF(T53=0,0,X53/T53)</f>
        <v>2.4554285714285711</v>
      </c>
    </row>
    <row r="54" spans="1:26" s="24" customFormat="1" hidden="1" outlineLevel="2" x14ac:dyDescent="0.25">
      <c r="A54" s="25"/>
      <c r="B54" s="11" t="str">
        <f>CONCATENATE("          ", "6362", " - ", "ADVERTISING EXPENSE")</f>
        <v xml:space="preserve">          6362 - ADVERTISING EXPENSE</v>
      </c>
      <c r="C54" s="11"/>
      <c r="D54" s="6">
        <v>761.16</v>
      </c>
      <c r="E54" s="2"/>
      <c r="F54" s="7">
        <f t="shared" si="28"/>
        <v>2.5308468993900245E-3</v>
      </c>
      <c r="G54" s="2"/>
      <c r="H54" s="6">
        <v>75</v>
      </c>
      <c r="I54" s="2"/>
      <c r="J54" s="7">
        <f t="shared" si="29"/>
        <v>2.8156006802491245E-4</v>
      </c>
      <c r="K54" s="2"/>
      <c r="L54" s="6">
        <f t="shared" si="30"/>
        <v>686.16</v>
      </c>
      <c r="M54" s="2"/>
      <c r="N54" s="7">
        <f t="shared" si="31"/>
        <v>9.1487999999999996</v>
      </c>
      <c r="O54" s="11"/>
      <c r="P54" s="6">
        <v>1814.1</v>
      </c>
      <c r="Q54" s="2"/>
      <c r="R54" s="7">
        <f t="shared" si="32"/>
        <v>1.2785927335166624E-3</v>
      </c>
      <c r="S54" s="2"/>
      <c r="T54" s="6">
        <v>525</v>
      </c>
      <c r="U54" s="2"/>
      <c r="V54" s="7">
        <f t="shared" si="33"/>
        <v>3.7902355158496101E-4</v>
      </c>
      <c r="W54" s="2"/>
      <c r="X54" s="6">
        <f t="shared" si="34"/>
        <v>1289.0999999999999</v>
      </c>
      <c r="Y54" s="2"/>
      <c r="Z54" s="7">
        <f t="shared" si="35"/>
        <v>2.4554285714285711</v>
      </c>
    </row>
    <row r="55" spans="1:26" s="26" customFormat="1" outlineLevel="1" collapsed="1" x14ac:dyDescent="0.25">
      <c r="A55" s="27"/>
      <c r="B55" s="13" t="str">
        <f>CONCATENATE("     ","Bad Debts/Over/Short                              ")</f>
        <v xml:space="preserve">     Bad Debts/Over/Short                              </v>
      </c>
      <c r="C55" s="13"/>
      <c r="D55" s="1">
        <f>SUM(OSRRefD22_3x_0)</f>
        <v>-64.14</v>
      </c>
      <c r="E55" s="1"/>
      <c r="F55" s="5">
        <f t="shared" si="28"/>
        <v>-2.132646488607864E-4</v>
      </c>
      <c r="G55" s="1"/>
      <c r="H55" s="1">
        <f>SUM(OSRRefH22_3x_0)</f>
        <v>10</v>
      </c>
      <c r="I55" s="1"/>
      <c r="J55" s="5">
        <f t="shared" si="29"/>
        <v>3.7541342403321657E-5</v>
      </c>
      <c r="K55" s="1"/>
      <c r="L55" s="1">
        <f t="shared" si="30"/>
        <v>-74.14</v>
      </c>
      <c r="M55" s="1"/>
      <c r="N55" s="5">
        <f t="shared" si="31"/>
        <v>-7.4139999999999997</v>
      </c>
      <c r="O55" s="13"/>
      <c r="P55" s="1">
        <f>SUM(OSRRefP22_3x_0)</f>
        <v>-255.09</v>
      </c>
      <c r="Q55" s="1"/>
      <c r="R55" s="5">
        <f t="shared" si="32"/>
        <v>-1.7978954875297139E-4</v>
      </c>
      <c r="S55" s="1"/>
      <c r="T55" s="1">
        <f>SUM(OSRRefT22_3x_0)</f>
        <v>50</v>
      </c>
      <c r="U55" s="1"/>
      <c r="V55" s="5">
        <f t="shared" si="33"/>
        <v>3.6097481103329616E-5</v>
      </c>
      <c r="W55" s="1"/>
      <c r="X55" s="1">
        <f t="shared" si="34"/>
        <v>-305.09000000000003</v>
      </c>
      <c r="Y55" s="1"/>
      <c r="Z55" s="5">
        <f t="shared" si="35"/>
        <v>-6.1018000000000008</v>
      </c>
    </row>
    <row r="56" spans="1:26" s="24" customFormat="1" hidden="1" outlineLevel="2" x14ac:dyDescent="0.25">
      <c r="A56" s="25"/>
      <c r="B56" s="11" t="str">
        <f>CONCATENATE("          ", "6272", " - ", "CASH (OVER/SHORT)")</f>
        <v xml:space="preserve">          6272 - CASH (OVER/SHORT)</v>
      </c>
      <c r="C56" s="11"/>
      <c r="D56" s="6">
        <v>-64.14</v>
      </c>
      <c r="E56" s="2"/>
      <c r="F56" s="7">
        <f t="shared" si="28"/>
        <v>-2.132646488607864E-4</v>
      </c>
      <c r="G56" s="2"/>
      <c r="H56" s="6">
        <v>10</v>
      </c>
      <c r="I56" s="2"/>
      <c r="J56" s="7">
        <f t="shared" si="29"/>
        <v>3.7541342403321657E-5</v>
      </c>
      <c r="K56" s="2"/>
      <c r="L56" s="6">
        <f t="shared" si="30"/>
        <v>-74.14</v>
      </c>
      <c r="M56" s="2"/>
      <c r="N56" s="7">
        <f t="shared" si="31"/>
        <v>-7.4139999999999997</v>
      </c>
      <c r="O56" s="11"/>
      <c r="P56" s="6">
        <v>-255.09</v>
      </c>
      <c r="Q56" s="2"/>
      <c r="R56" s="7">
        <f t="shared" si="32"/>
        <v>-1.7978954875297139E-4</v>
      </c>
      <c r="S56" s="2"/>
      <c r="T56" s="6">
        <v>50</v>
      </c>
      <c r="U56" s="2"/>
      <c r="V56" s="7">
        <f t="shared" si="33"/>
        <v>3.6097481103329616E-5</v>
      </c>
      <c r="W56" s="2"/>
      <c r="X56" s="6">
        <f t="shared" si="34"/>
        <v>-305.09000000000003</v>
      </c>
      <c r="Y56" s="2"/>
      <c r="Z56" s="7">
        <f t="shared" si="35"/>
        <v>-6.1018000000000008</v>
      </c>
    </row>
    <row r="57" spans="1:26" s="26" customFormat="1" outlineLevel="1" collapsed="1" x14ac:dyDescent="0.25">
      <c r="A57" s="27"/>
      <c r="B57" s="13" t="str">
        <f>CONCATENATE("     ","Bank/card Fees                                    ")</f>
        <v xml:space="preserve">     Bank/card Fees                                    </v>
      </c>
      <c r="C57" s="13"/>
      <c r="D57" s="1">
        <f>SUM(OSRRefD22_4x_0)</f>
        <v>11733.15</v>
      </c>
      <c r="E57" s="1"/>
      <c r="F57" s="5">
        <f t="shared" si="28"/>
        <v>3.9012568050840905E-2</v>
      </c>
      <c r="G57" s="1"/>
      <c r="H57" s="1">
        <f>SUM(OSRRefH22_4x_0)</f>
        <v>8799</v>
      </c>
      <c r="I57" s="1"/>
      <c r="J57" s="5">
        <f t="shared" si="29"/>
        <v>3.3032627180682728E-2</v>
      </c>
      <c r="K57" s="1"/>
      <c r="L57" s="1">
        <f t="shared" si="30"/>
        <v>2934.1499999999996</v>
      </c>
      <c r="M57" s="1"/>
      <c r="N57" s="5">
        <f t="shared" si="31"/>
        <v>0.33346403000340946</v>
      </c>
      <c r="O57" s="13"/>
      <c r="P57" s="1">
        <f>SUM(OSRRefP22_4x_0)</f>
        <v>49492.5</v>
      </c>
      <c r="Q57" s="1"/>
      <c r="R57" s="5">
        <f t="shared" si="32"/>
        <v>3.4882724691898688E-2</v>
      </c>
      <c r="S57" s="1"/>
      <c r="T57" s="1">
        <f>SUM(OSRRefT22_4x_0)</f>
        <v>44271</v>
      </c>
      <c r="U57" s="1"/>
      <c r="V57" s="5">
        <f t="shared" si="33"/>
        <v>3.1961431718510111E-2</v>
      </c>
      <c r="W57" s="1"/>
      <c r="X57" s="1">
        <f t="shared" si="34"/>
        <v>5221.5</v>
      </c>
      <c r="Y57" s="1"/>
      <c r="Z57" s="5">
        <f t="shared" si="35"/>
        <v>0.11794402656366471</v>
      </c>
    </row>
    <row r="58" spans="1:26" s="24" customFormat="1" hidden="1" outlineLevel="2" x14ac:dyDescent="0.25">
      <c r="A58" s="25"/>
      <c r="B58" s="11" t="str">
        <f>CONCATENATE("          ", "6381", " - ", "BANK/CREDIT CARD FEES")</f>
        <v xml:space="preserve">          6381 - BANK/CREDIT CARD FEES</v>
      </c>
      <c r="C58" s="11"/>
      <c r="D58" s="6">
        <v>11733.15</v>
      </c>
      <c r="E58" s="2"/>
      <c r="F58" s="7">
        <f t="shared" si="28"/>
        <v>3.9012568050840905E-2</v>
      </c>
      <c r="G58" s="2"/>
      <c r="H58" s="6">
        <v>8799</v>
      </c>
      <c r="I58" s="2"/>
      <c r="J58" s="7">
        <f t="shared" si="29"/>
        <v>3.3032627180682728E-2</v>
      </c>
      <c r="K58" s="2"/>
      <c r="L58" s="6">
        <f t="shared" si="30"/>
        <v>2934.1499999999996</v>
      </c>
      <c r="M58" s="2"/>
      <c r="N58" s="7">
        <f t="shared" si="31"/>
        <v>0.33346403000340946</v>
      </c>
      <c r="O58" s="11"/>
      <c r="P58" s="6">
        <v>49492.5</v>
      </c>
      <c r="Q58" s="2"/>
      <c r="R58" s="7">
        <f t="shared" si="32"/>
        <v>3.4882724691898688E-2</v>
      </c>
      <c r="S58" s="2"/>
      <c r="T58" s="6">
        <v>44271</v>
      </c>
      <c r="U58" s="2"/>
      <c r="V58" s="7">
        <f t="shared" si="33"/>
        <v>3.1961431718510111E-2</v>
      </c>
      <c r="W58" s="2"/>
      <c r="X58" s="6">
        <f t="shared" si="34"/>
        <v>5221.5</v>
      </c>
      <c r="Y58" s="2"/>
      <c r="Z58" s="7">
        <f t="shared" si="35"/>
        <v>0.11794402656366471</v>
      </c>
    </row>
    <row r="59" spans="1:26" s="26" customFormat="1" outlineLevel="1" collapsed="1" x14ac:dyDescent="0.25">
      <c r="A59" s="27"/>
      <c r="B59" s="13" t="str">
        <f>CONCATENATE("     ","Depreciation                                      ")</f>
        <v xml:space="preserve">     Depreciation                                      </v>
      </c>
      <c r="C59" s="13"/>
      <c r="D59" s="1">
        <f>SUM(OSRRefD22_5x_0)</f>
        <v>8403.48</v>
      </c>
      <c r="E59" s="1"/>
      <c r="F59" s="5">
        <f t="shared" si="28"/>
        <v>2.794145948563519E-2</v>
      </c>
      <c r="G59" s="1"/>
      <c r="H59" s="1">
        <f>SUM(OSRRefH22_5x_0)</f>
        <v>9234</v>
      </c>
      <c r="I59" s="1"/>
      <c r="J59" s="5">
        <f t="shared" si="29"/>
        <v>3.466567557522722E-2</v>
      </c>
      <c r="K59" s="1"/>
      <c r="L59" s="1">
        <f t="shared" si="30"/>
        <v>-830.52000000000044</v>
      </c>
      <c r="M59" s="1"/>
      <c r="N59" s="5">
        <f t="shared" si="31"/>
        <v>-8.9941520467836308E-2</v>
      </c>
      <c r="O59" s="13"/>
      <c r="P59" s="1">
        <f>SUM(OSRRefP22_5x_0)</f>
        <v>42017.4</v>
      </c>
      <c r="Q59" s="1"/>
      <c r="R59" s="5">
        <f t="shared" si="32"/>
        <v>2.9614212183045593E-2</v>
      </c>
      <c r="S59" s="1"/>
      <c r="T59" s="1">
        <f>SUM(OSRRefT22_5x_0)</f>
        <v>43416</v>
      </c>
      <c r="U59" s="1"/>
      <c r="V59" s="5">
        <f t="shared" si="33"/>
        <v>3.1344164791643175E-2</v>
      </c>
      <c r="W59" s="1"/>
      <c r="X59" s="1">
        <f t="shared" si="34"/>
        <v>-1398.5999999999985</v>
      </c>
      <c r="Y59" s="1"/>
      <c r="Z59" s="5">
        <f t="shared" si="35"/>
        <v>-3.2213930348258674E-2</v>
      </c>
    </row>
    <row r="60" spans="1:26" s="24" customFormat="1" hidden="1" outlineLevel="2" x14ac:dyDescent="0.25">
      <c r="A60" s="25"/>
      <c r="B60" s="11" t="str">
        <f>CONCATENATE("          ", "6321", " - ", "BUILDING DEPRECIATION")</f>
        <v xml:space="preserve">          6321 - BUILDING DEPRECIATION</v>
      </c>
      <c r="C60" s="11"/>
      <c r="D60" s="6">
        <v>5080.51</v>
      </c>
      <c r="E60" s="2"/>
      <c r="F60" s="7">
        <f t="shared" si="28"/>
        <v>1.6892628331520328E-2</v>
      </c>
      <c r="G60" s="2"/>
      <c r="H60" s="6">
        <v>5081</v>
      </c>
      <c r="I60" s="2"/>
      <c r="J60" s="7">
        <f t="shared" si="29"/>
        <v>1.9074756075127736E-2</v>
      </c>
      <c r="K60" s="2"/>
      <c r="L60" s="6">
        <f t="shared" si="30"/>
        <v>-0.48999999999978172</v>
      </c>
      <c r="M60" s="2"/>
      <c r="N60" s="7">
        <f t="shared" si="31"/>
        <v>-9.6437709112336489E-5</v>
      </c>
      <c r="O60" s="11"/>
      <c r="P60" s="6">
        <v>25402.550000000003</v>
      </c>
      <c r="Q60" s="2"/>
      <c r="R60" s="7">
        <f t="shared" si="32"/>
        <v>1.7903928031968303E-2</v>
      </c>
      <c r="S60" s="2"/>
      <c r="T60" s="6">
        <v>25405</v>
      </c>
      <c r="U60" s="2"/>
      <c r="V60" s="7">
        <f t="shared" si="33"/>
        <v>1.8341130148601781E-2</v>
      </c>
      <c r="W60" s="2"/>
      <c r="X60" s="6">
        <f t="shared" si="34"/>
        <v>-2.4499999999970896</v>
      </c>
      <c r="Y60" s="2"/>
      <c r="Z60" s="7">
        <f t="shared" si="35"/>
        <v>-9.6437709112264891E-5</v>
      </c>
    </row>
    <row r="61" spans="1:26" s="24" customFormat="1" hidden="1" outlineLevel="2" x14ac:dyDescent="0.25">
      <c r="A61" s="25"/>
      <c r="B61" s="11" t="str">
        <f>CONCATENATE("          ", "6322", " - ", "EQUIPMENT DEPRECIATION EXPENSE")</f>
        <v xml:space="preserve">          6322 - EQUIPMENT DEPRECIATION EXPENSE</v>
      </c>
      <c r="C61" s="11"/>
      <c r="D61" s="6">
        <v>3322.97</v>
      </c>
      <c r="E61" s="2"/>
      <c r="F61" s="7">
        <f t="shared" si="28"/>
        <v>1.1048831154114864E-2</v>
      </c>
      <c r="G61" s="2"/>
      <c r="H61" s="6">
        <v>3175</v>
      </c>
      <c r="I61" s="2"/>
      <c r="J61" s="7">
        <f t="shared" si="29"/>
        <v>1.1919376213054627E-2</v>
      </c>
      <c r="K61" s="2"/>
      <c r="L61" s="6">
        <f t="shared" si="30"/>
        <v>147.9699999999998</v>
      </c>
      <c r="M61" s="2"/>
      <c r="N61" s="7">
        <f t="shared" si="31"/>
        <v>4.6604724409448753E-2</v>
      </c>
      <c r="O61" s="11"/>
      <c r="P61" s="6">
        <v>16614.849999999999</v>
      </c>
      <c r="Q61" s="2"/>
      <c r="R61" s="7">
        <f t="shared" si="32"/>
        <v>1.1710284151077293E-2</v>
      </c>
      <c r="S61" s="2"/>
      <c r="T61" s="6">
        <v>15875</v>
      </c>
      <c r="U61" s="2"/>
      <c r="V61" s="7">
        <f t="shared" si="33"/>
        <v>1.1460950250307154E-2</v>
      </c>
      <c r="W61" s="2"/>
      <c r="X61" s="6">
        <f t="shared" si="34"/>
        <v>739.84999999999854</v>
      </c>
      <c r="Y61" s="2"/>
      <c r="Z61" s="7">
        <f t="shared" si="35"/>
        <v>4.6604724409448725E-2</v>
      </c>
    </row>
    <row r="62" spans="1:26" s="24" customFormat="1" hidden="1" outlineLevel="2" x14ac:dyDescent="0.25">
      <c r="A62" s="25"/>
      <c r="B62" s="11" t="str">
        <f>CONCATENATE("          ", "6324", " - ", "FURNITURE + FIXT DEPRECIATION")</f>
        <v xml:space="preserve">          6324 - FURNITURE + FIXT DEPRECIATION</v>
      </c>
      <c r="C62" s="11"/>
      <c r="D62" s="6"/>
      <c r="E62" s="2"/>
      <c r="F62" s="7">
        <f t="shared" si="28"/>
        <v>0</v>
      </c>
      <c r="G62" s="2"/>
      <c r="H62" s="6">
        <v>978</v>
      </c>
      <c r="I62" s="2"/>
      <c r="J62" s="7">
        <f t="shared" si="29"/>
        <v>3.6715432870448581E-3</v>
      </c>
      <c r="K62" s="2"/>
      <c r="L62" s="6">
        <f t="shared" si="30"/>
        <v>-978</v>
      </c>
      <c r="M62" s="2"/>
      <c r="N62" s="7">
        <f t="shared" si="31"/>
        <v>-1</v>
      </c>
      <c r="O62" s="11"/>
      <c r="P62" s="6"/>
      <c r="Q62" s="2"/>
      <c r="R62" s="7">
        <f t="shared" si="32"/>
        <v>0</v>
      </c>
      <c r="S62" s="2"/>
      <c r="T62" s="6">
        <v>2136</v>
      </c>
      <c r="U62" s="2"/>
      <c r="V62" s="7">
        <f t="shared" si="33"/>
        <v>1.5420843927342414E-3</v>
      </c>
      <c r="W62" s="2"/>
      <c r="X62" s="6">
        <f t="shared" si="34"/>
        <v>-2136</v>
      </c>
      <c r="Y62" s="2"/>
      <c r="Z62" s="7">
        <f t="shared" si="35"/>
        <v>-1</v>
      </c>
    </row>
    <row r="63" spans="1:26" s="26" customFormat="1" outlineLevel="1" collapsed="1" x14ac:dyDescent="0.25">
      <c r="A63" s="27"/>
      <c r="B63" s="13" t="str">
        <f>CONCATENATE("     ","Discounts and Markdowns                           ")</f>
        <v xml:space="preserve">     Discounts and Markdowns                           </v>
      </c>
      <c r="C63" s="13"/>
      <c r="D63" s="1">
        <f>SUM(OSRRefD22_6x_0)</f>
        <v>10.59</v>
      </c>
      <c r="E63" s="1"/>
      <c r="F63" s="5">
        <f t="shared" ref="F63:F84" si="36">IF(D$12=0,0,D63/D$12)</f>
        <v>3.52116094704666E-5</v>
      </c>
      <c r="G63" s="1"/>
      <c r="H63" s="1">
        <f>SUM(OSRRefH22_6x_0)</f>
        <v>0</v>
      </c>
      <c r="I63" s="1"/>
      <c r="J63" s="5">
        <f t="shared" ref="J63:J84" si="37">IF(H$12=0,0,H63/H$12)</f>
        <v>0</v>
      </c>
      <c r="K63" s="1"/>
      <c r="L63" s="1">
        <f t="shared" ref="L63:L84" si="38">+D63-H63</f>
        <v>10.59</v>
      </c>
      <c r="M63" s="1"/>
      <c r="N63" s="5">
        <f t="shared" ref="N63:N84" si="39">IF(H63=0,0,L63/H63)</f>
        <v>0</v>
      </c>
      <c r="O63" s="13"/>
      <c r="P63" s="1">
        <f>SUM(OSRRefP22_6x_0)</f>
        <v>59.75</v>
      </c>
      <c r="Q63" s="1"/>
      <c r="R63" s="5">
        <f t="shared" ref="R63:R84" si="40">IF(P$12=0,0,P63/P$12)</f>
        <v>4.2112295809283162E-5</v>
      </c>
      <c r="S63" s="1"/>
      <c r="T63" s="1">
        <f>SUM(OSRRefT22_6x_0)</f>
        <v>0</v>
      </c>
      <c r="U63" s="1"/>
      <c r="V63" s="5">
        <f t="shared" ref="V63:V84" si="41">IF(T$12=0,0,T63/T$12)</f>
        <v>0</v>
      </c>
      <c r="W63" s="1"/>
      <c r="X63" s="1">
        <f t="shared" ref="X63:X84" si="42">+P63-T63</f>
        <v>59.75</v>
      </c>
      <c r="Y63" s="1"/>
      <c r="Z63" s="5">
        <f t="shared" ref="Z63:Z84" si="43">IF(T63=0,0,X63/T63)</f>
        <v>0</v>
      </c>
    </row>
    <row r="64" spans="1:26" s="24" customFormat="1" hidden="1" outlineLevel="2" x14ac:dyDescent="0.25">
      <c r="A64" s="25"/>
      <c r="B64" s="11" t="str">
        <f>CONCATENATE("          ", "6382", " - ", "DISCOUNTS/MARK DOWNS")</f>
        <v xml:space="preserve">          6382 - DISCOUNTS/MARK DOWNS</v>
      </c>
      <c r="C64" s="11"/>
      <c r="D64" s="6">
        <v>10.59</v>
      </c>
      <c r="E64" s="2"/>
      <c r="F64" s="7">
        <f t="shared" si="36"/>
        <v>3.52116094704666E-5</v>
      </c>
      <c r="G64" s="2"/>
      <c r="H64" s="6"/>
      <c r="I64" s="2"/>
      <c r="J64" s="7">
        <f t="shared" si="37"/>
        <v>0</v>
      </c>
      <c r="K64" s="2"/>
      <c r="L64" s="6">
        <f t="shared" si="38"/>
        <v>10.59</v>
      </c>
      <c r="M64" s="2"/>
      <c r="N64" s="7">
        <f t="shared" si="39"/>
        <v>0</v>
      </c>
      <c r="O64" s="11"/>
      <c r="P64" s="6">
        <v>59.75</v>
      </c>
      <c r="Q64" s="2"/>
      <c r="R64" s="7">
        <f t="shared" si="40"/>
        <v>4.2112295809283162E-5</v>
      </c>
      <c r="S64" s="2"/>
      <c r="T64" s="6"/>
      <c r="U64" s="2"/>
      <c r="V64" s="7">
        <f t="shared" si="41"/>
        <v>0</v>
      </c>
      <c r="W64" s="2"/>
      <c r="X64" s="6">
        <f t="shared" si="42"/>
        <v>59.75</v>
      </c>
      <c r="Y64" s="2"/>
      <c r="Z64" s="7">
        <f t="shared" si="43"/>
        <v>0</v>
      </c>
    </row>
    <row r="65" spans="1:26" s="26" customFormat="1" outlineLevel="1" collapsed="1" x14ac:dyDescent="0.25">
      <c r="A65" s="27"/>
      <c r="B65" s="13" t="str">
        <f>CONCATENATE("     ","Employees' Appreciation                           ")</f>
        <v xml:space="preserve">     Employees' Appreciation                           </v>
      </c>
      <c r="C65" s="13"/>
      <c r="D65" s="1">
        <f>SUM(OSRRefD22_7x_0)</f>
        <v>28.66</v>
      </c>
      <c r="E65" s="1"/>
      <c r="F65" s="5">
        <f t="shared" si="36"/>
        <v>9.529411968116835E-5</v>
      </c>
      <c r="G65" s="1"/>
      <c r="H65" s="1">
        <f>SUM(OSRRefH22_7x_0)</f>
        <v>25</v>
      </c>
      <c r="I65" s="1"/>
      <c r="J65" s="5">
        <f t="shared" si="37"/>
        <v>9.3853356008304146E-5</v>
      </c>
      <c r="K65" s="1"/>
      <c r="L65" s="1">
        <f t="shared" si="38"/>
        <v>3.66</v>
      </c>
      <c r="M65" s="1"/>
      <c r="N65" s="5">
        <f t="shared" si="39"/>
        <v>0.1464</v>
      </c>
      <c r="O65" s="13"/>
      <c r="P65" s="1">
        <f>SUM(OSRRefP22_7x_0)</f>
        <v>61.94</v>
      </c>
      <c r="Q65" s="1"/>
      <c r="R65" s="5">
        <f t="shared" si="40"/>
        <v>4.3655825982041818E-5</v>
      </c>
      <c r="S65" s="1"/>
      <c r="T65" s="1">
        <f>SUM(OSRRefT22_7x_0)</f>
        <v>125</v>
      </c>
      <c r="U65" s="1"/>
      <c r="V65" s="5">
        <f t="shared" si="41"/>
        <v>9.0243702758324051E-5</v>
      </c>
      <c r="W65" s="1"/>
      <c r="X65" s="1">
        <f t="shared" si="42"/>
        <v>-63.06</v>
      </c>
      <c r="Y65" s="1"/>
      <c r="Z65" s="5">
        <f t="shared" si="43"/>
        <v>-0.50448000000000004</v>
      </c>
    </row>
    <row r="66" spans="1:26" s="24" customFormat="1" hidden="1" outlineLevel="2" x14ac:dyDescent="0.25">
      <c r="A66" s="25"/>
      <c r="B66" s="11" t="str">
        <f>CONCATENATE("          ", "6277", " - ", "EMPLOYEE APPRECIATION")</f>
        <v xml:space="preserve">          6277 - EMPLOYEE APPRECIATION</v>
      </c>
      <c r="C66" s="11"/>
      <c r="D66" s="6">
        <v>28.66</v>
      </c>
      <c r="E66" s="2"/>
      <c r="F66" s="7">
        <f t="shared" si="36"/>
        <v>9.529411968116835E-5</v>
      </c>
      <c r="G66" s="2"/>
      <c r="H66" s="6">
        <v>25</v>
      </c>
      <c r="I66" s="2"/>
      <c r="J66" s="7">
        <f t="shared" si="37"/>
        <v>9.3853356008304146E-5</v>
      </c>
      <c r="K66" s="2"/>
      <c r="L66" s="6">
        <f t="shared" si="38"/>
        <v>3.66</v>
      </c>
      <c r="M66" s="2"/>
      <c r="N66" s="7">
        <f t="shared" si="39"/>
        <v>0.1464</v>
      </c>
      <c r="O66" s="11"/>
      <c r="P66" s="6">
        <v>61.94</v>
      </c>
      <c r="Q66" s="2"/>
      <c r="R66" s="7">
        <f t="shared" si="40"/>
        <v>4.3655825982041818E-5</v>
      </c>
      <c r="S66" s="2"/>
      <c r="T66" s="6">
        <v>125</v>
      </c>
      <c r="U66" s="2"/>
      <c r="V66" s="7">
        <f t="shared" si="41"/>
        <v>9.0243702758324051E-5</v>
      </c>
      <c r="W66" s="2"/>
      <c r="X66" s="6">
        <f t="shared" si="42"/>
        <v>-63.06</v>
      </c>
      <c r="Y66" s="2"/>
      <c r="Z66" s="7">
        <f t="shared" si="43"/>
        <v>-0.50448000000000004</v>
      </c>
    </row>
    <row r="67" spans="1:26" s="26" customFormat="1" outlineLevel="1" collapsed="1" x14ac:dyDescent="0.25">
      <c r="A67" s="27"/>
      <c r="B67" s="13" t="str">
        <f>CONCATENATE("     ","Equipment Rental                                  ")</f>
        <v xml:space="preserve">     Equipment Rental                                  </v>
      </c>
      <c r="C67" s="13"/>
      <c r="D67" s="1">
        <f>SUM(OSRRefD22_8x_0)</f>
        <v>100.99</v>
      </c>
      <c r="E67" s="1"/>
      <c r="F67" s="5">
        <f t="shared" si="36"/>
        <v>3.3579040986047421E-4</v>
      </c>
      <c r="G67" s="1"/>
      <c r="H67" s="1">
        <f>SUM(OSRRefH22_8x_0)</f>
        <v>80</v>
      </c>
      <c r="I67" s="1"/>
      <c r="J67" s="5">
        <f t="shared" si="37"/>
        <v>3.0033073922657326E-4</v>
      </c>
      <c r="K67" s="1"/>
      <c r="L67" s="1">
        <f t="shared" si="38"/>
        <v>20.989999999999995</v>
      </c>
      <c r="M67" s="1"/>
      <c r="N67" s="5">
        <f t="shared" si="39"/>
        <v>0.26237499999999991</v>
      </c>
      <c r="O67" s="13"/>
      <c r="P67" s="1">
        <f>SUM(OSRRefP22_8x_0)</f>
        <v>573.92999999999995</v>
      </c>
      <c r="Q67" s="1"/>
      <c r="R67" s="5">
        <f t="shared" si="40"/>
        <v>4.0451062650747921E-4</v>
      </c>
      <c r="S67" s="1"/>
      <c r="T67" s="1">
        <f>SUM(OSRRefT22_8x_0)</f>
        <v>400</v>
      </c>
      <c r="U67" s="1"/>
      <c r="V67" s="5">
        <f t="shared" si="41"/>
        <v>2.8877984882663693E-4</v>
      </c>
      <c r="W67" s="1"/>
      <c r="X67" s="1">
        <f t="shared" si="42"/>
        <v>173.92999999999995</v>
      </c>
      <c r="Y67" s="1"/>
      <c r="Z67" s="5">
        <f t="shared" si="43"/>
        <v>0.43482499999999985</v>
      </c>
    </row>
    <row r="68" spans="1:26" s="24" customFormat="1" hidden="1" outlineLevel="2" x14ac:dyDescent="0.25">
      <c r="A68" s="25"/>
      <c r="B68" s="11" t="str">
        <f>CONCATENATE("          ", "6351", " - ", "EQUIPMENT RENTAL")</f>
        <v xml:space="preserve">          6351 - EQUIPMENT RENTAL</v>
      </c>
      <c r="C68" s="11"/>
      <c r="D68" s="6">
        <v>100.99</v>
      </c>
      <c r="E68" s="2"/>
      <c r="F68" s="7">
        <f t="shared" si="36"/>
        <v>3.3579040986047421E-4</v>
      </c>
      <c r="G68" s="2"/>
      <c r="H68" s="6">
        <v>80</v>
      </c>
      <c r="I68" s="2"/>
      <c r="J68" s="7">
        <f t="shared" si="37"/>
        <v>3.0033073922657326E-4</v>
      </c>
      <c r="K68" s="2"/>
      <c r="L68" s="6">
        <f t="shared" si="38"/>
        <v>20.989999999999995</v>
      </c>
      <c r="M68" s="2"/>
      <c r="N68" s="7">
        <f t="shared" si="39"/>
        <v>0.26237499999999991</v>
      </c>
      <c r="O68" s="11"/>
      <c r="P68" s="6">
        <v>573.92999999999995</v>
      </c>
      <c r="Q68" s="2"/>
      <c r="R68" s="7">
        <f t="shared" si="40"/>
        <v>4.0451062650747921E-4</v>
      </c>
      <c r="S68" s="2"/>
      <c r="T68" s="6">
        <v>400</v>
      </c>
      <c r="U68" s="2"/>
      <c r="V68" s="7">
        <f t="shared" si="41"/>
        <v>2.8877984882663693E-4</v>
      </c>
      <c r="W68" s="2"/>
      <c r="X68" s="6">
        <f t="shared" si="42"/>
        <v>173.92999999999995</v>
      </c>
      <c r="Y68" s="2"/>
      <c r="Z68" s="7">
        <f t="shared" si="43"/>
        <v>0.43482499999999985</v>
      </c>
    </row>
    <row r="69" spans="1:26" s="26" customFormat="1" outlineLevel="1" collapsed="1" x14ac:dyDescent="0.25">
      <c r="A69" s="27"/>
      <c r="B69" s="13" t="str">
        <f>CONCATENATE("     ","Freight out/Postage                               ")</f>
        <v xml:space="preserve">     Freight out/Postage                               </v>
      </c>
      <c r="C69" s="13"/>
      <c r="D69" s="1">
        <f>SUM(OSRRefD22_9x_0)</f>
        <v>17.329999999999998</v>
      </c>
      <c r="E69" s="1"/>
      <c r="F69" s="5">
        <f t="shared" si="36"/>
        <v>5.7622020030518048E-5</v>
      </c>
      <c r="G69" s="1"/>
      <c r="H69" s="1">
        <f>SUM(OSRRefH22_9x_0)</f>
        <v>0</v>
      </c>
      <c r="I69" s="1"/>
      <c r="J69" s="5">
        <f t="shared" si="37"/>
        <v>0</v>
      </c>
      <c r="K69" s="1"/>
      <c r="L69" s="1">
        <f t="shared" si="38"/>
        <v>17.329999999999998</v>
      </c>
      <c r="M69" s="1"/>
      <c r="N69" s="5">
        <f t="shared" si="39"/>
        <v>0</v>
      </c>
      <c r="O69" s="13"/>
      <c r="P69" s="1">
        <f>SUM(OSRRefP22_9x_0)</f>
        <v>188.61</v>
      </c>
      <c r="Q69" s="1"/>
      <c r="R69" s="5">
        <f t="shared" si="40"/>
        <v>1.3293389309772214E-4</v>
      </c>
      <c r="S69" s="1"/>
      <c r="T69" s="1">
        <f>SUM(OSRRefT22_9x_0)</f>
        <v>0</v>
      </c>
      <c r="U69" s="1"/>
      <c r="V69" s="5">
        <f t="shared" si="41"/>
        <v>0</v>
      </c>
      <c r="W69" s="1"/>
      <c r="X69" s="1">
        <f t="shared" si="42"/>
        <v>188.61</v>
      </c>
      <c r="Y69" s="1"/>
      <c r="Z69" s="5">
        <f t="shared" si="43"/>
        <v>0</v>
      </c>
    </row>
    <row r="70" spans="1:26" s="24" customFormat="1" hidden="1" outlineLevel="2" x14ac:dyDescent="0.25">
      <c r="A70" s="25"/>
      <c r="B70" s="11" t="str">
        <f>CONCATENATE("          ", "6305", " - ", "FREIGHT OUT")</f>
        <v xml:space="preserve">          6305 - FREIGHT OUT</v>
      </c>
      <c r="C70" s="11"/>
      <c r="D70" s="6">
        <v>17.329999999999998</v>
      </c>
      <c r="E70" s="2"/>
      <c r="F70" s="7">
        <f t="shared" si="36"/>
        <v>5.7622020030518048E-5</v>
      </c>
      <c r="G70" s="2"/>
      <c r="H70" s="6"/>
      <c r="I70" s="2"/>
      <c r="J70" s="7">
        <f t="shared" si="37"/>
        <v>0</v>
      </c>
      <c r="K70" s="2"/>
      <c r="L70" s="6">
        <f t="shared" si="38"/>
        <v>17.329999999999998</v>
      </c>
      <c r="M70" s="2"/>
      <c r="N70" s="7">
        <f t="shared" si="39"/>
        <v>0</v>
      </c>
      <c r="O70" s="11"/>
      <c r="P70" s="6">
        <v>188.61</v>
      </c>
      <c r="Q70" s="2"/>
      <c r="R70" s="7">
        <f t="shared" si="40"/>
        <v>1.3293389309772214E-4</v>
      </c>
      <c r="S70" s="2"/>
      <c r="T70" s="6"/>
      <c r="U70" s="2"/>
      <c r="V70" s="7">
        <f t="shared" si="41"/>
        <v>0</v>
      </c>
      <c r="W70" s="2"/>
      <c r="X70" s="6">
        <f t="shared" si="42"/>
        <v>188.61</v>
      </c>
      <c r="Y70" s="2"/>
      <c r="Z70" s="7">
        <f t="shared" si="43"/>
        <v>0</v>
      </c>
    </row>
    <row r="71" spans="1:26" s="26" customFormat="1" outlineLevel="1" collapsed="1" x14ac:dyDescent="0.25">
      <c r="A71" s="27"/>
      <c r="B71" s="13" t="str">
        <f>CONCATENATE("     ","General                                           ")</f>
        <v xml:space="preserve">     General                                           </v>
      </c>
      <c r="C71" s="13"/>
      <c r="D71" s="1">
        <f>SUM(OSRRefD22_10x_0)</f>
        <v>549.33000000000004</v>
      </c>
      <c r="E71" s="1"/>
      <c r="F71" s="5">
        <f t="shared" si="36"/>
        <v>1.8265149603787932E-3</v>
      </c>
      <c r="G71" s="1"/>
      <c r="H71" s="1">
        <f>SUM(OSRRefH22_10x_0)</f>
        <v>964</v>
      </c>
      <c r="I71" s="1"/>
      <c r="J71" s="5">
        <f t="shared" si="37"/>
        <v>3.6189854076802076E-3</v>
      </c>
      <c r="K71" s="1"/>
      <c r="L71" s="1">
        <f t="shared" si="38"/>
        <v>-414.66999999999996</v>
      </c>
      <c r="M71" s="1"/>
      <c r="N71" s="5">
        <f t="shared" si="39"/>
        <v>-0.43015560165975097</v>
      </c>
      <c r="O71" s="13"/>
      <c r="P71" s="1">
        <f>SUM(OSRRefP22_10x_0)</f>
        <v>5963.19</v>
      </c>
      <c r="Q71" s="1"/>
      <c r="R71" s="5">
        <f t="shared" si="40"/>
        <v>4.2029057949281882E-3</v>
      </c>
      <c r="S71" s="1"/>
      <c r="T71" s="1">
        <f>SUM(OSRRefT22_10x_0)</f>
        <v>5468</v>
      </c>
      <c r="U71" s="1"/>
      <c r="V71" s="5">
        <f t="shared" si="41"/>
        <v>3.9476205334601274E-3</v>
      </c>
      <c r="W71" s="1"/>
      <c r="X71" s="1">
        <f t="shared" si="42"/>
        <v>495.1899999999996</v>
      </c>
      <c r="Y71" s="1"/>
      <c r="Z71" s="5">
        <f t="shared" si="43"/>
        <v>9.0561448427212796E-2</v>
      </c>
    </row>
    <row r="72" spans="1:26" s="24" customFormat="1" hidden="1" outlineLevel="2" x14ac:dyDescent="0.25">
      <c r="A72" s="25"/>
      <c r="B72" s="11" t="str">
        <f>CONCATENATE("          ", "6279", " - ", "GENERAL EXPENSE")</f>
        <v xml:space="preserve">          6279 - GENERAL EXPENSE</v>
      </c>
      <c r="C72" s="11"/>
      <c r="D72" s="6">
        <v>549.33000000000004</v>
      </c>
      <c r="E72" s="2"/>
      <c r="F72" s="7">
        <f t="shared" si="36"/>
        <v>1.8265149603787932E-3</v>
      </c>
      <c r="G72" s="2"/>
      <c r="H72" s="6">
        <v>964</v>
      </c>
      <c r="I72" s="2"/>
      <c r="J72" s="7">
        <f t="shared" si="37"/>
        <v>3.6189854076802076E-3</v>
      </c>
      <c r="K72" s="2"/>
      <c r="L72" s="6">
        <f t="shared" si="38"/>
        <v>-414.66999999999996</v>
      </c>
      <c r="M72" s="2"/>
      <c r="N72" s="7">
        <f t="shared" si="39"/>
        <v>-0.43015560165975097</v>
      </c>
      <c r="O72" s="11"/>
      <c r="P72" s="6">
        <v>5963.19</v>
      </c>
      <c r="Q72" s="2"/>
      <c r="R72" s="7">
        <f t="shared" si="40"/>
        <v>4.2029057949281882E-3</v>
      </c>
      <c r="S72" s="2"/>
      <c r="T72" s="6">
        <v>5468</v>
      </c>
      <c r="U72" s="2"/>
      <c r="V72" s="7">
        <f t="shared" si="41"/>
        <v>3.9476205334601274E-3</v>
      </c>
      <c r="W72" s="2"/>
      <c r="X72" s="6">
        <f t="shared" si="42"/>
        <v>495.1899999999996</v>
      </c>
      <c r="Y72" s="2"/>
      <c r="Z72" s="7">
        <f t="shared" si="43"/>
        <v>9.0561448427212796E-2</v>
      </c>
    </row>
    <row r="73" spans="1:26" s="26" customFormat="1" outlineLevel="1" collapsed="1" x14ac:dyDescent="0.25">
      <c r="A73" s="27"/>
      <c r="B73" s="13" t="str">
        <f>CONCATENATE("     ","Insurance                                         ")</f>
        <v xml:space="preserve">     Insurance                                         </v>
      </c>
      <c r="C73" s="13"/>
      <c r="D73" s="1">
        <f>SUM(OSRRefD22_11x_0)</f>
        <v>243.54</v>
      </c>
      <c r="E73" s="1"/>
      <c r="F73" s="5">
        <f t="shared" si="36"/>
        <v>8.0976726821883243E-4</v>
      </c>
      <c r="G73" s="1"/>
      <c r="H73" s="1">
        <f>SUM(OSRRefH22_11x_0)</f>
        <v>230</v>
      </c>
      <c r="I73" s="1"/>
      <c r="J73" s="5">
        <f t="shared" si="37"/>
        <v>8.6345087527639811E-4</v>
      </c>
      <c r="K73" s="1"/>
      <c r="L73" s="1">
        <f t="shared" si="38"/>
        <v>13.539999999999992</v>
      </c>
      <c r="M73" s="1"/>
      <c r="N73" s="5">
        <f t="shared" si="39"/>
        <v>5.886956521739127E-2</v>
      </c>
      <c r="O73" s="13"/>
      <c r="P73" s="1">
        <f>SUM(OSRRefP22_11x_0)</f>
        <v>1217.7</v>
      </c>
      <c r="Q73" s="1"/>
      <c r="R73" s="5">
        <f t="shared" si="40"/>
        <v>8.5824506455170046E-4</v>
      </c>
      <c r="S73" s="1"/>
      <c r="T73" s="1">
        <f>SUM(OSRRefT22_11x_0)</f>
        <v>1150</v>
      </c>
      <c r="U73" s="1"/>
      <c r="V73" s="5">
        <f t="shared" si="41"/>
        <v>8.3024206537658123E-4</v>
      </c>
      <c r="W73" s="1"/>
      <c r="X73" s="1">
        <f t="shared" si="42"/>
        <v>67.700000000000045</v>
      </c>
      <c r="Y73" s="1"/>
      <c r="Z73" s="5">
        <f t="shared" si="43"/>
        <v>5.8869565217391347E-2</v>
      </c>
    </row>
    <row r="74" spans="1:26" s="24" customFormat="1" hidden="1" outlineLevel="2" x14ac:dyDescent="0.25">
      <c r="A74" s="25"/>
      <c r="B74" s="11" t="str">
        <f>CONCATENATE("          ", "6314", " - ", "LIABILITY INSURANCE")</f>
        <v xml:space="preserve">          6314 - LIABILITY INSURANCE</v>
      </c>
      <c r="C74" s="11"/>
      <c r="D74" s="6">
        <v>243.54</v>
      </c>
      <c r="E74" s="2"/>
      <c r="F74" s="7">
        <f t="shared" si="36"/>
        <v>8.0976726821883243E-4</v>
      </c>
      <c r="G74" s="2"/>
      <c r="H74" s="6">
        <v>230</v>
      </c>
      <c r="I74" s="2"/>
      <c r="J74" s="7">
        <f t="shared" si="37"/>
        <v>8.6345087527639811E-4</v>
      </c>
      <c r="K74" s="2"/>
      <c r="L74" s="6">
        <f t="shared" si="38"/>
        <v>13.539999999999992</v>
      </c>
      <c r="M74" s="2"/>
      <c r="N74" s="7">
        <f t="shared" si="39"/>
        <v>5.886956521739127E-2</v>
      </c>
      <c r="O74" s="11"/>
      <c r="P74" s="6">
        <v>1217.7</v>
      </c>
      <c r="Q74" s="2"/>
      <c r="R74" s="7">
        <f t="shared" si="40"/>
        <v>8.5824506455170046E-4</v>
      </c>
      <c r="S74" s="2"/>
      <c r="T74" s="6">
        <v>1150</v>
      </c>
      <c r="U74" s="2"/>
      <c r="V74" s="7">
        <f t="shared" si="41"/>
        <v>8.3024206537658123E-4</v>
      </c>
      <c r="W74" s="2"/>
      <c r="X74" s="6">
        <f t="shared" si="42"/>
        <v>67.700000000000045</v>
      </c>
      <c r="Y74" s="2"/>
      <c r="Z74" s="7">
        <f t="shared" si="43"/>
        <v>5.8869565217391347E-2</v>
      </c>
    </row>
    <row r="75" spans="1:26" s="26" customFormat="1" outlineLevel="1" collapsed="1" x14ac:dyDescent="0.25">
      <c r="A75" s="27"/>
      <c r="B75" s="13" t="str">
        <f>CONCATENATE("     ","Interest                                          ")</f>
        <v xml:space="preserve">     Interest                                          </v>
      </c>
      <c r="C75" s="13"/>
      <c r="D75" s="1">
        <f>SUM(OSRRefD22_12x_0)</f>
        <v>4175</v>
      </c>
      <c r="E75" s="1"/>
      <c r="F75" s="5">
        <f t="shared" si="36"/>
        <v>1.3881819597657986E-2</v>
      </c>
      <c r="G75" s="1"/>
      <c r="H75" s="1">
        <f>SUM(OSRRefH22_12x_0)</f>
        <v>4175</v>
      </c>
      <c r="I75" s="1"/>
      <c r="J75" s="5">
        <f t="shared" si="37"/>
        <v>1.5673510453386792E-2</v>
      </c>
      <c r="K75" s="1"/>
      <c r="L75" s="1">
        <f t="shared" si="38"/>
        <v>0</v>
      </c>
      <c r="M75" s="1"/>
      <c r="N75" s="5">
        <f t="shared" si="39"/>
        <v>0</v>
      </c>
      <c r="O75" s="13"/>
      <c r="P75" s="1">
        <f>SUM(OSRRefP22_12x_0)</f>
        <v>20668.95</v>
      </c>
      <c r="Q75" s="1"/>
      <c r="R75" s="5">
        <f t="shared" si="40"/>
        <v>1.4567647472255786E-2</v>
      </c>
      <c r="S75" s="1"/>
      <c r="T75" s="1">
        <f>SUM(OSRRefT22_12x_0)</f>
        <v>20875</v>
      </c>
      <c r="U75" s="1"/>
      <c r="V75" s="5">
        <f t="shared" si="41"/>
        <v>1.5070698360640115E-2</v>
      </c>
      <c r="W75" s="1"/>
      <c r="X75" s="1">
        <f t="shared" si="42"/>
        <v>-206.04999999999927</v>
      </c>
      <c r="Y75" s="1"/>
      <c r="Z75" s="5">
        <f t="shared" si="43"/>
        <v>-9.8706586826346962E-3</v>
      </c>
    </row>
    <row r="76" spans="1:26" s="24" customFormat="1" hidden="1" outlineLevel="2" x14ac:dyDescent="0.25">
      <c r="A76" s="25"/>
      <c r="B76" s="11" t="str">
        <f>CONCATENATE("          ", "6401", " - ", "INTEREST EXPENSE")</f>
        <v xml:space="preserve">          6401 - INTEREST EXPENSE</v>
      </c>
      <c r="C76" s="11"/>
      <c r="D76" s="6">
        <v>4175</v>
      </c>
      <c r="E76" s="2"/>
      <c r="F76" s="7">
        <f t="shared" si="36"/>
        <v>1.3881819597657986E-2</v>
      </c>
      <c r="G76" s="2"/>
      <c r="H76" s="6">
        <v>4175</v>
      </c>
      <c r="I76" s="2"/>
      <c r="J76" s="7">
        <f t="shared" si="37"/>
        <v>1.5673510453386792E-2</v>
      </c>
      <c r="K76" s="2"/>
      <c r="L76" s="6">
        <f t="shared" si="38"/>
        <v>0</v>
      </c>
      <c r="M76" s="2"/>
      <c r="N76" s="7">
        <f t="shared" si="39"/>
        <v>0</v>
      </c>
      <c r="O76" s="11"/>
      <c r="P76" s="6">
        <v>20668.95</v>
      </c>
      <c r="Q76" s="2"/>
      <c r="R76" s="7">
        <f t="shared" si="40"/>
        <v>1.4567647472255786E-2</v>
      </c>
      <c r="S76" s="2"/>
      <c r="T76" s="6">
        <v>20875</v>
      </c>
      <c r="U76" s="2"/>
      <c r="V76" s="7">
        <f t="shared" si="41"/>
        <v>1.5070698360640115E-2</v>
      </c>
      <c r="W76" s="2"/>
      <c r="X76" s="6">
        <f t="shared" si="42"/>
        <v>-206.04999999999927</v>
      </c>
      <c r="Y76" s="2"/>
      <c r="Z76" s="7">
        <f t="shared" si="43"/>
        <v>-9.8706586826346962E-3</v>
      </c>
    </row>
    <row r="77" spans="1:26" s="26" customFormat="1" outlineLevel="1" collapsed="1" x14ac:dyDescent="0.25">
      <c r="A77" s="27"/>
      <c r="B77" s="13" t="str">
        <f>CONCATENATE("     ","R/H Commissions                                   ")</f>
        <v xml:space="preserve">     R/H Commissions                                   </v>
      </c>
      <c r="C77" s="13"/>
      <c r="D77" s="1">
        <f>SUM(OSRRefD22_13x_0)</f>
        <v>0</v>
      </c>
      <c r="E77" s="1"/>
      <c r="F77" s="5">
        <f t="shared" si="36"/>
        <v>0</v>
      </c>
      <c r="G77" s="1"/>
      <c r="H77" s="1">
        <f>SUM(OSRRefH22_13x_0)</f>
        <v>0</v>
      </c>
      <c r="I77" s="1"/>
      <c r="J77" s="5">
        <f t="shared" si="37"/>
        <v>0</v>
      </c>
      <c r="K77" s="1"/>
      <c r="L77" s="1">
        <f t="shared" si="38"/>
        <v>0</v>
      </c>
      <c r="M77" s="1"/>
      <c r="N77" s="5">
        <f t="shared" si="39"/>
        <v>0</v>
      </c>
      <c r="O77" s="13"/>
      <c r="P77" s="1">
        <f>SUM(OSRRefP22_13x_0)</f>
        <v>0</v>
      </c>
      <c r="Q77" s="1"/>
      <c r="R77" s="5">
        <f t="shared" si="40"/>
        <v>0</v>
      </c>
      <c r="S77" s="1"/>
      <c r="T77" s="1">
        <f>SUM(OSRRefT22_13x_0)</f>
        <v>0</v>
      </c>
      <c r="U77" s="1"/>
      <c r="V77" s="5">
        <f t="shared" si="41"/>
        <v>0</v>
      </c>
      <c r="W77" s="1"/>
      <c r="X77" s="1">
        <f t="shared" si="42"/>
        <v>0</v>
      </c>
      <c r="Y77" s="1"/>
      <c r="Z77" s="5">
        <f t="shared" si="43"/>
        <v>0</v>
      </c>
    </row>
    <row r="78" spans="1:26" s="24" customFormat="1" hidden="1" outlineLevel="2" x14ac:dyDescent="0.25">
      <c r="A78" s="25"/>
      <c r="B78" s="11" t="str">
        <f>CONCATENATE("          ", "6387", " - ", "COMMISSION DUE HOUSING")</f>
        <v xml:space="preserve">          6387 - COMMISSION DUE HOUSING</v>
      </c>
      <c r="C78" s="11"/>
      <c r="D78" s="6"/>
      <c r="E78" s="2"/>
      <c r="F78" s="7">
        <f t="shared" si="36"/>
        <v>0</v>
      </c>
      <c r="G78" s="2"/>
      <c r="H78" s="6"/>
      <c r="I78" s="2"/>
      <c r="J78" s="7">
        <f t="shared" si="37"/>
        <v>0</v>
      </c>
      <c r="K78" s="2"/>
      <c r="L78" s="6">
        <f t="shared" si="38"/>
        <v>0</v>
      </c>
      <c r="M78" s="2"/>
      <c r="N78" s="7">
        <f t="shared" si="39"/>
        <v>0</v>
      </c>
      <c r="O78" s="11"/>
      <c r="P78" s="6"/>
      <c r="Q78" s="2"/>
      <c r="R78" s="7">
        <f t="shared" si="40"/>
        <v>0</v>
      </c>
      <c r="S78" s="2"/>
      <c r="T78" s="6">
        <v>0</v>
      </c>
      <c r="U78" s="2"/>
      <c r="V78" s="7">
        <f t="shared" si="41"/>
        <v>0</v>
      </c>
      <c r="W78" s="2"/>
      <c r="X78" s="6">
        <f t="shared" si="42"/>
        <v>0</v>
      </c>
      <c r="Y78" s="2"/>
      <c r="Z78" s="7">
        <f t="shared" si="43"/>
        <v>0</v>
      </c>
    </row>
    <row r="79" spans="1:26" s="26" customFormat="1" outlineLevel="1" collapsed="1" x14ac:dyDescent="0.25">
      <c r="A79" s="27"/>
      <c r="B79" s="13" t="str">
        <f>CONCATENATE("     ","Rent                                              ")</f>
        <v xml:space="preserve">     Rent                                              </v>
      </c>
      <c r="C79" s="13"/>
      <c r="D79" s="1">
        <f>SUM(OSRRefD22_14x_0)</f>
        <v>1150</v>
      </c>
      <c r="E79" s="1"/>
      <c r="F79" s="5">
        <f t="shared" si="36"/>
        <v>3.8237347394746548E-3</v>
      </c>
      <c r="G79" s="1"/>
      <c r="H79" s="1">
        <f>SUM(OSRRefH22_14x_0)</f>
        <v>1150</v>
      </c>
      <c r="I79" s="1"/>
      <c r="J79" s="5">
        <f t="shared" si="37"/>
        <v>4.3172543763819911E-3</v>
      </c>
      <c r="K79" s="1"/>
      <c r="L79" s="1">
        <f t="shared" si="38"/>
        <v>0</v>
      </c>
      <c r="M79" s="1"/>
      <c r="N79" s="5">
        <f t="shared" si="39"/>
        <v>0</v>
      </c>
      <c r="O79" s="13"/>
      <c r="P79" s="1">
        <f>SUM(OSRRefP22_14x_0)</f>
        <v>5750</v>
      </c>
      <c r="Q79" s="1"/>
      <c r="R79" s="5">
        <f t="shared" si="40"/>
        <v>4.0526477138640698E-3</v>
      </c>
      <c r="S79" s="1"/>
      <c r="T79" s="1">
        <f>SUM(OSRRefT22_14x_0)</f>
        <v>5750</v>
      </c>
      <c r="U79" s="1"/>
      <c r="V79" s="5">
        <f t="shared" si="41"/>
        <v>4.151210326882906E-3</v>
      </c>
      <c r="W79" s="1"/>
      <c r="X79" s="1">
        <f t="shared" si="42"/>
        <v>0</v>
      </c>
      <c r="Y79" s="1"/>
      <c r="Z79" s="5">
        <f t="shared" si="43"/>
        <v>0</v>
      </c>
    </row>
    <row r="80" spans="1:26" s="24" customFormat="1" hidden="1" outlineLevel="2" x14ac:dyDescent="0.25">
      <c r="A80" s="25"/>
      <c r="B80" s="11" t="str">
        <f>CONCATENATE("          ", "6273", " - ", "RENT")</f>
        <v xml:space="preserve">          6273 - RENT</v>
      </c>
      <c r="C80" s="11"/>
      <c r="D80" s="6">
        <v>1150</v>
      </c>
      <c r="E80" s="2"/>
      <c r="F80" s="7">
        <f t="shared" si="36"/>
        <v>3.8237347394746548E-3</v>
      </c>
      <c r="G80" s="2"/>
      <c r="H80" s="6">
        <v>1150</v>
      </c>
      <c r="I80" s="2"/>
      <c r="J80" s="7">
        <f t="shared" si="37"/>
        <v>4.3172543763819911E-3</v>
      </c>
      <c r="K80" s="2"/>
      <c r="L80" s="6">
        <f t="shared" si="38"/>
        <v>0</v>
      </c>
      <c r="M80" s="2"/>
      <c r="N80" s="7">
        <f t="shared" si="39"/>
        <v>0</v>
      </c>
      <c r="O80" s="11"/>
      <c r="P80" s="6">
        <v>5750</v>
      </c>
      <c r="Q80" s="2"/>
      <c r="R80" s="7">
        <f t="shared" si="40"/>
        <v>4.0526477138640698E-3</v>
      </c>
      <c r="S80" s="2"/>
      <c r="T80" s="6">
        <v>5750</v>
      </c>
      <c r="U80" s="2"/>
      <c r="V80" s="7">
        <f t="shared" si="41"/>
        <v>4.151210326882906E-3</v>
      </c>
      <c r="W80" s="2"/>
      <c r="X80" s="6">
        <f t="shared" si="42"/>
        <v>0</v>
      </c>
      <c r="Y80" s="2"/>
      <c r="Z80" s="7">
        <f t="shared" si="43"/>
        <v>0</v>
      </c>
    </row>
    <row r="81" spans="1:26" s="26" customFormat="1" outlineLevel="1" collapsed="1" x14ac:dyDescent="0.25">
      <c r="A81" s="27"/>
      <c r="B81" s="13" t="str">
        <f>CONCATENATE("     ","Repair and Maintenance                            ")</f>
        <v xml:space="preserve">     Repair and Maintenance                            </v>
      </c>
      <c r="C81" s="13"/>
      <c r="D81" s="1">
        <f>SUM(OSRRefD22_15x_0)</f>
        <v>1371.4</v>
      </c>
      <c r="E81" s="1"/>
      <c r="F81" s="5">
        <f t="shared" si="36"/>
        <v>4.5598868014917757E-3</v>
      </c>
      <c r="G81" s="1"/>
      <c r="H81" s="1">
        <f>SUM(OSRRefH22_15x_0)</f>
        <v>1054</v>
      </c>
      <c r="I81" s="1"/>
      <c r="J81" s="5">
        <f t="shared" si="37"/>
        <v>3.9568574893101031E-3</v>
      </c>
      <c r="K81" s="1"/>
      <c r="L81" s="1">
        <f t="shared" si="38"/>
        <v>317.40000000000009</v>
      </c>
      <c r="M81" s="1"/>
      <c r="N81" s="5">
        <f t="shared" si="39"/>
        <v>0.30113851992409874</v>
      </c>
      <c r="O81" s="13"/>
      <c r="P81" s="1">
        <f>SUM(OSRRefP22_15x_0)</f>
        <v>11169.2</v>
      </c>
      <c r="Q81" s="1"/>
      <c r="R81" s="5">
        <f t="shared" si="40"/>
        <v>7.8721448427287941E-3</v>
      </c>
      <c r="S81" s="1"/>
      <c r="T81" s="1">
        <f>SUM(OSRRefT22_15x_0)</f>
        <v>8053</v>
      </c>
      <c r="U81" s="1"/>
      <c r="V81" s="5">
        <f t="shared" si="41"/>
        <v>5.8138603065022686E-3</v>
      </c>
      <c r="W81" s="1"/>
      <c r="X81" s="1">
        <f t="shared" si="42"/>
        <v>3116.2000000000007</v>
      </c>
      <c r="Y81" s="1"/>
      <c r="Z81" s="5">
        <f t="shared" si="43"/>
        <v>0.38696138085185655</v>
      </c>
    </row>
    <row r="82" spans="1:26" s="24" customFormat="1" hidden="1" outlineLevel="2" x14ac:dyDescent="0.25">
      <c r="A82" s="25"/>
      <c r="B82" s="11" t="str">
        <f>CONCATENATE("          ", "6371", " - ", "COMPUTER SOFTWARE MAINTENANCE")</f>
        <v xml:space="preserve">          6371 - COMPUTER SOFTWARE MAINTENANCE</v>
      </c>
      <c r="C82" s="11"/>
      <c r="D82" s="6"/>
      <c r="E82" s="2"/>
      <c r="F82" s="7">
        <f t="shared" si="36"/>
        <v>0</v>
      </c>
      <c r="G82" s="2"/>
      <c r="H82" s="6"/>
      <c r="I82" s="2"/>
      <c r="J82" s="7">
        <f t="shared" si="37"/>
        <v>0</v>
      </c>
      <c r="K82" s="2"/>
      <c r="L82" s="6">
        <f t="shared" si="38"/>
        <v>0</v>
      </c>
      <c r="M82" s="2"/>
      <c r="N82" s="7">
        <f t="shared" si="39"/>
        <v>0</v>
      </c>
      <c r="O82" s="11"/>
      <c r="P82" s="6">
        <v>1311.93</v>
      </c>
      <c r="Q82" s="2"/>
      <c r="R82" s="7">
        <f t="shared" si="40"/>
        <v>9.2465915047820681E-4</v>
      </c>
      <c r="S82" s="2"/>
      <c r="T82" s="6">
        <v>0</v>
      </c>
      <c r="U82" s="2"/>
      <c r="V82" s="7">
        <f t="shared" si="41"/>
        <v>0</v>
      </c>
      <c r="W82" s="2"/>
      <c r="X82" s="6">
        <f t="shared" si="42"/>
        <v>1311.93</v>
      </c>
      <c r="Y82" s="2"/>
      <c r="Z82" s="7">
        <f t="shared" si="43"/>
        <v>0</v>
      </c>
    </row>
    <row r="83" spans="1:26" s="24" customFormat="1" hidden="1" outlineLevel="2" x14ac:dyDescent="0.25">
      <c r="A83" s="25"/>
      <c r="B83" s="11" t="str">
        <f>CONCATENATE("          ", "6373", " - ", "MAINTENANCE CONTRACTS")</f>
        <v xml:space="preserve">          6373 - MAINTENANCE CONTRACTS</v>
      </c>
      <c r="C83" s="11"/>
      <c r="D83" s="6"/>
      <c r="E83" s="2"/>
      <c r="F83" s="7">
        <f t="shared" si="36"/>
        <v>0</v>
      </c>
      <c r="G83" s="2"/>
      <c r="H83" s="6"/>
      <c r="I83" s="2"/>
      <c r="J83" s="7">
        <f t="shared" si="37"/>
        <v>0</v>
      </c>
      <c r="K83" s="2"/>
      <c r="L83" s="6">
        <f t="shared" si="38"/>
        <v>0</v>
      </c>
      <c r="M83" s="2"/>
      <c r="N83" s="7">
        <f t="shared" si="39"/>
        <v>0</v>
      </c>
      <c r="O83" s="11"/>
      <c r="P83" s="6">
        <v>285.32</v>
      </c>
      <c r="Q83" s="2"/>
      <c r="R83" s="7">
        <f t="shared" si="40"/>
        <v>2.0109590360342544E-4</v>
      </c>
      <c r="S83" s="2"/>
      <c r="T83" s="6"/>
      <c r="U83" s="2"/>
      <c r="V83" s="7">
        <f t="shared" si="41"/>
        <v>0</v>
      </c>
      <c r="W83" s="2"/>
      <c r="X83" s="6">
        <f t="shared" si="42"/>
        <v>285.32</v>
      </c>
      <c r="Y83" s="2"/>
      <c r="Z83" s="7">
        <f t="shared" si="43"/>
        <v>0</v>
      </c>
    </row>
    <row r="84" spans="1:26" s="24" customFormat="1" hidden="1" outlineLevel="2" x14ac:dyDescent="0.25">
      <c r="A84" s="25"/>
      <c r="B84" s="11" t="str">
        <f>CONCATENATE("          ", "6375", " - ", "OUTSIDE REPAIRS &amp; MAINTENANCE")</f>
        <v xml:space="preserve">          6375 - OUTSIDE REPAIRS &amp; MAINTENANCE</v>
      </c>
      <c r="C84" s="11"/>
      <c r="D84" s="6">
        <v>1371.4</v>
      </c>
      <c r="E84" s="2"/>
      <c r="F84" s="7">
        <f t="shared" si="36"/>
        <v>4.5598868014917757E-3</v>
      </c>
      <c r="G84" s="2"/>
      <c r="H84" s="6">
        <v>1054</v>
      </c>
      <c r="I84" s="2"/>
      <c r="J84" s="7">
        <f t="shared" si="37"/>
        <v>3.9568574893101031E-3</v>
      </c>
      <c r="K84" s="2"/>
      <c r="L84" s="6">
        <f t="shared" si="38"/>
        <v>317.40000000000009</v>
      </c>
      <c r="M84" s="2"/>
      <c r="N84" s="7">
        <f t="shared" si="39"/>
        <v>0.30113851992409874</v>
      </c>
      <c r="O84" s="11"/>
      <c r="P84" s="6">
        <v>9571.9500000000007</v>
      </c>
      <c r="Q84" s="2"/>
      <c r="R84" s="7">
        <f t="shared" si="40"/>
        <v>6.7463897886471625E-3</v>
      </c>
      <c r="S84" s="2"/>
      <c r="T84" s="6">
        <v>8053</v>
      </c>
      <c r="U84" s="2"/>
      <c r="V84" s="7">
        <f t="shared" si="41"/>
        <v>5.8138603065022686E-3</v>
      </c>
      <c r="W84" s="2"/>
      <c r="X84" s="6">
        <f t="shared" si="42"/>
        <v>1518.9500000000007</v>
      </c>
      <c r="Y84" s="2"/>
      <c r="Z84" s="7">
        <f t="shared" si="43"/>
        <v>0.18861914814354908</v>
      </c>
    </row>
    <row r="85" spans="1:26" s="26" customFormat="1" outlineLevel="1" collapsed="1" x14ac:dyDescent="0.25">
      <c r="A85" s="27"/>
      <c r="B85" s="13" t="str">
        <f>CONCATENATE("     ","Royalty &amp; Commissions                             ")</f>
        <v xml:space="preserve">     Royalty &amp; Commissions                             </v>
      </c>
      <c r="C85" s="13"/>
      <c r="D85" s="1">
        <f>SUM(OSRRefD22_16x_0)</f>
        <v>0</v>
      </c>
      <c r="E85" s="1"/>
      <c r="F85" s="5">
        <f t="shared" ref="F85:F87" si="44">IF(D$12=0,0,D85/D$12)</f>
        <v>0</v>
      </c>
      <c r="G85" s="1"/>
      <c r="H85" s="1">
        <f>SUM(OSRRefH22_16x_0)</f>
        <v>2253</v>
      </c>
      <c r="I85" s="1"/>
      <c r="J85" s="5">
        <f t="shared" ref="J85:J87" si="45">IF(H$12=0,0,H85/H$12)</f>
        <v>8.4580644434683692E-3</v>
      </c>
      <c r="K85" s="1"/>
      <c r="L85" s="1">
        <f t="shared" ref="L85:L87" si="46">+D85-H85</f>
        <v>-2253</v>
      </c>
      <c r="M85" s="1"/>
      <c r="N85" s="5">
        <f t="shared" ref="N85:N87" si="47">IF(H85=0,0,L85/H85)</f>
        <v>-1</v>
      </c>
      <c r="O85" s="13"/>
      <c r="P85" s="1">
        <f>SUM(OSRRefP22_16x_0)</f>
        <v>5673.45</v>
      </c>
      <c r="Q85" s="1"/>
      <c r="R85" s="5">
        <f t="shared" ref="R85:R87" si="48">IF(P$12=0,0,P85/P$12)</f>
        <v>3.9986946386473231E-3</v>
      </c>
      <c r="S85" s="1"/>
      <c r="T85" s="1">
        <f>SUM(OSRRefT22_16x_0)</f>
        <v>13138</v>
      </c>
      <c r="U85" s="1"/>
      <c r="V85" s="5">
        <f t="shared" ref="V85:V87" si="49">IF(T$12=0,0,T85/T$12)</f>
        <v>9.4849741347108902E-3</v>
      </c>
      <c r="W85" s="1"/>
      <c r="X85" s="1">
        <f t="shared" ref="X85:X87" si="50">+P85-T85</f>
        <v>-7464.55</v>
      </c>
      <c r="Y85" s="1"/>
      <c r="Z85" s="5">
        <f t="shared" ref="Z85:Z87" si="51">IF(T85=0,0,X85/T85)</f>
        <v>-0.56816486527629773</v>
      </c>
    </row>
    <row r="86" spans="1:26" s="24" customFormat="1" hidden="1" outlineLevel="2" x14ac:dyDescent="0.25">
      <c r="A86" s="25"/>
      <c r="B86" s="11" t="str">
        <f>CONCATENATE("          ", "6254", " - ", "ROYALTY &amp; COMMISSIONS")</f>
        <v xml:space="preserve">          6254 - ROYALTY &amp; COMMISSIONS</v>
      </c>
      <c r="C86" s="11"/>
      <c r="D86" s="6"/>
      <c r="E86" s="2"/>
      <c r="F86" s="7">
        <f t="shared" si="44"/>
        <v>0</v>
      </c>
      <c r="G86" s="2"/>
      <c r="H86" s="6"/>
      <c r="I86" s="2"/>
      <c r="J86" s="7">
        <f t="shared" si="45"/>
        <v>0</v>
      </c>
      <c r="K86" s="2"/>
      <c r="L86" s="6">
        <f t="shared" si="46"/>
        <v>0</v>
      </c>
      <c r="M86" s="2"/>
      <c r="N86" s="7">
        <f t="shared" si="47"/>
        <v>0</v>
      </c>
      <c r="O86" s="11"/>
      <c r="P86" s="6">
        <v>5673.45</v>
      </c>
      <c r="Q86" s="2"/>
      <c r="R86" s="7">
        <f t="shared" si="48"/>
        <v>3.9986946386473231E-3</v>
      </c>
      <c r="S86" s="2"/>
      <c r="T86" s="6"/>
      <c r="U86" s="2"/>
      <c r="V86" s="7">
        <f t="shared" si="49"/>
        <v>0</v>
      </c>
      <c r="W86" s="2"/>
      <c r="X86" s="6">
        <f t="shared" si="50"/>
        <v>5673.45</v>
      </c>
      <c r="Y86" s="2"/>
      <c r="Z86" s="7">
        <f t="shared" si="51"/>
        <v>0</v>
      </c>
    </row>
    <row r="87" spans="1:26" s="24" customFormat="1" hidden="1" outlineLevel="2" x14ac:dyDescent="0.25">
      <c r="A87" s="25"/>
      <c r="B87" s="11" t="str">
        <f>CONCATENATE("          ", "6259", " - ", "ROYALTY &amp; COMMISSIONS")</f>
        <v xml:space="preserve">          6259 - ROYALTY &amp; COMMISSIONS</v>
      </c>
      <c r="C87" s="11"/>
      <c r="D87" s="6"/>
      <c r="E87" s="2"/>
      <c r="F87" s="7">
        <f t="shared" si="44"/>
        <v>0</v>
      </c>
      <c r="G87" s="2"/>
      <c r="H87" s="6">
        <v>2253</v>
      </c>
      <c r="I87" s="2"/>
      <c r="J87" s="7">
        <f t="shared" si="45"/>
        <v>8.4580644434683692E-3</v>
      </c>
      <c r="K87" s="2"/>
      <c r="L87" s="6">
        <f t="shared" si="46"/>
        <v>-2253</v>
      </c>
      <c r="M87" s="2"/>
      <c r="N87" s="7">
        <f t="shared" si="47"/>
        <v>-1</v>
      </c>
      <c r="O87" s="11"/>
      <c r="P87" s="6"/>
      <c r="Q87" s="2"/>
      <c r="R87" s="7">
        <f t="shared" si="48"/>
        <v>0</v>
      </c>
      <c r="S87" s="2"/>
      <c r="T87" s="6">
        <v>13138</v>
      </c>
      <c r="U87" s="2"/>
      <c r="V87" s="7">
        <f t="shared" si="49"/>
        <v>9.4849741347108902E-3</v>
      </c>
      <c r="W87" s="2"/>
      <c r="X87" s="6">
        <f t="shared" si="50"/>
        <v>-13138</v>
      </c>
      <c r="Y87" s="2"/>
      <c r="Z87" s="7">
        <f t="shared" si="51"/>
        <v>-1</v>
      </c>
    </row>
    <row r="88" spans="1:26" s="26" customFormat="1" outlineLevel="1" collapsed="1" x14ac:dyDescent="0.25">
      <c r="A88" s="27"/>
      <c r="B88" s="13" t="str">
        <f>CONCATENATE("     ","Services                                          ")</f>
        <v xml:space="preserve">     Services                                          </v>
      </c>
      <c r="C88" s="13"/>
      <c r="D88" s="1">
        <f>SUM(OSRRefD22_17x_0)</f>
        <v>1523.54</v>
      </c>
      <c r="E88" s="1"/>
      <c r="F88" s="5">
        <f t="shared" ref="F88:F93" si="52">IF(D$12=0,0,D88/D$12)</f>
        <v>5.0657502825906219E-3</v>
      </c>
      <c r="G88" s="1"/>
      <c r="H88" s="1">
        <f>SUM(OSRRefH22_17x_0)</f>
        <v>864</v>
      </c>
      <c r="I88" s="1"/>
      <c r="J88" s="5">
        <f t="shared" ref="J88:J93" si="53">IF(H$12=0,0,H88/H$12)</f>
        <v>3.2435719836469913E-3</v>
      </c>
      <c r="K88" s="1"/>
      <c r="L88" s="1">
        <f t="shared" ref="L88:L93" si="54">+D88-H88</f>
        <v>659.54</v>
      </c>
      <c r="M88" s="1"/>
      <c r="N88" s="5">
        <f t="shared" ref="N88:N93" si="55">IF(H88=0,0,L88/H88)</f>
        <v>0.76335648148148139</v>
      </c>
      <c r="O88" s="13"/>
      <c r="P88" s="1">
        <f>SUM(OSRRefP22_17x_0)</f>
        <v>8084.99</v>
      </c>
      <c r="Q88" s="1"/>
      <c r="R88" s="5">
        <f t="shared" ref="R88:R93" si="56">IF(P$12=0,0,P88/P$12)</f>
        <v>5.6983680417589328E-3</v>
      </c>
      <c r="S88" s="1"/>
      <c r="T88" s="1">
        <f>SUM(OSRRefT22_17x_0)</f>
        <v>4412</v>
      </c>
      <c r="U88" s="1"/>
      <c r="V88" s="5">
        <f t="shared" ref="V88:V93" si="57">IF(T$12=0,0,T88/T$12)</f>
        <v>3.1852417325578053E-3</v>
      </c>
      <c r="W88" s="1"/>
      <c r="X88" s="1">
        <f t="shared" ref="X88:X93" si="58">+P88-T88</f>
        <v>3672.99</v>
      </c>
      <c r="Y88" s="1"/>
      <c r="Z88" s="5">
        <f t="shared" ref="Z88:Z93" si="59">IF(T88=0,0,X88/T88)</f>
        <v>0.83249999999999991</v>
      </c>
    </row>
    <row r="89" spans="1:26" s="24" customFormat="1" hidden="1" outlineLevel="2" x14ac:dyDescent="0.25">
      <c r="A89" s="25"/>
      <c r="B89" s="11" t="str">
        <f>CONCATENATE("          ", "6281", " - ", "STORAGE FEE")</f>
        <v xml:space="preserve">          6281 - STORAGE FEE</v>
      </c>
      <c r="C89" s="11"/>
      <c r="D89" s="6"/>
      <c r="E89" s="2"/>
      <c r="F89" s="7">
        <f t="shared" si="52"/>
        <v>0</v>
      </c>
      <c r="G89" s="2"/>
      <c r="H89" s="6"/>
      <c r="I89" s="2"/>
      <c r="J89" s="7">
        <f t="shared" si="53"/>
        <v>0</v>
      </c>
      <c r="K89" s="2"/>
      <c r="L89" s="6">
        <f t="shared" si="54"/>
        <v>0</v>
      </c>
      <c r="M89" s="2"/>
      <c r="N89" s="7">
        <f t="shared" si="55"/>
        <v>0</v>
      </c>
      <c r="O89" s="11"/>
      <c r="P89" s="6"/>
      <c r="Q89" s="2"/>
      <c r="R89" s="7">
        <f t="shared" si="56"/>
        <v>0</v>
      </c>
      <c r="S89" s="2"/>
      <c r="T89" s="6">
        <v>0</v>
      </c>
      <c r="U89" s="2"/>
      <c r="V89" s="7">
        <f t="shared" si="57"/>
        <v>0</v>
      </c>
      <c r="W89" s="2"/>
      <c r="X89" s="6">
        <f t="shared" si="58"/>
        <v>0</v>
      </c>
      <c r="Y89" s="2"/>
      <c r="Z89" s="7">
        <f t="shared" si="59"/>
        <v>0</v>
      </c>
    </row>
    <row r="90" spans="1:26" s="24" customFormat="1" hidden="1" outlineLevel="2" x14ac:dyDescent="0.25">
      <c r="A90" s="25"/>
      <c r="B90" s="11" t="str">
        <f>CONCATENATE("          ", "6282", " - ", "JANITORIAL/EXTERMINATOR EXPENS")</f>
        <v xml:space="preserve">          6282 - JANITORIAL/EXTERMINATOR EXPENS</v>
      </c>
      <c r="C90" s="11"/>
      <c r="D90" s="6">
        <v>299.74</v>
      </c>
      <c r="E90" s="2"/>
      <c r="F90" s="7">
        <f t="shared" si="52"/>
        <v>9.966315224435938E-4</v>
      </c>
      <c r="G90" s="2"/>
      <c r="H90" s="6">
        <v>474</v>
      </c>
      <c r="I90" s="2"/>
      <c r="J90" s="7">
        <f t="shared" si="53"/>
        <v>1.7794596299174465E-3</v>
      </c>
      <c r="K90" s="2"/>
      <c r="L90" s="6">
        <f t="shared" si="54"/>
        <v>-174.26</v>
      </c>
      <c r="M90" s="2"/>
      <c r="N90" s="7">
        <f t="shared" si="55"/>
        <v>-0.36763713080168775</v>
      </c>
      <c r="O90" s="11"/>
      <c r="P90" s="6">
        <v>2879.14</v>
      </c>
      <c r="Q90" s="2"/>
      <c r="R90" s="7">
        <f t="shared" si="56"/>
        <v>2.0292417632860171E-3</v>
      </c>
      <c r="S90" s="2"/>
      <c r="T90" s="6">
        <v>2426</v>
      </c>
      <c r="U90" s="2"/>
      <c r="V90" s="7">
        <f t="shared" si="57"/>
        <v>1.751449783133553E-3</v>
      </c>
      <c r="W90" s="2"/>
      <c r="X90" s="6">
        <f t="shared" si="58"/>
        <v>453.13999999999987</v>
      </c>
      <c r="Y90" s="2"/>
      <c r="Z90" s="7">
        <f t="shared" si="59"/>
        <v>0.18678483099752674</v>
      </c>
    </row>
    <row r="91" spans="1:26" s="24" customFormat="1" hidden="1" outlineLevel="2" x14ac:dyDescent="0.25">
      <c r="A91" s="25"/>
      <c r="B91" s="11" t="str">
        <f>CONCATENATE("          ", "6284", " - ", "TRASH REMOVAL EXPENSE")</f>
        <v xml:space="preserve">          6284 - TRASH REMOVAL EXPENSE</v>
      </c>
      <c r="C91" s="11"/>
      <c r="D91" s="6">
        <v>237</v>
      </c>
      <c r="E91" s="2"/>
      <c r="F91" s="7">
        <f t="shared" si="52"/>
        <v>7.8802185500477658E-4</v>
      </c>
      <c r="G91" s="2"/>
      <c r="H91" s="6">
        <v>150</v>
      </c>
      <c r="I91" s="2"/>
      <c r="J91" s="7">
        <f t="shared" si="53"/>
        <v>5.631201360498249E-4</v>
      </c>
      <c r="K91" s="2"/>
      <c r="L91" s="6">
        <f t="shared" si="54"/>
        <v>87</v>
      </c>
      <c r="M91" s="2"/>
      <c r="N91" s="7">
        <f t="shared" si="55"/>
        <v>0.57999999999999996</v>
      </c>
      <c r="O91" s="11"/>
      <c r="P91" s="6">
        <v>948</v>
      </c>
      <c r="Q91" s="2"/>
      <c r="R91" s="7">
        <f t="shared" si="56"/>
        <v>6.6815826656402397E-4</v>
      </c>
      <c r="S91" s="2"/>
      <c r="T91" s="6">
        <v>750</v>
      </c>
      <c r="U91" s="2"/>
      <c r="V91" s="7">
        <f t="shared" si="57"/>
        <v>5.4146221654994425E-4</v>
      </c>
      <c r="W91" s="2"/>
      <c r="X91" s="6">
        <f t="shared" si="58"/>
        <v>198</v>
      </c>
      <c r="Y91" s="2"/>
      <c r="Z91" s="7">
        <f t="shared" si="59"/>
        <v>0.26400000000000001</v>
      </c>
    </row>
    <row r="92" spans="1:26" s="24" customFormat="1" hidden="1" outlineLevel="2" x14ac:dyDescent="0.25">
      <c r="A92" s="25"/>
      <c r="B92" s="11" t="str">
        <f>CONCATENATE("          ", "6285", " - ", "JANITORIAL SERVICES")</f>
        <v xml:space="preserve">          6285 - JANITORIAL SERVICES</v>
      </c>
      <c r="C92" s="11"/>
      <c r="D92" s="6">
        <v>227.84</v>
      </c>
      <c r="E92" s="2"/>
      <c r="F92" s="7">
        <f t="shared" si="52"/>
        <v>7.5756497655817857E-4</v>
      </c>
      <c r="G92" s="2"/>
      <c r="H92" s="6">
        <v>150</v>
      </c>
      <c r="I92" s="2"/>
      <c r="J92" s="7">
        <f t="shared" si="53"/>
        <v>5.631201360498249E-4</v>
      </c>
      <c r="K92" s="2"/>
      <c r="L92" s="6">
        <f t="shared" si="54"/>
        <v>77.84</v>
      </c>
      <c r="M92" s="2"/>
      <c r="N92" s="7">
        <f t="shared" si="55"/>
        <v>0.51893333333333336</v>
      </c>
      <c r="O92" s="11"/>
      <c r="P92" s="6">
        <v>526.15</v>
      </c>
      <c r="Q92" s="2"/>
      <c r="R92" s="7">
        <f t="shared" si="56"/>
        <v>3.7083488602601396E-4</v>
      </c>
      <c r="S92" s="2"/>
      <c r="T92" s="6">
        <v>876</v>
      </c>
      <c r="U92" s="2"/>
      <c r="V92" s="7">
        <f t="shared" si="57"/>
        <v>6.3242786893033488E-4</v>
      </c>
      <c r="W92" s="2"/>
      <c r="X92" s="6">
        <f t="shared" si="58"/>
        <v>-349.85</v>
      </c>
      <c r="Y92" s="2"/>
      <c r="Z92" s="7">
        <f t="shared" si="59"/>
        <v>-0.39937214611872146</v>
      </c>
    </row>
    <row r="93" spans="1:26" s="24" customFormat="1" hidden="1" outlineLevel="2" x14ac:dyDescent="0.25">
      <c r="A93" s="25"/>
      <c r="B93" s="11" t="str">
        <f>CONCATENATE("          ", "6286", " - ", "LAUNDRY EXPENSE")</f>
        <v xml:space="preserve">          6286 - LAUNDRY EXPENSE</v>
      </c>
      <c r="C93" s="11"/>
      <c r="D93" s="6">
        <v>758.96</v>
      </c>
      <c r="E93" s="2"/>
      <c r="F93" s="7">
        <f t="shared" si="52"/>
        <v>2.5235319285840732E-3</v>
      </c>
      <c r="G93" s="2"/>
      <c r="H93" s="6">
        <v>90</v>
      </c>
      <c r="I93" s="2"/>
      <c r="J93" s="7">
        <f t="shared" si="53"/>
        <v>3.3787208162989492E-4</v>
      </c>
      <c r="K93" s="2"/>
      <c r="L93" s="6">
        <f t="shared" si="54"/>
        <v>668.96</v>
      </c>
      <c r="M93" s="2"/>
      <c r="N93" s="7">
        <f t="shared" si="55"/>
        <v>7.4328888888888889</v>
      </c>
      <c r="O93" s="11"/>
      <c r="P93" s="6">
        <v>3731.7</v>
      </c>
      <c r="Q93" s="2"/>
      <c r="R93" s="7">
        <f t="shared" si="56"/>
        <v>2.6301331258828781E-3</v>
      </c>
      <c r="S93" s="2"/>
      <c r="T93" s="6">
        <v>360</v>
      </c>
      <c r="U93" s="2"/>
      <c r="V93" s="7">
        <f t="shared" si="57"/>
        <v>2.5990186394397326E-4</v>
      </c>
      <c r="W93" s="2"/>
      <c r="X93" s="6">
        <f t="shared" si="58"/>
        <v>3371.7</v>
      </c>
      <c r="Y93" s="2"/>
      <c r="Z93" s="7">
        <f t="shared" si="59"/>
        <v>9.3658333333333328</v>
      </c>
    </row>
    <row r="94" spans="1:26" s="26" customFormat="1" outlineLevel="1" collapsed="1" x14ac:dyDescent="0.25">
      <c r="A94" s="27"/>
      <c r="B94" s="13" t="str">
        <f>CONCATENATE("     ","Subscriptions &amp; Dues                              ")</f>
        <v xml:space="preserve">     Subscriptions &amp; Dues                              </v>
      </c>
      <c r="C94" s="13"/>
      <c r="D94" s="1">
        <f>SUM(OSRRefD22_18x_0)</f>
        <v>0</v>
      </c>
      <c r="E94" s="1"/>
      <c r="F94" s="5">
        <f t="shared" ref="F94:F104" si="60">IF(D$12=0,0,D94/D$12)</f>
        <v>0</v>
      </c>
      <c r="G94" s="1"/>
      <c r="H94" s="1">
        <f>SUM(OSRRefH22_18x_0)</f>
        <v>180</v>
      </c>
      <c r="I94" s="1"/>
      <c r="J94" s="5">
        <f t="shared" ref="J94:J104" si="61">IF(H$12=0,0,H94/H$12)</f>
        <v>6.7574416325978984E-4</v>
      </c>
      <c r="K94" s="1"/>
      <c r="L94" s="1">
        <f t="shared" ref="L94:L104" si="62">+D94-H94</f>
        <v>-180</v>
      </c>
      <c r="M94" s="1"/>
      <c r="N94" s="5">
        <f t="shared" ref="N94:N104" si="63">IF(H94=0,0,L94/H94)</f>
        <v>-1</v>
      </c>
      <c r="O94" s="13"/>
      <c r="P94" s="1">
        <f>SUM(OSRRefP22_18x_0)</f>
        <v>705.6</v>
      </c>
      <c r="Q94" s="1"/>
      <c r="R94" s="5">
        <f t="shared" ref="R94:R104" si="64">IF(P$12=0,0,P94/P$12)</f>
        <v>4.9731273511347614E-4</v>
      </c>
      <c r="S94" s="1"/>
      <c r="T94" s="1">
        <f>SUM(OSRRefT22_18x_0)</f>
        <v>900</v>
      </c>
      <c r="U94" s="1"/>
      <c r="V94" s="5">
        <f t="shared" ref="V94:V104" si="65">IF(T$12=0,0,T94/T$12)</f>
        <v>6.4975465985993308E-4</v>
      </c>
      <c r="W94" s="1"/>
      <c r="X94" s="1">
        <f t="shared" ref="X94:X104" si="66">+P94-T94</f>
        <v>-194.39999999999998</v>
      </c>
      <c r="Y94" s="1"/>
      <c r="Z94" s="5">
        <f t="shared" ref="Z94:Z104" si="67">IF(T94=0,0,X94/T94)</f>
        <v>-0.21599999999999997</v>
      </c>
    </row>
    <row r="95" spans="1:26" s="24" customFormat="1" hidden="1" outlineLevel="2" x14ac:dyDescent="0.25">
      <c r="A95" s="25"/>
      <c r="B95" s="11" t="str">
        <f>CONCATENATE("          ", "6275", " - ", "SUBSCRIPTIONS")</f>
        <v xml:space="preserve">          6275 - SUBSCRIPTIONS</v>
      </c>
      <c r="C95" s="11"/>
      <c r="D95" s="6"/>
      <c r="E95" s="2"/>
      <c r="F95" s="7">
        <f t="shared" si="60"/>
        <v>0</v>
      </c>
      <c r="G95" s="2"/>
      <c r="H95" s="6">
        <v>180</v>
      </c>
      <c r="I95" s="2"/>
      <c r="J95" s="7">
        <f t="shared" si="61"/>
        <v>6.7574416325978984E-4</v>
      </c>
      <c r="K95" s="2"/>
      <c r="L95" s="6">
        <f t="shared" si="62"/>
        <v>-180</v>
      </c>
      <c r="M95" s="2"/>
      <c r="N95" s="7">
        <f t="shared" si="63"/>
        <v>-1</v>
      </c>
      <c r="O95" s="11"/>
      <c r="P95" s="6">
        <v>705.6</v>
      </c>
      <c r="Q95" s="2"/>
      <c r="R95" s="7">
        <f t="shared" si="64"/>
        <v>4.9731273511347614E-4</v>
      </c>
      <c r="S95" s="2"/>
      <c r="T95" s="6">
        <v>900</v>
      </c>
      <c r="U95" s="2"/>
      <c r="V95" s="7">
        <f t="shared" si="65"/>
        <v>6.4975465985993308E-4</v>
      </c>
      <c r="W95" s="2"/>
      <c r="X95" s="6">
        <f t="shared" si="66"/>
        <v>-194.39999999999998</v>
      </c>
      <c r="Y95" s="2"/>
      <c r="Z95" s="7">
        <f t="shared" si="67"/>
        <v>-0.21599999999999997</v>
      </c>
    </row>
    <row r="96" spans="1:26" s="26" customFormat="1" outlineLevel="1" collapsed="1" x14ac:dyDescent="0.25">
      <c r="A96" s="27"/>
      <c r="B96" s="13" t="str">
        <f>CONCATENATE("     ","Supplies                                          ")</f>
        <v xml:space="preserve">     Supplies                                          </v>
      </c>
      <c r="C96" s="13"/>
      <c r="D96" s="1">
        <f>SUM(OSRRefD22_19x_0)</f>
        <v>3451.08</v>
      </c>
      <c r="E96" s="1"/>
      <c r="F96" s="5">
        <f t="shared" si="60"/>
        <v>1.147479520409234E-2</v>
      </c>
      <c r="G96" s="1"/>
      <c r="H96" s="1">
        <f>SUM(OSRRefH22_19x_0)</f>
        <v>3043</v>
      </c>
      <c r="I96" s="1"/>
      <c r="J96" s="5">
        <f t="shared" si="61"/>
        <v>1.142383049333078E-2</v>
      </c>
      <c r="K96" s="1"/>
      <c r="L96" s="1">
        <f t="shared" si="62"/>
        <v>408.07999999999993</v>
      </c>
      <c r="M96" s="1"/>
      <c r="N96" s="5">
        <f t="shared" si="63"/>
        <v>0.13410450213604994</v>
      </c>
      <c r="O96" s="13"/>
      <c r="P96" s="1">
        <f>SUM(OSRRefP22_19x_0)</f>
        <v>35089.5</v>
      </c>
      <c r="Q96" s="1"/>
      <c r="R96" s="5">
        <f t="shared" si="64"/>
        <v>2.4731370774892743E-2</v>
      </c>
      <c r="S96" s="1"/>
      <c r="T96" s="1">
        <f>SUM(OSRRefT22_19x_0)</f>
        <v>19088</v>
      </c>
      <c r="U96" s="1"/>
      <c r="V96" s="5">
        <f t="shared" si="65"/>
        <v>1.3780574386007115E-2</v>
      </c>
      <c r="W96" s="1"/>
      <c r="X96" s="1">
        <f t="shared" si="66"/>
        <v>16001.5</v>
      </c>
      <c r="Y96" s="1"/>
      <c r="Z96" s="5">
        <f t="shared" si="67"/>
        <v>0.83830155071248957</v>
      </c>
    </row>
    <row r="97" spans="1:26" s="24" customFormat="1" hidden="1" outlineLevel="2" x14ac:dyDescent="0.25">
      <c r="A97" s="25"/>
      <c r="B97" s="11" t="str">
        <f>CONCATENATE("          ", "6234", " - ", "EXPENDABLE SUPPLIES &amp; EQUIPMEN")</f>
        <v xml:space="preserve">          6234 - EXPENDABLE SUPPLIES &amp; EQUIPMEN</v>
      </c>
      <c r="C97" s="11"/>
      <c r="D97" s="6">
        <v>28.22</v>
      </c>
      <c r="E97" s="2"/>
      <c r="F97" s="7">
        <f t="shared" si="60"/>
        <v>9.3831125519978041E-5</v>
      </c>
      <c r="G97" s="2"/>
      <c r="H97" s="6"/>
      <c r="I97" s="2"/>
      <c r="J97" s="7">
        <f t="shared" si="61"/>
        <v>0</v>
      </c>
      <c r="K97" s="2"/>
      <c r="L97" s="6">
        <f t="shared" si="62"/>
        <v>28.22</v>
      </c>
      <c r="M97" s="2"/>
      <c r="N97" s="7">
        <f t="shared" si="63"/>
        <v>0</v>
      </c>
      <c r="O97" s="11"/>
      <c r="P97" s="6">
        <v>1092.46</v>
      </c>
      <c r="Q97" s="2"/>
      <c r="R97" s="7">
        <f t="shared" si="64"/>
        <v>7.699748733022507E-4</v>
      </c>
      <c r="S97" s="2"/>
      <c r="T97" s="6">
        <v>3000</v>
      </c>
      <c r="U97" s="2"/>
      <c r="V97" s="7">
        <f t="shared" si="65"/>
        <v>2.165848866199777E-3</v>
      </c>
      <c r="W97" s="2"/>
      <c r="X97" s="6">
        <f t="shared" si="66"/>
        <v>-1907.54</v>
      </c>
      <c r="Y97" s="2"/>
      <c r="Z97" s="7">
        <f t="shared" si="67"/>
        <v>-0.63584666666666667</v>
      </c>
    </row>
    <row r="98" spans="1:26" s="24" customFormat="1" hidden="1" outlineLevel="2" x14ac:dyDescent="0.25">
      <c r="A98" s="25"/>
      <c r="B98" s="11" t="str">
        <f>CONCATENATE("          ", "6237", " - ", "JANITORIAL SUPPLIES")</f>
        <v xml:space="preserve">          6237 - JANITORIAL SUPPLIES</v>
      </c>
      <c r="C98" s="11"/>
      <c r="D98" s="6">
        <v>814.22</v>
      </c>
      <c r="E98" s="2"/>
      <c r="F98" s="7">
        <f t="shared" si="60"/>
        <v>2.7072706952826551E-3</v>
      </c>
      <c r="G98" s="2"/>
      <c r="H98" s="6">
        <v>100</v>
      </c>
      <c r="I98" s="2"/>
      <c r="J98" s="7">
        <f t="shared" si="61"/>
        <v>3.7541342403321659E-4</v>
      </c>
      <c r="K98" s="2"/>
      <c r="L98" s="6">
        <f t="shared" si="62"/>
        <v>714.22</v>
      </c>
      <c r="M98" s="2"/>
      <c r="N98" s="7">
        <f t="shared" si="63"/>
        <v>7.1421999999999999</v>
      </c>
      <c r="O98" s="11"/>
      <c r="P98" s="6">
        <v>2823.86</v>
      </c>
      <c r="Q98" s="2"/>
      <c r="R98" s="7">
        <f t="shared" si="64"/>
        <v>1.9902799605690772E-3</v>
      </c>
      <c r="S98" s="2"/>
      <c r="T98" s="6">
        <v>700</v>
      </c>
      <c r="U98" s="2"/>
      <c r="V98" s="7">
        <f t="shared" si="65"/>
        <v>5.0536473544661464E-4</v>
      </c>
      <c r="W98" s="2"/>
      <c r="X98" s="6">
        <f t="shared" si="66"/>
        <v>2123.86</v>
      </c>
      <c r="Y98" s="2"/>
      <c r="Z98" s="7">
        <f t="shared" si="67"/>
        <v>3.0340857142857143</v>
      </c>
    </row>
    <row r="99" spans="1:26" s="24" customFormat="1" hidden="1" outlineLevel="2" x14ac:dyDescent="0.25">
      <c r="A99" s="25"/>
      <c r="B99" s="11" t="str">
        <f>CONCATENATE("          ", "6241", " - ", "OFFICE EXPENSE")</f>
        <v xml:space="preserve">          6241 - OFFICE EXPENSE</v>
      </c>
      <c r="C99" s="11"/>
      <c r="D99" s="6">
        <v>201.64</v>
      </c>
      <c r="E99" s="2"/>
      <c r="F99" s="7">
        <f t="shared" si="60"/>
        <v>6.7045032423275594E-4</v>
      </c>
      <c r="G99" s="2"/>
      <c r="H99" s="6">
        <v>0</v>
      </c>
      <c r="I99" s="2"/>
      <c r="J99" s="7">
        <f t="shared" si="61"/>
        <v>0</v>
      </c>
      <c r="K99" s="2"/>
      <c r="L99" s="6">
        <f t="shared" si="62"/>
        <v>201.64</v>
      </c>
      <c r="M99" s="2"/>
      <c r="N99" s="7">
        <f t="shared" si="63"/>
        <v>0</v>
      </c>
      <c r="O99" s="11"/>
      <c r="P99" s="6">
        <v>1663.94</v>
      </c>
      <c r="Q99" s="2"/>
      <c r="R99" s="7">
        <f t="shared" si="64"/>
        <v>1.1727587194794748E-3</v>
      </c>
      <c r="S99" s="2"/>
      <c r="T99" s="6">
        <v>240</v>
      </c>
      <c r="U99" s="2"/>
      <c r="V99" s="7">
        <f t="shared" si="65"/>
        <v>1.7326790929598216E-4</v>
      </c>
      <c r="W99" s="2"/>
      <c r="X99" s="6">
        <f t="shared" si="66"/>
        <v>1423.94</v>
      </c>
      <c r="Y99" s="2"/>
      <c r="Z99" s="7">
        <f t="shared" si="67"/>
        <v>5.9330833333333333</v>
      </c>
    </row>
    <row r="100" spans="1:26" s="24" customFormat="1" hidden="1" outlineLevel="2" x14ac:dyDescent="0.25">
      <c r="A100" s="25"/>
      <c r="B100" s="11" t="str">
        <f>CONCATENATE("          ", "6243", " - ", "PAPER SUPPLIES")</f>
        <v xml:space="preserve">          6243 - PAPER SUPPLIES</v>
      </c>
      <c r="C100" s="11"/>
      <c r="D100" s="6">
        <v>320.22000000000003</v>
      </c>
      <c r="E100" s="2"/>
      <c r="F100" s="7">
        <f t="shared" si="60"/>
        <v>1.0647272506735426E-3</v>
      </c>
      <c r="G100" s="2"/>
      <c r="H100" s="6"/>
      <c r="I100" s="2"/>
      <c r="J100" s="7">
        <f t="shared" si="61"/>
        <v>0</v>
      </c>
      <c r="K100" s="2"/>
      <c r="L100" s="6">
        <f t="shared" si="62"/>
        <v>320.22000000000003</v>
      </c>
      <c r="M100" s="2"/>
      <c r="N100" s="7">
        <f t="shared" si="63"/>
        <v>0</v>
      </c>
      <c r="O100" s="11"/>
      <c r="P100" s="6">
        <v>3017.85</v>
      </c>
      <c r="Q100" s="2"/>
      <c r="R100" s="7">
        <f t="shared" si="64"/>
        <v>2.1270057223103794E-3</v>
      </c>
      <c r="S100" s="2"/>
      <c r="T100" s="6"/>
      <c r="U100" s="2"/>
      <c r="V100" s="7">
        <f t="shared" si="65"/>
        <v>0</v>
      </c>
      <c r="W100" s="2"/>
      <c r="X100" s="6">
        <f t="shared" si="66"/>
        <v>3017.85</v>
      </c>
      <c r="Y100" s="2"/>
      <c r="Z100" s="7">
        <f t="shared" si="67"/>
        <v>0</v>
      </c>
    </row>
    <row r="101" spans="1:26" s="24" customFormat="1" hidden="1" outlineLevel="2" x14ac:dyDescent="0.25">
      <c r="A101" s="25"/>
      <c r="B101" s="11" t="str">
        <f>CONCATENATE("          ", "6244", " - ", "SAFETY SUPPLY EXPENSE")</f>
        <v xml:space="preserve">          6244 - SAFETY SUPPLY EXPENSE</v>
      </c>
      <c r="C101" s="11"/>
      <c r="D101" s="6"/>
      <c r="E101" s="2"/>
      <c r="F101" s="7">
        <f t="shared" si="60"/>
        <v>0</v>
      </c>
      <c r="G101" s="2"/>
      <c r="H101" s="6"/>
      <c r="I101" s="2"/>
      <c r="J101" s="7">
        <f t="shared" si="61"/>
        <v>0</v>
      </c>
      <c r="K101" s="2"/>
      <c r="L101" s="6">
        <f t="shared" si="62"/>
        <v>0</v>
      </c>
      <c r="M101" s="2"/>
      <c r="N101" s="7">
        <f t="shared" si="63"/>
        <v>0</v>
      </c>
      <c r="O101" s="11"/>
      <c r="P101" s="6"/>
      <c r="Q101" s="2"/>
      <c r="R101" s="7">
        <f t="shared" si="64"/>
        <v>0</v>
      </c>
      <c r="S101" s="2"/>
      <c r="T101" s="6">
        <v>30</v>
      </c>
      <c r="U101" s="2"/>
      <c r="V101" s="7">
        <f t="shared" si="65"/>
        <v>2.165848866199777E-5</v>
      </c>
      <c r="W101" s="2"/>
      <c r="X101" s="6">
        <f t="shared" si="66"/>
        <v>-30</v>
      </c>
      <c r="Y101" s="2"/>
      <c r="Z101" s="7">
        <f t="shared" si="67"/>
        <v>-1</v>
      </c>
    </row>
    <row r="102" spans="1:26" s="24" customFormat="1" hidden="1" outlineLevel="2" x14ac:dyDescent="0.25">
      <c r="A102" s="25"/>
      <c r="B102" s="11" t="str">
        <f>CONCATENATE("          ", "6245", " - ", "PRINTING")</f>
        <v xml:space="preserve">          6245 - PRINTING</v>
      </c>
      <c r="C102" s="11"/>
      <c r="D102" s="6">
        <v>37.44</v>
      </c>
      <c r="E102" s="2"/>
      <c r="F102" s="7">
        <f t="shared" si="60"/>
        <v>1.2448750317037483E-4</v>
      </c>
      <c r="G102" s="2"/>
      <c r="H102" s="6"/>
      <c r="I102" s="2"/>
      <c r="J102" s="7">
        <f t="shared" si="61"/>
        <v>0</v>
      </c>
      <c r="K102" s="2"/>
      <c r="L102" s="6">
        <f t="shared" si="62"/>
        <v>37.44</v>
      </c>
      <c r="M102" s="2"/>
      <c r="N102" s="7">
        <f t="shared" si="63"/>
        <v>0</v>
      </c>
      <c r="O102" s="11"/>
      <c r="P102" s="6">
        <v>81.739999999999995</v>
      </c>
      <c r="Q102" s="2"/>
      <c r="R102" s="7">
        <f t="shared" si="64"/>
        <v>5.7611030283695488E-5</v>
      </c>
      <c r="S102" s="2"/>
      <c r="T102" s="6"/>
      <c r="U102" s="2"/>
      <c r="V102" s="7">
        <f t="shared" si="65"/>
        <v>0</v>
      </c>
      <c r="W102" s="2"/>
      <c r="X102" s="6">
        <f t="shared" si="66"/>
        <v>81.739999999999995</v>
      </c>
      <c r="Y102" s="2"/>
      <c r="Z102" s="7">
        <f t="shared" si="67"/>
        <v>0</v>
      </c>
    </row>
    <row r="103" spans="1:26" s="24" customFormat="1" hidden="1" outlineLevel="2" x14ac:dyDescent="0.25">
      <c r="A103" s="25"/>
      <c r="B103" s="11" t="str">
        <f>CONCATENATE("          ", "6247", " - ", "STORE SUPPLIES")</f>
        <v xml:space="preserve">          6247 - STORE SUPPLIES</v>
      </c>
      <c r="C103" s="11"/>
      <c r="D103" s="6">
        <v>2049.34</v>
      </c>
      <c r="E103" s="2"/>
      <c r="F103" s="7">
        <f t="shared" si="60"/>
        <v>6.8140283052130343E-3</v>
      </c>
      <c r="G103" s="2"/>
      <c r="H103" s="6">
        <v>2943</v>
      </c>
      <c r="I103" s="2"/>
      <c r="J103" s="7">
        <f t="shared" si="61"/>
        <v>1.1048417069297564E-2</v>
      </c>
      <c r="K103" s="2"/>
      <c r="L103" s="6">
        <f t="shared" si="62"/>
        <v>-893.65999999999985</v>
      </c>
      <c r="M103" s="2"/>
      <c r="N103" s="7">
        <f t="shared" si="63"/>
        <v>-0.30365613319741758</v>
      </c>
      <c r="O103" s="11"/>
      <c r="P103" s="6">
        <v>26409.649999999998</v>
      </c>
      <c r="Q103" s="2"/>
      <c r="R103" s="7">
        <f t="shared" si="64"/>
        <v>1.8613740468947863E-2</v>
      </c>
      <c r="S103" s="2"/>
      <c r="T103" s="6">
        <v>14818</v>
      </c>
      <c r="U103" s="2"/>
      <c r="V103" s="7">
        <f t="shared" si="65"/>
        <v>1.0697849499782766E-2</v>
      </c>
      <c r="W103" s="2"/>
      <c r="X103" s="6">
        <f t="shared" si="66"/>
        <v>11591.649999999998</v>
      </c>
      <c r="Y103" s="2"/>
      <c r="Z103" s="7">
        <f t="shared" si="67"/>
        <v>0.78226818733972181</v>
      </c>
    </row>
    <row r="104" spans="1:26" s="24" customFormat="1" hidden="1" outlineLevel="2" x14ac:dyDescent="0.25">
      <c r="A104" s="25"/>
      <c r="B104" s="11" t="str">
        <f>CONCATENATE("          ", "6248", " - ", "UNIFORMS")</f>
        <v xml:space="preserve">          6248 - UNIFORMS</v>
      </c>
      <c r="C104" s="11"/>
      <c r="D104" s="6"/>
      <c r="E104" s="2"/>
      <c r="F104" s="7">
        <f t="shared" si="60"/>
        <v>0</v>
      </c>
      <c r="G104" s="2"/>
      <c r="H104" s="6"/>
      <c r="I104" s="2"/>
      <c r="J104" s="7">
        <f t="shared" si="61"/>
        <v>0</v>
      </c>
      <c r="K104" s="2"/>
      <c r="L104" s="6">
        <f t="shared" si="62"/>
        <v>0</v>
      </c>
      <c r="M104" s="2"/>
      <c r="N104" s="7">
        <f t="shared" si="63"/>
        <v>0</v>
      </c>
      <c r="O104" s="11"/>
      <c r="P104" s="6"/>
      <c r="Q104" s="2"/>
      <c r="R104" s="7">
        <f t="shared" si="64"/>
        <v>0</v>
      </c>
      <c r="S104" s="2"/>
      <c r="T104" s="6">
        <v>300</v>
      </c>
      <c r="U104" s="2"/>
      <c r="V104" s="7">
        <f t="shared" si="65"/>
        <v>2.1658488661997771E-4</v>
      </c>
      <c r="W104" s="2"/>
      <c r="X104" s="6">
        <f t="shared" si="66"/>
        <v>-300</v>
      </c>
      <c r="Y104" s="2"/>
      <c r="Z104" s="7">
        <f t="shared" si="67"/>
        <v>-1</v>
      </c>
    </row>
    <row r="105" spans="1:26" s="26" customFormat="1" outlineLevel="1" collapsed="1" x14ac:dyDescent="0.25">
      <c r="A105" s="27"/>
      <c r="B105" s="13" t="str">
        <f>CONCATENATE("     ","Telephone/Data Lines                              ")</f>
        <v xml:space="preserve">     Telephone/Data Lines                              </v>
      </c>
      <c r="C105" s="13"/>
      <c r="D105" s="1">
        <f>SUM(OSRRefD22_20x_0)</f>
        <v>345.91</v>
      </c>
      <c r="E105" s="1"/>
      <c r="F105" s="5">
        <f t="shared" ref="F105:F112" si="68">IF(D$12=0,0,D105/D$12)</f>
        <v>1.1501461597666763E-3</v>
      </c>
      <c r="G105" s="1"/>
      <c r="H105" s="1">
        <f>SUM(OSRRefH22_20x_0)</f>
        <v>340</v>
      </c>
      <c r="I105" s="1"/>
      <c r="J105" s="5">
        <f t="shared" ref="J105:J112" si="69">IF(H$12=0,0,H105/H$12)</f>
        <v>1.2764056417129365E-3</v>
      </c>
      <c r="K105" s="1"/>
      <c r="L105" s="1">
        <f t="shared" ref="L105:L112" si="70">+D105-H105</f>
        <v>5.910000000000025</v>
      </c>
      <c r="M105" s="1"/>
      <c r="N105" s="5">
        <f t="shared" ref="N105:N112" si="71">IF(H105=0,0,L105/H105)</f>
        <v>1.7382352941176543E-2</v>
      </c>
      <c r="O105" s="13"/>
      <c r="P105" s="1">
        <f>SUM(OSRRefP22_20x_0)</f>
        <v>1697.4</v>
      </c>
      <c r="Q105" s="1"/>
      <c r="R105" s="5">
        <f t="shared" ref="R105:R112" si="72">IF(P$12=0,0,P105/P$12)</f>
        <v>1.1963416051326734E-3</v>
      </c>
      <c r="S105" s="1"/>
      <c r="T105" s="1">
        <f>SUM(OSRRefT22_20x_0)</f>
        <v>1700</v>
      </c>
      <c r="U105" s="1"/>
      <c r="V105" s="5">
        <f t="shared" ref="V105:V112" si="73">IF(T$12=0,0,T105/T$12)</f>
        <v>1.2273143575132069E-3</v>
      </c>
      <c r="W105" s="1"/>
      <c r="X105" s="1">
        <f t="shared" ref="X105:X112" si="74">+P105-T105</f>
        <v>-2.5999999999999091</v>
      </c>
      <c r="Y105" s="1"/>
      <c r="Z105" s="5">
        <f t="shared" ref="Z105:Z112" si="75">IF(T105=0,0,X105/T105)</f>
        <v>-1.5294117647058289E-3</v>
      </c>
    </row>
    <row r="106" spans="1:26" s="24" customFormat="1" hidden="1" outlineLevel="2" x14ac:dyDescent="0.25">
      <c r="A106" s="25"/>
      <c r="B106" s="11" t="str">
        <f>CONCATENATE("          ", "6309", " - ", "TELEPHONE")</f>
        <v xml:space="preserve">          6309 - TELEPHONE</v>
      </c>
      <c r="C106" s="11"/>
      <c r="D106" s="6">
        <v>345.91</v>
      </c>
      <c r="E106" s="2"/>
      <c r="F106" s="7">
        <f t="shared" si="68"/>
        <v>1.1501461597666763E-3</v>
      </c>
      <c r="G106" s="2"/>
      <c r="H106" s="6">
        <v>340</v>
      </c>
      <c r="I106" s="2"/>
      <c r="J106" s="7">
        <f t="shared" si="69"/>
        <v>1.2764056417129365E-3</v>
      </c>
      <c r="K106" s="2"/>
      <c r="L106" s="6">
        <f t="shared" si="70"/>
        <v>5.910000000000025</v>
      </c>
      <c r="M106" s="2"/>
      <c r="N106" s="7">
        <f t="shared" si="71"/>
        <v>1.7382352941176543E-2</v>
      </c>
      <c r="O106" s="11"/>
      <c r="P106" s="6">
        <v>1697.4</v>
      </c>
      <c r="Q106" s="2"/>
      <c r="R106" s="7">
        <f t="shared" si="72"/>
        <v>1.1963416051326734E-3</v>
      </c>
      <c r="S106" s="2"/>
      <c r="T106" s="6">
        <v>1700</v>
      </c>
      <c r="U106" s="2"/>
      <c r="V106" s="7">
        <f t="shared" si="73"/>
        <v>1.2273143575132069E-3</v>
      </c>
      <c r="W106" s="2"/>
      <c r="X106" s="6">
        <f t="shared" si="74"/>
        <v>-2.5999999999999091</v>
      </c>
      <c r="Y106" s="2"/>
      <c r="Z106" s="7">
        <f t="shared" si="75"/>
        <v>-1.5294117647058289E-3</v>
      </c>
    </row>
    <row r="107" spans="1:26" s="26" customFormat="1" outlineLevel="1" collapsed="1" x14ac:dyDescent="0.25">
      <c r="A107" s="27"/>
      <c r="B107" s="13" t="str">
        <f>CONCATENATE("     ","Training                                          ")</f>
        <v xml:space="preserve">     Training                                          </v>
      </c>
      <c r="C107" s="13"/>
      <c r="D107" s="1">
        <f>SUM(OSRRefD22_21x_0)</f>
        <v>0</v>
      </c>
      <c r="E107" s="1"/>
      <c r="F107" s="5">
        <f t="shared" si="68"/>
        <v>0</v>
      </c>
      <c r="G107" s="1"/>
      <c r="H107" s="1">
        <f>SUM(OSRRefH22_21x_0)</f>
        <v>0</v>
      </c>
      <c r="I107" s="1"/>
      <c r="J107" s="5">
        <f t="shared" si="69"/>
        <v>0</v>
      </c>
      <c r="K107" s="1"/>
      <c r="L107" s="1">
        <f t="shared" si="70"/>
        <v>0</v>
      </c>
      <c r="M107" s="1"/>
      <c r="N107" s="5">
        <f t="shared" si="71"/>
        <v>0</v>
      </c>
      <c r="O107" s="13"/>
      <c r="P107" s="1">
        <f>SUM(OSRRefP22_21x_0)</f>
        <v>96</v>
      </c>
      <c r="Q107" s="1"/>
      <c r="R107" s="5">
        <f t="shared" si="72"/>
        <v>6.7661596614078387E-5</v>
      </c>
      <c r="S107" s="1"/>
      <c r="T107" s="1">
        <f>SUM(OSRRefT22_21x_0)</f>
        <v>1100</v>
      </c>
      <c r="U107" s="1"/>
      <c r="V107" s="5">
        <f t="shared" si="73"/>
        <v>7.9414458427325163E-4</v>
      </c>
      <c r="W107" s="1"/>
      <c r="X107" s="1">
        <f t="shared" si="74"/>
        <v>-1004</v>
      </c>
      <c r="Y107" s="1"/>
      <c r="Z107" s="5">
        <f t="shared" si="75"/>
        <v>-0.91272727272727272</v>
      </c>
    </row>
    <row r="108" spans="1:26" s="24" customFormat="1" hidden="1" outlineLevel="2" x14ac:dyDescent="0.25">
      <c r="A108" s="25"/>
      <c r="B108" s="11" t="str">
        <f>CONCATENATE("          ", "6376", " - ", "TRAINING")</f>
        <v xml:space="preserve">          6376 - TRAINING</v>
      </c>
      <c r="C108" s="11"/>
      <c r="D108" s="6"/>
      <c r="E108" s="2"/>
      <c r="F108" s="7">
        <f t="shared" si="68"/>
        <v>0</v>
      </c>
      <c r="G108" s="2"/>
      <c r="H108" s="6"/>
      <c r="I108" s="2"/>
      <c r="J108" s="7">
        <f t="shared" si="69"/>
        <v>0</v>
      </c>
      <c r="K108" s="2"/>
      <c r="L108" s="6">
        <f t="shared" si="70"/>
        <v>0</v>
      </c>
      <c r="M108" s="2"/>
      <c r="N108" s="7">
        <f t="shared" si="71"/>
        <v>0</v>
      </c>
      <c r="O108" s="11"/>
      <c r="P108" s="6">
        <v>96</v>
      </c>
      <c r="Q108" s="2"/>
      <c r="R108" s="7">
        <f t="shared" si="72"/>
        <v>6.7661596614078387E-5</v>
      </c>
      <c r="S108" s="2"/>
      <c r="T108" s="6">
        <v>1100</v>
      </c>
      <c r="U108" s="2"/>
      <c r="V108" s="7">
        <f t="shared" si="73"/>
        <v>7.9414458427325163E-4</v>
      </c>
      <c r="W108" s="2"/>
      <c r="X108" s="6">
        <f t="shared" si="74"/>
        <v>-1004</v>
      </c>
      <c r="Y108" s="2"/>
      <c r="Z108" s="7">
        <f t="shared" si="75"/>
        <v>-0.91272727272727272</v>
      </c>
    </row>
    <row r="109" spans="1:26" s="26" customFormat="1" outlineLevel="1" collapsed="1" x14ac:dyDescent="0.25">
      <c r="A109" s="27"/>
      <c r="B109" s="13" t="str">
        <f>CONCATENATE("     ","Travel                                            ")</f>
        <v xml:space="preserve">     Travel                                            </v>
      </c>
      <c r="C109" s="13"/>
      <c r="D109" s="1">
        <f>SUM(OSRRefD22_22x_0)</f>
        <v>0</v>
      </c>
      <c r="E109" s="1"/>
      <c r="F109" s="5">
        <f t="shared" si="68"/>
        <v>0</v>
      </c>
      <c r="G109" s="1"/>
      <c r="H109" s="1">
        <f>SUM(OSRRefH22_22x_0)</f>
        <v>0</v>
      </c>
      <c r="I109" s="1"/>
      <c r="J109" s="5">
        <f t="shared" si="69"/>
        <v>0</v>
      </c>
      <c r="K109" s="1"/>
      <c r="L109" s="1">
        <f t="shared" si="70"/>
        <v>0</v>
      </c>
      <c r="M109" s="1"/>
      <c r="N109" s="5">
        <f t="shared" si="71"/>
        <v>0</v>
      </c>
      <c r="O109" s="13"/>
      <c r="P109" s="1">
        <f>SUM(OSRRefP22_22x_0)</f>
        <v>0</v>
      </c>
      <c r="Q109" s="1"/>
      <c r="R109" s="5">
        <f t="shared" si="72"/>
        <v>0</v>
      </c>
      <c r="S109" s="1"/>
      <c r="T109" s="1">
        <f>SUM(OSRRefT22_22x_0)</f>
        <v>1000</v>
      </c>
      <c r="U109" s="1"/>
      <c r="V109" s="5">
        <f t="shared" si="73"/>
        <v>7.2194962206659241E-4</v>
      </c>
      <c r="W109" s="1"/>
      <c r="X109" s="1">
        <f t="shared" si="74"/>
        <v>-1000</v>
      </c>
      <c r="Y109" s="1"/>
      <c r="Z109" s="5">
        <f t="shared" si="75"/>
        <v>-1</v>
      </c>
    </row>
    <row r="110" spans="1:26" s="24" customFormat="1" hidden="1" outlineLevel="2" x14ac:dyDescent="0.25">
      <c r="A110" s="25"/>
      <c r="B110" s="11" t="str">
        <f>CONCATENATE("          ", "6292", " - ", "TRAVEL/CONFERENCE")</f>
        <v xml:space="preserve">          6292 - TRAVEL/CONFERENCE</v>
      </c>
      <c r="C110" s="11"/>
      <c r="D110" s="6"/>
      <c r="E110" s="2"/>
      <c r="F110" s="7">
        <f t="shared" si="68"/>
        <v>0</v>
      </c>
      <c r="G110" s="2"/>
      <c r="H110" s="6">
        <v>0</v>
      </c>
      <c r="I110" s="2"/>
      <c r="J110" s="7">
        <f t="shared" si="69"/>
        <v>0</v>
      </c>
      <c r="K110" s="2"/>
      <c r="L110" s="6">
        <f t="shared" si="70"/>
        <v>0</v>
      </c>
      <c r="M110" s="2"/>
      <c r="N110" s="7">
        <f t="shared" si="71"/>
        <v>0</v>
      </c>
      <c r="O110" s="11"/>
      <c r="P110" s="6"/>
      <c r="Q110" s="2"/>
      <c r="R110" s="7">
        <f t="shared" si="72"/>
        <v>0</v>
      </c>
      <c r="S110" s="2"/>
      <c r="T110" s="6">
        <v>1000</v>
      </c>
      <c r="U110" s="2"/>
      <c r="V110" s="7">
        <f t="shared" si="73"/>
        <v>7.2194962206659241E-4</v>
      </c>
      <c r="W110" s="2"/>
      <c r="X110" s="6">
        <f t="shared" si="74"/>
        <v>-1000</v>
      </c>
      <c r="Y110" s="2"/>
      <c r="Z110" s="7">
        <f t="shared" si="75"/>
        <v>-1</v>
      </c>
    </row>
    <row r="111" spans="1:26" s="26" customFormat="1" outlineLevel="1" collapsed="1" x14ac:dyDescent="0.25">
      <c r="A111" s="27"/>
      <c r="B111" s="13" t="str">
        <f>CONCATENATE("     ","Utilities                                         ")</f>
        <v xml:space="preserve">     Utilities                                         </v>
      </c>
      <c r="C111" s="13"/>
      <c r="D111" s="1">
        <f>SUM(OSRRefD22_23x_0)</f>
        <v>978</v>
      </c>
      <c r="E111" s="1"/>
      <c r="F111" s="5">
        <f t="shared" si="68"/>
        <v>3.2518370219184454E-3</v>
      </c>
      <c r="G111" s="1"/>
      <c r="H111" s="1">
        <f>SUM(OSRRefH22_23x_0)</f>
        <v>1125</v>
      </c>
      <c r="I111" s="1"/>
      <c r="J111" s="5">
        <f t="shared" si="69"/>
        <v>4.2234010203736861E-3</v>
      </c>
      <c r="K111" s="1"/>
      <c r="L111" s="1">
        <f t="shared" si="70"/>
        <v>-147</v>
      </c>
      <c r="M111" s="1"/>
      <c r="N111" s="5">
        <f t="shared" si="71"/>
        <v>-0.13066666666666665</v>
      </c>
      <c r="O111" s="13"/>
      <c r="P111" s="1">
        <f>SUM(OSRRefP22_23x_0)</f>
        <v>3038.12</v>
      </c>
      <c r="Q111" s="1"/>
      <c r="R111" s="5">
        <f t="shared" si="72"/>
        <v>2.141292186512123E-3</v>
      </c>
      <c r="S111" s="1"/>
      <c r="T111" s="1">
        <f>SUM(OSRRefT22_23x_0)</f>
        <v>5646</v>
      </c>
      <c r="U111" s="1"/>
      <c r="V111" s="5">
        <f t="shared" si="73"/>
        <v>4.0761275661879807E-3</v>
      </c>
      <c r="W111" s="1"/>
      <c r="X111" s="1">
        <f t="shared" si="74"/>
        <v>-2607.88</v>
      </c>
      <c r="Y111" s="1"/>
      <c r="Z111" s="5">
        <f t="shared" si="75"/>
        <v>-0.46189868933758416</v>
      </c>
    </row>
    <row r="112" spans="1:26" s="24" customFormat="1" hidden="1" outlineLevel="2" x14ac:dyDescent="0.25">
      <c r="A112" s="25"/>
      <c r="B112" s="11" t="str">
        <f>CONCATENATE("          ", "6274", " - ", "UTILITIES")</f>
        <v xml:space="preserve">          6274 - UTILITIES</v>
      </c>
      <c r="C112" s="11"/>
      <c r="D112" s="6">
        <v>978</v>
      </c>
      <c r="E112" s="2"/>
      <c r="F112" s="7">
        <f t="shared" si="68"/>
        <v>3.2518370219184454E-3</v>
      </c>
      <c r="G112" s="2"/>
      <c r="H112" s="6">
        <v>1125</v>
      </c>
      <c r="I112" s="2"/>
      <c r="J112" s="7">
        <f t="shared" si="69"/>
        <v>4.2234010203736861E-3</v>
      </c>
      <c r="K112" s="2"/>
      <c r="L112" s="6">
        <f t="shared" si="70"/>
        <v>-147</v>
      </c>
      <c r="M112" s="2"/>
      <c r="N112" s="7">
        <f t="shared" si="71"/>
        <v>-0.13066666666666665</v>
      </c>
      <c r="O112" s="11"/>
      <c r="P112" s="6">
        <v>3038.12</v>
      </c>
      <c r="Q112" s="2"/>
      <c r="R112" s="7">
        <f t="shared" si="72"/>
        <v>2.141292186512123E-3</v>
      </c>
      <c r="S112" s="2"/>
      <c r="T112" s="6">
        <v>5646</v>
      </c>
      <c r="U112" s="2"/>
      <c r="V112" s="7">
        <f t="shared" si="73"/>
        <v>4.0761275661879807E-3</v>
      </c>
      <c r="W112" s="2"/>
      <c r="X112" s="6">
        <f t="shared" si="74"/>
        <v>-2607.88</v>
      </c>
      <c r="Y112" s="2"/>
      <c r="Z112" s="7">
        <f t="shared" si="75"/>
        <v>-0.46189868933758416</v>
      </c>
    </row>
    <row r="113" spans="1:26" s="59" customFormat="1" x14ac:dyDescent="0.25">
      <c r="A113" s="36"/>
      <c r="B113" s="36"/>
      <c r="C113" s="36"/>
      <c r="D113" s="1"/>
      <c r="E113" s="1"/>
      <c r="F113" s="5"/>
      <c r="G113" s="1"/>
      <c r="H113" s="1"/>
      <c r="I113" s="1"/>
      <c r="J113" s="5"/>
      <c r="K113" s="1"/>
      <c r="L113" s="1"/>
      <c r="M113" s="1"/>
      <c r="N113" s="5"/>
      <c r="O113" s="36"/>
      <c r="P113" s="1"/>
      <c r="Q113" s="1"/>
      <c r="R113" s="5"/>
      <c r="S113" s="1"/>
      <c r="T113" s="1"/>
      <c r="U113" s="1"/>
      <c r="V113" s="5"/>
      <c r="W113" s="1"/>
      <c r="X113" s="1"/>
      <c r="Y113" s="1"/>
      <c r="Z113" s="5"/>
    </row>
    <row r="114" spans="1:26" s="23" customFormat="1" x14ac:dyDescent="0.25">
      <c r="A114" s="10"/>
      <c r="B114" s="29" t="s">
        <v>0</v>
      </c>
      <c r="C114" s="10"/>
      <c r="D114" s="4">
        <f>SUM(0)</f>
        <v>0</v>
      </c>
      <c r="E114" s="4"/>
      <c r="F114" s="12">
        <f>IF(D$12=0,0,D114/D$12)</f>
        <v>0</v>
      </c>
      <c r="G114" s="4"/>
      <c r="H114" s="4">
        <f>SUM(0)</f>
        <v>0</v>
      </c>
      <c r="I114" s="4"/>
      <c r="J114" s="12">
        <f>IF(H$12=0,0,H114/H$12)</f>
        <v>0</v>
      </c>
      <c r="K114" s="4"/>
      <c r="L114" s="4">
        <f>+D114-H114</f>
        <v>0</v>
      </c>
      <c r="M114" s="4"/>
      <c r="N114" s="12">
        <f>IF(H114=0,0,L114/H114)</f>
        <v>0</v>
      </c>
      <c r="O114" s="10"/>
      <c r="P114" s="4">
        <f>SUM(0)</f>
        <v>0</v>
      </c>
      <c r="Q114" s="4"/>
      <c r="R114" s="12">
        <f>IF(P$12=0,0,P114/P$12)</f>
        <v>0</v>
      </c>
      <c r="S114" s="4"/>
      <c r="T114" s="4">
        <f>SUM(0)</f>
        <v>0</v>
      </c>
      <c r="U114" s="4"/>
      <c r="V114" s="12">
        <f>IF(T$12=0,0,T114/T$12)</f>
        <v>0</v>
      </c>
      <c r="W114" s="4"/>
      <c r="X114" s="4">
        <f>+P114-T114</f>
        <v>0</v>
      </c>
      <c r="Y114" s="4"/>
      <c r="Z114" s="12">
        <f>IF(T114=0,0,X114/T114)</f>
        <v>0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10"/>
      <c r="B116" s="28" t="s">
        <v>3</v>
      </c>
      <c r="C116" s="28"/>
      <c r="D116" s="20">
        <f>+D29-D31+D114</f>
        <v>53680.86</v>
      </c>
      <c r="E116" s="14"/>
      <c r="F116" s="22">
        <f>IF(D$12=0,0,D116/D$12)</f>
        <v>0.1784881471538047</v>
      </c>
      <c r="G116" s="14"/>
      <c r="H116" s="20">
        <f>+H29-H31+H114</f>
        <v>37814.362374861521</v>
      </c>
      <c r="I116" s="14"/>
      <c r="J116" s="22">
        <f>IF(H$12=0,0,H116/H$12)</f>
        <v>0.14196019256779599</v>
      </c>
      <c r="K116" s="16"/>
      <c r="L116" s="20">
        <f>+D116-H116</f>
        <v>15866.49762513848</v>
      </c>
      <c r="M116" s="16"/>
      <c r="N116" s="22">
        <f>IF(H116=0,0,L116/H116)</f>
        <v>0.41958918856942867</v>
      </c>
      <c r="O116" s="29"/>
      <c r="P116" s="20">
        <f>+P29-P31+P114</f>
        <v>201038.56000000006</v>
      </c>
      <c r="Q116" s="14"/>
      <c r="R116" s="22">
        <f>IF(P$12=0,0,P116/P$12)</f>
        <v>0.14169364531869996</v>
      </c>
      <c r="S116" s="14"/>
      <c r="T116" s="20">
        <f>+T29-T31+T114</f>
        <v>198333.4492619884</v>
      </c>
      <c r="U116" s="14"/>
      <c r="V116" s="22">
        <f>IF(T$12=0,0,T116/T$12)</f>
        <v>0.14318675873785619</v>
      </c>
      <c r="W116" s="16"/>
      <c r="X116" s="20">
        <f>+P116-T116</f>
        <v>2705.1107380116591</v>
      </c>
      <c r="Y116" s="16"/>
      <c r="Z116" s="22">
        <f>IF(T116=0,0,X116/T116)</f>
        <v>1.3639205832790945E-2</v>
      </c>
    </row>
    <row r="117" spans="1:26" x14ac:dyDescent="0.25">
      <c r="A117" s="9"/>
      <c r="B117" s="10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52"/>
      <c r="B118" s="10" t="s">
        <v>14</v>
      </c>
      <c r="C118" s="10"/>
      <c r="D118" s="4">
        <v>37696.009999999995</v>
      </c>
      <c r="E118" s="4"/>
      <c r="F118" s="12">
        <f>IF(D$12=0,0,D118/D$12)</f>
        <v>0.12533873302311649</v>
      </c>
      <c r="G118" s="4"/>
      <c r="H118" s="4">
        <v>40815</v>
      </c>
      <c r="I118" s="4"/>
      <c r="J118" s="12">
        <f>IF(H$12=0,0,H118/H$12)</f>
        <v>0.15322498901915735</v>
      </c>
      <c r="K118" s="4"/>
      <c r="L118" s="4">
        <f>+D118-H118</f>
        <v>-3118.9900000000052</v>
      </c>
      <c r="M118" s="4"/>
      <c r="N118" s="12">
        <f>IF(H118=0,0,L118/H118)</f>
        <v>-7.6417738576503871E-2</v>
      </c>
      <c r="O118" s="10"/>
      <c r="P118" s="4">
        <v>150244.03999999998</v>
      </c>
      <c r="Q118" s="4"/>
      <c r="R118" s="12">
        <f>IF(P$12=0,0,P118/P$12)</f>
        <v>0.10589324612655683</v>
      </c>
      <c r="S118" s="4"/>
      <c r="T118" s="4">
        <v>175540</v>
      </c>
      <c r="U118" s="4"/>
      <c r="V118" s="12">
        <f>IF(T$12=0,0,T118/T$12)</f>
        <v>0.12673103665756963</v>
      </c>
      <c r="W118" s="4"/>
      <c r="X118" s="4">
        <f>+P118-T118</f>
        <v>-25295.960000000021</v>
      </c>
      <c r="Y118" s="4"/>
      <c r="Z118" s="12">
        <f>IF(T118=0,0,X118/T118)</f>
        <v>-0.14410368007291796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ht="15.75" thickBot="1" x14ac:dyDescent="0.3">
      <c r="A120" s="10"/>
      <c r="B120" s="28" t="s">
        <v>4</v>
      </c>
      <c r="C120" s="28"/>
      <c r="D120" s="30">
        <f>+D116-D118</f>
        <v>15984.850000000006</v>
      </c>
      <c r="E120" s="14"/>
      <c r="F120" s="32">
        <f>IF(D$12=0,0,D120/D$12)</f>
        <v>5.3149414130688223E-2</v>
      </c>
      <c r="G120" s="14"/>
      <c r="H120" s="30">
        <f>+H116-H118</f>
        <v>-3000.6376251384791</v>
      </c>
      <c r="I120" s="14"/>
      <c r="J120" s="32">
        <f>IF(H$12=0,0,H120/H$12)</f>
        <v>-1.1264796451361359E-2</v>
      </c>
      <c r="K120" s="16"/>
      <c r="L120" s="30">
        <f>D120-H120</f>
        <v>18985.487625138485</v>
      </c>
      <c r="M120" s="16"/>
      <c r="N120" s="32">
        <f>IF(H120=0,0,L120/H120)</f>
        <v>-6.3271510915158595</v>
      </c>
      <c r="O120" s="29"/>
      <c r="P120" s="30">
        <f>+P116-P118</f>
        <v>50794.520000000077</v>
      </c>
      <c r="Q120" s="14"/>
      <c r="R120" s="32">
        <f>IF(P$12=0,0,P120/P$12)</f>
        <v>3.5800399192143145E-2</v>
      </c>
      <c r="S120" s="14"/>
      <c r="T120" s="30">
        <f>+T116-T118</f>
        <v>22793.449261988397</v>
      </c>
      <c r="U120" s="14"/>
      <c r="V120" s="32">
        <f>IF(T$12=0,0,T120/T$12)</f>
        <v>1.6455722080286572E-2</v>
      </c>
      <c r="W120" s="16"/>
      <c r="X120" s="30">
        <f>P120-T120</f>
        <v>28001.07073801168</v>
      </c>
      <c r="Y120" s="16"/>
      <c r="Z120" s="32">
        <f>IF(T120=0,0,X120/T120)</f>
        <v>1.2284700931467971</v>
      </c>
    </row>
    <row r="121" spans="1:26" ht="15.75" thickTop="1" x14ac:dyDescent="0.25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x14ac:dyDescent="0.25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.75" thickBot="1" x14ac:dyDescent="0.3">
      <c r="A123" s="10"/>
      <c r="B123" s="28" t="s">
        <v>5</v>
      </c>
      <c r="C123" s="28"/>
      <c r="D123" s="31">
        <f>SUM(D120:D122)</f>
        <v>15984.850000000006</v>
      </c>
      <c r="E123" s="14"/>
      <c r="F123" s="35">
        <f>IF(D$12=0,0,D123/D$12)</f>
        <v>5.3149414130688223E-2</v>
      </c>
      <c r="G123" s="14"/>
      <c r="H123" s="31">
        <f>SUM(H120:H122)</f>
        <v>-3000.6376251384791</v>
      </c>
      <c r="I123" s="14"/>
      <c r="J123" s="35">
        <f>IF(H$12=0,0,H123/H$12)</f>
        <v>-1.1264796451361359E-2</v>
      </c>
      <c r="K123" s="16"/>
      <c r="L123" s="31">
        <f>+D123-H123</f>
        <v>18985.487625138485</v>
      </c>
      <c r="M123" s="16"/>
      <c r="N123" s="35">
        <f>IF(H123=0,0,L123/H123)</f>
        <v>-6.3271510915158595</v>
      </c>
      <c r="O123" s="29"/>
      <c r="P123" s="31">
        <f>SUM(P120:P122)</f>
        <v>50794.520000000077</v>
      </c>
      <c r="Q123" s="14"/>
      <c r="R123" s="35">
        <f>IF(P$12=0,0,P123/P$12)</f>
        <v>3.5800399192143145E-2</v>
      </c>
      <c r="S123" s="14"/>
      <c r="T123" s="31">
        <f>SUM(T120:T122)</f>
        <v>22793.449261988397</v>
      </c>
      <c r="U123" s="14"/>
      <c r="V123" s="35">
        <f>IF(T$12=0,0,T123/T$12)</f>
        <v>1.6455722080286572E-2</v>
      </c>
      <c r="W123" s="16"/>
      <c r="X123" s="31">
        <f>+P123-T123</f>
        <v>28001.07073801168</v>
      </c>
      <c r="Y123" s="16"/>
      <c r="Z123" s="35">
        <f>IF(T123=0,0,X123/T123)</f>
        <v>1.2284700931467971</v>
      </c>
    </row>
    <row r="124" spans="1:26" ht="15.75" thickTop="1" x14ac:dyDescent="0.25">
      <c r="A124" s="9"/>
      <c r="C124" s="9"/>
      <c r="D124" s="17"/>
      <c r="E124" s="17"/>
      <c r="G124" s="17"/>
      <c r="H124" s="17"/>
      <c r="I124" s="17"/>
      <c r="J124" s="43"/>
      <c r="K124" s="17"/>
      <c r="L124" s="17"/>
      <c r="M124" s="17"/>
      <c r="P124" s="17"/>
      <c r="Q124" s="17"/>
      <c r="R124" s="43"/>
      <c r="S124" s="17"/>
      <c r="T124" s="17"/>
      <c r="U124" s="17"/>
      <c r="V124" s="43"/>
      <c r="W124" s="17"/>
      <c r="X124" s="17"/>
    </row>
    <row r="125" spans="1:26" x14ac:dyDescent="0.25">
      <c r="A125" s="9"/>
      <c r="B125" s="56">
        <v>43815.483214548614</v>
      </c>
      <c r="D125" s="17"/>
      <c r="E125" s="17"/>
      <c r="G125" s="17"/>
      <c r="H125" s="17"/>
      <c r="I125" s="17"/>
      <c r="J125" s="43"/>
      <c r="K125" s="17"/>
      <c r="L125" s="17"/>
      <c r="M125" s="17"/>
      <c r="P125" s="17"/>
      <c r="Q125" s="17"/>
      <c r="R125" s="43"/>
      <c r="S125" s="17"/>
      <c r="T125" s="17"/>
      <c r="U125" s="17"/>
      <c r="V125" s="43"/>
      <c r="W125" s="17"/>
      <c r="X125" s="17"/>
    </row>
    <row r="126" spans="1:26" x14ac:dyDescent="0.25">
      <c r="A126" s="9"/>
      <c r="B126" s="62" t="s">
        <v>314</v>
      </c>
      <c r="D126" s="17"/>
      <c r="E126" s="17"/>
      <c r="G126" s="17"/>
      <c r="H126" s="17"/>
      <c r="I126" s="17"/>
      <c r="J126" s="43"/>
      <c r="K126" s="17"/>
      <c r="L126" s="17"/>
      <c r="M126" s="17"/>
      <c r="P126" s="17"/>
      <c r="Q126" s="17"/>
      <c r="R126" s="43"/>
      <c r="S126" s="17"/>
      <c r="T126" s="17"/>
      <c r="U126" s="17"/>
      <c r="V126" s="43"/>
      <c r="W126" s="17"/>
      <c r="X126" s="17"/>
    </row>
    <row r="127" spans="1:26" x14ac:dyDescent="0.25">
      <c r="A127" s="9"/>
      <c r="B127" s="58"/>
      <c r="D127" s="17"/>
      <c r="E127" s="17"/>
      <c r="G127" s="17"/>
      <c r="H127" s="17"/>
      <c r="I127" s="17"/>
      <c r="J127" s="43"/>
      <c r="K127" s="17"/>
      <c r="L127" s="17"/>
      <c r="M127" s="17"/>
      <c r="P127" s="17"/>
      <c r="Q127" s="17"/>
      <c r="R127" s="43"/>
      <c r="S127" s="17"/>
      <c r="T127" s="17"/>
      <c r="U127" s="17"/>
      <c r="V127" s="43"/>
      <c r="W127" s="17"/>
      <c r="X127" s="17"/>
    </row>
    <row r="128" spans="1:26" x14ac:dyDescent="0.25">
      <c r="D128" s="17"/>
      <c r="E128" s="17"/>
      <c r="G128" s="17"/>
      <c r="H128" s="17"/>
      <c r="I128" s="17"/>
      <c r="J128" s="43"/>
      <c r="K128" s="17"/>
      <c r="L128" s="17"/>
      <c r="M128" s="17"/>
      <c r="P128" s="17"/>
      <c r="Q128" s="17"/>
      <c r="R128" s="43"/>
      <c r="S128" s="17"/>
      <c r="T128" s="17"/>
      <c r="U128" s="17"/>
      <c r="V128" s="43"/>
      <c r="W128" s="17"/>
      <c r="X128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","309", " - ", "Carts")</f>
        <v>Department 309 - Carts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36696.76</v>
      </c>
      <c r="E12" s="4"/>
      <c r="F12" s="12"/>
      <c r="G12" s="4"/>
      <c r="H12" s="4">
        <f>SUM(OSRRefH13x_0)</f>
        <v>35220</v>
      </c>
      <c r="I12" s="4"/>
      <c r="J12" s="12"/>
      <c r="K12" s="4"/>
      <c r="L12" s="4">
        <f t="shared" ref="L12:L15" si="0">+D12-H12</f>
        <v>1476.760000000002</v>
      </c>
      <c r="M12" s="4"/>
      <c r="N12" s="12">
        <f t="shared" ref="N12:N15" si="1">IF(H12=0,0,L12/H12)</f>
        <v>4.1929585462805286E-2</v>
      </c>
      <c r="O12" s="10"/>
      <c r="P12" s="4">
        <f>SUM(OSRRefP13x_0)</f>
        <v>177408.46999999997</v>
      </c>
      <c r="Q12" s="4"/>
      <c r="R12" s="12"/>
      <c r="S12" s="4"/>
      <c r="T12" s="4">
        <f>SUM(OSRRefT13x_0)</f>
        <v>182551</v>
      </c>
      <c r="U12" s="4"/>
      <c r="V12" s="12"/>
      <c r="W12" s="4"/>
      <c r="X12" s="4">
        <f t="shared" ref="X12:X15" si="2">+P12-T12</f>
        <v>-5142.5300000000279</v>
      </c>
      <c r="Y12" s="4"/>
      <c r="Z12" s="12">
        <f t="shared" ref="Z12:Z15" si="3">IF(T12=0,0,X12/T12)</f>
        <v>-2.8170374306358378E-2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--7765.95</f>
        <v>7765.95</v>
      </c>
      <c r="E13" s="2"/>
      <c r="F13" s="19"/>
      <c r="G13" s="2"/>
      <c r="H13" s="2"/>
      <c r="I13" s="2"/>
      <c r="J13" s="19"/>
      <c r="K13" s="2"/>
      <c r="L13" s="2">
        <f t="shared" si="0"/>
        <v>7765.95</v>
      </c>
      <c r="M13" s="2"/>
      <c r="N13" s="19">
        <f t="shared" si="1"/>
        <v>0</v>
      </c>
      <c r="O13" s="11"/>
      <c r="P13" s="2">
        <f>--38939.11</f>
        <v>38939.11</v>
      </c>
      <c r="Q13" s="2"/>
      <c r="R13" s="19"/>
      <c r="S13" s="2"/>
      <c r="T13" s="2"/>
      <c r="U13" s="2"/>
      <c r="V13" s="19"/>
      <c r="W13" s="2"/>
      <c r="X13" s="2">
        <f t="shared" si="2"/>
        <v>38939.11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35220</v>
      </c>
      <c r="I14" s="2"/>
      <c r="J14" s="19"/>
      <c r="K14" s="2"/>
      <c r="L14" s="2">
        <f t="shared" si="0"/>
        <v>-35220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182551</v>
      </c>
      <c r="U14" s="2"/>
      <c r="V14" s="19"/>
      <c r="W14" s="2"/>
      <c r="X14" s="2">
        <f t="shared" si="2"/>
        <v>-182551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--28930.81</f>
        <v>28930.81</v>
      </c>
      <c r="E15" s="2"/>
      <c r="F15" s="19"/>
      <c r="G15" s="2"/>
      <c r="H15" s="2"/>
      <c r="I15" s="2"/>
      <c r="J15" s="19"/>
      <c r="K15" s="2"/>
      <c r="L15" s="2">
        <f t="shared" si="0"/>
        <v>28930.81</v>
      </c>
      <c r="M15" s="2"/>
      <c r="N15" s="19">
        <f t="shared" si="1"/>
        <v>0</v>
      </c>
      <c r="O15" s="11"/>
      <c r="P15" s="2">
        <f>--138469.36</f>
        <v>138469.35999999999</v>
      </c>
      <c r="Q15" s="2"/>
      <c r="R15" s="19"/>
      <c r="S15" s="2"/>
      <c r="T15" s="2"/>
      <c r="U15" s="2"/>
      <c r="V15" s="19"/>
      <c r="W15" s="2"/>
      <c r="X15" s="2">
        <f t="shared" si="2"/>
        <v>138469.35999999999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17105.75</v>
      </c>
      <c r="E17" s="4"/>
      <c r="F17" s="12">
        <f t="shared" ref="F17:F20" si="4">IF(D$12=0,0,D17/D$12)</f>
        <v>0.46613788247245802</v>
      </c>
      <c r="G17" s="4"/>
      <c r="H17" s="4">
        <f>SUM(OSRRefH16x_0)</f>
        <v>17434</v>
      </c>
      <c r="I17" s="4"/>
      <c r="J17" s="12">
        <f t="shared" ref="J17:J20" si="5">IF(H$12=0,0,H17/H$12)</f>
        <v>0.49500283929585465</v>
      </c>
      <c r="K17" s="4"/>
      <c r="L17" s="4">
        <f t="shared" ref="L17:L20" si="6">+D17-H17</f>
        <v>-328.25</v>
      </c>
      <c r="M17" s="4"/>
      <c r="N17" s="12">
        <f t="shared" ref="N17:N20" si="7">IF(H17=0,0,L17/H17)</f>
        <v>-1.8828151887117128E-2</v>
      </c>
      <c r="O17" s="10"/>
      <c r="P17" s="4">
        <f>SUM(OSRRefP16x_0)</f>
        <v>81833.78</v>
      </c>
      <c r="Q17" s="4"/>
      <c r="R17" s="12">
        <f t="shared" ref="R17:R20" si="8">IF(P$12=0,0,P17/P$12)</f>
        <v>0.46127324135087805</v>
      </c>
      <c r="S17" s="4"/>
      <c r="T17" s="4">
        <f>SUM(OSRRefT16x_0)</f>
        <v>90362</v>
      </c>
      <c r="U17" s="4"/>
      <c r="V17" s="12">
        <f t="shared" ref="V17:V20" si="9">IF(T$12=0,0,T17/T$12)</f>
        <v>0.49499591894867734</v>
      </c>
      <c r="W17" s="4"/>
      <c r="X17" s="4">
        <f t="shared" ref="X17:X20" si="10">+P17-T17</f>
        <v>-8528.2200000000012</v>
      </c>
      <c r="Y17" s="4"/>
      <c r="Z17" s="12">
        <f t="shared" ref="Z17:Z20" si="11">IF(T17=0,0,X17/T17)</f>
        <v>-9.4378389145879912E-2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17434</v>
      </c>
      <c r="I18" s="2"/>
      <c r="J18" s="19">
        <f t="shared" si="5"/>
        <v>0.49500283929585465</v>
      </c>
      <c r="K18" s="2"/>
      <c r="L18" s="2">
        <f t="shared" si="6"/>
        <v>-17434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90362</v>
      </c>
      <c r="U18" s="2"/>
      <c r="V18" s="19">
        <f t="shared" si="9"/>
        <v>0.49499591894867734</v>
      </c>
      <c r="W18" s="2"/>
      <c r="X18" s="2">
        <f t="shared" si="10"/>
        <v>-90362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14868.510000000002</v>
      </c>
      <c r="E19" s="2"/>
      <c r="F19" s="19">
        <f t="shared" si="4"/>
        <v>0.40517228223963098</v>
      </c>
      <c r="G19" s="2"/>
      <c r="H19" s="2"/>
      <c r="I19" s="2"/>
      <c r="J19" s="19">
        <f t="shared" si="5"/>
        <v>0</v>
      </c>
      <c r="K19" s="2"/>
      <c r="L19" s="2">
        <f t="shared" si="6"/>
        <v>14868.510000000002</v>
      </c>
      <c r="M19" s="2"/>
      <c r="N19" s="19">
        <f t="shared" si="7"/>
        <v>0</v>
      </c>
      <c r="O19" s="11"/>
      <c r="P19" s="2">
        <v>87576.47</v>
      </c>
      <c r="Q19" s="2"/>
      <c r="R19" s="19">
        <f t="shared" si="8"/>
        <v>0.49364311636304631</v>
      </c>
      <c r="S19" s="2"/>
      <c r="T19" s="2"/>
      <c r="U19" s="2"/>
      <c r="V19" s="19">
        <f t="shared" si="9"/>
        <v>0</v>
      </c>
      <c r="W19" s="2"/>
      <c r="X19" s="2">
        <f t="shared" si="10"/>
        <v>87576.47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2237.2399999999998</v>
      </c>
      <c r="E20" s="2"/>
      <c r="F20" s="19">
        <f t="shared" si="4"/>
        <v>6.0965600232827086E-2</v>
      </c>
      <c r="G20" s="2"/>
      <c r="H20" s="2"/>
      <c r="I20" s="2"/>
      <c r="J20" s="19">
        <f t="shared" si="5"/>
        <v>0</v>
      </c>
      <c r="K20" s="2"/>
      <c r="L20" s="2">
        <f t="shared" si="6"/>
        <v>2237.2399999999998</v>
      </c>
      <c r="M20" s="2"/>
      <c r="N20" s="19">
        <f t="shared" si="7"/>
        <v>0</v>
      </c>
      <c r="O20" s="11"/>
      <c r="P20" s="2">
        <v>-5742.69</v>
      </c>
      <c r="Q20" s="2"/>
      <c r="R20" s="19">
        <f t="shared" si="8"/>
        <v>-3.2369875012168252E-2</v>
      </c>
      <c r="S20" s="2"/>
      <c r="T20" s="2"/>
      <c r="U20" s="2"/>
      <c r="V20" s="19">
        <f t="shared" si="9"/>
        <v>0</v>
      </c>
      <c r="W20" s="2"/>
      <c r="X20" s="2">
        <f t="shared" si="10"/>
        <v>-5742.69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0">
        <f>D12-D17</f>
        <v>19591.010000000002</v>
      </c>
      <c r="E22" s="14"/>
      <c r="F22" s="22">
        <f>IF(D$12=0,0,D22/D$12)</f>
        <v>0.53386211752754198</v>
      </c>
      <c r="G22" s="14"/>
      <c r="H22" s="20">
        <f>H12-H17</f>
        <v>17786</v>
      </c>
      <c r="I22" s="14"/>
      <c r="J22" s="22">
        <f>IF(H$12=0,0,H22/H$12)</f>
        <v>0.50499716070414535</v>
      </c>
      <c r="K22" s="16"/>
      <c r="L22" s="20">
        <f>+D22-H22</f>
        <v>1805.010000000002</v>
      </c>
      <c r="M22" s="16"/>
      <c r="N22" s="22">
        <f>IF(H22=0,0,L22/H22)</f>
        <v>0.10148487574496806</v>
      </c>
      <c r="O22" s="29"/>
      <c r="P22" s="20">
        <f>P12-P17</f>
        <v>95574.689999999973</v>
      </c>
      <c r="Q22" s="14"/>
      <c r="R22" s="22">
        <f>IF(P$12=0,0,P22/P$12)</f>
        <v>0.5387267586491219</v>
      </c>
      <c r="S22" s="14"/>
      <c r="T22" s="20">
        <f>T12-T17</f>
        <v>92189</v>
      </c>
      <c r="U22" s="14"/>
      <c r="V22" s="22">
        <f>IF(T$12=0,0,T22/T$12)</f>
        <v>0.50500408105132266</v>
      </c>
      <c r="W22" s="16"/>
      <c r="X22" s="20">
        <f>+P22-T22</f>
        <v>3385.6899999999732</v>
      </c>
      <c r="Y22" s="16"/>
      <c r="Z22" s="22">
        <f>IF(T22=0,0,X22/T22)</f>
        <v>3.6725531245593003E-2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13777.56</v>
      </c>
      <c r="E24" s="21"/>
      <c r="F24" s="33">
        <f t="shared" ref="F24:F34" si="12">IF(D$12=0,0,D24/D$12)</f>
        <v>0.37544349964411022</v>
      </c>
      <c r="G24" s="21"/>
      <c r="H24" s="21">
        <f>SUM(OSRRefH22x_0)</f>
        <v>12617.195905384619</v>
      </c>
      <c r="I24" s="21"/>
      <c r="J24" s="33">
        <f t="shared" ref="J24:J34" si="13">IF(H$12=0,0,H24/H$12)</f>
        <v>0.35823952031188583</v>
      </c>
      <c r="K24" s="4"/>
      <c r="L24" s="21">
        <f t="shared" ref="L24:L34" si="14">+D24-H24</f>
        <v>1160.364094615381</v>
      </c>
      <c r="M24" s="4"/>
      <c r="N24" s="33">
        <f t="shared" ref="N24:N34" si="15">IF(H24=0,0,L24/H24)</f>
        <v>9.1966876262908337E-2</v>
      </c>
      <c r="O24" s="10"/>
      <c r="P24" s="21">
        <f>SUM(OSRRefP22x_0)</f>
        <v>79509.479999999981</v>
      </c>
      <c r="Q24" s="21"/>
      <c r="R24" s="33">
        <f t="shared" ref="R24:R34" si="16">IF(P$12=0,0,P24/P$12)</f>
        <v>0.44817183756784551</v>
      </c>
      <c r="S24" s="21"/>
      <c r="T24" s="21">
        <f>SUM(OSRRefT22x_0)</f>
        <v>63319.124429615396</v>
      </c>
      <c r="U24" s="21"/>
      <c r="V24" s="33">
        <f t="shared" ref="V24:V34" si="17">IF(T$12=0,0,T24/T$12)</f>
        <v>0.34685717651294923</v>
      </c>
      <c r="W24" s="4"/>
      <c r="X24" s="21">
        <f t="shared" ref="X24:X34" si="18">+P24-T24</f>
        <v>16190.355570384585</v>
      </c>
      <c r="Y24" s="4"/>
      <c r="Z24" s="33">
        <f t="shared" ref="Z24:Z34" si="19">IF(T24=0,0,X24/T24)</f>
        <v>0.25569455857497753</v>
      </c>
    </row>
    <row r="25" spans="1:26" s="26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1948.68</v>
      </c>
      <c r="E25" s="1"/>
      <c r="F25" s="5">
        <f t="shared" si="12"/>
        <v>5.3102235728712831E-2</v>
      </c>
      <c r="G25" s="1"/>
      <c r="H25" s="1">
        <f>SUM(OSRRefH22_0x_0)</f>
        <v>1474.9612899999993</v>
      </c>
      <c r="I25" s="1"/>
      <c r="J25" s="5">
        <f t="shared" si="13"/>
        <v>4.1878514764338425E-2</v>
      </c>
      <c r="K25" s="1"/>
      <c r="L25" s="1">
        <f t="shared" si="14"/>
        <v>473.71871000000078</v>
      </c>
      <c r="M25" s="1"/>
      <c r="N25" s="5">
        <f t="shared" si="15"/>
        <v>0.32117365602184789</v>
      </c>
      <c r="O25" s="13"/>
      <c r="P25" s="1">
        <f>SUM(OSRRefP22_0x_0)</f>
        <v>10468.699999999999</v>
      </c>
      <c r="Q25" s="1"/>
      <c r="R25" s="5">
        <f t="shared" si="16"/>
        <v>5.9009020257037338E-2</v>
      </c>
      <c r="S25" s="1"/>
      <c r="T25" s="1">
        <f>SUM(OSRRefT22_0x_0)</f>
        <v>7675.5840449999987</v>
      </c>
      <c r="U25" s="1"/>
      <c r="V25" s="5">
        <f t="shared" si="17"/>
        <v>4.2046244857601431E-2</v>
      </c>
      <c r="W25" s="1"/>
      <c r="X25" s="1">
        <f t="shared" si="18"/>
        <v>2793.1159550000002</v>
      </c>
      <c r="Y25" s="1"/>
      <c r="Z25" s="5">
        <f t="shared" si="19"/>
        <v>0.36389621149669799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6">
        <v>324.57</v>
      </c>
      <c r="E26" s="2"/>
      <c r="F26" s="7">
        <f t="shared" si="12"/>
        <v>8.8446500453991019E-3</v>
      </c>
      <c r="G26" s="2"/>
      <c r="H26" s="6">
        <v>151.34690538461498</v>
      </c>
      <c r="I26" s="2"/>
      <c r="J26" s="7">
        <f t="shared" si="13"/>
        <v>4.2971864106932135E-3</v>
      </c>
      <c r="K26" s="2"/>
      <c r="L26" s="6">
        <f t="shared" si="14"/>
        <v>173.22309461538501</v>
      </c>
      <c r="M26" s="2"/>
      <c r="N26" s="7">
        <f t="shared" si="15"/>
        <v>1.144543353398449</v>
      </c>
      <c r="O26" s="11"/>
      <c r="P26" s="6">
        <v>2180.41</v>
      </c>
      <c r="Q26" s="2"/>
      <c r="R26" s="7">
        <f t="shared" si="16"/>
        <v>1.2290337659752097E-2</v>
      </c>
      <c r="S26" s="2"/>
      <c r="T26" s="6">
        <v>969.01402961538292</v>
      </c>
      <c r="U26" s="2"/>
      <c r="V26" s="7">
        <f t="shared" si="17"/>
        <v>5.3081825331846057E-3</v>
      </c>
      <c r="W26" s="2"/>
      <c r="X26" s="6">
        <f t="shared" si="18"/>
        <v>1211.3959703846169</v>
      </c>
      <c r="Y26" s="2"/>
      <c r="Z26" s="7">
        <f t="shared" si="19"/>
        <v>1.2501325402537662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6">
        <v>195.43</v>
      </c>
      <c r="E27" s="2"/>
      <c r="F27" s="7">
        <f t="shared" si="12"/>
        <v>5.3255382764036937E-3</v>
      </c>
      <c r="G27" s="2"/>
      <c r="H27" s="6">
        <v>155.93519230769201</v>
      </c>
      <c r="I27" s="2"/>
      <c r="J27" s="7">
        <f t="shared" si="13"/>
        <v>4.4274614510985801E-3</v>
      </c>
      <c r="K27" s="2"/>
      <c r="L27" s="6">
        <f t="shared" si="14"/>
        <v>39.494807692308001</v>
      </c>
      <c r="M27" s="2"/>
      <c r="N27" s="7">
        <f t="shared" si="15"/>
        <v>0.25327706406631206</v>
      </c>
      <c r="O27" s="11"/>
      <c r="P27" s="6">
        <v>699.46</v>
      </c>
      <c r="Q27" s="2"/>
      <c r="R27" s="7">
        <f t="shared" si="16"/>
        <v>3.9426527944240774E-3</v>
      </c>
      <c r="S27" s="2"/>
      <c r="T27" s="6">
        <v>773.66830769230671</v>
      </c>
      <c r="U27" s="2"/>
      <c r="V27" s="7">
        <f t="shared" si="17"/>
        <v>4.2380940542221445E-3</v>
      </c>
      <c r="W27" s="2"/>
      <c r="X27" s="6">
        <f t="shared" si="18"/>
        <v>-74.208307692306676</v>
      </c>
      <c r="Y27" s="2"/>
      <c r="Z27" s="7">
        <f t="shared" si="19"/>
        <v>-9.5917471291611753E-2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6">
        <v>965.94</v>
      </c>
      <c r="E28" s="2"/>
      <c r="F28" s="7">
        <f t="shared" si="12"/>
        <v>2.6322214822234988E-2</v>
      </c>
      <c r="G28" s="2"/>
      <c r="H28" s="6">
        <v>690.5</v>
      </c>
      <c r="I28" s="2"/>
      <c r="J28" s="7">
        <f t="shared" si="13"/>
        <v>1.9605337876206701E-2</v>
      </c>
      <c r="K28" s="2"/>
      <c r="L28" s="6">
        <f t="shared" si="14"/>
        <v>275.44000000000005</v>
      </c>
      <c r="M28" s="2"/>
      <c r="N28" s="7">
        <f t="shared" si="15"/>
        <v>0.39889934829833462</v>
      </c>
      <c r="O28" s="11"/>
      <c r="P28" s="6">
        <v>4829.7</v>
      </c>
      <c r="Q28" s="2"/>
      <c r="R28" s="7">
        <f t="shared" si="16"/>
        <v>2.7223615648114211E-2</v>
      </c>
      <c r="S28" s="2"/>
      <c r="T28" s="6">
        <v>3452.5</v>
      </c>
      <c r="U28" s="2"/>
      <c r="V28" s="7">
        <f t="shared" si="17"/>
        <v>1.8912523075743218E-2</v>
      </c>
      <c r="W28" s="2"/>
      <c r="X28" s="6">
        <f t="shared" si="18"/>
        <v>1377.1999999999998</v>
      </c>
      <c r="Y28" s="2"/>
      <c r="Z28" s="7">
        <f t="shared" si="19"/>
        <v>0.39889934829833451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6">
        <v>26.74</v>
      </c>
      <c r="E29" s="2"/>
      <c r="F29" s="7">
        <f t="shared" si="12"/>
        <v>7.2867468408655141E-4</v>
      </c>
      <c r="G29" s="2"/>
      <c r="H29" s="6">
        <v>21.3385</v>
      </c>
      <c r="I29" s="2"/>
      <c r="J29" s="7">
        <f t="shared" si="13"/>
        <v>6.0586314593980689E-4</v>
      </c>
      <c r="K29" s="2"/>
      <c r="L29" s="6">
        <f t="shared" si="14"/>
        <v>5.4014999999999986</v>
      </c>
      <c r="M29" s="2"/>
      <c r="N29" s="7">
        <f t="shared" si="15"/>
        <v>0.25313400660777463</v>
      </c>
      <c r="O29" s="11"/>
      <c r="P29" s="6">
        <v>111.37</v>
      </c>
      <c r="Q29" s="2"/>
      <c r="R29" s="7">
        <f t="shared" si="16"/>
        <v>6.2776033184886847E-4</v>
      </c>
      <c r="S29" s="2"/>
      <c r="T29" s="6">
        <v>105.8704</v>
      </c>
      <c r="U29" s="2"/>
      <c r="V29" s="7">
        <f t="shared" si="17"/>
        <v>5.7994971268303104E-4</v>
      </c>
      <c r="W29" s="2"/>
      <c r="X29" s="6">
        <f t="shared" si="18"/>
        <v>5.4996000000000009</v>
      </c>
      <c r="Y29" s="2"/>
      <c r="Z29" s="7">
        <f t="shared" si="19"/>
        <v>5.1946530852816281E-2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6">
        <v>134.11000000000001</v>
      </c>
      <c r="E30" s="2"/>
      <c r="F30" s="7">
        <f t="shared" si="12"/>
        <v>3.6545460689172563E-3</v>
      </c>
      <c r="G30" s="2"/>
      <c r="H30" s="6">
        <v>170.074923076923</v>
      </c>
      <c r="I30" s="2"/>
      <c r="J30" s="7">
        <f t="shared" si="13"/>
        <v>4.8289302406849238E-3</v>
      </c>
      <c r="K30" s="2"/>
      <c r="L30" s="6">
        <f t="shared" si="14"/>
        <v>-35.964923076922986</v>
      </c>
      <c r="M30" s="2"/>
      <c r="N30" s="7">
        <f t="shared" si="15"/>
        <v>-0.21146517326752781</v>
      </c>
      <c r="O30" s="11"/>
      <c r="P30" s="6">
        <v>804.66</v>
      </c>
      <c r="Q30" s="2"/>
      <c r="R30" s="7">
        <f t="shared" si="16"/>
        <v>4.5356346289441539E-3</v>
      </c>
      <c r="S30" s="2"/>
      <c r="T30" s="6">
        <v>935.41207692307705</v>
      </c>
      <c r="U30" s="2"/>
      <c r="V30" s="7">
        <f t="shared" si="17"/>
        <v>5.1241136828780835E-3</v>
      </c>
      <c r="W30" s="2"/>
      <c r="X30" s="6">
        <f t="shared" si="18"/>
        <v>-130.75207692307708</v>
      </c>
      <c r="Y30" s="2"/>
      <c r="Z30" s="7">
        <f t="shared" si="19"/>
        <v>-0.13978018901912187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>
        <v>73.92</v>
      </c>
      <c r="E32" s="2"/>
      <c r="F32" s="7">
        <f t="shared" si="12"/>
        <v>2.0143467706685821E-3</v>
      </c>
      <c r="G32" s="2"/>
      <c r="H32" s="6">
        <v>59.328461538461504</v>
      </c>
      <c r="I32" s="2"/>
      <c r="J32" s="7">
        <f t="shared" si="13"/>
        <v>1.6845105490761359E-3</v>
      </c>
      <c r="K32" s="2"/>
      <c r="L32" s="6">
        <f t="shared" si="14"/>
        <v>14.591538461538498</v>
      </c>
      <c r="M32" s="2"/>
      <c r="N32" s="7">
        <f t="shared" si="15"/>
        <v>0.24594499980551635</v>
      </c>
      <c r="O32" s="11"/>
      <c r="P32" s="6">
        <v>480.48</v>
      </c>
      <c r="Q32" s="2"/>
      <c r="R32" s="7">
        <f t="shared" si="16"/>
        <v>2.7083261582719251E-3</v>
      </c>
      <c r="S32" s="2"/>
      <c r="T32" s="6">
        <v>326.30653846153831</v>
      </c>
      <c r="U32" s="2"/>
      <c r="V32" s="7">
        <f t="shared" si="17"/>
        <v>1.7874815172830513E-3</v>
      </c>
      <c r="W32" s="2"/>
      <c r="X32" s="6">
        <f t="shared" si="18"/>
        <v>154.17346153846171</v>
      </c>
      <c r="Y32" s="2"/>
      <c r="Z32" s="7">
        <f t="shared" si="19"/>
        <v>0.47248045431561009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>
        <v>88.56</v>
      </c>
      <c r="E33" s="2"/>
      <c r="F33" s="7">
        <f t="shared" si="12"/>
        <v>2.4132920726516456E-3</v>
      </c>
      <c r="G33" s="2"/>
      <c r="H33" s="6">
        <v>226.437307692308</v>
      </c>
      <c r="I33" s="2"/>
      <c r="J33" s="7">
        <f t="shared" si="13"/>
        <v>6.4292250906390685E-3</v>
      </c>
      <c r="K33" s="2"/>
      <c r="L33" s="6">
        <f t="shared" si="14"/>
        <v>-137.87730769230799</v>
      </c>
      <c r="M33" s="2"/>
      <c r="N33" s="7">
        <f t="shared" si="15"/>
        <v>-0.60889837057973306</v>
      </c>
      <c r="O33" s="11"/>
      <c r="P33" s="6">
        <v>575.64</v>
      </c>
      <c r="Q33" s="2"/>
      <c r="R33" s="7">
        <f t="shared" si="16"/>
        <v>3.2447154298777285E-3</v>
      </c>
      <c r="S33" s="2"/>
      <c r="T33" s="6">
        <v>1112.8126923076941</v>
      </c>
      <c r="U33" s="2"/>
      <c r="V33" s="7">
        <f t="shared" si="17"/>
        <v>6.0959002816072996E-3</v>
      </c>
      <c r="W33" s="2"/>
      <c r="X33" s="6">
        <f t="shared" si="18"/>
        <v>-537.17269230769409</v>
      </c>
      <c r="Y33" s="2"/>
      <c r="Z33" s="7">
        <f t="shared" si="19"/>
        <v>-0.48271618037868785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6">
        <v>139.41</v>
      </c>
      <c r="E34" s="2"/>
      <c r="F34" s="7">
        <f t="shared" si="12"/>
        <v>3.798972988351015E-3</v>
      </c>
      <c r="G34" s="2"/>
      <c r="H34" s="6"/>
      <c r="I34" s="2"/>
      <c r="J34" s="7">
        <f t="shared" si="13"/>
        <v>0</v>
      </c>
      <c r="K34" s="2"/>
      <c r="L34" s="6">
        <f t="shared" si="14"/>
        <v>139.41</v>
      </c>
      <c r="M34" s="2"/>
      <c r="N34" s="7">
        <f t="shared" si="15"/>
        <v>0</v>
      </c>
      <c r="O34" s="11"/>
      <c r="P34" s="6">
        <v>786.98</v>
      </c>
      <c r="Q34" s="2"/>
      <c r="R34" s="7">
        <f t="shared" si="16"/>
        <v>4.4359776058042781E-3</v>
      </c>
      <c r="S34" s="2"/>
      <c r="T34" s="6"/>
      <c r="U34" s="2"/>
      <c r="V34" s="7">
        <f t="shared" si="17"/>
        <v>0</v>
      </c>
      <c r="W34" s="2"/>
      <c r="X34" s="6">
        <f t="shared" si="18"/>
        <v>786.98</v>
      </c>
      <c r="Y34" s="2"/>
      <c r="Z34" s="7">
        <f t="shared" si="19"/>
        <v>0</v>
      </c>
    </row>
    <row r="35" spans="1:26" s="26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9177.7999999999993</v>
      </c>
      <c r="E35" s="1"/>
      <c r="F35" s="5">
        <f t="shared" ref="F35:F45" si="20">IF(D$12=0,0,D35/D$12)</f>
        <v>0.25009837380738786</v>
      </c>
      <c r="G35" s="1"/>
      <c r="H35" s="1">
        <f>SUM(OSRRefH22_1x_0)</f>
        <v>8108.2346153846202</v>
      </c>
      <c r="I35" s="1"/>
      <c r="J35" s="5">
        <f t="shared" ref="J35:J45" si="21">IF(H$12=0,0,H35/H$12)</f>
        <v>0.23021676931813231</v>
      </c>
      <c r="K35" s="1"/>
      <c r="L35" s="1">
        <f t="shared" ref="L35:L45" si="22">+D35-H35</f>
        <v>1069.5653846153791</v>
      </c>
      <c r="M35" s="1"/>
      <c r="N35" s="5">
        <f t="shared" ref="N35:N45" si="23">IF(H35=0,0,L35/H35)</f>
        <v>0.13191100595263713</v>
      </c>
      <c r="O35" s="13"/>
      <c r="P35" s="1">
        <f>SUM(OSRRefP22_1x_0)</f>
        <v>45368.36</v>
      </c>
      <c r="Q35" s="1"/>
      <c r="R35" s="5">
        <f t="shared" ref="R35:R45" si="24">IF(P$12=0,0,P35/P$12)</f>
        <v>0.25572826370691326</v>
      </c>
      <c r="S35" s="1"/>
      <c r="T35" s="1">
        <f>SUM(OSRRefT22_1x_0)</f>
        <v>40175.5403846154</v>
      </c>
      <c r="U35" s="1"/>
      <c r="V35" s="5">
        <f t="shared" ref="V35:V45" si="25">IF(T$12=0,0,T35/T$12)</f>
        <v>0.22007844593902745</v>
      </c>
      <c r="W35" s="1"/>
      <c r="X35" s="1">
        <f t="shared" ref="X35:X45" si="26">+P35-T35</f>
        <v>5192.8196153846002</v>
      </c>
      <c r="Y35" s="1"/>
      <c r="Z35" s="5">
        <f t="shared" ref="Z35:Z45" si="27">IF(T35=0,0,X35/T35)</f>
        <v>0.129253261204997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1878.7346153846199</v>
      </c>
      <c r="I36" s="2"/>
      <c r="J36" s="7">
        <f t="shared" si="21"/>
        <v>5.3342834054077796E-2</v>
      </c>
      <c r="K36" s="2"/>
      <c r="L36" s="6">
        <f t="shared" si="22"/>
        <v>-1878.7346153846199</v>
      </c>
      <c r="M36" s="2"/>
      <c r="N36" s="7">
        <f t="shared" si="23"/>
        <v>-1</v>
      </c>
      <c r="O36" s="11"/>
      <c r="P36" s="6"/>
      <c r="Q36" s="2"/>
      <c r="R36" s="7">
        <f t="shared" si="24"/>
        <v>0</v>
      </c>
      <c r="S36" s="2"/>
      <c r="T36" s="6">
        <v>10333.040384615399</v>
      </c>
      <c r="U36" s="2"/>
      <c r="V36" s="7">
        <f t="shared" si="25"/>
        <v>5.6603581380630062E-2</v>
      </c>
      <c r="W36" s="2"/>
      <c r="X36" s="6">
        <f t="shared" si="26"/>
        <v>-10333.040384615399</v>
      </c>
      <c r="Y36" s="2"/>
      <c r="Z36" s="7">
        <f t="shared" si="27"/>
        <v>-1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>
        <v>1704</v>
      </c>
      <c r="E37" s="2"/>
      <c r="F37" s="7">
        <f t="shared" si="20"/>
        <v>4.643461711606147E-2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1704</v>
      </c>
      <c r="M37" s="2"/>
      <c r="N37" s="7">
        <f t="shared" si="23"/>
        <v>0</v>
      </c>
      <c r="O37" s="11"/>
      <c r="P37" s="6">
        <v>9840</v>
      </c>
      <c r="Q37" s="2"/>
      <c r="R37" s="7">
        <f t="shared" si="24"/>
        <v>5.5465221023550913E-2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9840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>
        <v>2252.61</v>
      </c>
      <c r="E40" s="2"/>
      <c r="F40" s="7">
        <f t="shared" si="20"/>
        <v>6.1384438299184996E-2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2252.61</v>
      </c>
      <c r="M40" s="2"/>
      <c r="N40" s="7">
        <f t="shared" si="23"/>
        <v>0</v>
      </c>
      <c r="O40" s="11"/>
      <c r="P40" s="6">
        <v>12512.48</v>
      </c>
      <c r="Q40" s="2"/>
      <c r="R40" s="7">
        <f t="shared" si="24"/>
        <v>7.0529214304142301E-2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12512.48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173.63</v>
      </c>
      <c r="Q41" s="2"/>
      <c r="R41" s="7">
        <f t="shared" si="24"/>
        <v>9.7870186243080733E-4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173.63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5221.1899999999996</v>
      </c>
      <c r="E42" s="2"/>
      <c r="F42" s="7">
        <f t="shared" si="20"/>
        <v>0.14227931839214142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5221.1899999999996</v>
      </c>
      <c r="M42" s="2"/>
      <c r="N42" s="7">
        <f t="shared" si="23"/>
        <v>0</v>
      </c>
      <c r="O42" s="11"/>
      <c r="P42" s="6">
        <v>22785.25</v>
      </c>
      <c r="Q42" s="2"/>
      <c r="R42" s="7">
        <f t="shared" si="24"/>
        <v>0.12843383407793327</v>
      </c>
      <c r="S42" s="2"/>
      <c r="T42" s="6">
        <v>1785</v>
      </c>
      <c r="U42" s="2"/>
      <c r="V42" s="7">
        <f t="shared" si="25"/>
        <v>9.7780894106304535E-3</v>
      </c>
      <c r="W42" s="2"/>
      <c r="X42" s="6">
        <f t="shared" si="26"/>
        <v>21000.25</v>
      </c>
      <c r="Y42" s="2"/>
      <c r="Z42" s="7">
        <f t="shared" si="27"/>
        <v>11.76484593837535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6229.5</v>
      </c>
      <c r="I43" s="2"/>
      <c r="J43" s="7">
        <f t="shared" si="21"/>
        <v>0.17687393526405451</v>
      </c>
      <c r="K43" s="2"/>
      <c r="L43" s="6">
        <f t="shared" si="22"/>
        <v>-6229.5</v>
      </c>
      <c r="M43" s="2"/>
      <c r="N43" s="7">
        <f t="shared" si="23"/>
        <v>-1</v>
      </c>
      <c r="O43" s="11"/>
      <c r="P43" s="6">
        <v>57</v>
      </c>
      <c r="Q43" s="2"/>
      <c r="R43" s="7">
        <f t="shared" si="24"/>
        <v>3.2129243885593519E-4</v>
      </c>
      <c r="S43" s="2"/>
      <c r="T43" s="6">
        <v>28057.5</v>
      </c>
      <c r="U43" s="2"/>
      <c r="V43" s="7">
        <f t="shared" si="25"/>
        <v>0.15369677514776692</v>
      </c>
      <c r="W43" s="2"/>
      <c r="X43" s="6">
        <f t="shared" si="26"/>
        <v>-28000.5</v>
      </c>
      <c r="Y43" s="2"/>
      <c r="Z43" s="7">
        <f t="shared" si="27"/>
        <v>-0.99796845763164932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6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62.5</v>
      </c>
      <c r="E46" s="1"/>
      <c r="F46" s="5">
        <f t="shared" ref="F46:F54" si="28">IF(D$12=0,0,D46/D$12)</f>
        <v>1.7031476348320668E-3</v>
      </c>
      <c r="G46" s="1"/>
      <c r="H46" s="1">
        <f>SUM(OSRRefH22_2x_0)</f>
        <v>0</v>
      </c>
      <c r="I46" s="1"/>
      <c r="J46" s="5">
        <f t="shared" ref="J46:J54" si="29">IF(H$12=0,0,H46/H$12)</f>
        <v>0</v>
      </c>
      <c r="K46" s="1"/>
      <c r="L46" s="1">
        <f t="shared" ref="L46:L54" si="30">+D46-H46</f>
        <v>62.5</v>
      </c>
      <c r="M46" s="1"/>
      <c r="N46" s="5">
        <f t="shared" ref="N46:N54" si="31">IF(H46=0,0,L46/H46)</f>
        <v>0</v>
      </c>
      <c r="O46" s="13"/>
      <c r="P46" s="1">
        <f>SUM(OSRRefP22_2x_0)</f>
        <v>403.94</v>
      </c>
      <c r="Q46" s="1"/>
      <c r="R46" s="5">
        <f t="shared" ref="R46:R54" si="32">IF(P$12=0,0,P46/P$12)</f>
        <v>2.2768924166923941E-3</v>
      </c>
      <c r="S46" s="1"/>
      <c r="T46" s="1">
        <f>SUM(OSRRefT22_2x_0)</f>
        <v>0</v>
      </c>
      <c r="U46" s="1"/>
      <c r="V46" s="5">
        <f t="shared" ref="V46:V54" si="33">IF(T$12=0,0,T46/T$12)</f>
        <v>0</v>
      </c>
      <c r="W46" s="1"/>
      <c r="X46" s="1">
        <f t="shared" ref="X46:X54" si="34">+P46-T46</f>
        <v>403.94</v>
      </c>
      <c r="Y46" s="1"/>
      <c r="Z46" s="5">
        <f t="shared" ref="Z46:Z54" si="35">IF(T46=0,0,X46/T46)</f>
        <v>0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6">
        <v>62.5</v>
      </c>
      <c r="E47" s="2"/>
      <c r="F47" s="7">
        <f t="shared" si="28"/>
        <v>1.7031476348320668E-3</v>
      </c>
      <c r="G47" s="2"/>
      <c r="H47" s="6">
        <v>0</v>
      </c>
      <c r="I47" s="2"/>
      <c r="J47" s="7">
        <f t="shared" si="29"/>
        <v>0</v>
      </c>
      <c r="K47" s="2"/>
      <c r="L47" s="6">
        <f t="shared" si="30"/>
        <v>62.5</v>
      </c>
      <c r="M47" s="2"/>
      <c r="N47" s="7">
        <f t="shared" si="31"/>
        <v>0</v>
      </c>
      <c r="O47" s="11"/>
      <c r="P47" s="6">
        <v>403.94</v>
      </c>
      <c r="Q47" s="2"/>
      <c r="R47" s="7">
        <f t="shared" si="32"/>
        <v>2.2768924166923941E-3</v>
      </c>
      <c r="S47" s="2"/>
      <c r="T47" s="6">
        <v>0</v>
      </c>
      <c r="U47" s="2"/>
      <c r="V47" s="7">
        <f t="shared" si="33"/>
        <v>0</v>
      </c>
      <c r="W47" s="2"/>
      <c r="X47" s="6">
        <f t="shared" si="34"/>
        <v>403.94</v>
      </c>
      <c r="Y47" s="2"/>
      <c r="Z47" s="7">
        <f t="shared" si="35"/>
        <v>0</v>
      </c>
    </row>
    <row r="48" spans="1:26" s="26" customFormat="1" outlineLevel="1" collapsed="1" x14ac:dyDescent="0.25">
      <c r="A48" s="27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-7.86</v>
      </c>
      <c r="E48" s="1"/>
      <c r="F48" s="5">
        <f t="shared" si="28"/>
        <v>-2.1418784655648072E-4</v>
      </c>
      <c r="G48" s="1"/>
      <c r="H48" s="1">
        <f>SUM(OSRRefH22_3x_0)</f>
        <v>0</v>
      </c>
      <c r="I48" s="1"/>
      <c r="J48" s="5">
        <f t="shared" si="29"/>
        <v>0</v>
      </c>
      <c r="K48" s="1"/>
      <c r="L48" s="1">
        <f t="shared" si="30"/>
        <v>-7.86</v>
      </c>
      <c r="M48" s="1"/>
      <c r="N48" s="5">
        <f t="shared" si="31"/>
        <v>0</v>
      </c>
      <c r="O48" s="13"/>
      <c r="P48" s="1">
        <f>SUM(OSRRefP22_3x_0)</f>
        <v>0.75</v>
      </c>
      <c r="Q48" s="1"/>
      <c r="R48" s="5">
        <f t="shared" si="32"/>
        <v>4.2275320902096736E-6</v>
      </c>
      <c r="S48" s="1"/>
      <c r="T48" s="1">
        <f>SUM(OSRRefT22_3x_0)</f>
        <v>0</v>
      </c>
      <c r="U48" s="1"/>
      <c r="V48" s="5">
        <f t="shared" si="33"/>
        <v>0</v>
      </c>
      <c r="W48" s="1"/>
      <c r="X48" s="1">
        <f t="shared" si="34"/>
        <v>0.75</v>
      </c>
      <c r="Y48" s="1"/>
      <c r="Z48" s="5">
        <f t="shared" si="35"/>
        <v>0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6">
        <v>-7.86</v>
      </c>
      <c r="E49" s="2"/>
      <c r="F49" s="7">
        <f t="shared" si="28"/>
        <v>-2.1418784655648072E-4</v>
      </c>
      <c r="G49" s="2"/>
      <c r="H49" s="6">
        <v>0</v>
      </c>
      <c r="I49" s="2"/>
      <c r="J49" s="7">
        <f t="shared" si="29"/>
        <v>0</v>
      </c>
      <c r="K49" s="2"/>
      <c r="L49" s="6">
        <f t="shared" si="30"/>
        <v>-7.86</v>
      </c>
      <c r="M49" s="2"/>
      <c r="N49" s="7">
        <f t="shared" si="31"/>
        <v>0</v>
      </c>
      <c r="O49" s="11"/>
      <c r="P49" s="6">
        <v>0.75</v>
      </c>
      <c r="Q49" s="2"/>
      <c r="R49" s="7">
        <f t="shared" si="32"/>
        <v>4.2275320902096736E-6</v>
      </c>
      <c r="S49" s="2"/>
      <c r="T49" s="6">
        <v>0</v>
      </c>
      <c r="U49" s="2"/>
      <c r="V49" s="7">
        <f t="shared" si="33"/>
        <v>0</v>
      </c>
      <c r="W49" s="2"/>
      <c r="X49" s="6">
        <f t="shared" si="34"/>
        <v>0.75</v>
      </c>
      <c r="Y49" s="2"/>
      <c r="Z49" s="7">
        <f t="shared" si="35"/>
        <v>0</v>
      </c>
    </row>
    <row r="50" spans="1:26" s="26" customFormat="1" outlineLevel="1" collapsed="1" x14ac:dyDescent="0.25">
      <c r="A50" s="27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1371.91</v>
      </c>
      <c r="E50" s="1"/>
      <c r="F50" s="5">
        <f t="shared" si="28"/>
        <v>3.7385044347239375E-2</v>
      </c>
      <c r="G50" s="1"/>
      <c r="H50" s="1">
        <f>SUM(OSRRefH22_4x_0)</f>
        <v>1116</v>
      </c>
      <c r="I50" s="1"/>
      <c r="J50" s="5">
        <f t="shared" si="29"/>
        <v>3.1686541737649065E-2</v>
      </c>
      <c r="K50" s="1"/>
      <c r="L50" s="1">
        <f t="shared" si="30"/>
        <v>255.91000000000008</v>
      </c>
      <c r="M50" s="1"/>
      <c r="N50" s="5">
        <f t="shared" si="31"/>
        <v>0.22931003584229398</v>
      </c>
      <c r="O50" s="13"/>
      <c r="P50" s="1">
        <f>SUM(OSRRefP22_4x_0)</f>
        <v>5987.86</v>
      </c>
      <c r="Q50" s="1"/>
      <c r="R50" s="5">
        <f t="shared" si="32"/>
        <v>3.3751827068910521E-2</v>
      </c>
      <c r="S50" s="1"/>
      <c r="T50" s="1">
        <f>SUM(OSRRefT22_4x_0)</f>
        <v>5785</v>
      </c>
      <c r="U50" s="1"/>
      <c r="V50" s="5">
        <f t="shared" si="33"/>
        <v>3.1689774364424189E-2</v>
      </c>
      <c r="W50" s="1"/>
      <c r="X50" s="1">
        <f t="shared" si="34"/>
        <v>202.85999999999967</v>
      </c>
      <c r="Y50" s="1"/>
      <c r="Z50" s="5">
        <f t="shared" si="35"/>
        <v>3.5066551426101933E-2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6">
        <v>1371.91</v>
      </c>
      <c r="E51" s="2"/>
      <c r="F51" s="7">
        <f t="shared" si="28"/>
        <v>3.7385044347239375E-2</v>
      </c>
      <c r="G51" s="2"/>
      <c r="H51" s="6">
        <v>1116</v>
      </c>
      <c r="I51" s="2"/>
      <c r="J51" s="7">
        <f t="shared" si="29"/>
        <v>3.1686541737649065E-2</v>
      </c>
      <c r="K51" s="2"/>
      <c r="L51" s="6">
        <f t="shared" si="30"/>
        <v>255.91000000000008</v>
      </c>
      <c r="M51" s="2"/>
      <c r="N51" s="7">
        <f t="shared" si="31"/>
        <v>0.22931003584229398</v>
      </c>
      <c r="O51" s="11"/>
      <c r="P51" s="6">
        <v>5987.86</v>
      </c>
      <c r="Q51" s="2"/>
      <c r="R51" s="7">
        <f t="shared" si="32"/>
        <v>3.3751827068910521E-2</v>
      </c>
      <c r="S51" s="2"/>
      <c r="T51" s="6">
        <v>5785</v>
      </c>
      <c r="U51" s="2"/>
      <c r="V51" s="7">
        <f t="shared" si="33"/>
        <v>3.1689774364424189E-2</v>
      </c>
      <c r="W51" s="2"/>
      <c r="X51" s="6">
        <f t="shared" si="34"/>
        <v>202.85999999999967</v>
      </c>
      <c r="Y51" s="2"/>
      <c r="Z51" s="7">
        <f t="shared" si="35"/>
        <v>3.5066551426101933E-2</v>
      </c>
    </row>
    <row r="52" spans="1:26" s="26" customFormat="1" outlineLevel="1" collapsed="1" x14ac:dyDescent="0.25">
      <c r="A52" s="27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155.66999999999999</v>
      </c>
      <c r="E52" s="1"/>
      <c r="F52" s="5">
        <f t="shared" si="28"/>
        <v>4.2420638770289251E-3</v>
      </c>
      <c r="G52" s="1"/>
      <c r="H52" s="1">
        <f>SUM(OSRRefH22_5x_0)</f>
        <v>233</v>
      </c>
      <c r="I52" s="1"/>
      <c r="J52" s="5">
        <f t="shared" si="29"/>
        <v>6.6155593412833618E-3</v>
      </c>
      <c r="K52" s="1"/>
      <c r="L52" s="1">
        <f t="shared" si="30"/>
        <v>-77.330000000000013</v>
      </c>
      <c r="M52" s="1"/>
      <c r="N52" s="5">
        <f t="shared" si="31"/>
        <v>-0.33188841201716746</v>
      </c>
      <c r="O52" s="13"/>
      <c r="P52" s="1">
        <f>SUM(OSRRefP22_5x_0)</f>
        <v>778.35</v>
      </c>
      <c r="Q52" s="1"/>
      <c r="R52" s="5">
        <f t="shared" si="32"/>
        <v>4.3873328032195992E-3</v>
      </c>
      <c r="S52" s="1"/>
      <c r="T52" s="1">
        <f>SUM(OSRRefT22_5x_0)</f>
        <v>466</v>
      </c>
      <c r="U52" s="1"/>
      <c r="V52" s="5">
        <f t="shared" si="33"/>
        <v>2.55271129711697E-3</v>
      </c>
      <c r="W52" s="1"/>
      <c r="X52" s="1">
        <f t="shared" si="34"/>
        <v>312.35000000000002</v>
      </c>
      <c r="Y52" s="1"/>
      <c r="Z52" s="5">
        <f t="shared" si="35"/>
        <v>0.67027896995708158</v>
      </c>
    </row>
    <row r="53" spans="1:26" s="24" customFormat="1" hidden="1" outlineLevel="2" x14ac:dyDescent="0.25">
      <c r="A53" s="25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155.66999999999999</v>
      </c>
      <c r="E53" s="2"/>
      <c r="F53" s="7">
        <f t="shared" si="28"/>
        <v>4.2420638770289251E-3</v>
      </c>
      <c r="G53" s="2"/>
      <c r="H53" s="6"/>
      <c r="I53" s="2"/>
      <c r="J53" s="7">
        <f t="shared" si="29"/>
        <v>0</v>
      </c>
      <c r="K53" s="2"/>
      <c r="L53" s="6">
        <f t="shared" si="30"/>
        <v>155.66999999999999</v>
      </c>
      <c r="M53" s="2"/>
      <c r="N53" s="7">
        <f t="shared" si="31"/>
        <v>0</v>
      </c>
      <c r="O53" s="11"/>
      <c r="P53" s="6">
        <v>778.35</v>
      </c>
      <c r="Q53" s="2"/>
      <c r="R53" s="7">
        <f t="shared" si="32"/>
        <v>4.3873328032195992E-3</v>
      </c>
      <c r="S53" s="2"/>
      <c r="T53" s="6"/>
      <c r="U53" s="2"/>
      <c r="V53" s="7">
        <f t="shared" si="33"/>
        <v>0</v>
      </c>
      <c r="W53" s="2"/>
      <c r="X53" s="6">
        <f t="shared" si="34"/>
        <v>778.35</v>
      </c>
      <c r="Y53" s="2"/>
      <c r="Z53" s="7">
        <f t="shared" si="35"/>
        <v>0</v>
      </c>
    </row>
    <row r="54" spans="1:26" s="24" customFormat="1" hidden="1" outlineLevel="2" x14ac:dyDescent="0.25">
      <c r="A54" s="25"/>
      <c r="B54" s="11" t="str">
        <f>CONCATENATE("          ", "6324", " - ", "FURNITURE + FIXT DEPRECIATION")</f>
        <v xml:space="preserve">          6324 - FURNITURE + FIXT DEPRECIATION</v>
      </c>
      <c r="C54" s="11"/>
      <c r="D54" s="6"/>
      <c r="E54" s="2"/>
      <c r="F54" s="7">
        <f t="shared" si="28"/>
        <v>0</v>
      </c>
      <c r="G54" s="2"/>
      <c r="H54" s="6">
        <v>233</v>
      </c>
      <c r="I54" s="2"/>
      <c r="J54" s="7">
        <f t="shared" si="29"/>
        <v>6.6155593412833618E-3</v>
      </c>
      <c r="K54" s="2"/>
      <c r="L54" s="6">
        <f t="shared" si="30"/>
        <v>-233</v>
      </c>
      <c r="M54" s="2"/>
      <c r="N54" s="7">
        <f t="shared" si="31"/>
        <v>-1</v>
      </c>
      <c r="O54" s="11"/>
      <c r="P54" s="6"/>
      <c r="Q54" s="2"/>
      <c r="R54" s="7">
        <f t="shared" si="32"/>
        <v>0</v>
      </c>
      <c r="S54" s="2"/>
      <c r="T54" s="6">
        <v>466</v>
      </c>
      <c r="U54" s="2"/>
      <c r="V54" s="7">
        <f t="shared" si="33"/>
        <v>2.55271129711697E-3</v>
      </c>
      <c r="W54" s="2"/>
      <c r="X54" s="6">
        <f t="shared" si="34"/>
        <v>-466</v>
      </c>
      <c r="Y54" s="2"/>
      <c r="Z54" s="7">
        <f t="shared" si="35"/>
        <v>-1</v>
      </c>
    </row>
    <row r="55" spans="1:26" s="26" customFormat="1" outlineLevel="1" collapsed="1" x14ac:dyDescent="0.25">
      <c r="A55" s="27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0</v>
      </c>
      <c r="E55" s="1"/>
      <c r="F55" s="5">
        <f t="shared" ref="F55:F61" si="36">IF(D$12=0,0,D55/D$12)</f>
        <v>0</v>
      </c>
      <c r="G55" s="1"/>
      <c r="H55" s="1">
        <f>SUM(OSRRefH22_6x_0)</f>
        <v>0</v>
      </c>
      <c r="I55" s="1"/>
      <c r="J55" s="5">
        <f t="shared" ref="J55:J61" si="37">IF(H$12=0,0,H55/H$12)</f>
        <v>0</v>
      </c>
      <c r="K55" s="1"/>
      <c r="L55" s="1">
        <f t="shared" ref="L55:L61" si="38">+D55-H55</f>
        <v>0</v>
      </c>
      <c r="M55" s="1"/>
      <c r="N55" s="5">
        <f t="shared" ref="N55:N61" si="39">IF(H55=0,0,L55/H55)</f>
        <v>0</v>
      </c>
      <c r="O55" s="13"/>
      <c r="P55" s="1">
        <f>SUM(OSRRefP22_6x_0)</f>
        <v>0</v>
      </c>
      <c r="Q55" s="1"/>
      <c r="R55" s="5">
        <f t="shared" ref="R55:R61" si="40">IF(P$12=0,0,P55/P$12)</f>
        <v>0</v>
      </c>
      <c r="S55" s="1"/>
      <c r="T55" s="1">
        <f>SUM(OSRRefT22_6x_0)</f>
        <v>0</v>
      </c>
      <c r="U55" s="1"/>
      <c r="V55" s="5">
        <f t="shared" ref="V55:V61" si="41">IF(T$12=0,0,T55/T$12)</f>
        <v>0</v>
      </c>
      <c r="W55" s="1"/>
      <c r="X55" s="1">
        <f t="shared" ref="X55:X61" si="42">+P55-T55</f>
        <v>0</v>
      </c>
      <c r="Y55" s="1"/>
      <c r="Z55" s="5">
        <f t="shared" ref="Z55:Z61" si="43">IF(T55=0,0,X55/T55)</f>
        <v>0</v>
      </c>
    </row>
    <row r="56" spans="1:26" s="24" customFormat="1" hidden="1" outlineLevel="2" x14ac:dyDescent="0.25">
      <c r="A56" s="25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36"/>
        <v>0</v>
      </c>
      <c r="G56" s="2"/>
      <c r="H56" s="6">
        <v>0</v>
      </c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/>
      <c r="Q56" s="2"/>
      <c r="R56" s="7">
        <f t="shared" si="40"/>
        <v>0</v>
      </c>
      <c r="S56" s="2"/>
      <c r="T56" s="6">
        <v>0</v>
      </c>
      <c r="U56" s="2"/>
      <c r="V56" s="7">
        <f t="shared" si="41"/>
        <v>0</v>
      </c>
      <c r="W56" s="2"/>
      <c r="X56" s="6">
        <f t="shared" si="42"/>
        <v>0</v>
      </c>
      <c r="Y56" s="2"/>
      <c r="Z56" s="7">
        <f t="shared" si="43"/>
        <v>0</v>
      </c>
    </row>
    <row r="57" spans="1:26" s="26" customFormat="1" outlineLevel="1" collapsed="1" x14ac:dyDescent="0.25">
      <c r="A57" s="27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SUM(OSRRefD22_7x_0)</f>
        <v>400</v>
      </c>
      <c r="E57" s="1"/>
      <c r="F57" s="5">
        <f t="shared" si="36"/>
        <v>1.0900144862925228E-2</v>
      </c>
      <c r="G57" s="1"/>
      <c r="H57" s="1">
        <f>SUM(OSRRefH22_7x_0)</f>
        <v>384</v>
      </c>
      <c r="I57" s="1"/>
      <c r="J57" s="5">
        <f t="shared" si="37"/>
        <v>1.090289608177172E-2</v>
      </c>
      <c r="K57" s="1"/>
      <c r="L57" s="1">
        <f t="shared" si="38"/>
        <v>16</v>
      </c>
      <c r="M57" s="1"/>
      <c r="N57" s="5">
        <f t="shared" si="39"/>
        <v>4.1666666666666664E-2</v>
      </c>
      <c r="O57" s="13"/>
      <c r="P57" s="1">
        <f>SUM(OSRRefP22_7x_0)</f>
        <v>1896.09</v>
      </c>
      <c r="Q57" s="1"/>
      <c r="R57" s="5">
        <f t="shared" si="40"/>
        <v>1.0687708427900879E-2</v>
      </c>
      <c r="S57" s="1"/>
      <c r="T57" s="1">
        <f>SUM(OSRRefT22_7x_0)</f>
        <v>1989</v>
      </c>
      <c r="U57" s="1"/>
      <c r="V57" s="5">
        <f t="shared" si="41"/>
        <v>1.0895585343273935E-2</v>
      </c>
      <c r="W57" s="1"/>
      <c r="X57" s="1">
        <f t="shared" si="42"/>
        <v>-92.910000000000082</v>
      </c>
      <c r="Y57" s="1"/>
      <c r="Z57" s="5">
        <f t="shared" si="43"/>
        <v>-4.6711915535444987E-2</v>
      </c>
    </row>
    <row r="58" spans="1:26" s="24" customFormat="1" hidden="1" outlineLevel="2" x14ac:dyDescent="0.25">
      <c r="A58" s="25"/>
      <c r="B58" s="11" t="str">
        <f>CONCATENATE("          ", "6279", " - ", "GENERAL EXPENSE")</f>
        <v xml:space="preserve">          6279 - GENERAL EXPENSE</v>
      </c>
      <c r="C58" s="11"/>
      <c r="D58" s="6">
        <v>400</v>
      </c>
      <c r="E58" s="2"/>
      <c r="F58" s="7">
        <f t="shared" si="36"/>
        <v>1.0900144862925228E-2</v>
      </c>
      <c r="G58" s="2"/>
      <c r="H58" s="6">
        <v>384</v>
      </c>
      <c r="I58" s="2"/>
      <c r="J58" s="7">
        <f t="shared" si="37"/>
        <v>1.090289608177172E-2</v>
      </c>
      <c r="K58" s="2"/>
      <c r="L58" s="6">
        <f t="shared" si="38"/>
        <v>16</v>
      </c>
      <c r="M58" s="2"/>
      <c r="N58" s="7">
        <f t="shared" si="39"/>
        <v>4.1666666666666664E-2</v>
      </c>
      <c r="O58" s="11"/>
      <c r="P58" s="6">
        <v>1896.09</v>
      </c>
      <c r="Q58" s="2"/>
      <c r="R58" s="7">
        <f t="shared" si="40"/>
        <v>1.0687708427900879E-2</v>
      </c>
      <c r="S58" s="2"/>
      <c r="T58" s="6">
        <v>1989</v>
      </c>
      <c r="U58" s="2"/>
      <c r="V58" s="7">
        <f t="shared" si="41"/>
        <v>1.0895585343273935E-2</v>
      </c>
      <c r="W58" s="2"/>
      <c r="X58" s="6">
        <f t="shared" si="42"/>
        <v>-92.910000000000082</v>
      </c>
      <c r="Y58" s="2"/>
      <c r="Z58" s="7">
        <f t="shared" si="43"/>
        <v>-4.6711915535444987E-2</v>
      </c>
    </row>
    <row r="59" spans="1:26" s="26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SUM(OSRRefD22_8x_0)</f>
        <v>0</v>
      </c>
      <c r="E59" s="1"/>
      <c r="F59" s="5">
        <f t="shared" si="36"/>
        <v>0</v>
      </c>
      <c r="G59" s="1"/>
      <c r="H59" s="1">
        <f>SUM(OSRRefH22_8x_0)</f>
        <v>384</v>
      </c>
      <c r="I59" s="1"/>
      <c r="J59" s="5">
        <f t="shared" si="37"/>
        <v>1.090289608177172E-2</v>
      </c>
      <c r="K59" s="1"/>
      <c r="L59" s="1">
        <f t="shared" si="38"/>
        <v>-384</v>
      </c>
      <c r="M59" s="1"/>
      <c r="N59" s="5">
        <f t="shared" si="39"/>
        <v>-1</v>
      </c>
      <c r="O59" s="13"/>
      <c r="P59" s="1">
        <f>SUM(OSRRefP22_8x_0)</f>
        <v>5754.7999999999993</v>
      </c>
      <c r="Q59" s="1"/>
      <c r="R59" s="5">
        <f t="shared" si="40"/>
        <v>3.24381355636515E-2</v>
      </c>
      <c r="S59" s="1"/>
      <c r="T59" s="1">
        <f>SUM(OSRRefT22_8x_0)</f>
        <v>1989</v>
      </c>
      <c r="U59" s="1"/>
      <c r="V59" s="5">
        <f t="shared" si="41"/>
        <v>1.0895585343273935E-2</v>
      </c>
      <c r="W59" s="1"/>
      <c r="X59" s="1">
        <f t="shared" si="42"/>
        <v>3765.7999999999993</v>
      </c>
      <c r="Y59" s="1"/>
      <c r="Z59" s="5">
        <f t="shared" si="43"/>
        <v>1.8933132227249871</v>
      </c>
    </row>
    <row r="60" spans="1:26" s="24" customFormat="1" hidden="1" outlineLevel="2" x14ac:dyDescent="0.25">
      <c r="A60" s="25"/>
      <c r="B60" s="11" t="str">
        <f>CONCATENATE("          ", "6373", " - ", "MAINTENANCE CONTRACTS")</f>
        <v xml:space="preserve">          6373 - MAINTENANCE CONTRACTS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45.65</v>
      </c>
      <c r="Q60" s="2"/>
      <c r="R60" s="7">
        <f t="shared" si="40"/>
        <v>2.5731578655742877E-4</v>
      </c>
      <c r="S60" s="2"/>
      <c r="T60" s="6"/>
      <c r="U60" s="2"/>
      <c r="V60" s="7">
        <f t="shared" si="41"/>
        <v>0</v>
      </c>
      <c r="W60" s="2"/>
      <c r="X60" s="6">
        <f t="shared" si="42"/>
        <v>45.65</v>
      </c>
      <c r="Y60" s="2"/>
      <c r="Z60" s="7">
        <f t="shared" si="43"/>
        <v>0</v>
      </c>
    </row>
    <row r="61" spans="1:26" s="24" customFormat="1" hidden="1" outlineLevel="2" x14ac:dyDescent="0.25">
      <c r="A61" s="25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36"/>
        <v>0</v>
      </c>
      <c r="G61" s="2"/>
      <c r="H61" s="6">
        <v>384</v>
      </c>
      <c r="I61" s="2"/>
      <c r="J61" s="7">
        <f t="shared" si="37"/>
        <v>1.090289608177172E-2</v>
      </c>
      <c r="K61" s="2"/>
      <c r="L61" s="6">
        <f t="shared" si="38"/>
        <v>-384</v>
      </c>
      <c r="M61" s="2"/>
      <c r="N61" s="7">
        <f t="shared" si="39"/>
        <v>-1</v>
      </c>
      <c r="O61" s="11"/>
      <c r="P61" s="6">
        <v>5709.15</v>
      </c>
      <c r="Q61" s="2"/>
      <c r="R61" s="7">
        <f t="shared" si="40"/>
        <v>3.2180819777094076E-2</v>
      </c>
      <c r="S61" s="2"/>
      <c r="T61" s="6">
        <v>1989</v>
      </c>
      <c r="U61" s="2"/>
      <c r="V61" s="7">
        <f t="shared" si="41"/>
        <v>1.0895585343273935E-2</v>
      </c>
      <c r="W61" s="2"/>
      <c r="X61" s="6">
        <f t="shared" si="42"/>
        <v>3720.1499999999996</v>
      </c>
      <c r="Y61" s="2"/>
      <c r="Z61" s="7">
        <f t="shared" si="43"/>
        <v>1.870361990950226</v>
      </c>
    </row>
    <row r="62" spans="1:26" s="26" customFormat="1" outlineLevel="1" collapsed="1" x14ac:dyDescent="0.25">
      <c r="A62" s="27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SUM(OSRRefD22_9x_0)</f>
        <v>381.79</v>
      </c>
      <c r="E62" s="1"/>
      <c r="F62" s="5">
        <f t="shared" ref="F62:F65" si="44">IF(D$12=0,0,D62/D$12)</f>
        <v>1.0403915768040558E-2</v>
      </c>
      <c r="G62" s="1"/>
      <c r="H62" s="1">
        <f>SUM(OSRRefH22_9x_0)</f>
        <v>314</v>
      </c>
      <c r="I62" s="1"/>
      <c r="J62" s="5">
        <f t="shared" ref="J62:J65" si="45">IF(H$12=0,0,H62/H$12)</f>
        <v>8.9153889835320837E-3</v>
      </c>
      <c r="K62" s="1"/>
      <c r="L62" s="1">
        <f t="shared" ref="L62:L65" si="46">+D62-H62</f>
        <v>67.79000000000002</v>
      </c>
      <c r="M62" s="1"/>
      <c r="N62" s="5">
        <f t="shared" ref="N62:N65" si="47">IF(H62=0,0,L62/H62)</f>
        <v>0.215891719745223</v>
      </c>
      <c r="O62" s="13"/>
      <c r="P62" s="1">
        <f>SUM(OSRRefP22_9x_0)</f>
        <v>2102.23</v>
      </c>
      <c r="Q62" s="1"/>
      <c r="R62" s="5">
        <f t="shared" ref="R62:R65" si="48">IF(P$12=0,0,P62/P$12)</f>
        <v>1.1849659714668642E-2</v>
      </c>
      <c r="S62" s="1"/>
      <c r="T62" s="1">
        <f>SUM(OSRRefT22_9x_0)</f>
        <v>1626</v>
      </c>
      <c r="U62" s="1"/>
      <c r="V62" s="5">
        <f t="shared" ref="V62:V65" si="49">IF(T$12=0,0,T62/T$12)</f>
        <v>8.9070999337171539E-3</v>
      </c>
      <c r="W62" s="1"/>
      <c r="X62" s="1">
        <f t="shared" ref="X62:X65" si="50">+P62-T62</f>
        <v>476.23</v>
      </c>
      <c r="Y62" s="1"/>
      <c r="Z62" s="5">
        <f t="shared" ref="Z62:Z65" si="51">IF(T62=0,0,X62/T62)</f>
        <v>0.29288437884378843</v>
      </c>
    </row>
    <row r="63" spans="1:26" s="24" customFormat="1" hidden="1" outlineLevel="2" x14ac:dyDescent="0.25">
      <c r="A63" s="25"/>
      <c r="B63" s="11" t="str">
        <f>CONCATENATE("          ", "6282", " - ", "JANITORIAL/EXTERMINATOR EXPENS")</f>
        <v xml:space="preserve">          6282 - JANITORIAL/EXTERMINATOR EXPENS</v>
      </c>
      <c r="C63" s="11"/>
      <c r="D63" s="6">
        <v>141.93</v>
      </c>
      <c r="E63" s="2"/>
      <c r="F63" s="7">
        <f t="shared" si="44"/>
        <v>3.867643900987444E-3</v>
      </c>
      <c r="G63" s="2"/>
      <c r="H63" s="6">
        <v>314</v>
      </c>
      <c r="I63" s="2"/>
      <c r="J63" s="7">
        <f t="shared" si="45"/>
        <v>8.9153889835320837E-3</v>
      </c>
      <c r="K63" s="2"/>
      <c r="L63" s="6">
        <f t="shared" si="46"/>
        <v>-172.07</v>
      </c>
      <c r="M63" s="2"/>
      <c r="N63" s="7">
        <f t="shared" si="47"/>
        <v>-0.54799363057324835</v>
      </c>
      <c r="O63" s="11"/>
      <c r="P63" s="6">
        <v>1781.58</v>
      </c>
      <c r="Q63" s="2"/>
      <c r="R63" s="7">
        <f t="shared" si="48"/>
        <v>1.0042248828367666E-2</v>
      </c>
      <c r="S63" s="2"/>
      <c r="T63" s="6">
        <v>1626</v>
      </c>
      <c r="U63" s="2"/>
      <c r="V63" s="7">
        <f t="shared" si="49"/>
        <v>8.9070999337171539E-3</v>
      </c>
      <c r="W63" s="2"/>
      <c r="X63" s="6">
        <f t="shared" si="50"/>
        <v>155.57999999999993</v>
      </c>
      <c r="Y63" s="2"/>
      <c r="Z63" s="7">
        <f t="shared" si="51"/>
        <v>9.5682656826568221E-2</v>
      </c>
    </row>
    <row r="64" spans="1:26" s="24" customFormat="1" hidden="1" outlineLevel="2" x14ac:dyDescent="0.25">
      <c r="A64" s="25"/>
      <c r="B64" s="11" t="str">
        <f>CONCATENATE("          ", "6285", " - ", "JANITORIAL SERVICES")</f>
        <v xml:space="preserve">          6285 - JANITORIAL SERVICES</v>
      </c>
      <c r="C64" s="11"/>
      <c r="D64" s="6">
        <v>53.86</v>
      </c>
      <c r="E64" s="2"/>
      <c r="F64" s="7">
        <f t="shared" si="44"/>
        <v>1.467704505792882E-3</v>
      </c>
      <c r="G64" s="2"/>
      <c r="H64" s="6"/>
      <c r="I64" s="2"/>
      <c r="J64" s="7">
        <f t="shared" si="45"/>
        <v>0</v>
      </c>
      <c r="K64" s="2"/>
      <c r="L64" s="6">
        <f t="shared" si="46"/>
        <v>53.86</v>
      </c>
      <c r="M64" s="2"/>
      <c r="N64" s="7">
        <f t="shared" si="47"/>
        <v>0</v>
      </c>
      <c r="O64" s="11"/>
      <c r="P64" s="6">
        <v>134.65</v>
      </c>
      <c r="Q64" s="2"/>
      <c r="R64" s="7">
        <f t="shared" si="48"/>
        <v>7.5898292792897666E-4</v>
      </c>
      <c r="S64" s="2"/>
      <c r="T64" s="6"/>
      <c r="U64" s="2"/>
      <c r="V64" s="7">
        <f t="shared" si="49"/>
        <v>0</v>
      </c>
      <c r="W64" s="2"/>
      <c r="X64" s="6">
        <f t="shared" si="50"/>
        <v>134.65</v>
      </c>
      <c r="Y64" s="2"/>
      <c r="Z64" s="7">
        <f t="shared" si="51"/>
        <v>0</v>
      </c>
    </row>
    <row r="65" spans="1:26" s="24" customFormat="1" hidden="1" outlineLevel="2" x14ac:dyDescent="0.25">
      <c r="A65" s="25"/>
      <c r="B65" s="11" t="str">
        <f>CONCATENATE("          ", "6286", " - ", "LAUNDRY EXPENSE")</f>
        <v xml:space="preserve">          6286 - LAUNDRY EXPENSE</v>
      </c>
      <c r="C65" s="11"/>
      <c r="D65" s="6">
        <v>186</v>
      </c>
      <c r="E65" s="2"/>
      <c r="F65" s="7">
        <f t="shared" si="44"/>
        <v>5.0685673612602304E-3</v>
      </c>
      <c r="G65" s="2"/>
      <c r="H65" s="6"/>
      <c r="I65" s="2"/>
      <c r="J65" s="7">
        <f t="shared" si="45"/>
        <v>0</v>
      </c>
      <c r="K65" s="2"/>
      <c r="L65" s="6">
        <f t="shared" si="46"/>
        <v>186</v>
      </c>
      <c r="M65" s="2"/>
      <c r="N65" s="7">
        <f t="shared" si="47"/>
        <v>0</v>
      </c>
      <c r="O65" s="11"/>
      <c r="P65" s="6">
        <v>186</v>
      </c>
      <c r="Q65" s="2"/>
      <c r="R65" s="7">
        <f t="shared" si="48"/>
        <v>1.0484279583719989E-3</v>
      </c>
      <c r="S65" s="2"/>
      <c r="T65" s="6"/>
      <c r="U65" s="2"/>
      <c r="V65" s="7">
        <f t="shared" si="49"/>
        <v>0</v>
      </c>
      <c r="W65" s="2"/>
      <c r="X65" s="6">
        <f t="shared" si="50"/>
        <v>186</v>
      </c>
      <c r="Y65" s="2"/>
      <c r="Z65" s="7">
        <f t="shared" si="51"/>
        <v>0</v>
      </c>
    </row>
    <row r="66" spans="1:26" s="26" customFormat="1" outlineLevel="1" collapsed="1" x14ac:dyDescent="0.25">
      <c r="A66" s="27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SUM(OSRRefD22_10x_0)</f>
        <v>196.06</v>
      </c>
      <c r="E66" s="1"/>
      <c r="F66" s="5">
        <f t="shared" ref="F66:F69" si="52">IF(D$12=0,0,D66/D$12)</f>
        <v>5.3427060045628007E-3</v>
      </c>
      <c r="G66" s="1"/>
      <c r="H66" s="1">
        <f>SUM(OSRRefH22_10x_0)</f>
        <v>528</v>
      </c>
      <c r="I66" s="1"/>
      <c r="J66" s="5">
        <f t="shared" ref="J66:J69" si="53">IF(H$12=0,0,H66/H$12)</f>
        <v>1.4991482112436116E-2</v>
      </c>
      <c r="K66" s="1"/>
      <c r="L66" s="1">
        <f t="shared" ref="L66:L69" si="54">+D66-H66</f>
        <v>-331.94</v>
      </c>
      <c r="M66" s="1"/>
      <c r="N66" s="5">
        <f t="shared" ref="N66:N69" si="55">IF(H66=0,0,L66/H66)</f>
        <v>-0.62867424242424241</v>
      </c>
      <c r="O66" s="13"/>
      <c r="P66" s="1">
        <f>SUM(OSRRefP22_10x_0)</f>
        <v>6293.35</v>
      </c>
      <c r="Q66" s="1"/>
      <c r="R66" s="5">
        <f t="shared" ref="R66:R69" si="56">IF(P$12=0,0,P66/P$12)</f>
        <v>3.5473785439894732E-2</v>
      </c>
      <c r="S66" s="1"/>
      <c r="T66" s="1">
        <f>SUM(OSRRefT22_10x_0)</f>
        <v>2738</v>
      </c>
      <c r="U66" s="1"/>
      <c r="V66" s="5">
        <f t="shared" ref="V66:V69" si="57">IF(T$12=0,0,T66/T$12)</f>
        <v>1.4998548350871811E-2</v>
      </c>
      <c r="W66" s="1"/>
      <c r="X66" s="1">
        <f t="shared" ref="X66:X69" si="58">+P66-T66</f>
        <v>3555.3500000000004</v>
      </c>
      <c r="Y66" s="1"/>
      <c r="Z66" s="5">
        <f t="shared" ref="Z66:Z69" si="59">IF(T66=0,0,X66/T66)</f>
        <v>1.2985208181154129</v>
      </c>
    </row>
    <row r="67" spans="1:26" s="24" customFormat="1" hidden="1" outlineLevel="2" x14ac:dyDescent="0.25">
      <c r="A67" s="25"/>
      <c r="B67" s="11" t="str">
        <f>CONCATENATE("          ", "6237", " - ", "JANITORIAL SUPPLIES")</f>
        <v xml:space="preserve">          6237 - JANITORIAL SUPPLIES</v>
      </c>
      <c r="C67" s="11"/>
      <c r="D67" s="6">
        <v>2.8</v>
      </c>
      <c r="E67" s="2"/>
      <c r="F67" s="7">
        <f t="shared" si="52"/>
        <v>7.6301014040476586E-5</v>
      </c>
      <c r="G67" s="2"/>
      <c r="H67" s="6"/>
      <c r="I67" s="2"/>
      <c r="J67" s="7">
        <f t="shared" si="53"/>
        <v>0</v>
      </c>
      <c r="K67" s="2"/>
      <c r="L67" s="6">
        <f t="shared" si="54"/>
        <v>2.8</v>
      </c>
      <c r="M67" s="2"/>
      <c r="N67" s="7">
        <f t="shared" si="55"/>
        <v>0</v>
      </c>
      <c r="O67" s="11"/>
      <c r="P67" s="6">
        <v>776.95</v>
      </c>
      <c r="Q67" s="2"/>
      <c r="R67" s="7">
        <f t="shared" si="56"/>
        <v>4.3794414099845415E-3</v>
      </c>
      <c r="S67" s="2"/>
      <c r="T67" s="6"/>
      <c r="U67" s="2"/>
      <c r="V67" s="7">
        <f t="shared" si="57"/>
        <v>0</v>
      </c>
      <c r="W67" s="2"/>
      <c r="X67" s="6">
        <f t="shared" si="58"/>
        <v>776.95</v>
      </c>
      <c r="Y67" s="2"/>
      <c r="Z67" s="7">
        <f t="shared" si="59"/>
        <v>0</v>
      </c>
    </row>
    <row r="68" spans="1:26" s="24" customFormat="1" hidden="1" outlineLevel="2" x14ac:dyDescent="0.25">
      <c r="A68" s="25"/>
      <c r="B68" s="11" t="str">
        <f>CONCATENATE("          ", "6243", " - ", "PAPER SUPPLIES")</f>
        <v xml:space="preserve">          6243 - PAPER SUPPLIES</v>
      </c>
      <c r="C68" s="11"/>
      <c r="D68" s="6">
        <v>29.45</v>
      </c>
      <c r="E68" s="2"/>
      <c r="F68" s="7">
        <f t="shared" si="52"/>
        <v>8.0252316553286983E-4</v>
      </c>
      <c r="G68" s="2"/>
      <c r="H68" s="6"/>
      <c r="I68" s="2"/>
      <c r="J68" s="7">
        <f t="shared" si="53"/>
        <v>0</v>
      </c>
      <c r="K68" s="2"/>
      <c r="L68" s="6">
        <f t="shared" si="54"/>
        <v>29.45</v>
      </c>
      <c r="M68" s="2"/>
      <c r="N68" s="7">
        <f t="shared" si="55"/>
        <v>0</v>
      </c>
      <c r="O68" s="11"/>
      <c r="P68" s="6">
        <v>704.76</v>
      </c>
      <c r="Q68" s="2"/>
      <c r="R68" s="7">
        <f t="shared" si="56"/>
        <v>3.9725273545282254E-3</v>
      </c>
      <c r="S68" s="2"/>
      <c r="T68" s="6"/>
      <c r="U68" s="2"/>
      <c r="V68" s="7">
        <f t="shared" si="57"/>
        <v>0</v>
      </c>
      <c r="W68" s="2"/>
      <c r="X68" s="6">
        <f t="shared" si="58"/>
        <v>704.76</v>
      </c>
      <c r="Y68" s="2"/>
      <c r="Z68" s="7">
        <f t="shared" si="59"/>
        <v>0</v>
      </c>
    </row>
    <row r="69" spans="1:26" s="24" customFormat="1" hidden="1" outlineLevel="2" x14ac:dyDescent="0.25">
      <c r="A69" s="25"/>
      <c r="B69" s="11" t="str">
        <f>CONCATENATE("          ", "6247", " - ", "STORE SUPPLIES")</f>
        <v xml:space="preserve">          6247 - STORE SUPPLIES</v>
      </c>
      <c r="C69" s="11"/>
      <c r="D69" s="6">
        <v>163.81</v>
      </c>
      <c r="E69" s="2"/>
      <c r="F69" s="7">
        <f t="shared" si="52"/>
        <v>4.4638818249894538E-3</v>
      </c>
      <c r="G69" s="2"/>
      <c r="H69" s="6">
        <v>528</v>
      </c>
      <c r="I69" s="2"/>
      <c r="J69" s="7">
        <f t="shared" si="53"/>
        <v>1.4991482112436116E-2</v>
      </c>
      <c r="K69" s="2"/>
      <c r="L69" s="6">
        <f t="shared" si="54"/>
        <v>-364.19</v>
      </c>
      <c r="M69" s="2"/>
      <c r="N69" s="7">
        <f t="shared" si="55"/>
        <v>-0.68975378787878783</v>
      </c>
      <c r="O69" s="11"/>
      <c r="P69" s="6">
        <v>4811.6400000000003</v>
      </c>
      <c r="Q69" s="2"/>
      <c r="R69" s="7">
        <f t="shared" si="56"/>
        <v>2.7121816675381966E-2</v>
      </c>
      <c r="S69" s="2"/>
      <c r="T69" s="6">
        <v>2738</v>
      </c>
      <c r="U69" s="2"/>
      <c r="V69" s="7">
        <f t="shared" si="57"/>
        <v>1.4998548350871811E-2</v>
      </c>
      <c r="W69" s="2"/>
      <c r="X69" s="6">
        <f t="shared" si="58"/>
        <v>2073.6400000000003</v>
      </c>
      <c r="Y69" s="2"/>
      <c r="Z69" s="7">
        <f t="shared" si="59"/>
        <v>0.75735573411249102</v>
      </c>
    </row>
    <row r="70" spans="1:26" s="26" customFormat="1" outlineLevel="1" collapsed="1" x14ac:dyDescent="0.25">
      <c r="A70" s="27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SUM(OSRRefD22_11x_0)</f>
        <v>91.01</v>
      </c>
      <c r="E70" s="1"/>
      <c r="F70" s="5">
        <f t="shared" ref="F70:F73" si="60">IF(D$12=0,0,D70/D$12)</f>
        <v>2.4800554599370625E-3</v>
      </c>
      <c r="G70" s="1"/>
      <c r="H70" s="1">
        <f>SUM(OSRRefH22_11x_0)</f>
        <v>75</v>
      </c>
      <c r="I70" s="1"/>
      <c r="J70" s="5">
        <f t="shared" ref="J70:J73" si="61">IF(H$12=0,0,H70/H$12)</f>
        <v>2.1294718909710391E-3</v>
      </c>
      <c r="K70" s="1"/>
      <c r="L70" s="1">
        <f t="shared" ref="L70:L73" si="62">+D70-H70</f>
        <v>16.010000000000005</v>
      </c>
      <c r="M70" s="1"/>
      <c r="N70" s="5">
        <f t="shared" ref="N70:N73" si="63">IF(H70=0,0,L70/H70)</f>
        <v>0.21346666666666672</v>
      </c>
      <c r="O70" s="13"/>
      <c r="P70" s="1">
        <f>SUM(OSRRefP22_11x_0)</f>
        <v>455.05</v>
      </c>
      <c r="Q70" s="1"/>
      <c r="R70" s="5">
        <f t="shared" ref="R70:R73" si="64">IF(P$12=0,0,P70/P$12)</f>
        <v>2.5649846368665493E-3</v>
      </c>
      <c r="S70" s="1"/>
      <c r="T70" s="1">
        <f>SUM(OSRRefT22_11x_0)</f>
        <v>375</v>
      </c>
      <c r="U70" s="1"/>
      <c r="V70" s="5">
        <f t="shared" ref="V70:V73" si="65">IF(T$12=0,0,T70/T$12)</f>
        <v>2.0542204644181626E-3</v>
      </c>
      <c r="W70" s="1"/>
      <c r="X70" s="1">
        <f t="shared" ref="X70:X73" si="66">+P70-T70</f>
        <v>80.050000000000011</v>
      </c>
      <c r="Y70" s="1"/>
      <c r="Z70" s="5">
        <f t="shared" ref="Z70:Z73" si="67">IF(T70=0,0,X70/T70)</f>
        <v>0.21346666666666669</v>
      </c>
    </row>
    <row r="71" spans="1:26" s="24" customFormat="1" hidden="1" outlineLevel="2" x14ac:dyDescent="0.25">
      <c r="A71" s="25"/>
      <c r="B71" s="11" t="str">
        <f>CONCATENATE("          ", "6309", " - ", "TELEPHONE")</f>
        <v xml:space="preserve">          6309 - TELEPHONE</v>
      </c>
      <c r="C71" s="11"/>
      <c r="D71" s="6">
        <v>91.01</v>
      </c>
      <c r="E71" s="2"/>
      <c r="F71" s="7">
        <f t="shared" si="60"/>
        <v>2.4800554599370625E-3</v>
      </c>
      <c r="G71" s="2"/>
      <c r="H71" s="6">
        <v>75</v>
      </c>
      <c r="I71" s="2"/>
      <c r="J71" s="7">
        <f t="shared" si="61"/>
        <v>2.1294718909710391E-3</v>
      </c>
      <c r="K71" s="2"/>
      <c r="L71" s="6">
        <f t="shared" si="62"/>
        <v>16.010000000000005</v>
      </c>
      <c r="M71" s="2"/>
      <c r="N71" s="7">
        <f t="shared" si="63"/>
        <v>0.21346666666666672</v>
      </c>
      <c r="O71" s="11"/>
      <c r="P71" s="6">
        <v>455.05</v>
      </c>
      <c r="Q71" s="2"/>
      <c r="R71" s="7">
        <f t="shared" si="64"/>
        <v>2.5649846368665493E-3</v>
      </c>
      <c r="S71" s="2"/>
      <c r="T71" s="6">
        <v>375</v>
      </c>
      <c r="U71" s="2"/>
      <c r="V71" s="7">
        <f t="shared" si="65"/>
        <v>2.0542204644181626E-3</v>
      </c>
      <c r="W71" s="2"/>
      <c r="X71" s="6">
        <f t="shared" si="66"/>
        <v>80.050000000000011</v>
      </c>
      <c r="Y71" s="2"/>
      <c r="Z71" s="7">
        <f t="shared" si="67"/>
        <v>0.21346666666666669</v>
      </c>
    </row>
    <row r="72" spans="1:26" s="26" customFormat="1" outlineLevel="1" collapsed="1" x14ac:dyDescent="0.25">
      <c r="A72" s="27"/>
      <c r="B72" s="13" t="str">
        <f>CONCATENATE("     ","Training                                          ")</f>
        <v xml:space="preserve">     Training                                          </v>
      </c>
      <c r="C72" s="13"/>
      <c r="D72" s="1">
        <f>SUM(OSRRefD22_12x_0)</f>
        <v>0</v>
      </c>
      <c r="E72" s="1"/>
      <c r="F72" s="5">
        <f t="shared" si="60"/>
        <v>0</v>
      </c>
      <c r="G72" s="1"/>
      <c r="H72" s="1">
        <f>SUM(OSRRefH22_12x_0)</f>
        <v>0</v>
      </c>
      <c r="I72" s="1"/>
      <c r="J72" s="5">
        <f t="shared" si="61"/>
        <v>0</v>
      </c>
      <c r="K72" s="1"/>
      <c r="L72" s="1">
        <f t="shared" si="62"/>
        <v>0</v>
      </c>
      <c r="M72" s="1"/>
      <c r="N72" s="5">
        <f t="shared" si="63"/>
        <v>0</v>
      </c>
      <c r="O72" s="13"/>
      <c r="P72" s="1">
        <f>SUM(OSRRefP22_12x_0)</f>
        <v>0</v>
      </c>
      <c r="Q72" s="1"/>
      <c r="R72" s="5">
        <f t="shared" si="64"/>
        <v>0</v>
      </c>
      <c r="S72" s="1"/>
      <c r="T72" s="1">
        <f>SUM(OSRRefT22_12x_0)</f>
        <v>500</v>
      </c>
      <c r="U72" s="1"/>
      <c r="V72" s="5">
        <f t="shared" si="65"/>
        <v>2.738960619224217E-3</v>
      </c>
      <c r="W72" s="1"/>
      <c r="X72" s="1">
        <f t="shared" si="66"/>
        <v>-500</v>
      </c>
      <c r="Y72" s="1"/>
      <c r="Z72" s="5">
        <f t="shared" si="67"/>
        <v>-1</v>
      </c>
    </row>
    <row r="73" spans="1:26" s="24" customFormat="1" hidden="1" outlineLevel="2" x14ac:dyDescent="0.25">
      <c r="A73" s="25"/>
      <c r="B73" s="11" t="str">
        <f>CONCATENATE("          ", "6376", " - ", "TRAINING")</f>
        <v xml:space="preserve">          6376 - TRAINING</v>
      </c>
      <c r="C73" s="11"/>
      <c r="D73" s="6"/>
      <c r="E73" s="2"/>
      <c r="F73" s="7">
        <f t="shared" si="60"/>
        <v>0</v>
      </c>
      <c r="G73" s="2"/>
      <c r="H73" s="6"/>
      <c r="I73" s="2"/>
      <c r="J73" s="7">
        <f t="shared" si="61"/>
        <v>0</v>
      </c>
      <c r="K73" s="2"/>
      <c r="L73" s="6">
        <f t="shared" si="62"/>
        <v>0</v>
      </c>
      <c r="M73" s="2"/>
      <c r="N73" s="7">
        <f t="shared" si="63"/>
        <v>0</v>
      </c>
      <c r="O73" s="11"/>
      <c r="P73" s="6"/>
      <c r="Q73" s="2"/>
      <c r="R73" s="7">
        <f t="shared" si="64"/>
        <v>0</v>
      </c>
      <c r="S73" s="2"/>
      <c r="T73" s="6">
        <v>500</v>
      </c>
      <c r="U73" s="2"/>
      <c r="V73" s="7">
        <f t="shared" si="65"/>
        <v>2.738960619224217E-3</v>
      </c>
      <c r="W73" s="2"/>
      <c r="X73" s="6">
        <f t="shared" si="66"/>
        <v>-500</v>
      </c>
      <c r="Y73" s="2"/>
      <c r="Z73" s="7">
        <f t="shared" si="67"/>
        <v>-1</v>
      </c>
    </row>
    <row r="74" spans="1:26" s="59" customFormat="1" x14ac:dyDescent="0.25">
      <c r="A74" s="36"/>
      <c r="B74" s="36"/>
      <c r="C74" s="36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6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9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8" t="s">
        <v>3</v>
      </c>
      <c r="C77" s="28"/>
      <c r="D77" s="20">
        <f>+D22-D24+D75</f>
        <v>5813.4500000000025</v>
      </c>
      <c r="E77" s="14"/>
      <c r="F77" s="22">
        <f>IF(D$12=0,0,D77/D$12)</f>
        <v>0.15841861788343173</v>
      </c>
      <c r="G77" s="14"/>
      <c r="H77" s="20">
        <f>+H22-H24+H75</f>
        <v>5168.8040946153815</v>
      </c>
      <c r="I77" s="14"/>
      <c r="J77" s="22">
        <f>IF(H$12=0,0,H77/H$12)</f>
        <v>0.14675764039225955</v>
      </c>
      <c r="K77" s="16"/>
      <c r="L77" s="20">
        <f>+D77-H77</f>
        <v>644.64590538462107</v>
      </c>
      <c r="M77" s="16"/>
      <c r="N77" s="22">
        <f>IF(H77=0,0,L77/H77)</f>
        <v>0.12471857969161243</v>
      </c>
      <c r="O77" s="29"/>
      <c r="P77" s="20">
        <f>+P22-P24+P75</f>
        <v>16065.209999999992</v>
      </c>
      <c r="Q77" s="14"/>
      <c r="R77" s="22">
        <f>IF(P$12=0,0,P77/P$12)</f>
        <v>9.0554921081276413E-2</v>
      </c>
      <c r="S77" s="14"/>
      <c r="T77" s="20">
        <f>+T22-T24+T75</f>
        <v>28869.875570384604</v>
      </c>
      <c r="U77" s="14"/>
      <c r="V77" s="22">
        <f>IF(T$12=0,0,T77/T$12)</f>
        <v>0.15814690453837341</v>
      </c>
      <c r="W77" s="16"/>
      <c r="X77" s="20">
        <f>+P77-T77</f>
        <v>-12804.665570384612</v>
      </c>
      <c r="Y77" s="16"/>
      <c r="Z77" s="22">
        <f>IF(T77=0,0,X77/T77)</f>
        <v>-0.44353033455814195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2"/>
      <c r="B79" s="10" t="s">
        <v>14</v>
      </c>
      <c r="C79" s="10"/>
      <c r="D79" s="4">
        <v>4621.96</v>
      </c>
      <c r="E79" s="4"/>
      <c r="F79" s="12">
        <f>IF(D$12=0,0,D79/D$12)</f>
        <v>0.12595008387661472</v>
      </c>
      <c r="G79" s="4"/>
      <c r="H79" s="4">
        <v>5393</v>
      </c>
      <c r="I79" s="4"/>
      <c r="J79" s="12">
        <f>IF(H$12=0,0,H79/H$12)</f>
        <v>0.15312322544009085</v>
      </c>
      <c r="K79" s="4"/>
      <c r="L79" s="4">
        <f>+D79-H79</f>
        <v>-771.04</v>
      </c>
      <c r="M79" s="4"/>
      <c r="N79" s="12">
        <f>IF(H79=0,0,L79/H79)</f>
        <v>-0.14297051733728908</v>
      </c>
      <c r="O79" s="10"/>
      <c r="P79" s="4">
        <v>18786.36</v>
      </c>
      <c r="Q79" s="4"/>
      <c r="R79" s="12">
        <f>IF(P$12=0,0,P79/P$12)</f>
        <v>0.1058932530109752</v>
      </c>
      <c r="S79" s="4"/>
      <c r="T79" s="4">
        <v>23134</v>
      </c>
      <c r="U79" s="4"/>
      <c r="V79" s="12">
        <f>IF(T$12=0,0,T79/T$12)</f>
        <v>0.12672622993026605</v>
      </c>
      <c r="W79" s="4"/>
      <c r="X79" s="4">
        <f>+P79-T79</f>
        <v>-4347.6399999999994</v>
      </c>
      <c r="Y79" s="4"/>
      <c r="Z79" s="12">
        <f>IF(T79=0,0,X79/T79)</f>
        <v>-0.18793291259617875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8" t="s">
        <v>4</v>
      </c>
      <c r="C81" s="28"/>
      <c r="D81" s="30">
        <f>+D77-D79</f>
        <v>1191.4900000000025</v>
      </c>
      <c r="E81" s="14"/>
      <c r="F81" s="32">
        <f>IF(D$12=0,0,D81/D$12)</f>
        <v>3.2468534006817019E-2</v>
      </c>
      <c r="G81" s="14"/>
      <c r="H81" s="30">
        <f>+H77-H79</f>
        <v>-224.19590538461853</v>
      </c>
      <c r="I81" s="14"/>
      <c r="J81" s="32">
        <f>IF(H$12=0,0,H81/H$12)</f>
        <v>-6.365585047831304E-3</v>
      </c>
      <c r="K81" s="16"/>
      <c r="L81" s="30">
        <f>D81-H81</f>
        <v>1415.685905384621</v>
      </c>
      <c r="M81" s="16"/>
      <c r="N81" s="32">
        <f>IF(H81=0,0,L81/H81)</f>
        <v>-6.314503839648391</v>
      </c>
      <c r="O81" s="29"/>
      <c r="P81" s="30">
        <f>+P77-P79</f>
        <v>-2721.1500000000087</v>
      </c>
      <c r="Q81" s="14"/>
      <c r="R81" s="32">
        <f>IF(P$12=0,0,P81/P$12)</f>
        <v>-1.5338331929698785E-2</v>
      </c>
      <c r="S81" s="14"/>
      <c r="T81" s="30">
        <f>+T77-T79</f>
        <v>5735.8755703846036</v>
      </c>
      <c r="U81" s="14"/>
      <c r="V81" s="32">
        <f>IF(T$12=0,0,T81/T$12)</f>
        <v>3.1420674608107345E-2</v>
      </c>
      <c r="W81" s="16"/>
      <c r="X81" s="30">
        <f>P81-T81</f>
        <v>-8457.0255703846124</v>
      </c>
      <c r="Y81" s="16"/>
      <c r="Z81" s="32">
        <f>IF(T81=0,0,X81/T81)</f>
        <v>-1.4744088267970481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8" t="s">
        <v>5</v>
      </c>
      <c r="C84" s="28"/>
      <c r="D84" s="31">
        <f>SUM(D81:D83)</f>
        <v>1191.4900000000025</v>
      </c>
      <c r="E84" s="14"/>
      <c r="F84" s="35">
        <f>IF(D$12=0,0,D84/D$12)</f>
        <v>3.2468534006817019E-2</v>
      </c>
      <c r="G84" s="14"/>
      <c r="H84" s="31">
        <f>SUM(H81:H83)</f>
        <v>-224.19590538461853</v>
      </c>
      <c r="I84" s="14"/>
      <c r="J84" s="35">
        <f>IF(H$12=0,0,H84/H$12)</f>
        <v>-6.365585047831304E-3</v>
      </c>
      <c r="K84" s="16"/>
      <c r="L84" s="31">
        <f>+D84-H84</f>
        <v>1415.685905384621</v>
      </c>
      <c r="M84" s="16"/>
      <c r="N84" s="35">
        <f>IF(H84=0,0,L84/H84)</f>
        <v>-6.314503839648391</v>
      </c>
      <c r="O84" s="29"/>
      <c r="P84" s="31">
        <f>SUM(P81:P83)</f>
        <v>-2721.1500000000087</v>
      </c>
      <c r="Q84" s="14"/>
      <c r="R84" s="35">
        <f>IF(P$12=0,0,P84/P$12)</f>
        <v>-1.5338331929698785E-2</v>
      </c>
      <c r="S84" s="14"/>
      <c r="T84" s="31">
        <f>SUM(T81:T83)</f>
        <v>5735.8755703846036</v>
      </c>
      <c r="U84" s="14"/>
      <c r="V84" s="35">
        <f>IF(T$12=0,0,T84/T$12)</f>
        <v>3.1420674608107345E-2</v>
      </c>
      <c r="W84" s="16"/>
      <c r="X84" s="31">
        <f>+P84-T84</f>
        <v>-8457.0255703846124</v>
      </c>
      <c r="Y84" s="16"/>
      <c r="Z84" s="35">
        <f>IF(T84=0,0,X84/T84)</f>
        <v>-1.4744088267970481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56">
        <v>43815.483673576389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62" t="s">
        <v>314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58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299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","313", " - ", "Convenience Store")</f>
        <v>Department 313 - Convenience Store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58695.67</v>
      </c>
      <c r="E12" s="4"/>
      <c r="F12" s="12"/>
      <c r="G12" s="4"/>
      <c r="H12" s="4">
        <f>SUM(OSRRefH13x_0)</f>
        <v>51376</v>
      </c>
      <c r="I12" s="4"/>
      <c r="J12" s="12"/>
      <c r="K12" s="4"/>
      <c r="L12" s="4">
        <f t="shared" ref="L12:L18" si="0">+D12-H12</f>
        <v>7319.6699999999983</v>
      </c>
      <c r="M12" s="4"/>
      <c r="N12" s="12">
        <f t="shared" ref="N12:N18" si="1">IF(H12=0,0,L12/H12)</f>
        <v>0.14247255527872935</v>
      </c>
      <c r="O12" s="10"/>
      <c r="P12" s="4">
        <f>SUM(OSRRefP13x_0)</f>
        <v>297881.58999999997</v>
      </c>
      <c r="Q12" s="4"/>
      <c r="R12" s="12"/>
      <c r="S12" s="4"/>
      <c r="T12" s="4">
        <f>SUM(OSRRefT13x_0)</f>
        <v>293479</v>
      </c>
      <c r="U12" s="4"/>
      <c r="V12" s="12"/>
      <c r="W12" s="4"/>
      <c r="X12" s="4">
        <f t="shared" ref="X12:X18" si="2">+P12-T12</f>
        <v>4402.5899999999674</v>
      </c>
      <c r="Y12" s="4"/>
      <c r="Z12" s="12">
        <f t="shared" ref="Z12:Z18" si="3">IF(T12=0,0,X12/T12)</f>
        <v>1.5001379996524343E-2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--11147.8</f>
        <v>11147.8</v>
      </c>
      <c r="E13" s="2"/>
      <c r="F13" s="19"/>
      <c r="G13" s="2"/>
      <c r="H13" s="2"/>
      <c r="I13" s="2"/>
      <c r="J13" s="19"/>
      <c r="K13" s="2"/>
      <c r="L13" s="2">
        <f t="shared" si="0"/>
        <v>11147.8</v>
      </c>
      <c r="M13" s="2"/>
      <c r="N13" s="19">
        <f t="shared" si="1"/>
        <v>0</v>
      </c>
      <c r="O13" s="11"/>
      <c r="P13" s="2">
        <f>--61147.87</f>
        <v>61147.87</v>
      </c>
      <c r="Q13" s="2"/>
      <c r="R13" s="19"/>
      <c r="S13" s="2"/>
      <c r="T13" s="2"/>
      <c r="U13" s="2"/>
      <c r="V13" s="19"/>
      <c r="W13" s="2"/>
      <c r="X13" s="2">
        <f t="shared" si="2"/>
        <v>61147.87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>--237.09</f>
        <v>237.09</v>
      </c>
      <c r="E14" s="2"/>
      <c r="F14" s="19"/>
      <c r="G14" s="2"/>
      <c r="H14" s="2"/>
      <c r="I14" s="2"/>
      <c r="J14" s="19"/>
      <c r="K14" s="2"/>
      <c r="L14" s="2">
        <f t="shared" si="0"/>
        <v>237.09</v>
      </c>
      <c r="M14" s="2"/>
      <c r="N14" s="19">
        <f t="shared" si="1"/>
        <v>0</v>
      </c>
      <c r="O14" s="11"/>
      <c r="P14" s="2">
        <f>--1919.17</f>
        <v>1919.17</v>
      </c>
      <c r="Q14" s="2"/>
      <c r="R14" s="19"/>
      <c r="S14" s="2"/>
      <c r="T14" s="2"/>
      <c r="U14" s="2"/>
      <c r="V14" s="19"/>
      <c r="W14" s="2"/>
      <c r="X14" s="2">
        <f t="shared" si="2"/>
        <v>1919.17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51376</v>
      </c>
      <c r="I15" s="2"/>
      <c r="J15" s="19"/>
      <c r="K15" s="2"/>
      <c r="L15" s="2">
        <f t="shared" si="0"/>
        <v>-51376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293479</v>
      </c>
      <c r="U15" s="2"/>
      <c r="V15" s="19"/>
      <c r="W15" s="2"/>
      <c r="X15" s="2">
        <f t="shared" si="2"/>
        <v>-293479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"4132", " - ", "NON-TAXABLE SALES-JUICE")</f>
        <v xml:space="preserve">          4132 - NON-TAXABLE SALES-JUICE</v>
      </c>
      <c r="C16" s="11"/>
      <c r="D16" s="2">
        <f>--47135.09</f>
        <v>47135.09</v>
      </c>
      <c r="E16" s="2"/>
      <c r="F16" s="19"/>
      <c r="G16" s="2"/>
      <c r="H16" s="2"/>
      <c r="I16" s="2"/>
      <c r="J16" s="19"/>
      <c r="K16" s="2"/>
      <c r="L16" s="2">
        <f t="shared" si="0"/>
        <v>47135.09</v>
      </c>
      <c r="M16" s="2"/>
      <c r="N16" s="19">
        <f t="shared" si="1"/>
        <v>0</v>
      </c>
      <c r="O16" s="11"/>
      <c r="P16" s="2">
        <f>--233789.62</f>
        <v>233789.62</v>
      </c>
      <c r="Q16" s="2"/>
      <c r="R16" s="19"/>
      <c r="S16" s="2"/>
      <c r="T16" s="2"/>
      <c r="U16" s="2"/>
      <c r="V16" s="19"/>
      <c r="W16" s="2"/>
      <c r="X16" s="2">
        <f t="shared" si="2"/>
        <v>233789.62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"4134", " - ", "NON-TAXABLE SALES-SODA")</f>
        <v xml:space="preserve">          4134 - NON-TAXABLE SALES-SODA</v>
      </c>
      <c r="C17" s="11"/>
      <c r="D17" s="2">
        <f>0</f>
        <v>0</v>
      </c>
      <c r="E17" s="2"/>
      <c r="F17" s="19"/>
      <c r="G17" s="2"/>
      <c r="H17" s="2"/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--0.39</f>
        <v>0.39</v>
      </c>
      <c r="Q17" s="2"/>
      <c r="R17" s="19"/>
      <c r="S17" s="2"/>
      <c r="T17" s="2"/>
      <c r="U17" s="2"/>
      <c r="V17" s="19"/>
      <c r="W17" s="2"/>
      <c r="X17" s="2">
        <f t="shared" si="2"/>
        <v>0.39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"4137", " - ", "NON-TAXABLE SALES-WATER")</f>
        <v xml:space="preserve">          4137 - NON-TAXABLE SALES-WATER</v>
      </c>
      <c r="C18" s="11"/>
      <c r="D18" s="2">
        <f>--175.69</f>
        <v>175.69</v>
      </c>
      <c r="E18" s="2"/>
      <c r="F18" s="19"/>
      <c r="G18" s="2"/>
      <c r="H18" s="2"/>
      <c r="I18" s="2"/>
      <c r="J18" s="19"/>
      <c r="K18" s="2"/>
      <c r="L18" s="2">
        <f t="shared" si="0"/>
        <v>175.69</v>
      </c>
      <c r="M18" s="2"/>
      <c r="N18" s="19">
        <f t="shared" si="1"/>
        <v>0</v>
      </c>
      <c r="O18" s="11"/>
      <c r="P18" s="2">
        <f>--1024.54</f>
        <v>1024.54</v>
      </c>
      <c r="Q18" s="2"/>
      <c r="R18" s="19"/>
      <c r="S18" s="2"/>
      <c r="T18" s="2"/>
      <c r="U18" s="2"/>
      <c r="V18" s="19"/>
      <c r="W18" s="2"/>
      <c r="X18" s="2">
        <f t="shared" si="2"/>
        <v>1024.54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9" t="s">
        <v>8</v>
      </c>
      <c r="C20" s="10"/>
      <c r="D20" s="4">
        <f>SUM(OSRRefD16x_0)</f>
        <v>27261.74</v>
      </c>
      <c r="E20" s="4"/>
      <c r="F20" s="12">
        <f t="shared" ref="F20:F23" si="4">IF(D$12=0,0,D20/D$12)</f>
        <v>0.46445913301611519</v>
      </c>
      <c r="G20" s="4"/>
      <c r="H20" s="4">
        <f>SUM(OSRRefH16x_0)</f>
        <v>24661</v>
      </c>
      <c r="I20" s="4"/>
      <c r="J20" s="12">
        <f t="shared" ref="J20:J23" si="5">IF(H$12=0,0,H20/H$12)</f>
        <v>0.48001012145748989</v>
      </c>
      <c r="K20" s="4"/>
      <c r="L20" s="4">
        <f t="shared" ref="L20:L23" si="6">+D20-H20</f>
        <v>2600.7400000000016</v>
      </c>
      <c r="M20" s="4"/>
      <c r="N20" s="12">
        <f t="shared" ref="N20:N23" si="7">IF(H20=0,0,L20/H20)</f>
        <v>0.10545963261830427</v>
      </c>
      <c r="O20" s="10"/>
      <c r="P20" s="4">
        <f>SUM(OSRRefP16x_0)</f>
        <v>141604.79999999999</v>
      </c>
      <c r="Q20" s="4"/>
      <c r="R20" s="12">
        <f t="shared" ref="R20:R23" si="8">IF(P$12=0,0,P20/P$12)</f>
        <v>0.47537278151362089</v>
      </c>
      <c r="S20" s="4"/>
      <c r="T20" s="4">
        <f>SUM(OSRRefT16x_0)</f>
        <v>140871</v>
      </c>
      <c r="U20" s="4"/>
      <c r="V20" s="12">
        <f t="shared" ref="V20:V23" si="9">IF(T$12=0,0,T20/T$12)</f>
        <v>0.4800036799907319</v>
      </c>
      <c r="W20" s="4"/>
      <c r="X20" s="4">
        <f t="shared" ref="X20:X23" si="10">+P20-T20</f>
        <v>733.79999999998836</v>
      </c>
      <c r="Y20" s="4"/>
      <c r="Z20" s="12">
        <f t="shared" ref="Z20:Z23" si="11">IF(T20=0,0,X20/T20)</f>
        <v>5.2090210192302774E-3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4"/>
        <v>0</v>
      </c>
      <c r="G21" s="2"/>
      <c r="H21" s="2">
        <v>24661</v>
      </c>
      <c r="I21" s="2"/>
      <c r="J21" s="19">
        <f t="shared" si="5"/>
        <v>0.48001012145748989</v>
      </c>
      <c r="K21" s="2"/>
      <c r="L21" s="2">
        <f t="shared" si="6"/>
        <v>-24661</v>
      </c>
      <c r="M21" s="2"/>
      <c r="N21" s="19">
        <f t="shared" si="7"/>
        <v>-1</v>
      </c>
      <c r="O21" s="11"/>
      <c r="P21" s="2"/>
      <c r="Q21" s="2"/>
      <c r="R21" s="19">
        <f t="shared" si="8"/>
        <v>0</v>
      </c>
      <c r="S21" s="2"/>
      <c r="T21" s="2">
        <v>140871</v>
      </c>
      <c r="U21" s="2"/>
      <c r="V21" s="19">
        <f t="shared" si="9"/>
        <v>0.4800036799907319</v>
      </c>
      <c r="W21" s="2"/>
      <c r="X21" s="2">
        <f t="shared" si="10"/>
        <v>-140871</v>
      </c>
      <c r="Y21" s="2"/>
      <c r="Z21" s="19">
        <f t="shared" si="11"/>
        <v>-1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27947.230000000003</v>
      </c>
      <c r="E22" s="2"/>
      <c r="F22" s="19">
        <f t="shared" si="4"/>
        <v>0.47613784798776476</v>
      </c>
      <c r="G22" s="2"/>
      <c r="H22" s="2"/>
      <c r="I22" s="2"/>
      <c r="J22" s="19">
        <f t="shared" si="5"/>
        <v>0</v>
      </c>
      <c r="K22" s="2"/>
      <c r="L22" s="2">
        <f t="shared" si="6"/>
        <v>27947.230000000003</v>
      </c>
      <c r="M22" s="2"/>
      <c r="N22" s="19">
        <f t="shared" si="7"/>
        <v>0</v>
      </c>
      <c r="O22" s="11"/>
      <c r="P22" s="2">
        <v>150482.44</v>
      </c>
      <c r="Q22" s="2"/>
      <c r="R22" s="19">
        <f t="shared" si="8"/>
        <v>0.5051753617939263</v>
      </c>
      <c r="S22" s="2"/>
      <c r="T22" s="2"/>
      <c r="U22" s="2"/>
      <c r="V22" s="19">
        <f t="shared" si="9"/>
        <v>0</v>
      </c>
      <c r="W22" s="2"/>
      <c r="X22" s="2">
        <f t="shared" si="10"/>
        <v>150482.44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-685.49</v>
      </c>
      <c r="E23" s="2"/>
      <c r="F23" s="19">
        <f t="shared" si="4"/>
        <v>-1.1678714971649528E-2</v>
      </c>
      <c r="G23" s="2"/>
      <c r="H23" s="2"/>
      <c r="I23" s="2"/>
      <c r="J23" s="19">
        <f t="shared" si="5"/>
        <v>0</v>
      </c>
      <c r="K23" s="2"/>
      <c r="L23" s="2">
        <f t="shared" si="6"/>
        <v>-685.49</v>
      </c>
      <c r="M23" s="2"/>
      <c r="N23" s="19">
        <f t="shared" si="7"/>
        <v>0</v>
      </c>
      <c r="O23" s="11"/>
      <c r="P23" s="2">
        <v>-8877.64</v>
      </c>
      <c r="Q23" s="2"/>
      <c r="R23" s="19">
        <f t="shared" si="8"/>
        <v>-2.980258028030534E-2</v>
      </c>
      <c r="S23" s="2"/>
      <c r="T23" s="2"/>
      <c r="U23" s="2"/>
      <c r="V23" s="19">
        <f t="shared" si="9"/>
        <v>0</v>
      </c>
      <c r="W23" s="2"/>
      <c r="X23" s="2">
        <f t="shared" si="10"/>
        <v>-8877.64</v>
      </c>
      <c r="Y23" s="2"/>
      <c r="Z23" s="19">
        <f t="shared" si="11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8" t="s">
        <v>6</v>
      </c>
      <c r="C25" s="28"/>
      <c r="D25" s="20">
        <f>D12-D20</f>
        <v>31433.929999999997</v>
      </c>
      <c r="E25" s="14"/>
      <c r="F25" s="22">
        <f>IF(D$12=0,0,D25/D$12)</f>
        <v>0.53554086698388481</v>
      </c>
      <c r="G25" s="14"/>
      <c r="H25" s="20">
        <f>H12-H20</f>
        <v>26715</v>
      </c>
      <c r="I25" s="14"/>
      <c r="J25" s="22">
        <f>IF(H$12=0,0,H25/H$12)</f>
        <v>0.51998987854251011</v>
      </c>
      <c r="K25" s="16"/>
      <c r="L25" s="20">
        <f>+D25-H25</f>
        <v>4718.9299999999967</v>
      </c>
      <c r="M25" s="16"/>
      <c r="N25" s="22">
        <f>IF(H25=0,0,L25/H25)</f>
        <v>0.17663971551562779</v>
      </c>
      <c r="O25" s="29"/>
      <c r="P25" s="20">
        <f>P12-P20</f>
        <v>156276.78999999998</v>
      </c>
      <c r="Q25" s="14"/>
      <c r="R25" s="22">
        <f>IF(P$12=0,0,P25/P$12)</f>
        <v>0.52462721848637905</v>
      </c>
      <c r="S25" s="14"/>
      <c r="T25" s="20">
        <f>T12-T20</f>
        <v>152608</v>
      </c>
      <c r="U25" s="14"/>
      <c r="V25" s="22">
        <f>IF(T$12=0,0,T25/T$12)</f>
        <v>0.5199963200092681</v>
      </c>
      <c r="W25" s="16"/>
      <c r="X25" s="20">
        <f>+P25-T25</f>
        <v>3668.789999999979</v>
      </c>
      <c r="Y25" s="16"/>
      <c r="Z25" s="22">
        <f>IF(T25=0,0,X25/T25)</f>
        <v>2.4040613860347945E-2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9" t="s">
        <v>9</v>
      </c>
      <c r="C27" s="10"/>
      <c r="D27" s="21">
        <f>SUM(OSRRefD22x_0)</f>
        <v>17922.72</v>
      </c>
      <c r="E27" s="21"/>
      <c r="F27" s="33">
        <f t="shared" ref="F27:F37" si="12">IF(D$12=0,0,D27/D$12)</f>
        <v>0.30534995170853324</v>
      </c>
      <c r="G27" s="21"/>
      <c r="H27" s="21">
        <f>SUM(OSRRefH22x_0)</f>
        <v>18596.702427600001</v>
      </c>
      <c r="I27" s="21"/>
      <c r="J27" s="33">
        <f t="shared" ref="J27:J37" si="13">IF(H$12=0,0,H27/H$12)</f>
        <v>0.36197256360168173</v>
      </c>
      <c r="K27" s="4"/>
      <c r="L27" s="21">
        <f t="shared" ref="L27:L37" si="14">+D27-H27</f>
        <v>-673.98242759999994</v>
      </c>
      <c r="M27" s="4"/>
      <c r="N27" s="33">
        <f t="shared" ref="N27:N37" si="15">IF(H27=0,0,L27/H27)</f>
        <v>-3.6242039696226983E-2</v>
      </c>
      <c r="O27" s="10"/>
      <c r="P27" s="21">
        <f>SUM(OSRRefP22x_0)</f>
        <v>97424.430000000022</v>
      </c>
      <c r="Q27" s="21"/>
      <c r="R27" s="33">
        <f t="shared" ref="R27:R37" si="16">IF(P$12=0,0,P27/P$12)</f>
        <v>0.32705757344722119</v>
      </c>
      <c r="S27" s="21"/>
      <c r="T27" s="21">
        <f>SUM(OSRRefT22x_0)</f>
        <v>98411.152170299989</v>
      </c>
      <c r="U27" s="21"/>
      <c r="V27" s="33">
        <f t="shared" ref="V27:V37" si="17">IF(T$12=0,0,T27/T$12)</f>
        <v>0.33532604435172531</v>
      </c>
      <c r="W27" s="4"/>
      <c r="X27" s="21">
        <f t="shared" ref="X27:X37" si="18">+P27-T27</f>
        <v>-986.72217029996682</v>
      </c>
      <c r="Y27" s="4"/>
      <c r="Z27" s="33">
        <f t="shared" ref="Z27:Z37" si="19">IF(T27=0,0,X27/T27)</f>
        <v>-1.0026527975126733E-2</v>
      </c>
    </row>
    <row r="28" spans="1:26" s="26" customFormat="1" outlineLevel="1" collapsed="1" x14ac:dyDescent="0.25">
      <c r="A28" s="27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4074.7299999999996</v>
      </c>
      <c r="E28" s="1"/>
      <c r="F28" s="5">
        <f t="shared" si="12"/>
        <v>6.9421304842418527E-2</v>
      </c>
      <c r="G28" s="1"/>
      <c r="H28" s="1">
        <f>SUM(OSRRefH22_0x_0)</f>
        <v>3788.9884275999993</v>
      </c>
      <c r="I28" s="1"/>
      <c r="J28" s="5">
        <f t="shared" si="13"/>
        <v>7.3750164037682947E-2</v>
      </c>
      <c r="K28" s="1"/>
      <c r="L28" s="1">
        <f t="shared" si="14"/>
        <v>285.74157240000022</v>
      </c>
      <c r="M28" s="1"/>
      <c r="N28" s="5">
        <f t="shared" si="15"/>
        <v>7.5413683060782818E-2</v>
      </c>
      <c r="O28" s="13"/>
      <c r="P28" s="1">
        <f>SUM(OSRRefP22_0x_0)</f>
        <v>22383.460000000003</v>
      </c>
      <c r="Q28" s="1"/>
      <c r="R28" s="5">
        <f t="shared" si="16"/>
        <v>7.5142139532691513E-2</v>
      </c>
      <c r="S28" s="1"/>
      <c r="T28" s="1">
        <f>SUM(OSRRefT22_0x_0)</f>
        <v>19869.275170299999</v>
      </c>
      <c r="U28" s="1"/>
      <c r="V28" s="5">
        <f t="shared" si="17"/>
        <v>6.7702544884983257E-2</v>
      </c>
      <c r="W28" s="1"/>
      <c r="X28" s="1">
        <f t="shared" si="18"/>
        <v>2514.1848297000033</v>
      </c>
      <c r="Y28" s="1"/>
      <c r="Z28" s="5">
        <f t="shared" si="19"/>
        <v>0.12653631338591212</v>
      </c>
    </row>
    <row r="29" spans="1:26" s="24" customFormat="1" hidden="1" outlineLevel="2" x14ac:dyDescent="0.25">
      <c r="A29" s="25"/>
      <c r="B29" s="11" t="str">
        <f>CONCATENATE("          ", "6111", " - ", "F.I.C.A.")</f>
        <v xml:space="preserve">          6111 - F.I.C.A.</v>
      </c>
      <c r="C29" s="11"/>
      <c r="D29" s="6">
        <v>409.9</v>
      </c>
      <c r="E29" s="2"/>
      <c r="F29" s="7">
        <f t="shared" si="12"/>
        <v>6.9834793605729351E-3</v>
      </c>
      <c r="G29" s="2"/>
      <c r="H29" s="6">
        <v>558.40267559999995</v>
      </c>
      <c r="I29" s="2"/>
      <c r="J29" s="7">
        <f t="shared" si="13"/>
        <v>1.0868940275615073E-2</v>
      </c>
      <c r="K29" s="2"/>
      <c r="L29" s="6">
        <f t="shared" si="14"/>
        <v>-148.50267559999998</v>
      </c>
      <c r="M29" s="2"/>
      <c r="N29" s="7">
        <f t="shared" si="15"/>
        <v>-0.26594191268950285</v>
      </c>
      <c r="O29" s="11"/>
      <c r="P29" s="6">
        <v>2819.86</v>
      </c>
      <c r="Q29" s="2"/>
      <c r="R29" s="7">
        <f t="shared" si="16"/>
        <v>9.4663789057927369E-3</v>
      </c>
      <c r="S29" s="2"/>
      <c r="T29" s="6">
        <v>3274.2067142999999</v>
      </c>
      <c r="U29" s="2"/>
      <c r="V29" s="7">
        <f t="shared" si="17"/>
        <v>1.1156528113766231E-2</v>
      </c>
      <c r="W29" s="2"/>
      <c r="X29" s="6">
        <f t="shared" si="18"/>
        <v>-454.3467142999998</v>
      </c>
      <c r="Y29" s="2"/>
      <c r="Z29" s="7">
        <f t="shared" si="19"/>
        <v>-0.13876543356766513</v>
      </c>
    </row>
    <row r="30" spans="1:26" s="24" customFormat="1" hidden="1" outlineLevel="2" x14ac:dyDescent="0.25">
      <c r="A30" s="25"/>
      <c r="B30" s="11" t="str">
        <f>CONCATENATE("          ", "6112", " - ", "COMPENSATION INSURANCE")</f>
        <v xml:space="preserve">          6112 - COMPENSATION INSURANCE</v>
      </c>
      <c r="C30" s="11"/>
      <c r="D30" s="6">
        <v>212.9</v>
      </c>
      <c r="E30" s="2"/>
      <c r="F30" s="7">
        <f t="shared" si="12"/>
        <v>3.6271840835959451E-3</v>
      </c>
      <c r="G30" s="2"/>
      <c r="H30" s="6">
        <v>244.34038000000001</v>
      </c>
      <c r="I30" s="2"/>
      <c r="J30" s="7">
        <f t="shared" si="13"/>
        <v>4.7559245562130183E-3</v>
      </c>
      <c r="K30" s="2"/>
      <c r="L30" s="6">
        <f t="shared" si="14"/>
        <v>-31.440380000000005</v>
      </c>
      <c r="M30" s="2"/>
      <c r="N30" s="7">
        <f t="shared" si="15"/>
        <v>-0.1286745154443977</v>
      </c>
      <c r="O30" s="11"/>
      <c r="P30" s="6">
        <v>784.19</v>
      </c>
      <c r="Q30" s="2"/>
      <c r="R30" s="7">
        <f t="shared" si="16"/>
        <v>2.6325561106344307E-3</v>
      </c>
      <c r="S30" s="2"/>
      <c r="T30" s="6">
        <v>1275.8796400000001</v>
      </c>
      <c r="U30" s="2"/>
      <c r="V30" s="7">
        <f t="shared" si="17"/>
        <v>4.347430787211351E-3</v>
      </c>
      <c r="W30" s="2"/>
      <c r="X30" s="6">
        <f t="shared" si="18"/>
        <v>-491.68964000000005</v>
      </c>
      <c r="Y30" s="2"/>
      <c r="Z30" s="7">
        <f t="shared" si="19"/>
        <v>-0.38537305917037756</v>
      </c>
    </row>
    <row r="31" spans="1:26" s="24" customFormat="1" hidden="1" outlineLevel="2" x14ac:dyDescent="0.25">
      <c r="A31" s="25"/>
      <c r="B31" s="11" t="str">
        <f>CONCATENATE("          ", "6113", " - ", "GROUP INSURANCE")</f>
        <v xml:space="preserve">          6113 - GROUP INSURANCE</v>
      </c>
      <c r="C31" s="11"/>
      <c r="D31" s="6">
        <v>2019.97</v>
      </c>
      <c r="E31" s="2"/>
      <c r="F31" s="7">
        <f t="shared" si="12"/>
        <v>3.4414293251955386E-2</v>
      </c>
      <c r="G31" s="2"/>
      <c r="H31" s="6">
        <v>1977</v>
      </c>
      <c r="I31" s="2"/>
      <c r="J31" s="7">
        <f t="shared" si="13"/>
        <v>3.848100280286515E-2</v>
      </c>
      <c r="K31" s="2"/>
      <c r="L31" s="6">
        <f t="shared" si="14"/>
        <v>42.970000000000027</v>
      </c>
      <c r="M31" s="2"/>
      <c r="N31" s="7">
        <f t="shared" si="15"/>
        <v>2.1734951947395057E-2</v>
      </c>
      <c r="O31" s="11"/>
      <c r="P31" s="6">
        <v>10099.85</v>
      </c>
      <c r="Q31" s="2"/>
      <c r="R31" s="7">
        <f t="shared" si="16"/>
        <v>3.3905586444600358E-2</v>
      </c>
      <c r="S31" s="2"/>
      <c r="T31" s="6">
        <v>9885</v>
      </c>
      <c r="U31" s="2"/>
      <c r="V31" s="7">
        <f t="shared" si="17"/>
        <v>3.3682137393135456E-2</v>
      </c>
      <c r="W31" s="2"/>
      <c r="X31" s="6">
        <f t="shared" si="18"/>
        <v>214.85000000000036</v>
      </c>
      <c r="Y31" s="2"/>
      <c r="Z31" s="7">
        <f t="shared" si="19"/>
        <v>2.1734951947395081E-2</v>
      </c>
    </row>
    <row r="32" spans="1:26" s="24" customFormat="1" hidden="1" outlineLevel="2" x14ac:dyDescent="0.25">
      <c r="A32" s="25"/>
      <c r="B32" s="11" t="str">
        <f>CONCATENATE("          ", "6114", " - ", "STATE UNEMPLOYMENT INSURANCE")</f>
        <v xml:space="preserve">          6114 - STATE UNEMPLOYMENT INSURANCE</v>
      </c>
      <c r="C32" s="11"/>
      <c r="D32" s="6">
        <v>29.13</v>
      </c>
      <c r="E32" s="2"/>
      <c r="F32" s="7">
        <f t="shared" si="12"/>
        <v>4.9628873816416098E-4</v>
      </c>
      <c r="G32" s="2"/>
      <c r="H32" s="6">
        <v>33.436051999999997</v>
      </c>
      <c r="I32" s="2"/>
      <c r="J32" s="7">
        <f t="shared" si="13"/>
        <v>6.5081072874493922E-4</v>
      </c>
      <c r="K32" s="2"/>
      <c r="L32" s="6">
        <f t="shared" si="14"/>
        <v>-4.3060519999999975</v>
      </c>
      <c r="M32" s="2"/>
      <c r="N32" s="7">
        <f t="shared" si="15"/>
        <v>-0.1287847022130483</v>
      </c>
      <c r="O32" s="11"/>
      <c r="P32" s="6">
        <v>140.19999999999999</v>
      </c>
      <c r="Q32" s="2"/>
      <c r="R32" s="7">
        <f t="shared" si="16"/>
        <v>4.7065681366881387E-4</v>
      </c>
      <c r="S32" s="2"/>
      <c r="T32" s="6">
        <v>174.59405599999999</v>
      </c>
      <c r="U32" s="2"/>
      <c r="V32" s="7">
        <f t="shared" si="17"/>
        <v>5.9491158140786906E-4</v>
      </c>
      <c r="W32" s="2"/>
      <c r="X32" s="6">
        <f t="shared" si="18"/>
        <v>-34.394056000000006</v>
      </c>
      <c r="Y32" s="2"/>
      <c r="Z32" s="7">
        <f t="shared" si="19"/>
        <v>-0.19699442688930949</v>
      </c>
    </row>
    <row r="33" spans="1:26" s="24" customFormat="1" hidden="1" outlineLevel="2" x14ac:dyDescent="0.25">
      <c r="A33" s="25"/>
      <c r="B33" s="11" t="str">
        <f>CONCATENATE("          ", "6115", " - ", "P.E.R.S.")</f>
        <v xml:space="preserve">          6115 - P.E.R.S.</v>
      </c>
      <c r="C33" s="11"/>
      <c r="D33" s="6">
        <v>568.97</v>
      </c>
      <c r="E33" s="2"/>
      <c r="F33" s="7">
        <f t="shared" si="12"/>
        <v>9.693560018992884E-3</v>
      </c>
      <c r="G33" s="2"/>
      <c r="H33" s="6">
        <v>478.68632000000002</v>
      </c>
      <c r="I33" s="2"/>
      <c r="J33" s="7">
        <f t="shared" si="13"/>
        <v>9.3173139208969167E-3</v>
      </c>
      <c r="K33" s="2"/>
      <c r="L33" s="6">
        <f t="shared" si="14"/>
        <v>90.283680000000004</v>
      </c>
      <c r="M33" s="2"/>
      <c r="N33" s="7">
        <f t="shared" si="15"/>
        <v>0.18860718643474081</v>
      </c>
      <c r="O33" s="11"/>
      <c r="P33" s="6">
        <v>3362.61</v>
      </c>
      <c r="Q33" s="2"/>
      <c r="R33" s="7">
        <f t="shared" si="16"/>
        <v>1.1288411613487093E-2</v>
      </c>
      <c r="S33" s="2"/>
      <c r="T33" s="6">
        <v>2632.7747599999998</v>
      </c>
      <c r="U33" s="2"/>
      <c r="V33" s="7">
        <f t="shared" si="17"/>
        <v>8.9709136258471645E-3</v>
      </c>
      <c r="W33" s="2"/>
      <c r="X33" s="6">
        <f t="shared" si="18"/>
        <v>729.83524000000034</v>
      </c>
      <c r="Y33" s="2"/>
      <c r="Z33" s="7">
        <f t="shared" si="19"/>
        <v>0.27721142388952424</v>
      </c>
    </row>
    <row r="34" spans="1:26" s="24" customFormat="1" hidden="1" outlineLevel="2" x14ac:dyDescent="0.25">
      <c r="A34" s="25"/>
      <c r="B34" s="11" t="str">
        <f>CONCATENATE("          ", "6116", " - ", "EDUCATIONAL BENEFITS")</f>
        <v xml:space="preserve">          6116 - EDUCATIONAL BENEFITS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5"/>
      <c r="B35" s="11" t="str">
        <f>CONCATENATE("          ", "6118", " - ", "VACATION")</f>
        <v xml:space="preserve">          6118 - VACATION</v>
      </c>
      <c r="C35" s="11"/>
      <c r="D35" s="6">
        <v>407.06</v>
      </c>
      <c r="E35" s="2"/>
      <c r="F35" s="7">
        <f t="shared" si="12"/>
        <v>6.9350941900825054E-3</v>
      </c>
      <c r="G35" s="2"/>
      <c r="H35" s="6">
        <v>218.8956</v>
      </c>
      <c r="I35" s="2"/>
      <c r="J35" s="7">
        <f t="shared" si="13"/>
        <v>4.2606586733104955E-3</v>
      </c>
      <c r="K35" s="2"/>
      <c r="L35" s="6">
        <f t="shared" si="14"/>
        <v>188.1644</v>
      </c>
      <c r="M35" s="2"/>
      <c r="N35" s="7">
        <f t="shared" si="15"/>
        <v>0.85960795922805211</v>
      </c>
      <c r="O35" s="11"/>
      <c r="P35" s="6">
        <v>2547.7199999999998</v>
      </c>
      <c r="Q35" s="2"/>
      <c r="R35" s="7">
        <f t="shared" si="16"/>
        <v>8.552794417405923E-3</v>
      </c>
      <c r="S35" s="2"/>
      <c r="T35" s="6">
        <v>1197.4367999999999</v>
      </c>
      <c r="U35" s="2"/>
      <c r="V35" s="7">
        <f t="shared" si="17"/>
        <v>4.0801447463021199E-3</v>
      </c>
      <c r="W35" s="2"/>
      <c r="X35" s="6">
        <f t="shared" si="18"/>
        <v>1350.2831999999999</v>
      </c>
      <c r="Y35" s="2"/>
      <c r="Z35" s="7">
        <f t="shared" si="19"/>
        <v>1.1276446489702003</v>
      </c>
    </row>
    <row r="36" spans="1:26" s="24" customFormat="1" hidden="1" outlineLevel="2" x14ac:dyDescent="0.25">
      <c r="A36" s="25"/>
      <c r="B36" s="11" t="str">
        <f>CONCATENATE("          ", "6119", " - ", "SICK LEAVE")</f>
        <v xml:space="preserve">          6119 - SICK LEAVE</v>
      </c>
      <c r="C36" s="11"/>
      <c r="D36" s="6">
        <v>256.76</v>
      </c>
      <c r="E36" s="2"/>
      <c r="F36" s="7">
        <f t="shared" si="12"/>
        <v>4.3744283010995529E-3</v>
      </c>
      <c r="G36" s="2"/>
      <c r="H36" s="6">
        <v>278.22739999999999</v>
      </c>
      <c r="I36" s="2"/>
      <c r="J36" s="7">
        <f t="shared" si="13"/>
        <v>5.4155130800373711E-3</v>
      </c>
      <c r="K36" s="2"/>
      <c r="L36" s="6">
        <f t="shared" si="14"/>
        <v>-21.467399999999998</v>
      </c>
      <c r="M36" s="2"/>
      <c r="N36" s="7">
        <f t="shared" si="15"/>
        <v>-7.7157749380542678E-2</v>
      </c>
      <c r="O36" s="11"/>
      <c r="P36" s="6">
        <v>1816.6</v>
      </c>
      <c r="Q36" s="2"/>
      <c r="R36" s="7">
        <f t="shared" si="16"/>
        <v>6.0983963460111788E-3</v>
      </c>
      <c r="S36" s="2"/>
      <c r="T36" s="6">
        <v>1429.3832</v>
      </c>
      <c r="U36" s="2"/>
      <c r="V36" s="7">
        <f t="shared" si="17"/>
        <v>4.8704786373130618E-3</v>
      </c>
      <c r="W36" s="2"/>
      <c r="X36" s="6">
        <f t="shared" si="18"/>
        <v>387.21679999999992</v>
      </c>
      <c r="Y36" s="2"/>
      <c r="Z36" s="7">
        <f t="shared" si="19"/>
        <v>0.27089782501991061</v>
      </c>
    </row>
    <row r="37" spans="1:26" s="24" customFormat="1" hidden="1" outlineLevel="2" x14ac:dyDescent="0.25">
      <c r="A37" s="25"/>
      <c r="B37" s="11" t="str">
        <f>CONCATENATE("          ", "6156", " - ", "EMPLOYEE MEALS")</f>
        <v xml:space="preserve">          6156 - EMPLOYEE MEALS</v>
      </c>
      <c r="C37" s="11"/>
      <c r="D37" s="6">
        <v>170.04</v>
      </c>
      <c r="E37" s="2"/>
      <c r="F37" s="7">
        <f t="shared" si="12"/>
        <v>2.8969768979551641E-3</v>
      </c>
      <c r="G37" s="2"/>
      <c r="H37" s="6"/>
      <c r="I37" s="2"/>
      <c r="J37" s="7">
        <f t="shared" si="13"/>
        <v>0</v>
      </c>
      <c r="K37" s="2"/>
      <c r="L37" s="6">
        <f t="shared" si="14"/>
        <v>170.04</v>
      </c>
      <c r="M37" s="2"/>
      <c r="N37" s="7">
        <f t="shared" si="15"/>
        <v>0</v>
      </c>
      <c r="O37" s="11"/>
      <c r="P37" s="6">
        <v>812.43</v>
      </c>
      <c r="Q37" s="2"/>
      <c r="R37" s="7">
        <f t="shared" si="16"/>
        <v>2.7273588810909732E-3</v>
      </c>
      <c r="S37" s="2"/>
      <c r="T37" s="6"/>
      <c r="U37" s="2"/>
      <c r="V37" s="7">
        <f t="shared" si="17"/>
        <v>0</v>
      </c>
      <c r="W37" s="2"/>
      <c r="X37" s="6">
        <f t="shared" si="18"/>
        <v>812.43</v>
      </c>
      <c r="Y37" s="2"/>
      <c r="Z37" s="7">
        <f t="shared" si="19"/>
        <v>0</v>
      </c>
    </row>
    <row r="38" spans="1:26" s="26" customFormat="1" outlineLevel="1" collapsed="1" x14ac:dyDescent="0.25">
      <c r="A38" s="27"/>
      <c r="B38" s="13" t="str">
        <f>CONCATENATE("     ","*Payroll                                          ")</f>
        <v xml:space="preserve">     *Payroll                                          </v>
      </c>
      <c r="C38" s="13"/>
      <c r="D38" s="1">
        <f>SUM(OSRRefD22_1x_0)</f>
        <v>10697.92</v>
      </c>
      <c r="E38" s="1"/>
      <c r="F38" s="5">
        <f t="shared" ref="F38:F48" si="20">IF(D$12=0,0,D38/D$12)</f>
        <v>0.18226080390597807</v>
      </c>
      <c r="G38" s="1"/>
      <c r="H38" s="1">
        <f>SUM(OSRRefH22_1x_0)</f>
        <v>12581.714</v>
      </c>
      <c r="I38" s="1"/>
      <c r="J38" s="5">
        <f t="shared" ref="J38:J48" si="21">IF(H$12=0,0,H38/H$12)</f>
        <v>0.24489477577078791</v>
      </c>
      <c r="K38" s="1"/>
      <c r="L38" s="1">
        <f t="shared" ref="L38:L48" si="22">+D38-H38</f>
        <v>-1883.7939999999999</v>
      </c>
      <c r="M38" s="1"/>
      <c r="N38" s="5">
        <f t="shared" ref="N38:N48" si="23">IF(H38=0,0,L38/H38)</f>
        <v>-0.14972475133356233</v>
      </c>
      <c r="O38" s="13"/>
      <c r="P38" s="1">
        <f>SUM(OSRRefP22_1x_0)</f>
        <v>57521.08</v>
      </c>
      <c r="Q38" s="1"/>
      <c r="R38" s="5">
        <f t="shared" ref="R38:R48" si="24">IF(P$12=0,0,P38/P$12)</f>
        <v>0.19310048667324492</v>
      </c>
      <c r="S38" s="1"/>
      <c r="T38" s="1">
        <f>SUM(OSRRefT22_1x_0)</f>
        <v>65620.877000000008</v>
      </c>
      <c r="U38" s="1"/>
      <c r="V38" s="5">
        <f t="shared" ref="V38:V48" si="25">IF(T$12=0,0,T38/T$12)</f>
        <v>0.22359649923844638</v>
      </c>
      <c r="W38" s="1"/>
      <c r="X38" s="1">
        <f t="shared" ref="X38:X48" si="26">+P38-T38</f>
        <v>-8099.7970000000059</v>
      </c>
      <c r="Y38" s="1"/>
      <c r="Z38" s="5">
        <f t="shared" ref="Z38:Z48" si="27">IF(T38=0,0,X38/T38)</f>
        <v>-0.12343323299382307</v>
      </c>
    </row>
    <row r="39" spans="1:26" s="24" customFormat="1" hidden="1" outlineLevel="2" x14ac:dyDescent="0.25">
      <c r="A39" s="25"/>
      <c r="B39" s="11" t="str">
        <f>CONCATENATE("          ", "6001", " - ", "ADMINISTRATIVE SALARIES")</f>
        <v xml:space="preserve">          6001 - ADMINISTRATIVE SALARIES</v>
      </c>
      <c r="C39" s="11"/>
      <c r="D39" s="6"/>
      <c r="E39" s="2"/>
      <c r="F39" s="7">
        <f t="shared" si="20"/>
        <v>0</v>
      </c>
      <c r="G39" s="2"/>
      <c r="H39" s="6">
        <v>5287.8140000000003</v>
      </c>
      <c r="I39" s="2"/>
      <c r="J39" s="7">
        <f t="shared" si="21"/>
        <v>0.10292381656804735</v>
      </c>
      <c r="K39" s="2"/>
      <c r="L39" s="6">
        <f t="shared" si="22"/>
        <v>-5287.8140000000003</v>
      </c>
      <c r="M39" s="2"/>
      <c r="N39" s="7">
        <f t="shared" si="23"/>
        <v>-1</v>
      </c>
      <c r="O39" s="11"/>
      <c r="P39" s="6"/>
      <c r="Q39" s="2"/>
      <c r="R39" s="7">
        <f t="shared" si="24"/>
        <v>0</v>
      </c>
      <c r="S39" s="2"/>
      <c r="T39" s="6">
        <v>29082.976999999999</v>
      </c>
      <c r="U39" s="2"/>
      <c r="V39" s="7">
        <f t="shared" si="25"/>
        <v>9.9097301680869831E-2</v>
      </c>
      <c r="W39" s="2"/>
      <c r="X39" s="6">
        <f t="shared" si="26"/>
        <v>-29082.976999999999</v>
      </c>
      <c r="Y39" s="2"/>
      <c r="Z39" s="7">
        <f t="shared" si="27"/>
        <v>-1</v>
      </c>
    </row>
    <row r="40" spans="1:26" s="24" customFormat="1" hidden="1" outlineLevel="2" x14ac:dyDescent="0.25">
      <c r="A40" s="25"/>
      <c r="B40" s="11" t="str">
        <f>CONCATENATE("          ", "6002", " - ", "STAFF SALARIES")</f>
        <v xml:space="preserve">          6002 - STAFF SALARIES</v>
      </c>
      <c r="C40" s="11"/>
      <c r="D40" s="6">
        <v>5044.79</v>
      </c>
      <c r="E40" s="2"/>
      <c r="F40" s="7">
        <f t="shared" si="20"/>
        <v>8.5948247971272845E-2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5044.79</v>
      </c>
      <c r="M40" s="2"/>
      <c r="N40" s="7">
        <f t="shared" si="23"/>
        <v>0</v>
      </c>
      <c r="O40" s="11"/>
      <c r="P40" s="6">
        <v>28807.47</v>
      </c>
      <c r="Q40" s="2"/>
      <c r="R40" s="7">
        <f t="shared" si="24"/>
        <v>9.6707789158772803E-2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28807.47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"6003", " - ", "STAFF HOURLY-9 MONTH")</f>
        <v xml:space="preserve">          6003 - STAFF HOURLY-9 MONTH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"6004", " - ", "STAFF HOURLY")</f>
        <v xml:space="preserve">          6004 - STAFF HOURLY</v>
      </c>
      <c r="C42" s="11"/>
      <c r="D42" s="6"/>
      <c r="E42" s="2"/>
      <c r="F42" s="7">
        <f t="shared" si="20"/>
        <v>0</v>
      </c>
      <c r="G42" s="2"/>
      <c r="H42" s="6">
        <v>1730.4</v>
      </c>
      <c r="I42" s="2"/>
      <c r="J42" s="7">
        <f t="shared" si="21"/>
        <v>3.3681096231703518E-2</v>
      </c>
      <c r="K42" s="2"/>
      <c r="L42" s="6">
        <f t="shared" si="22"/>
        <v>-1730.4</v>
      </c>
      <c r="M42" s="2"/>
      <c r="N42" s="7">
        <f t="shared" si="23"/>
        <v>-1</v>
      </c>
      <c r="O42" s="11"/>
      <c r="P42" s="6"/>
      <c r="Q42" s="2"/>
      <c r="R42" s="7">
        <f t="shared" si="24"/>
        <v>0</v>
      </c>
      <c r="S42" s="2"/>
      <c r="T42" s="6">
        <v>9300.9</v>
      </c>
      <c r="U42" s="2"/>
      <c r="V42" s="7">
        <f t="shared" si="25"/>
        <v>3.1691875738979622E-2</v>
      </c>
      <c r="W42" s="2"/>
      <c r="X42" s="6">
        <f t="shared" si="26"/>
        <v>-9300.9</v>
      </c>
      <c r="Y42" s="2"/>
      <c r="Z42" s="7">
        <f t="shared" si="27"/>
        <v>-1</v>
      </c>
    </row>
    <row r="43" spans="1:26" s="24" customFormat="1" hidden="1" outlineLevel="2" x14ac:dyDescent="0.25">
      <c r="A43" s="25"/>
      <c r="B43" s="11" t="str">
        <f>CONCATENATE("          ", "6005", " - ", "TEMPORARY WAGES-HOURLY")</f>
        <v xml:space="preserve">          6005 - TEMPORARY WAGES-HOURLY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769.68</v>
      </c>
      <c r="Q43" s="2"/>
      <c r="R43" s="7">
        <f t="shared" si="24"/>
        <v>2.5838454803467381E-3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769.68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"6006", " - ", "TEMPORARY PART TIME")</f>
        <v xml:space="preserve">          6006 - TEMPORARY PART TIME</v>
      </c>
      <c r="C44" s="11"/>
      <c r="D44" s="6">
        <v>624</v>
      </c>
      <c r="E44" s="2"/>
      <c r="F44" s="7">
        <f t="shared" si="20"/>
        <v>1.0631107882404274E-2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624</v>
      </c>
      <c r="M44" s="2"/>
      <c r="N44" s="7">
        <f t="shared" si="23"/>
        <v>0</v>
      </c>
      <c r="O44" s="11"/>
      <c r="P44" s="6">
        <v>2613.19</v>
      </c>
      <c r="Q44" s="2"/>
      <c r="R44" s="7">
        <f t="shared" si="24"/>
        <v>8.7725797354579731E-3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2613.19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"6007", " - ", "STUDENT HOURLY")</f>
        <v xml:space="preserve">          6007 - STUDENT HOURLY</v>
      </c>
      <c r="C45" s="11"/>
      <c r="D45" s="6">
        <v>4975.13</v>
      </c>
      <c r="E45" s="2"/>
      <c r="F45" s="7">
        <f t="shared" si="20"/>
        <v>8.4761448331708289E-2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4975.13</v>
      </c>
      <c r="M45" s="2"/>
      <c r="N45" s="7">
        <f t="shared" si="23"/>
        <v>0</v>
      </c>
      <c r="O45" s="11"/>
      <c r="P45" s="6">
        <v>21775.26</v>
      </c>
      <c r="Q45" s="2"/>
      <c r="R45" s="7">
        <f t="shared" si="24"/>
        <v>7.3100388647717368E-2</v>
      </c>
      <c r="S45" s="2"/>
      <c r="T45" s="6">
        <v>2868.75</v>
      </c>
      <c r="U45" s="2"/>
      <c r="V45" s="7">
        <f t="shared" si="25"/>
        <v>9.7749753815434843E-3</v>
      </c>
      <c r="W45" s="2"/>
      <c r="X45" s="6">
        <f t="shared" si="26"/>
        <v>18906.509999999998</v>
      </c>
      <c r="Y45" s="2"/>
      <c r="Z45" s="7">
        <f t="shared" si="27"/>
        <v>6.5905045751633979</v>
      </c>
    </row>
    <row r="46" spans="1:26" s="24" customFormat="1" hidden="1" outlineLevel="2" x14ac:dyDescent="0.25">
      <c r="A46" s="25"/>
      <c r="B46" s="11" t="str">
        <f>CONCATENATE("          ", "6008", " - ", "STUDENT HOURLY-FICA EXEMPT")</f>
        <v xml:space="preserve">          6008 - STUDENT HOURLY-FICA EXEMPT</v>
      </c>
      <c r="C46" s="11"/>
      <c r="D46" s="6">
        <v>54</v>
      </c>
      <c r="E46" s="2"/>
      <c r="F46" s="7">
        <f t="shared" si="20"/>
        <v>9.1999972059267745E-4</v>
      </c>
      <c r="G46" s="2"/>
      <c r="H46" s="6">
        <v>5563.5</v>
      </c>
      <c r="I46" s="2"/>
      <c r="J46" s="7">
        <f t="shared" si="21"/>
        <v>0.10828986297103706</v>
      </c>
      <c r="K46" s="2"/>
      <c r="L46" s="6">
        <f t="shared" si="22"/>
        <v>-5509.5</v>
      </c>
      <c r="M46" s="2"/>
      <c r="N46" s="7">
        <f t="shared" si="23"/>
        <v>-0.99029387975195471</v>
      </c>
      <c r="O46" s="11"/>
      <c r="P46" s="6">
        <v>3555.48</v>
      </c>
      <c r="Q46" s="2"/>
      <c r="R46" s="7">
        <f t="shared" si="24"/>
        <v>1.1935883650950031E-2</v>
      </c>
      <c r="S46" s="2"/>
      <c r="T46" s="6">
        <v>24368.25</v>
      </c>
      <c r="U46" s="2"/>
      <c r="V46" s="7">
        <f t="shared" si="25"/>
        <v>8.3032346437053414E-2</v>
      </c>
      <c r="W46" s="2"/>
      <c r="X46" s="6">
        <f t="shared" si="26"/>
        <v>-20812.77</v>
      </c>
      <c r="Y46" s="2"/>
      <c r="Z46" s="7">
        <f t="shared" si="27"/>
        <v>-0.85409374903819524</v>
      </c>
    </row>
    <row r="47" spans="1:26" s="24" customFormat="1" hidden="1" outlineLevel="2" x14ac:dyDescent="0.25">
      <c r="A47" s="25"/>
      <c r="B47" s="11" t="str">
        <f>CONCATENATE("          ", "6009", " - ", "TEMPORARY-SEASONAL")</f>
        <v xml:space="preserve">          6009 - TEMPORARY-SEASONAL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4" customFormat="1" hidden="1" outlineLevel="2" x14ac:dyDescent="0.25">
      <c r="A48" s="25"/>
      <c r="B48" s="11" t="str">
        <f>CONCATENATE("          ", "6010", " - ", "GRATUITY")</f>
        <v xml:space="preserve">          6010 - GRATUITY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6" customFormat="1" outlineLevel="1" collapsed="1" x14ac:dyDescent="0.25">
      <c r="A49" s="27"/>
      <c r="B49" s="13" t="str">
        <f>CONCATENATE("     ","Advertising/Promo                                 ")</f>
        <v xml:space="preserve">     Advertising/Promo                                 </v>
      </c>
      <c r="C49" s="13"/>
      <c r="D49" s="1">
        <f>SUM(OSRRefD22_2x_0)</f>
        <v>360</v>
      </c>
      <c r="E49" s="1"/>
      <c r="F49" s="5">
        <f t="shared" ref="F49:F68" si="28">IF(D$12=0,0,D49/D$12)</f>
        <v>6.1333314706178499E-3</v>
      </c>
      <c r="G49" s="1"/>
      <c r="H49" s="1">
        <f>SUM(OSRRefH22_2x_0)</f>
        <v>0</v>
      </c>
      <c r="I49" s="1"/>
      <c r="J49" s="5">
        <f t="shared" ref="J49:J68" si="29">IF(H$12=0,0,H49/H$12)</f>
        <v>0</v>
      </c>
      <c r="K49" s="1"/>
      <c r="L49" s="1">
        <f t="shared" ref="L49:L68" si="30">+D49-H49</f>
        <v>360</v>
      </c>
      <c r="M49" s="1"/>
      <c r="N49" s="5">
        <f t="shared" ref="N49:N68" si="31">IF(H49=0,0,L49/H49)</f>
        <v>0</v>
      </c>
      <c r="O49" s="13"/>
      <c r="P49" s="1">
        <f>SUM(OSRRefP22_2x_0)</f>
        <v>620.20000000000005</v>
      </c>
      <c r="Q49" s="1"/>
      <c r="R49" s="5">
        <f t="shared" ref="R49:R68" si="32">IF(P$12=0,0,P49/P$12)</f>
        <v>2.0820353483409302E-3</v>
      </c>
      <c r="S49" s="1"/>
      <c r="T49" s="1">
        <f>SUM(OSRRefT22_2x_0)</f>
        <v>0</v>
      </c>
      <c r="U49" s="1"/>
      <c r="V49" s="5">
        <f t="shared" ref="V49:V68" si="33">IF(T$12=0,0,T49/T$12)</f>
        <v>0</v>
      </c>
      <c r="W49" s="1"/>
      <c r="X49" s="1">
        <f t="shared" ref="X49:X68" si="34">+P49-T49</f>
        <v>620.20000000000005</v>
      </c>
      <c r="Y49" s="1"/>
      <c r="Z49" s="5">
        <f t="shared" ref="Z49:Z68" si="35">IF(T49=0,0,X49/T49)</f>
        <v>0</v>
      </c>
    </row>
    <row r="50" spans="1:26" s="24" customFormat="1" hidden="1" outlineLevel="2" x14ac:dyDescent="0.25">
      <c r="A50" s="25"/>
      <c r="B50" s="11" t="str">
        <f>CONCATENATE("          ", "6362", " - ", "ADVERTISING EXPENSE")</f>
        <v xml:space="preserve">          6362 - ADVERTISING EXPENSE</v>
      </c>
      <c r="C50" s="11"/>
      <c r="D50" s="6">
        <v>360</v>
      </c>
      <c r="E50" s="2"/>
      <c r="F50" s="7">
        <f t="shared" si="28"/>
        <v>6.1333314706178499E-3</v>
      </c>
      <c r="G50" s="2"/>
      <c r="H50" s="6">
        <v>0</v>
      </c>
      <c r="I50" s="2"/>
      <c r="J50" s="7">
        <f t="shared" si="29"/>
        <v>0</v>
      </c>
      <c r="K50" s="2"/>
      <c r="L50" s="6">
        <f t="shared" si="30"/>
        <v>360</v>
      </c>
      <c r="M50" s="2"/>
      <c r="N50" s="7">
        <f t="shared" si="31"/>
        <v>0</v>
      </c>
      <c r="O50" s="11"/>
      <c r="P50" s="6">
        <v>620.20000000000005</v>
      </c>
      <c r="Q50" s="2"/>
      <c r="R50" s="7">
        <f t="shared" si="32"/>
        <v>2.0820353483409302E-3</v>
      </c>
      <c r="S50" s="2"/>
      <c r="T50" s="6">
        <v>0</v>
      </c>
      <c r="U50" s="2"/>
      <c r="V50" s="7">
        <f t="shared" si="33"/>
        <v>0</v>
      </c>
      <c r="W50" s="2"/>
      <c r="X50" s="6">
        <f t="shared" si="34"/>
        <v>620.20000000000005</v>
      </c>
      <c r="Y50" s="2"/>
      <c r="Z50" s="7">
        <f t="shared" si="35"/>
        <v>0</v>
      </c>
    </row>
    <row r="51" spans="1:26" s="26" customFormat="1" outlineLevel="1" collapsed="1" x14ac:dyDescent="0.25">
      <c r="A51" s="27"/>
      <c r="B51" s="13" t="str">
        <f>CONCATENATE("     ","Bad Debts/Over/Short                              ")</f>
        <v xml:space="preserve">     Bad Debts/Over/Short                              </v>
      </c>
      <c r="C51" s="13"/>
      <c r="D51" s="1">
        <f>SUM(OSRRefD22_3x_0)</f>
        <v>-22.66</v>
      </c>
      <c r="E51" s="1"/>
      <c r="F51" s="5">
        <f t="shared" si="28"/>
        <v>-3.8605914201166801E-4</v>
      </c>
      <c r="G51" s="1"/>
      <c r="H51" s="1">
        <f>SUM(OSRRefH22_3x_0)</f>
        <v>0</v>
      </c>
      <c r="I51" s="1"/>
      <c r="J51" s="5">
        <f t="shared" si="29"/>
        <v>0</v>
      </c>
      <c r="K51" s="1"/>
      <c r="L51" s="1">
        <f t="shared" si="30"/>
        <v>-22.66</v>
      </c>
      <c r="M51" s="1"/>
      <c r="N51" s="5">
        <f t="shared" si="31"/>
        <v>0</v>
      </c>
      <c r="O51" s="13"/>
      <c r="P51" s="1">
        <f>SUM(OSRRefP22_3x_0)</f>
        <v>-113.47</v>
      </c>
      <c r="Q51" s="1"/>
      <c r="R51" s="5">
        <f t="shared" si="32"/>
        <v>-3.8092317151926041E-4</v>
      </c>
      <c r="S51" s="1"/>
      <c r="T51" s="1">
        <f>SUM(OSRRefT22_3x_0)</f>
        <v>0</v>
      </c>
      <c r="U51" s="1"/>
      <c r="V51" s="5">
        <f t="shared" si="33"/>
        <v>0</v>
      </c>
      <c r="W51" s="1"/>
      <c r="X51" s="1">
        <f t="shared" si="34"/>
        <v>-113.47</v>
      </c>
      <c r="Y51" s="1"/>
      <c r="Z51" s="5">
        <f t="shared" si="35"/>
        <v>0</v>
      </c>
    </row>
    <row r="52" spans="1:26" s="24" customFormat="1" hidden="1" outlineLevel="2" x14ac:dyDescent="0.25">
      <c r="A52" s="25"/>
      <c r="B52" s="11" t="str">
        <f>CONCATENATE("          ", "6272", " - ", "CASH (OVER/SHORT)")</f>
        <v xml:space="preserve">          6272 - CASH (OVER/SHORT)</v>
      </c>
      <c r="C52" s="11"/>
      <c r="D52" s="6">
        <v>-22.66</v>
      </c>
      <c r="E52" s="2"/>
      <c r="F52" s="7">
        <f t="shared" si="28"/>
        <v>-3.8605914201166801E-4</v>
      </c>
      <c r="G52" s="2"/>
      <c r="H52" s="6">
        <v>0</v>
      </c>
      <c r="I52" s="2"/>
      <c r="J52" s="7">
        <f t="shared" si="29"/>
        <v>0</v>
      </c>
      <c r="K52" s="2"/>
      <c r="L52" s="6">
        <f t="shared" si="30"/>
        <v>-22.66</v>
      </c>
      <c r="M52" s="2"/>
      <c r="N52" s="7">
        <f t="shared" si="31"/>
        <v>0</v>
      </c>
      <c r="O52" s="11"/>
      <c r="P52" s="6">
        <v>-113.47</v>
      </c>
      <c r="Q52" s="2"/>
      <c r="R52" s="7">
        <f t="shared" si="32"/>
        <v>-3.8092317151926041E-4</v>
      </c>
      <c r="S52" s="2"/>
      <c r="T52" s="6">
        <v>0</v>
      </c>
      <c r="U52" s="2"/>
      <c r="V52" s="7">
        <f t="shared" si="33"/>
        <v>0</v>
      </c>
      <c r="W52" s="2"/>
      <c r="X52" s="6">
        <f t="shared" si="34"/>
        <v>-113.47</v>
      </c>
      <c r="Y52" s="2"/>
      <c r="Z52" s="7">
        <f t="shared" si="35"/>
        <v>0</v>
      </c>
    </row>
    <row r="53" spans="1:26" s="26" customFormat="1" outlineLevel="1" collapsed="1" x14ac:dyDescent="0.25">
      <c r="A53" s="27"/>
      <c r="B53" s="13" t="str">
        <f>CONCATENATE("     ","Bank/card Fees                                    ")</f>
        <v xml:space="preserve">     Bank/card Fees                                    </v>
      </c>
      <c r="C53" s="13"/>
      <c r="D53" s="1">
        <f>SUM(OSRRefD22_4x_0)</f>
        <v>2258.17</v>
      </c>
      <c r="E53" s="1"/>
      <c r="F53" s="5">
        <f t="shared" si="28"/>
        <v>3.8472514241680862E-2</v>
      </c>
      <c r="G53" s="1"/>
      <c r="H53" s="1">
        <f>SUM(OSRRefH22_4x_0)</f>
        <v>1628</v>
      </c>
      <c r="I53" s="1"/>
      <c r="J53" s="5">
        <f t="shared" si="29"/>
        <v>3.1687947679850517E-2</v>
      </c>
      <c r="K53" s="1"/>
      <c r="L53" s="1">
        <f t="shared" si="30"/>
        <v>630.17000000000007</v>
      </c>
      <c r="M53" s="1"/>
      <c r="N53" s="5">
        <f t="shared" si="31"/>
        <v>0.3870823095823096</v>
      </c>
      <c r="O53" s="13"/>
      <c r="P53" s="1">
        <f>SUM(OSRRefP22_4x_0)</f>
        <v>10056.969999999999</v>
      </c>
      <c r="Q53" s="1"/>
      <c r="R53" s="5">
        <f t="shared" si="32"/>
        <v>3.3761636628836314E-2</v>
      </c>
      <c r="S53" s="1"/>
      <c r="T53" s="1">
        <f>SUM(OSRRefT22_4x_0)</f>
        <v>9301</v>
      </c>
      <c r="U53" s="1"/>
      <c r="V53" s="5">
        <f t="shared" si="33"/>
        <v>3.1692216478862202E-2</v>
      </c>
      <c r="W53" s="1"/>
      <c r="X53" s="1">
        <f t="shared" si="34"/>
        <v>755.96999999999935</v>
      </c>
      <c r="Y53" s="1"/>
      <c r="Z53" s="5">
        <f t="shared" si="35"/>
        <v>8.127835716589607E-2</v>
      </c>
    </row>
    <row r="54" spans="1:26" s="24" customFormat="1" hidden="1" outlineLevel="2" x14ac:dyDescent="0.25">
      <c r="A54" s="25"/>
      <c r="B54" s="11" t="str">
        <f>CONCATENATE("          ", "6381", " - ", "BANK/CREDIT CARD FEES")</f>
        <v xml:space="preserve">          6381 - BANK/CREDIT CARD FEES</v>
      </c>
      <c r="C54" s="11"/>
      <c r="D54" s="6">
        <v>2258.17</v>
      </c>
      <c r="E54" s="2"/>
      <c r="F54" s="7">
        <f t="shared" si="28"/>
        <v>3.8472514241680862E-2</v>
      </c>
      <c r="G54" s="2"/>
      <c r="H54" s="6">
        <v>1628</v>
      </c>
      <c r="I54" s="2"/>
      <c r="J54" s="7">
        <f t="shared" si="29"/>
        <v>3.1687947679850517E-2</v>
      </c>
      <c r="K54" s="2"/>
      <c r="L54" s="6">
        <f t="shared" si="30"/>
        <v>630.17000000000007</v>
      </c>
      <c r="M54" s="2"/>
      <c r="N54" s="7">
        <f t="shared" si="31"/>
        <v>0.3870823095823096</v>
      </c>
      <c r="O54" s="11"/>
      <c r="P54" s="6">
        <v>10056.969999999999</v>
      </c>
      <c r="Q54" s="2"/>
      <c r="R54" s="7">
        <f t="shared" si="32"/>
        <v>3.3761636628836314E-2</v>
      </c>
      <c r="S54" s="2"/>
      <c r="T54" s="6">
        <v>9301</v>
      </c>
      <c r="U54" s="2"/>
      <c r="V54" s="7">
        <f t="shared" si="33"/>
        <v>3.1692216478862202E-2</v>
      </c>
      <c r="W54" s="2"/>
      <c r="X54" s="6">
        <f t="shared" si="34"/>
        <v>755.96999999999935</v>
      </c>
      <c r="Y54" s="2"/>
      <c r="Z54" s="7">
        <f t="shared" si="35"/>
        <v>8.127835716589607E-2</v>
      </c>
    </row>
    <row r="55" spans="1:26" s="26" customFormat="1" outlineLevel="1" collapsed="1" x14ac:dyDescent="0.25">
      <c r="A55" s="27"/>
      <c r="B55" s="13" t="str">
        <f>CONCATENATE("     ","Depreciation                                      ")</f>
        <v xml:space="preserve">     Depreciation                                      </v>
      </c>
      <c r="C55" s="13"/>
      <c r="D55" s="1">
        <f>SUM(OSRRefD22_5x_0)</f>
        <v>0</v>
      </c>
      <c r="E55" s="1"/>
      <c r="F55" s="5">
        <f t="shared" si="28"/>
        <v>0</v>
      </c>
      <c r="G55" s="1"/>
      <c r="H55" s="1">
        <f>SUM(OSRRefH22_5x_0)</f>
        <v>65</v>
      </c>
      <c r="I55" s="1"/>
      <c r="J55" s="5">
        <f t="shared" si="29"/>
        <v>1.2651821862348178E-3</v>
      </c>
      <c r="K55" s="1"/>
      <c r="L55" s="1">
        <f t="shared" si="30"/>
        <v>-65</v>
      </c>
      <c r="M55" s="1"/>
      <c r="N55" s="5">
        <f t="shared" si="31"/>
        <v>-1</v>
      </c>
      <c r="O55" s="13"/>
      <c r="P55" s="1">
        <f>SUM(OSRRefP22_5x_0)</f>
        <v>0</v>
      </c>
      <c r="Q55" s="1"/>
      <c r="R55" s="5">
        <f t="shared" si="32"/>
        <v>0</v>
      </c>
      <c r="S55" s="1"/>
      <c r="T55" s="1">
        <f>SUM(OSRRefT22_5x_0)</f>
        <v>130</v>
      </c>
      <c r="U55" s="1"/>
      <c r="V55" s="5">
        <f t="shared" si="33"/>
        <v>4.4296184735534742E-4</v>
      </c>
      <c r="W55" s="1"/>
      <c r="X55" s="1">
        <f t="shared" si="34"/>
        <v>-130</v>
      </c>
      <c r="Y55" s="1"/>
      <c r="Z55" s="5">
        <f t="shared" si="35"/>
        <v>-1</v>
      </c>
    </row>
    <row r="56" spans="1:26" s="24" customFormat="1" hidden="1" outlineLevel="2" x14ac:dyDescent="0.25">
      <c r="A56" s="25"/>
      <c r="B56" s="11" t="str">
        <f>CONCATENATE("          ", "6324", " - ", "FURNITURE + FIXT DEPRECIATION")</f>
        <v xml:space="preserve">          6324 - FURNITURE + FIXT DEPRECIATION</v>
      </c>
      <c r="C56" s="11"/>
      <c r="D56" s="6"/>
      <c r="E56" s="2"/>
      <c r="F56" s="7">
        <f t="shared" si="28"/>
        <v>0</v>
      </c>
      <c r="G56" s="2"/>
      <c r="H56" s="6">
        <v>65</v>
      </c>
      <c r="I56" s="2"/>
      <c r="J56" s="7">
        <f t="shared" si="29"/>
        <v>1.2651821862348178E-3</v>
      </c>
      <c r="K56" s="2"/>
      <c r="L56" s="6">
        <f t="shared" si="30"/>
        <v>-65</v>
      </c>
      <c r="M56" s="2"/>
      <c r="N56" s="7">
        <f t="shared" si="31"/>
        <v>-1</v>
      </c>
      <c r="O56" s="11"/>
      <c r="P56" s="6"/>
      <c r="Q56" s="2"/>
      <c r="R56" s="7">
        <f t="shared" si="32"/>
        <v>0</v>
      </c>
      <c r="S56" s="2"/>
      <c r="T56" s="6">
        <v>130</v>
      </c>
      <c r="U56" s="2"/>
      <c r="V56" s="7">
        <f t="shared" si="33"/>
        <v>4.4296184735534742E-4</v>
      </c>
      <c r="W56" s="2"/>
      <c r="X56" s="6">
        <f t="shared" si="34"/>
        <v>-130</v>
      </c>
      <c r="Y56" s="2"/>
      <c r="Z56" s="7">
        <f t="shared" si="35"/>
        <v>-1</v>
      </c>
    </row>
    <row r="57" spans="1:26" s="26" customFormat="1" outlineLevel="1" collapsed="1" x14ac:dyDescent="0.25">
      <c r="A57" s="27"/>
      <c r="B57" s="13" t="str">
        <f>CONCATENATE("     ","Discounts and Markdowns                           ")</f>
        <v xml:space="preserve">     Discounts and Markdowns                           </v>
      </c>
      <c r="C57" s="13"/>
      <c r="D57" s="1">
        <f>SUM(OSRRefD22_6x_0)</f>
        <v>10.59</v>
      </c>
      <c r="E57" s="1"/>
      <c r="F57" s="5">
        <f t="shared" si="28"/>
        <v>1.8042216742734175E-4</v>
      </c>
      <c r="G57" s="1"/>
      <c r="H57" s="1">
        <f>SUM(OSRRefH22_6x_0)</f>
        <v>0</v>
      </c>
      <c r="I57" s="1"/>
      <c r="J57" s="5">
        <f t="shared" si="29"/>
        <v>0</v>
      </c>
      <c r="K57" s="1"/>
      <c r="L57" s="1">
        <f t="shared" si="30"/>
        <v>10.59</v>
      </c>
      <c r="M57" s="1"/>
      <c r="N57" s="5">
        <f t="shared" si="31"/>
        <v>0</v>
      </c>
      <c r="O57" s="13"/>
      <c r="P57" s="1">
        <f>SUM(OSRRefP22_6x_0)</f>
        <v>59.75</v>
      </c>
      <c r="Q57" s="1"/>
      <c r="R57" s="5">
        <f t="shared" si="32"/>
        <v>2.0058305718053944E-4</v>
      </c>
      <c r="S57" s="1"/>
      <c r="T57" s="1">
        <f>SUM(OSRRefT22_6x_0)</f>
        <v>0</v>
      </c>
      <c r="U57" s="1"/>
      <c r="V57" s="5">
        <f t="shared" si="33"/>
        <v>0</v>
      </c>
      <c r="W57" s="1"/>
      <c r="X57" s="1">
        <f t="shared" si="34"/>
        <v>59.75</v>
      </c>
      <c r="Y57" s="1"/>
      <c r="Z57" s="5">
        <f t="shared" si="35"/>
        <v>0</v>
      </c>
    </row>
    <row r="58" spans="1:26" s="24" customFormat="1" hidden="1" outlineLevel="2" x14ac:dyDescent="0.25">
      <c r="A58" s="25"/>
      <c r="B58" s="11" t="str">
        <f>CONCATENATE("          ", "6382", " - ", "DISCOUNTS/MARK DOWNS")</f>
        <v xml:space="preserve">          6382 - DISCOUNTS/MARK DOWNS</v>
      </c>
      <c r="C58" s="11"/>
      <c r="D58" s="6">
        <v>10.59</v>
      </c>
      <c r="E58" s="2"/>
      <c r="F58" s="7">
        <f t="shared" si="28"/>
        <v>1.8042216742734175E-4</v>
      </c>
      <c r="G58" s="2"/>
      <c r="H58" s="6"/>
      <c r="I58" s="2"/>
      <c r="J58" s="7">
        <f t="shared" si="29"/>
        <v>0</v>
      </c>
      <c r="K58" s="2"/>
      <c r="L58" s="6">
        <f t="shared" si="30"/>
        <v>10.59</v>
      </c>
      <c r="M58" s="2"/>
      <c r="N58" s="7">
        <f t="shared" si="31"/>
        <v>0</v>
      </c>
      <c r="O58" s="11"/>
      <c r="P58" s="6">
        <v>59.75</v>
      </c>
      <c r="Q58" s="2"/>
      <c r="R58" s="7">
        <f t="shared" si="32"/>
        <v>2.0058305718053944E-4</v>
      </c>
      <c r="S58" s="2"/>
      <c r="T58" s="6"/>
      <c r="U58" s="2"/>
      <c r="V58" s="7">
        <f t="shared" si="33"/>
        <v>0</v>
      </c>
      <c r="W58" s="2"/>
      <c r="X58" s="6">
        <f t="shared" si="34"/>
        <v>59.75</v>
      </c>
      <c r="Y58" s="2"/>
      <c r="Z58" s="7">
        <f t="shared" si="35"/>
        <v>0</v>
      </c>
    </row>
    <row r="59" spans="1:26" s="26" customFormat="1" outlineLevel="1" collapsed="1" x14ac:dyDescent="0.25">
      <c r="A59" s="27"/>
      <c r="B59" s="13" t="str">
        <f>CONCATENATE("     ","Employees' Appreciation                           ")</f>
        <v xml:space="preserve">     Employees' Appreciation                           </v>
      </c>
      <c r="C59" s="13"/>
      <c r="D59" s="1">
        <f>SUM(OSRRefD22_7x_0)</f>
        <v>0</v>
      </c>
      <c r="E59" s="1"/>
      <c r="F59" s="5">
        <f t="shared" si="28"/>
        <v>0</v>
      </c>
      <c r="G59" s="1"/>
      <c r="H59" s="1">
        <f>SUM(OSRRefH22_7x_0)</f>
        <v>0</v>
      </c>
      <c r="I59" s="1"/>
      <c r="J59" s="5">
        <f t="shared" si="29"/>
        <v>0</v>
      </c>
      <c r="K59" s="1"/>
      <c r="L59" s="1">
        <f t="shared" si="30"/>
        <v>0</v>
      </c>
      <c r="M59" s="1"/>
      <c r="N59" s="5">
        <f t="shared" si="31"/>
        <v>0</v>
      </c>
      <c r="O59" s="13"/>
      <c r="P59" s="1">
        <f>SUM(OSRRefP22_7x_0)</f>
        <v>0</v>
      </c>
      <c r="Q59" s="1"/>
      <c r="R59" s="5">
        <f t="shared" si="32"/>
        <v>0</v>
      </c>
      <c r="S59" s="1"/>
      <c r="T59" s="1">
        <f>SUM(OSRRefT22_7x_0)</f>
        <v>0</v>
      </c>
      <c r="U59" s="1"/>
      <c r="V59" s="5">
        <f t="shared" si="33"/>
        <v>0</v>
      </c>
      <c r="W59" s="1"/>
      <c r="X59" s="1">
        <f t="shared" si="34"/>
        <v>0</v>
      </c>
      <c r="Y59" s="1"/>
      <c r="Z59" s="5">
        <f t="shared" si="35"/>
        <v>0</v>
      </c>
    </row>
    <row r="60" spans="1:26" s="24" customFormat="1" hidden="1" outlineLevel="2" x14ac:dyDescent="0.25">
      <c r="A60" s="25"/>
      <c r="B60" s="11" t="str">
        <f>CONCATENATE("          ", "6277", " - ", "EMPLOYEE APPRECIATION")</f>
        <v xml:space="preserve">          6277 - EMPLOYEE APPRECIATION</v>
      </c>
      <c r="C60" s="11"/>
      <c r="D60" s="6"/>
      <c r="E60" s="2"/>
      <c r="F60" s="7">
        <f t="shared" si="28"/>
        <v>0</v>
      </c>
      <c r="G60" s="2"/>
      <c r="H60" s="6">
        <v>0</v>
      </c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/>
      <c r="Q60" s="2"/>
      <c r="R60" s="7">
        <f t="shared" si="32"/>
        <v>0</v>
      </c>
      <c r="S60" s="2"/>
      <c r="T60" s="6">
        <v>0</v>
      </c>
      <c r="U60" s="2"/>
      <c r="V60" s="7">
        <f t="shared" si="33"/>
        <v>0</v>
      </c>
      <c r="W60" s="2"/>
      <c r="X60" s="6">
        <f t="shared" si="34"/>
        <v>0</v>
      </c>
      <c r="Y60" s="2"/>
      <c r="Z60" s="7">
        <f t="shared" si="35"/>
        <v>0</v>
      </c>
    </row>
    <row r="61" spans="1:26" s="26" customFormat="1" outlineLevel="1" collapsed="1" x14ac:dyDescent="0.25">
      <c r="A61" s="27"/>
      <c r="B61" s="13" t="str">
        <f>CONCATENATE("     ","Freight out/Postage                               ")</f>
        <v xml:space="preserve">     Freight out/Postage                               </v>
      </c>
      <c r="C61" s="13"/>
      <c r="D61" s="1">
        <f>SUM(OSRRefD22_8x_0)</f>
        <v>17.329999999999998</v>
      </c>
      <c r="E61" s="1"/>
      <c r="F61" s="5">
        <f t="shared" si="28"/>
        <v>2.9525176218279811E-4</v>
      </c>
      <c r="G61" s="1"/>
      <c r="H61" s="1">
        <f>SUM(OSRRefH22_8x_0)</f>
        <v>0</v>
      </c>
      <c r="I61" s="1"/>
      <c r="J61" s="5">
        <f t="shared" si="29"/>
        <v>0</v>
      </c>
      <c r="K61" s="1"/>
      <c r="L61" s="1">
        <f t="shared" si="30"/>
        <v>17.329999999999998</v>
      </c>
      <c r="M61" s="1"/>
      <c r="N61" s="5">
        <f t="shared" si="31"/>
        <v>0</v>
      </c>
      <c r="O61" s="13"/>
      <c r="P61" s="1">
        <f>SUM(OSRRefP22_8x_0)</f>
        <v>188.61</v>
      </c>
      <c r="Q61" s="1"/>
      <c r="R61" s="5">
        <f t="shared" si="32"/>
        <v>6.3317105296772469E-4</v>
      </c>
      <c r="S61" s="1"/>
      <c r="T61" s="1">
        <f>SUM(OSRRefT22_8x_0)</f>
        <v>0</v>
      </c>
      <c r="U61" s="1"/>
      <c r="V61" s="5">
        <f t="shared" si="33"/>
        <v>0</v>
      </c>
      <c r="W61" s="1"/>
      <c r="X61" s="1">
        <f t="shared" si="34"/>
        <v>188.61</v>
      </c>
      <c r="Y61" s="1"/>
      <c r="Z61" s="5">
        <f t="shared" si="35"/>
        <v>0</v>
      </c>
    </row>
    <row r="62" spans="1:26" s="24" customFormat="1" hidden="1" outlineLevel="2" x14ac:dyDescent="0.25">
      <c r="A62" s="25"/>
      <c r="B62" s="11" t="str">
        <f>CONCATENATE("          ", "6305", " - ", "FREIGHT OUT")</f>
        <v xml:space="preserve">          6305 - FREIGHT OUT</v>
      </c>
      <c r="C62" s="11"/>
      <c r="D62" s="6">
        <v>17.329999999999998</v>
      </c>
      <c r="E62" s="2"/>
      <c r="F62" s="7">
        <f t="shared" si="28"/>
        <v>2.9525176218279811E-4</v>
      </c>
      <c r="G62" s="2"/>
      <c r="H62" s="6"/>
      <c r="I62" s="2"/>
      <c r="J62" s="7">
        <f t="shared" si="29"/>
        <v>0</v>
      </c>
      <c r="K62" s="2"/>
      <c r="L62" s="6">
        <f t="shared" si="30"/>
        <v>17.329999999999998</v>
      </c>
      <c r="M62" s="2"/>
      <c r="N62" s="7">
        <f t="shared" si="31"/>
        <v>0</v>
      </c>
      <c r="O62" s="11"/>
      <c r="P62" s="6">
        <v>188.61</v>
      </c>
      <c r="Q62" s="2"/>
      <c r="R62" s="7">
        <f t="shared" si="32"/>
        <v>6.3317105296772469E-4</v>
      </c>
      <c r="S62" s="2"/>
      <c r="T62" s="6"/>
      <c r="U62" s="2"/>
      <c r="V62" s="7">
        <f t="shared" si="33"/>
        <v>0</v>
      </c>
      <c r="W62" s="2"/>
      <c r="X62" s="6">
        <f t="shared" si="34"/>
        <v>188.61</v>
      </c>
      <c r="Y62" s="2"/>
      <c r="Z62" s="7">
        <f t="shared" si="35"/>
        <v>0</v>
      </c>
    </row>
    <row r="63" spans="1:26" s="26" customFormat="1" outlineLevel="1" collapsed="1" x14ac:dyDescent="0.25">
      <c r="A63" s="27"/>
      <c r="B63" s="13" t="str">
        <f>CONCATENATE("     ","General                                           ")</f>
        <v xml:space="preserve">     General                                           </v>
      </c>
      <c r="C63" s="13"/>
      <c r="D63" s="1">
        <f>SUM(OSRRefD22_9x_0)</f>
        <v>43.35</v>
      </c>
      <c r="E63" s="1"/>
      <c r="F63" s="5">
        <f t="shared" si="28"/>
        <v>7.3855533125356614E-4</v>
      </c>
      <c r="G63" s="1"/>
      <c r="H63" s="1">
        <f>SUM(OSRRefH22_9x_0)</f>
        <v>153</v>
      </c>
      <c r="I63" s="1"/>
      <c r="J63" s="5">
        <f t="shared" si="29"/>
        <v>2.9780442229834941E-3</v>
      </c>
      <c r="K63" s="1"/>
      <c r="L63" s="1">
        <f t="shared" si="30"/>
        <v>-109.65</v>
      </c>
      <c r="M63" s="1"/>
      <c r="N63" s="5">
        <f t="shared" si="31"/>
        <v>-0.71666666666666667</v>
      </c>
      <c r="O63" s="13"/>
      <c r="P63" s="1">
        <f>SUM(OSRRefP22_9x_0)</f>
        <v>951.7</v>
      </c>
      <c r="Q63" s="1"/>
      <c r="R63" s="5">
        <f t="shared" si="32"/>
        <v>3.1948936488488604E-3</v>
      </c>
      <c r="S63" s="1"/>
      <c r="T63" s="1">
        <f>SUM(OSRRefT22_9x_0)</f>
        <v>872</v>
      </c>
      <c r="U63" s="1"/>
      <c r="V63" s="5">
        <f t="shared" si="33"/>
        <v>2.971251776106638E-3</v>
      </c>
      <c r="W63" s="1"/>
      <c r="X63" s="1">
        <f t="shared" si="34"/>
        <v>79.700000000000045</v>
      </c>
      <c r="Y63" s="1"/>
      <c r="Z63" s="5">
        <f t="shared" si="35"/>
        <v>9.1399082568807397E-2</v>
      </c>
    </row>
    <row r="64" spans="1:26" s="24" customFormat="1" hidden="1" outlineLevel="2" x14ac:dyDescent="0.25">
      <c r="A64" s="25"/>
      <c r="B64" s="11" t="str">
        <f>CONCATENATE("          ", "6279", " - ", "GENERAL EXPENSE")</f>
        <v xml:space="preserve">          6279 - GENERAL EXPENSE</v>
      </c>
      <c r="C64" s="11"/>
      <c r="D64" s="6">
        <v>43.35</v>
      </c>
      <c r="E64" s="2"/>
      <c r="F64" s="7">
        <f t="shared" si="28"/>
        <v>7.3855533125356614E-4</v>
      </c>
      <c r="G64" s="2"/>
      <c r="H64" s="6">
        <v>153</v>
      </c>
      <c r="I64" s="2"/>
      <c r="J64" s="7">
        <f t="shared" si="29"/>
        <v>2.9780442229834941E-3</v>
      </c>
      <c r="K64" s="2"/>
      <c r="L64" s="6">
        <f t="shared" si="30"/>
        <v>-109.65</v>
      </c>
      <c r="M64" s="2"/>
      <c r="N64" s="7">
        <f t="shared" si="31"/>
        <v>-0.71666666666666667</v>
      </c>
      <c r="O64" s="11"/>
      <c r="P64" s="6">
        <v>951.7</v>
      </c>
      <c r="Q64" s="2"/>
      <c r="R64" s="7">
        <f t="shared" si="32"/>
        <v>3.1948936488488604E-3</v>
      </c>
      <c r="S64" s="2"/>
      <c r="T64" s="6">
        <v>872</v>
      </c>
      <c r="U64" s="2"/>
      <c r="V64" s="7">
        <f t="shared" si="33"/>
        <v>2.971251776106638E-3</v>
      </c>
      <c r="W64" s="2"/>
      <c r="X64" s="6">
        <f t="shared" si="34"/>
        <v>79.700000000000045</v>
      </c>
      <c r="Y64" s="2"/>
      <c r="Z64" s="7">
        <f t="shared" si="35"/>
        <v>9.1399082568807397E-2</v>
      </c>
    </row>
    <row r="65" spans="1:26" s="26" customFormat="1" outlineLevel="1" collapsed="1" x14ac:dyDescent="0.25">
      <c r="A65" s="27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SUM(OSRRefD22_10x_0)</f>
        <v>0</v>
      </c>
      <c r="E65" s="1"/>
      <c r="F65" s="5">
        <f t="shared" si="28"/>
        <v>0</v>
      </c>
      <c r="G65" s="1"/>
      <c r="H65" s="1">
        <f>SUM(OSRRefH22_10x_0)</f>
        <v>51</v>
      </c>
      <c r="I65" s="1"/>
      <c r="J65" s="5">
        <f t="shared" si="29"/>
        <v>9.9268140766116484E-4</v>
      </c>
      <c r="K65" s="1"/>
      <c r="L65" s="1">
        <f t="shared" si="30"/>
        <v>-51</v>
      </c>
      <c r="M65" s="1"/>
      <c r="N65" s="5">
        <f t="shared" si="31"/>
        <v>-1</v>
      </c>
      <c r="O65" s="13"/>
      <c r="P65" s="1">
        <f>SUM(OSRRefP22_10x_0)</f>
        <v>1040.72</v>
      </c>
      <c r="Q65" s="1"/>
      <c r="R65" s="5">
        <f t="shared" si="32"/>
        <v>3.4937372262582598E-3</v>
      </c>
      <c r="S65" s="1"/>
      <c r="T65" s="1">
        <f>SUM(OSRRefT22_10x_0)</f>
        <v>290</v>
      </c>
      <c r="U65" s="1"/>
      <c r="V65" s="5">
        <f t="shared" si="33"/>
        <v>9.8814565948500584E-4</v>
      </c>
      <c r="W65" s="1"/>
      <c r="X65" s="1">
        <f t="shared" si="34"/>
        <v>750.72</v>
      </c>
      <c r="Y65" s="1"/>
      <c r="Z65" s="5">
        <f t="shared" si="35"/>
        <v>2.5886896551724137</v>
      </c>
    </row>
    <row r="66" spans="1:26" s="24" customFormat="1" hidden="1" outlineLevel="2" x14ac:dyDescent="0.25">
      <c r="A66" s="25"/>
      <c r="B66" s="11" t="str">
        <f>CONCATENATE("          ", "6371", " - ", "COMPUTER SOFTWARE MAINTENANCE")</f>
        <v xml:space="preserve">          6371 - COMPUTER SOFTWARE MAINTENANCE</v>
      </c>
      <c r="C66" s="11"/>
      <c r="D66" s="6"/>
      <c r="E66" s="2"/>
      <c r="F66" s="7">
        <f t="shared" si="28"/>
        <v>0</v>
      </c>
      <c r="G66" s="2"/>
      <c r="H66" s="6"/>
      <c r="I66" s="2"/>
      <c r="J66" s="7">
        <f t="shared" si="29"/>
        <v>0</v>
      </c>
      <c r="K66" s="2"/>
      <c r="L66" s="6">
        <f t="shared" si="30"/>
        <v>0</v>
      </c>
      <c r="M66" s="2"/>
      <c r="N66" s="7">
        <f t="shared" si="31"/>
        <v>0</v>
      </c>
      <c r="O66" s="11"/>
      <c r="P66" s="6">
        <v>437.31</v>
      </c>
      <c r="Q66" s="2"/>
      <c r="R66" s="7">
        <f t="shared" si="32"/>
        <v>1.4680665562447146E-3</v>
      </c>
      <c r="S66" s="2"/>
      <c r="T66" s="6">
        <v>0</v>
      </c>
      <c r="U66" s="2"/>
      <c r="V66" s="7">
        <f t="shared" si="33"/>
        <v>0</v>
      </c>
      <c r="W66" s="2"/>
      <c r="X66" s="6">
        <f t="shared" si="34"/>
        <v>437.31</v>
      </c>
      <c r="Y66" s="2"/>
      <c r="Z66" s="7">
        <f t="shared" si="35"/>
        <v>0</v>
      </c>
    </row>
    <row r="67" spans="1:26" s="24" customFormat="1" hidden="1" outlineLevel="2" x14ac:dyDescent="0.25">
      <c r="A67" s="25"/>
      <c r="B67" s="11" t="str">
        <f>CONCATENATE("          ", "6373", " - ", "MAINTENANCE CONTRACTS")</f>
        <v xml:space="preserve">          6373 - MAINTENANCE CONTRACTS</v>
      </c>
      <c r="C67" s="11"/>
      <c r="D67" s="6"/>
      <c r="E67" s="2"/>
      <c r="F67" s="7">
        <f t="shared" si="28"/>
        <v>0</v>
      </c>
      <c r="G67" s="2"/>
      <c r="H67" s="6"/>
      <c r="I67" s="2"/>
      <c r="J67" s="7">
        <f t="shared" si="29"/>
        <v>0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>
        <v>22.83</v>
      </c>
      <c r="Q67" s="2"/>
      <c r="R67" s="7">
        <f t="shared" si="32"/>
        <v>7.6641191555342511E-5</v>
      </c>
      <c r="S67" s="2"/>
      <c r="T67" s="6"/>
      <c r="U67" s="2"/>
      <c r="V67" s="7">
        <f t="shared" si="33"/>
        <v>0</v>
      </c>
      <c r="W67" s="2"/>
      <c r="X67" s="6">
        <f t="shared" si="34"/>
        <v>22.83</v>
      </c>
      <c r="Y67" s="2"/>
      <c r="Z67" s="7">
        <f t="shared" si="35"/>
        <v>0</v>
      </c>
    </row>
    <row r="68" spans="1:26" s="24" customFormat="1" hidden="1" outlineLevel="2" x14ac:dyDescent="0.25">
      <c r="A68" s="25"/>
      <c r="B68" s="11" t="str">
        <f>CONCATENATE("          ", "6375", " - ", "OUTSIDE REPAIRS &amp; MAINTENANCE")</f>
        <v xml:space="preserve">          6375 - OUTSIDE REPAIRS &amp; MAINTENANCE</v>
      </c>
      <c r="C68" s="11"/>
      <c r="D68" s="6"/>
      <c r="E68" s="2"/>
      <c r="F68" s="7">
        <f t="shared" si="28"/>
        <v>0</v>
      </c>
      <c r="G68" s="2"/>
      <c r="H68" s="6">
        <v>51</v>
      </c>
      <c r="I68" s="2"/>
      <c r="J68" s="7">
        <f t="shared" si="29"/>
        <v>9.9268140766116484E-4</v>
      </c>
      <c r="K68" s="2"/>
      <c r="L68" s="6">
        <f t="shared" si="30"/>
        <v>-51</v>
      </c>
      <c r="M68" s="2"/>
      <c r="N68" s="7">
        <f t="shared" si="31"/>
        <v>-1</v>
      </c>
      <c r="O68" s="11"/>
      <c r="P68" s="6">
        <v>580.58000000000004</v>
      </c>
      <c r="Q68" s="2"/>
      <c r="R68" s="7">
        <f t="shared" si="32"/>
        <v>1.9490294784582024E-3</v>
      </c>
      <c r="S68" s="2"/>
      <c r="T68" s="6">
        <v>290</v>
      </c>
      <c r="U68" s="2"/>
      <c r="V68" s="7">
        <f t="shared" si="33"/>
        <v>9.8814565948500584E-4</v>
      </c>
      <c r="W68" s="2"/>
      <c r="X68" s="6">
        <f t="shared" si="34"/>
        <v>290.58000000000004</v>
      </c>
      <c r="Y68" s="2"/>
      <c r="Z68" s="7">
        <f t="shared" si="35"/>
        <v>1.0020000000000002</v>
      </c>
    </row>
    <row r="69" spans="1:26" s="26" customFormat="1" outlineLevel="1" collapsed="1" x14ac:dyDescent="0.25">
      <c r="A69" s="27"/>
      <c r="B69" s="13" t="str">
        <f>CONCATENATE("     ","Services                                          ")</f>
        <v xml:space="preserve">     Services                                          </v>
      </c>
      <c r="C69" s="13"/>
      <c r="D69" s="1">
        <f>SUM(OSRRefD22_11x_0)</f>
        <v>103.35</v>
      </c>
      <c r="E69" s="1"/>
      <c r="F69" s="5">
        <f t="shared" ref="F69:F76" si="36">IF(D$12=0,0,D69/D$12)</f>
        <v>1.7607772430232077E-3</v>
      </c>
      <c r="G69" s="1"/>
      <c r="H69" s="1">
        <f>SUM(OSRRefH22_11x_0)</f>
        <v>0</v>
      </c>
      <c r="I69" s="1"/>
      <c r="J69" s="5">
        <f t="shared" ref="J69:J76" si="37">IF(H$12=0,0,H69/H$12)</f>
        <v>0</v>
      </c>
      <c r="K69" s="1"/>
      <c r="L69" s="1">
        <f t="shared" ref="L69:L76" si="38">+D69-H69</f>
        <v>103.35</v>
      </c>
      <c r="M69" s="1"/>
      <c r="N69" s="5">
        <f t="shared" ref="N69:N76" si="39">IF(H69=0,0,L69/H69)</f>
        <v>0</v>
      </c>
      <c r="O69" s="13"/>
      <c r="P69" s="1">
        <f>SUM(OSRRefP22_11x_0)</f>
        <v>732.46</v>
      </c>
      <c r="Q69" s="1"/>
      <c r="R69" s="5">
        <f t="shared" ref="R69:R76" si="40">IF(P$12=0,0,P69/P$12)</f>
        <v>2.4588965031373711E-3</v>
      </c>
      <c r="S69" s="1"/>
      <c r="T69" s="1">
        <f>SUM(OSRRefT22_11x_0)</f>
        <v>0</v>
      </c>
      <c r="U69" s="1"/>
      <c r="V69" s="5">
        <f t="shared" ref="V69:V76" si="41">IF(T$12=0,0,T69/T$12)</f>
        <v>0</v>
      </c>
      <c r="W69" s="1"/>
      <c r="X69" s="1">
        <f t="shared" ref="X69:X76" si="42">+P69-T69</f>
        <v>732.46</v>
      </c>
      <c r="Y69" s="1"/>
      <c r="Z69" s="5">
        <f t="shared" ref="Z69:Z76" si="43">IF(T69=0,0,X69/T69)</f>
        <v>0</v>
      </c>
    </row>
    <row r="70" spans="1:26" s="24" customFormat="1" hidden="1" outlineLevel="2" x14ac:dyDescent="0.25">
      <c r="A70" s="25"/>
      <c r="B70" s="11" t="str">
        <f>CONCATENATE("          ", "6286", " - ", "LAUNDRY EXPENSE")</f>
        <v xml:space="preserve">          6286 - LAUNDRY EXPENSE</v>
      </c>
      <c r="C70" s="11"/>
      <c r="D70" s="6">
        <v>103.35</v>
      </c>
      <c r="E70" s="2"/>
      <c r="F70" s="7">
        <f t="shared" si="36"/>
        <v>1.7607772430232077E-3</v>
      </c>
      <c r="G70" s="2"/>
      <c r="H70" s="6"/>
      <c r="I70" s="2"/>
      <c r="J70" s="7">
        <f t="shared" si="37"/>
        <v>0</v>
      </c>
      <c r="K70" s="2"/>
      <c r="L70" s="6">
        <f t="shared" si="38"/>
        <v>103.35</v>
      </c>
      <c r="M70" s="2"/>
      <c r="N70" s="7">
        <f t="shared" si="39"/>
        <v>0</v>
      </c>
      <c r="O70" s="11"/>
      <c r="P70" s="6">
        <v>732.46</v>
      </c>
      <c r="Q70" s="2"/>
      <c r="R70" s="7">
        <f t="shared" si="40"/>
        <v>2.4588965031373711E-3</v>
      </c>
      <c r="S70" s="2"/>
      <c r="T70" s="6"/>
      <c r="U70" s="2"/>
      <c r="V70" s="7">
        <f t="shared" si="41"/>
        <v>0</v>
      </c>
      <c r="W70" s="2"/>
      <c r="X70" s="6">
        <f t="shared" si="42"/>
        <v>732.46</v>
      </c>
      <c r="Y70" s="2"/>
      <c r="Z70" s="7">
        <f t="shared" si="43"/>
        <v>0</v>
      </c>
    </row>
    <row r="71" spans="1:26" s="26" customFormat="1" outlineLevel="1" collapsed="1" x14ac:dyDescent="0.25">
      <c r="A71" s="27"/>
      <c r="B71" s="13" t="str">
        <f>CONCATENATE("     ","Supplies                                          ")</f>
        <v xml:space="preserve">     Supplies                                          </v>
      </c>
      <c r="C71" s="13"/>
      <c r="D71" s="1">
        <f>SUM(OSRRefD22_12x_0)</f>
        <v>253.19</v>
      </c>
      <c r="E71" s="1"/>
      <c r="F71" s="5">
        <f t="shared" si="36"/>
        <v>4.3136060973492591E-3</v>
      </c>
      <c r="G71" s="1"/>
      <c r="H71" s="1">
        <f>SUM(OSRRefH22_12x_0)</f>
        <v>254</v>
      </c>
      <c r="I71" s="1"/>
      <c r="J71" s="5">
        <f t="shared" si="37"/>
        <v>4.9439426969791339E-3</v>
      </c>
      <c r="K71" s="1"/>
      <c r="L71" s="1">
        <f t="shared" si="38"/>
        <v>-0.81000000000000227</v>
      </c>
      <c r="M71" s="1"/>
      <c r="N71" s="5">
        <f t="shared" si="39"/>
        <v>-3.1889763779527651E-3</v>
      </c>
      <c r="O71" s="13"/>
      <c r="P71" s="1">
        <f>SUM(OSRRefP22_12x_0)</f>
        <v>3312.35</v>
      </c>
      <c r="Q71" s="1"/>
      <c r="R71" s="5">
        <f t="shared" si="40"/>
        <v>1.1119686852752466E-2</v>
      </c>
      <c r="S71" s="1"/>
      <c r="T71" s="1">
        <f>SUM(OSRRefT22_12x_0)</f>
        <v>1453</v>
      </c>
      <c r="U71" s="1"/>
      <c r="V71" s="5">
        <f t="shared" si="41"/>
        <v>4.9509504939024597E-3</v>
      </c>
      <c r="W71" s="1"/>
      <c r="X71" s="1">
        <f t="shared" si="42"/>
        <v>1859.35</v>
      </c>
      <c r="Y71" s="1"/>
      <c r="Z71" s="5">
        <f t="shared" si="43"/>
        <v>1.2796627666896077</v>
      </c>
    </row>
    <row r="72" spans="1:26" s="24" customFormat="1" hidden="1" outlineLevel="2" x14ac:dyDescent="0.25">
      <c r="A72" s="25"/>
      <c r="B72" s="11" t="str">
        <f>CONCATENATE("          ", "6234", " - ", "EXPENDABLE SUPPLIES &amp; EQUIPMEN")</f>
        <v xml:space="preserve">          6234 - EXPENDABLE SUPPLIES &amp; EQUIPMEN</v>
      </c>
      <c r="C72" s="11"/>
      <c r="D72" s="6"/>
      <c r="E72" s="2"/>
      <c r="F72" s="7">
        <f t="shared" si="36"/>
        <v>0</v>
      </c>
      <c r="G72" s="2"/>
      <c r="H72" s="6"/>
      <c r="I72" s="2"/>
      <c r="J72" s="7">
        <f t="shared" si="37"/>
        <v>0</v>
      </c>
      <c r="K72" s="2"/>
      <c r="L72" s="6">
        <f t="shared" si="38"/>
        <v>0</v>
      </c>
      <c r="M72" s="2"/>
      <c r="N72" s="7">
        <f t="shared" si="39"/>
        <v>0</v>
      </c>
      <c r="O72" s="11"/>
      <c r="P72" s="6">
        <v>354.82</v>
      </c>
      <c r="Q72" s="2"/>
      <c r="R72" s="7">
        <f t="shared" si="40"/>
        <v>1.1911444409840838E-3</v>
      </c>
      <c r="S72" s="2"/>
      <c r="T72" s="6"/>
      <c r="U72" s="2"/>
      <c r="V72" s="7">
        <f t="shared" si="41"/>
        <v>0</v>
      </c>
      <c r="W72" s="2"/>
      <c r="X72" s="6">
        <f t="shared" si="42"/>
        <v>354.82</v>
      </c>
      <c r="Y72" s="2"/>
      <c r="Z72" s="7">
        <f t="shared" si="43"/>
        <v>0</v>
      </c>
    </row>
    <row r="73" spans="1:26" s="24" customFormat="1" hidden="1" outlineLevel="2" x14ac:dyDescent="0.25">
      <c r="A73" s="25"/>
      <c r="B73" s="11" t="str">
        <f>CONCATENATE("          ", "6237", " - ", "JANITORIAL SUPPLIES")</f>
        <v xml:space="preserve">          6237 - JANITORIAL SUPPLIES</v>
      </c>
      <c r="C73" s="11"/>
      <c r="D73" s="6"/>
      <c r="E73" s="2"/>
      <c r="F73" s="7">
        <f t="shared" si="36"/>
        <v>0</v>
      </c>
      <c r="G73" s="2"/>
      <c r="H73" s="6"/>
      <c r="I73" s="2"/>
      <c r="J73" s="7">
        <f t="shared" si="37"/>
        <v>0</v>
      </c>
      <c r="K73" s="2"/>
      <c r="L73" s="6">
        <f t="shared" si="38"/>
        <v>0</v>
      </c>
      <c r="M73" s="2"/>
      <c r="N73" s="7">
        <f t="shared" si="39"/>
        <v>0</v>
      </c>
      <c r="O73" s="11"/>
      <c r="P73" s="6">
        <v>151.25</v>
      </c>
      <c r="Q73" s="2"/>
      <c r="R73" s="7">
        <f t="shared" si="40"/>
        <v>5.0775209035241152E-4</v>
      </c>
      <c r="S73" s="2"/>
      <c r="T73" s="6"/>
      <c r="U73" s="2"/>
      <c r="V73" s="7">
        <f t="shared" si="41"/>
        <v>0</v>
      </c>
      <c r="W73" s="2"/>
      <c r="X73" s="6">
        <f t="shared" si="42"/>
        <v>151.25</v>
      </c>
      <c r="Y73" s="2"/>
      <c r="Z73" s="7">
        <f t="shared" si="43"/>
        <v>0</v>
      </c>
    </row>
    <row r="74" spans="1:26" s="24" customFormat="1" hidden="1" outlineLevel="2" x14ac:dyDescent="0.25">
      <c r="A74" s="25"/>
      <c r="B74" s="11" t="str">
        <f>CONCATENATE("          ", "6241", " - ", "OFFICE EXPENSE")</f>
        <v xml:space="preserve">          6241 - OFFICE EXPENSE</v>
      </c>
      <c r="C74" s="11"/>
      <c r="D74" s="6">
        <v>67.34</v>
      </c>
      <c r="E74" s="2"/>
      <c r="F74" s="7">
        <f t="shared" si="36"/>
        <v>1.1472737256427944E-3</v>
      </c>
      <c r="G74" s="2"/>
      <c r="H74" s="6"/>
      <c r="I74" s="2"/>
      <c r="J74" s="7">
        <f t="shared" si="37"/>
        <v>0</v>
      </c>
      <c r="K74" s="2"/>
      <c r="L74" s="6">
        <f t="shared" si="38"/>
        <v>67.34</v>
      </c>
      <c r="M74" s="2"/>
      <c r="N74" s="7">
        <f t="shared" si="39"/>
        <v>0</v>
      </c>
      <c r="O74" s="11"/>
      <c r="P74" s="6">
        <v>328.56</v>
      </c>
      <c r="Q74" s="2"/>
      <c r="R74" s="7">
        <f t="shared" si="40"/>
        <v>1.1029886069830635E-3</v>
      </c>
      <c r="S74" s="2"/>
      <c r="T74" s="6"/>
      <c r="U74" s="2"/>
      <c r="V74" s="7">
        <f t="shared" si="41"/>
        <v>0</v>
      </c>
      <c r="W74" s="2"/>
      <c r="X74" s="6">
        <f t="shared" si="42"/>
        <v>328.56</v>
      </c>
      <c r="Y74" s="2"/>
      <c r="Z74" s="7">
        <f t="shared" si="43"/>
        <v>0</v>
      </c>
    </row>
    <row r="75" spans="1:26" s="24" customFormat="1" hidden="1" outlineLevel="2" x14ac:dyDescent="0.25">
      <c r="A75" s="25"/>
      <c r="B75" s="11" t="str">
        <f>CONCATENATE("          ", "6245", " - ", "PRINTING")</f>
        <v xml:space="preserve">          6245 - PRINTING</v>
      </c>
      <c r="C75" s="11"/>
      <c r="D75" s="6">
        <v>37.44</v>
      </c>
      <c r="E75" s="2"/>
      <c r="F75" s="7">
        <f t="shared" si="36"/>
        <v>6.378664729442563E-4</v>
      </c>
      <c r="G75" s="2"/>
      <c r="H75" s="6"/>
      <c r="I75" s="2"/>
      <c r="J75" s="7">
        <f t="shared" si="37"/>
        <v>0</v>
      </c>
      <c r="K75" s="2"/>
      <c r="L75" s="6">
        <f t="shared" si="38"/>
        <v>37.44</v>
      </c>
      <c r="M75" s="2"/>
      <c r="N75" s="7">
        <f t="shared" si="39"/>
        <v>0</v>
      </c>
      <c r="O75" s="11"/>
      <c r="P75" s="6">
        <v>81.739999999999995</v>
      </c>
      <c r="Q75" s="2"/>
      <c r="R75" s="7">
        <f t="shared" si="40"/>
        <v>2.7440433630020574E-4</v>
      </c>
      <c r="S75" s="2"/>
      <c r="T75" s="6"/>
      <c r="U75" s="2"/>
      <c r="V75" s="7">
        <f t="shared" si="41"/>
        <v>0</v>
      </c>
      <c r="W75" s="2"/>
      <c r="X75" s="6">
        <f t="shared" si="42"/>
        <v>81.739999999999995</v>
      </c>
      <c r="Y75" s="2"/>
      <c r="Z75" s="7">
        <f t="shared" si="43"/>
        <v>0</v>
      </c>
    </row>
    <row r="76" spans="1:26" s="24" customFormat="1" hidden="1" outlineLevel="2" x14ac:dyDescent="0.25">
      <c r="A76" s="25"/>
      <c r="B76" s="11" t="str">
        <f>CONCATENATE("          ", "6247", " - ", "STORE SUPPLIES")</f>
        <v xml:space="preserve">          6247 - STORE SUPPLIES</v>
      </c>
      <c r="C76" s="11"/>
      <c r="D76" s="6">
        <v>148.41</v>
      </c>
      <c r="E76" s="2"/>
      <c r="F76" s="7">
        <f t="shared" si="36"/>
        <v>2.5284658987622085E-3</v>
      </c>
      <c r="G76" s="2"/>
      <c r="H76" s="6">
        <v>254</v>
      </c>
      <c r="I76" s="2"/>
      <c r="J76" s="7">
        <f t="shared" si="37"/>
        <v>4.9439426969791339E-3</v>
      </c>
      <c r="K76" s="2"/>
      <c r="L76" s="6">
        <f t="shared" si="38"/>
        <v>-105.59</v>
      </c>
      <c r="M76" s="2"/>
      <c r="N76" s="7">
        <f t="shared" si="39"/>
        <v>-0.41570866141732282</v>
      </c>
      <c r="O76" s="11"/>
      <c r="P76" s="6">
        <v>2395.98</v>
      </c>
      <c r="Q76" s="2"/>
      <c r="R76" s="7">
        <f t="shared" si="40"/>
        <v>8.0433973781327012E-3</v>
      </c>
      <c r="S76" s="2"/>
      <c r="T76" s="6">
        <v>1453</v>
      </c>
      <c r="U76" s="2"/>
      <c r="V76" s="7">
        <f t="shared" si="41"/>
        <v>4.9509504939024597E-3</v>
      </c>
      <c r="W76" s="2"/>
      <c r="X76" s="6">
        <f t="shared" si="42"/>
        <v>942.98</v>
      </c>
      <c r="Y76" s="2"/>
      <c r="Z76" s="7">
        <f t="shared" si="43"/>
        <v>0.64898830006882313</v>
      </c>
    </row>
    <row r="77" spans="1:26" s="26" customFormat="1" outlineLevel="1" collapsed="1" x14ac:dyDescent="0.25">
      <c r="A77" s="27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SUM(OSRRefD22_13x_0)</f>
        <v>126.75</v>
      </c>
      <c r="E77" s="1"/>
      <c r="F77" s="5">
        <f t="shared" ref="F77:F80" si="44">IF(D$12=0,0,D77/D$12)</f>
        <v>2.1594437886133678E-3</v>
      </c>
      <c r="G77" s="1"/>
      <c r="H77" s="1">
        <f>SUM(OSRRefH22_13x_0)</f>
        <v>75</v>
      </c>
      <c r="I77" s="1"/>
      <c r="J77" s="5">
        <f t="shared" ref="J77:J80" si="45">IF(H$12=0,0,H77/H$12)</f>
        <v>1.4598255995017129E-3</v>
      </c>
      <c r="K77" s="1"/>
      <c r="L77" s="1">
        <f t="shared" ref="L77:L80" si="46">+D77-H77</f>
        <v>51.75</v>
      </c>
      <c r="M77" s="1"/>
      <c r="N77" s="5">
        <f t="shared" ref="N77:N80" si="47">IF(H77=0,0,L77/H77)</f>
        <v>0.69</v>
      </c>
      <c r="O77" s="13"/>
      <c r="P77" s="1">
        <f>SUM(OSRRefP22_13x_0)</f>
        <v>574.6</v>
      </c>
      <c r="Q77" s="1"/>
      <c r="R77" s="5">
        <f t="shared" ref="R77:R80" si="48">IF(P$12=0,0,P77/P$12)</f>
        <v>1.9289543875470789E-3</v>
      </c>
      <c r="S77" s="1"/>
      <c r="T77" s="1">
        <f>SUM(OSRRefT22_13x_0)</f>
        <v>375</v>
      </c>
      <c r="U77" s="1"/>
      <c r="V77" s="5">
        <f t="shared" ref="V77:V80" si="49">IF(T$12=0,0,T77/T$12)</f>
        <v>1.2777745596788868E-3</v>
      </c>
      <c r="W77" s="1"/>
      <c r="X77" s="1">
        <f t="shared" ref="X77:X80" si="50">+P77-T77</f>
        <v>199.60000000000002</v>
      </c>
      <c r="Y77" s="1"/>
      <c r="Z77" s="5">
        <f t="shared" ref="Z77:Z80" si="51">IF(T77=0,0,X77/T77)</f>
        <v>0.53226666666666678</v>
      </c>
    </row>
    <row r="78" spans="1:26" s="24" customFormat="1" hidden="1" outlineLevel="2" x14ac:dyDescent="0.25">
      <c r="A78" s="25"/>
      <c r="B78" s="11" t="str">
        <f>CONCATENATE("          ", "6309", " - ", "TELEPHONE")</f>
        <v xml:space="preserve">          6309 - TELEPHONE</v>
      </c>
      <c r="C78" s="11"/>
      <c r="D78" s="6">
        <v>126.75</v>
      </c>
      <c r="E78" s="2"/>
      <c r="F78" s="7">
        <f t="shared" si="44"/>
        <v>2.1594437886133678E-3</v>
      </c>
      <c r="G78" s="2"/>
      <c r="H78" s="6">
        <v>75</v>
      </c>
      <c r="I78" s="2"/>
      <c r="J78" s="7">
        <f t="shared" si="45"/>
        <v>1.4598255995017129E-3</v>
      </c>
      <c r="K78" s="2"/>
      <c r="L78" s="6">
        <f t="shared" si="46"/>
        <v>51.75</v>
      </c>
      <c r="M78" s="2"/>
      <c r="N78" s="7">
        <f t="shared" si="47"/>
        <v>0.69</v>
      </c>
      <c r="O78" s="11"/>
      <c r="P78" s="6">
        <v>574.6</v>
      </c>
      <c r="Q78" s="2"/>
      <c r="R78" s="7">
        <f t="shared" si="48"/>
        <v>1.9289543875470789E-3</v>
      </c>
      <c r="S78" s="2"/>
      <c r="T78" s="6">
        <v>375</v>
      </c>
      <c r="U78" s="2"/>
      <c r="V78" s="7">
        <f t="shared" si="49"/>
        <v>1.2777745596788868E-3</v>
      </c>
      <c r="W78" s="2"/>
      <c r="X78" s="6">
        <f t="shared" si="50"/>
        <v>199.60000000000002</v>
      </c>
      <c r="Y78" s="2"/>
      <c r="Z78" s="7">
        <f t="shared" si="51"/>
        <v>0.53226666666666678</v>
      </c>
    </row>
    <row r="79" spans="1:26" s="26" customFormat="1" outlineLevel="1" collapsed="1" x14ac:dyDescent="0.25">
      <c r="A79" s="27"/>
      <c r="B79" s="13" t="str">
        <f>CONCATENATE("     ","Training                                          ")</f>
        <v xml:space="preserve">     Training                                          </v>
      </c>
      <c r="C79" s="13"/>
      <c r="D79" s="1">
        <f>SUM(OSRRefD22_14x_0)</f>
        <v>0</v>
      </c>
      <c r="E79" s="1"/>
      <c r="F79" s="5">
        <f t="shared" si="44"/>
        <v>0</v>
      </c>
      <c r="G79" s="1"/>
      <c r="H79" s="1">
        <f>SUM(OSRRefH22_14x_0)</f>
        <v>0</v>
      </c>
      <c r="I79" s="1"/>
      <c r="J79" s="5">
        <f t="shared" si="45"/>
        <v>0</v>
      </c>
      <c r="K79" s="1"/>
      <c r="L79" s="1">
        <f t="shared" si="46"/>
        <v>0</v>
      </c>
      <c r="M79" s="1"/>
      <c r="N79" s="5">
        <f t="shared" si="47"/>
        <v>0</v>
      </c>
      <c r="O79" s="13"/>
      <c r="P79" s="1">
        <f>SUM(OSRRefP22_14x_0)</f>
        <v>96</v>
      </c>
      <c r="Q79" s="1"/>
      <c r="R79" s="5">
        <f t="shared" si="48"/>
        <v>3.2227570693442323E-4</v>
      </c>
      <c r="S79" s="1"/>
      <c r="T79" s="1">
        <f>SUM(OSRRefT22_14x_0)</f>
        <v>500</v>
      </c>
      <c r="U79" s="1"/>
      <c r="V79" s="5">
        <f t="shared" si="49"/>
        <v>1.7036994129051824E-3</v>
      </c>
      <c r="W79" s="1"/>
      <c r="X79" s="1">
        <f t="shared" si="50"/>
        <v>-404</v>
      </c>
      <c r="Y79" s="1"/>
      <c r="Z79" s="5">
        <f t="shared" si="51"/>
        <v>-0.80800000000000005</v>
      </c>
    </row>
    <row r="80" spans="1:26" s="24" customFormat="1" hidden="1" outlineLevel="2" x14ac:dyDescent="0.25">
      <c r="A80" s="25"/>
      <c r="B80" s="11" t="str">
        <f>CONCATENATE("          ", "6376", " - ", "TRAINING")</f>
        <v xml:space="preserve">          6376 - TRAINING</v>
      </c>
      <c r="C80" s="11"/>
      <c r="D80" s="6"/>
      <c r="E80" s="2"/>
      <c r="F80" s="7">
        <f t="shared" si="44"/>
        <v>0</v>
      </c>
      <c r="G80" s="2"/>
      <c r="H80" s="6"/>
      <c r="I80" s="2"/>
      <c r="J80" s="7">
        <f t="shared" si="45"/>
        <v>0</v>
      </c>
      <c r="K80" s="2"/>
      <c r="L80" s="6">
        <f t="shared" si="46"/>
        <v>0</v>
      </c>
      <c r="M80" s="2"/>
      <c r="N80" s="7">
        <f t="shared" si="47"/>
        <v>0</v>
      </c>
      <c r="O80" s="11"/>
      <c r="P80" s="6">
        <v>96</v>
      </c>
      <c r="Q80" s="2"/>
      <c r="R80" s="7">
        <f t="shared" si="48"/>
        <v>3.2227570693442323E-4</v>
      </c>
      <c r="S80" s="2"/>
      <c r="T80" s="6">
        <v>500</v>
      </c>
      <c r="U80" s="2"/>
      <c r="V80" s="7">
        <f t="shared" si="49"/>
        <v>1.7036994129051824E-3</v>
      </c>
      <c r="W80" s="2"/>
      <c r="X80" s="6">
        <f t="shared" si="50"/>
        <v>-404</v>
      </c>
      <c r="Y80" s="2"/>
      <c r="Z80" s="7">
        <f t="shared" si="51"/>
        <v>-0.80800000000000005</v>
      </c>
    </row>
    <row r="81" spans="1:26" s="59" customFormat="1" x14ac:dyDescent="0.25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9" t="s">
        <v>0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8" t="s">
        <v>3</v>
      </c>
      <c r="C84" s="28"/>
      <c r="D84" s="20">
        <f>+D25-D27+D82</f>
        <v>13511.209999999995</v>
      </c>
      <c r="E84" s="14"/>
      <c r="F84" s="22">
        <f>IF(D$12=0,0,D84/D$12)</f>
        <v>0.2301909152753516</v>
      </c>
      <c r="G84" s="14"/>
      <c r="H84" s="20">
        <f>+H25-H27+H82</f>
        <v>8118.2975723999989</v>
      </c>
      <c r="I84" s="14"/>
      <c r="J84" s="22">
        <f>IF(H$12=0,0,H84/H$12)</f>
        <v>0.15801731494082838</v>
      </c>
      <c r="K84" s="16"/>
      <c r="L84" s="20">
        <f>+D84-H84</f>
        <v>5392.9124275999966</v>
      </c>
      <c r="M84" s="16"/>
      <c r="N84" s="22">
        <f>IF(H84=0,0,L84/H84)</f>
        <v>0.66429105111081788</v>
      </c>
      <c r="O84" s="29"/>
      <c r="P84" s="20">
        <f>+P25-P27+P82</f>
        <v>58852.359999999957</v>
      </c>
      <c r="Q84" s="14"/>
      <c r="R84" s="22">
        <f>IF(P$12=0,0,P84/P$12)</f>
        <v>0.19756964503915789</v>
      </c>
      <c r="S84" s="14"/>
      <c r="T84" s="20">
        <f>+T25-T27+T82</f>
        <v>54196.847829700011</v>
      </c>
      <c r="U84" s="14"/>
      <c r="V84" s="22">
        <f>IF(T$12=0,0,T84/T$12)</f>
        <v>0.18467027565754282</v>
      </c>
      <c r="W84" s="16"/>
      <c r="X84" s="20">
        <f>+P84-T84</f>
        <v>4655.5121702999459</v>
      </c>
      <c r="Y84" s="16"/>
      <c r="Z84" s="22">
        <f>IF(T84=0,0,X84/T84)</f>
        <v>8.590005427859429E-2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2"/>
      <c r="B86" s="10" t="s">
        <v>14</v>
      </c>
      <c r="C86" s="10"/>
      <c r="D86" s="4">
        <v>7466.58</v>
      </c>
      <c r="E86" s="4"/>
      <c r="F86" s="12">
        <f>IF(D$12=0,0,D86/D$12)</f>
        <v>0.12720836136634953</v>
      </c>
      <c r="G86" s="4"/>
      <c r="H86" s="4">
        <v>8038</v>
      </c>
      <c r="I86" s="4"/>
      <c r="J86" s="12">
        <f>IF(H$12=0,0,H86/H$12)</f>
        <v>0.15645437558393024</v>
      </c>
      <c r="K86" s="4"/>
      <c r="L86" s="4">
        <f>+D86-H86</f>
        <v>-571.42000000000007</v>
      </c>
      <c r="M86" s="4"/>
      <c r="N86" s="12">
        <f>IF(H86=0,0,L86/H86)</f>
        <v>-7.1089823339139102E-2</v>
      </c>
      <c r="O86" s="10"/>
      <c r="P86" s="4">
        <v>31543.649999999998</v>
      </c>
      <c r="Q86" s="4"/>
      <c r="R86" s="12">
        <f>IF(P$12=0,0,P86/P$12)</f>
        <v>0.10589325107335436</v>
      </c>
      <c r="S86" s="4"/>
      <c r="T86" s="4">
        <v>37193</v>
      </c>
      <c r="U86" s="4"/>
      <c r="V86" s="12">
        <f>IF(T$12=0,0,T86/T$12)</f>
        <v>0.12673138452836488</v>
      </c>
      <c r="W86" s="4"/>
      <c r="X86" s="4">
        <f>+P86-T86</f>
        <v>-5649.3500000000022</v>
      </c>
      <c r="Y86" s="4"/>
      <c r="Z86" s="12">
        <f>IF(T86=0,0,X86/T86)</f>
        <v>-0.15189282929583531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8" t="s">
        <v>4</v>
      </c>
      <c r="C88" s="28"/>
      <c r="D88" s="30">
        <f>+D84-D86</f>
        <v>6044.6299999999956</v>
      </c>
      <c r="E88" s="14"/>
      <c r="F88" s="32">
        <f>IF(D$12=0,0,D88/D$12)</f>
        <v>0.10298255390900207</v>
      </c>
      <c r="G88" s="14"/>
      <c r="H88" s="30">
        <f>+H84-H86</f>
        <v>80.297572399998899</v>
      </c>
      <c r="I88" s="14"/>
      <c r="J88" s="32">
        <f>IF(H$12=0,0,H88/H$12)</f>
        <v>1.5629393568981412E-3</v>
      </c>
      <c r="K88" s="16"/>
      <c r="L88" s="30">
        <f>D88-H88</f>
        <v>5964.3324275999967</v>
      </c>
      <c r="M88" s="16"/>
      <c r="N88" s="32">
        <f>IF(H88=0,0,L88/H88)</f>
        <v>74.277867304492489</v>
      </c>
      <c r="O88" s="29"/>
      <c r="P88" s="30">
        <f>+P84-P86</f>
        <v>27308.709999999959</v>
      </c>
      <c r="Q88" s="14"/>
      <c r="R88" s="32">
        <f>IF(P$12=0,0,P88/P$12)</f>
        <v>9.1676393965803529E-2</v>
      </c>
      <c r="S88" s="14"/>
      <c r="T88" s="30">
        <f>+T84-T86</f>
        <v>17003.847829700011</v>
      </c>
      <c r="U88" s="14"/>
      <c r="V88" s="32">
        <f>IF(T$12=0,0,T88/T$12)</f>
        <v>5.7938891129177932E-2</v>
      </c>
      <c r="W88" s="16"/>
      <c r="X88" s="30">
        <f>P88-T88</f>
        <v>10304.862170299948</v>
      </c>
      <c r="Y88" s="16"/>
      <c r="Z88" s="32">
        <f>IF(T88=0,0,X88/T88)</f>
        <v>0.60603119208705303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8" t="s">
        <v>5</v>
      </c>
      <c r="C91" s="28"/>
      <c r="D91" s="31">
        <f>SUM(D88:D90)</f>
        <v>6044.6299999999956</v>
      </c>
      <c r="E91" s="14"/>
      <c r="F91" s="35">
        <f>IF(D$12=0,0,D91/D$12)</f>
        <v>0.10298255390900207</v>
      </c>
      <c r="G91" s="14"/>
      <c r="H91" s="31">
        <f>SUM(H88:H90)</f>
        <v>80.297572399998899</v>
      </c>
      <c r="I91" s="14"/>
      <c r="J91" s="35">
        <f>IF(H$12=0,0,H91/H$12)</f>
        <v>1.5629393568981412E-3</v>
      </c>
      <c r="K91" s="16"/>
      <c r="L91" s="31">
        <f>+D91-H91</f>
        <v>5964.3324275999967</v>
      </c>
      <c r="M91" s="16"/>
      <c r="N91" s="35">
        <f>IF(H91=0,0,L91/H91)</f>
        <v>74.277867304492489</v>
      </c>
      <c r="O91" s="29"/>
      <c r="P91" s="31">
        <f>SUM(P88:P90)</f>
        <v>27308.709999999959</v>
      </c>
      <c r="Q91" s="14"/>
      <c r="R91" s="35">
        <f>IF(P$12=0,0,P91/P$12)</f>
        <v>9.1676393965803529E-2</v>
      </c>
      <c r="S91" s="14"/>
      <c r="T91" s="31">
        <f>SUM(T88:T90)</f>
        <v>17003.847829700011</v>
      </c>
      <c r="U91" s="14"/>
      <c r="V91" s="35">
        <f>IF(T$12=0,0,T91/T$12)</f>
        <v>5.7938891129177932E-2</v>
      </c>
      <c r="W91" s="16"/>
      <c r="X91" s="31">
        <f>+P91-T91</f>
        <v>10304.862170299948</v>
      </c>
      <c r="Y91" s="16"/>
      <c r="Z91" s="35">
        <f>IF(T91=0,0,X91/T91)</f>
        <v>0.60603119208705303</v>
      </c>
    </row>
    <row r="92" spans="1:26" ht="15.75" thickTop="1" x14ac:dyDescent="0.25">
      <c r="A92" s="9"/>
      <c r="C92" s="9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56">
        <v>43815.483717905096</v>
      </c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62" t="s">
        <v>314</v>
      </c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58"/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","321", " - ", "Student Union C-Store")</f>
        <v>Department 321 - Student Union C-Store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33948.630000000005</v>
      </c>
      <c r="E12" s="4"/>
      <c r="F12" s="12"/>
      <c r="G12" s="4"/>
      <c r="H12" s="4">
        <f>SUM(OSRRefH13x_0)</f>
        <v>25274</v>
      </c>
      <c r="I12" s="4"/>
      <c r="J12" s="12"/>
      <c r="K12" s="4"/>
      <c r="L12" s="4">
        <f t="shared" ref="L12:L15" si="0">+D12-H12</f>
        <v>8674.6300000000047</v>
      </c>
      <c r="M12" s="4"/>
      <c r="N12" s="12">
        <f t="shared" ref="N12:N15" si="1">IF(H12=0,0,L12/H12)</f>
        <v>0.3432234707604655</v>
      </c>
      <c r="O12" s="10"/>
      <c r="P12" s="4">
        <f>SUM(OSRRefP13x_0)</f>
        <v>168134.68</v>
      </c>
      <c r="Q12" s="4"/>
      <c r="R12" s="12"/>
      <c r="S12" s="4"/>
      <c r="T12" s="4">
        <f>SUM(OSRRefT13x_0)</f>
        <v>147404</v>
      </c>
      <c r="U12" s="4"/>
      <c r="V12" s="12"/>
      <c r="W12" s="4"/>
      <c r="X12" s="4">
        <f t="shared" ref="X12:X15" si="2">+P12-T12</f>
        <v>20730.679999999993</v>
      </c>
      <c r="Y12" s="4"/>
      <c r="Z12" s="12">
        <f t="shared" ref="Z12:Z15" si="3">IF(T12=0,0,X12/T12)</f>
        <v>0.14063851727225851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--6560.59</f>
        <v>6560.59</v>
      </c>
      <c r="E13" s="2"/>
      <c r="F13" s="19"/>
      <c r="G13" s="2"/>
      <c r="H13" s="2"/>
      <c r="I13" s="2"/>
      <c r="J13" s="19"/>
      <c r="K13" s="2"/>
      <c r="L13" s="2">
        <f t="shared" si="0"/>
        <v>6560.59</v>
      </c>
      <c r="M13" s="2"/>
      <c r="N13" s="19">
        <f t="shared" si="1"/>
        <v>0</v>
      </c>
      <c r="O13" s="11"/>
      <c r="P13" s="2">
        <f>--37750.31</f>
        <v>37750.31</v>
      </c>
      <c r="Q13" s="2"/>
      <c r="R13" s="19"/>
      <c r="S13" s="2"/>
      <c r="T13" s="2"/>
      <c r="U13" s="2"/>
      <c r="V13" s="19"/>
      <c r="W13" s="2"/>
      <c r="X13" s="2">
        <f t="shared" si="2"/>
        <v>37750.31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25274</v>
      </c>
      <c r="I14" s="2"/>
      <c r="J14" s="19"/>
      <c r="K14" s="2"/>
      <c r="L14" s="2">
        <f t="shared" si="0"/>
        <v>-25274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147404</v>
      </c>
      <c r="U14" s="2"/>
      <c r="V14" s="19"/>
      <c r="W14" s="2"/>
      <c r="X14" s="2">
        <f t="shared" si="2"/>
        <v>-147404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>--27388.04</f>
        <v>27388.04</v>
      </c>
      <c r="E15" s="2"/>
      <c r="F15" s="19"/>
      <c r="G15" s="2"/>
      <c r="H15" s="2"/>
      <c r="I15" s="2"/>
      <c r="J15" s="19"/>
      <c r="K15" s="2"/>
      <c r="L15" s="2">
        <f t="shared" si="0"/>
        <v>27388.04</v>
      </c>
      <c r="M15" s="2"/>
      <c r="N15" s="19">
        <f t="shared" si="1"/>
        <v>0</v>
      </c>
      <c r="O15" s="11"/>
      <c r="P15" s="2">
        <f>--130384.37</f>
        <v>130384.37</v>
      </c>
      <c r="Q15" s="2"/>
      <c r="R15" s="19"/>
      <c r="S15" s="2"/>
      <c r="T15" s="2"/>
      <c r="U15" s="2"/>
      <c r="V15" s="19"/>
      <c r="W15" s="2"/>
      <c r="X15" s="2">
        <f t="shared" si="2"/>
        <v>130384.37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15688.05</v>
      </c>
      <c r="E17" s="4"/>
      <c r="F17" s="12">
        <f t="shared" ref="F17:F20" si="4">IF(D$12=0,0,D17/D$12)</f>
        <v>0.46211143130076227</v>
      </c>
      <c r="G17" s="4"/>
      <c r="H17" s="4">
        <f>SUM(OSRRefH16x_0)</f>
        <v>12081</v>
      </c>
      <c r="I17" s="4"/>
      <c r="J17" s="12">
        <f t="shared" ref="J17:J20" si="5">IF(H$12=0,0,H17/H$12)</f>
        <v>0.47800110785787764</v>
      </c>
      <c r="K17" s="4"/>
      <c r="L17" s="4">
        <f t="shared" ref="L17:L20" si="6">+D17-H17</f>
        <v>3607.0499999999993</v>
      </c>
      <c r="M17" s="4"/>
      <c r="N17" s="12">
        <f t="shared" ref="N17:N20" si="7">IF(H17=0,0,L17/H17)</f>
        <v>0.29857213806804067</v>
      </c>
      <c r="O17" s="10"/>
      <c r="P17" s="4">
        <f>SUM(OSRRefP16x_0)</f>
        <v>81382.259999999995</v>
      </c>
      <c r="Q17" s="4"/>
      <c r="R17" s="12">
        <f t="shared" ref="R17:R20" si="8">IF(P$12=0,0,P17/P$12)</f>
        <v>0.48403018342200432</v>
      </c>
      <c r="S17" s="4"/>
      <c r="T17" s="4">
        <f>SUM(OSRRefT16x_0)</f>
        <v>70459</v>
      </c>
      <c r="U17" s="4"/>
      <c r="V17" s="12">
        <f t="shared" ref="V17:V20" si="9">IF(T$12=0,0,T17/T$12)</f>
        <v>0.47799924018344142</v>
      </c>
      <c r="W17" s="4"/>
      <c r="X17" s="4">
        <f t="shared" ref="X17:X20" si="10">+P17-T17</f>
        <v>10923.259999999995</v>
      </c>
      <c r="Y17" s="4"/>
      <c r="Z17" s="12">
        <f t="shared" ref="Z17:Z20" si="11">IF(T17=0,0,X17/T17)</f>
        <v>0.15503001745696071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12081</v>
      </c>
      <c r="I18" s="2"/>
      <c r="J18" s="19">
        <f t="shared" si="5"/>
        <v>0.47800110785787764</v>
      </c>
      <c r="K18" s="2"/>
      <c r="L18" s="2">
        <f t="shared" si="6"/>
        <v>-12081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70459</v>
      </c>
      <c r="U18" s="2"/>
      <c r="V18" s="19">
        <f t="shared" si="9"/>
        <v>0.47799924018344142</v>
      </c>
      <c r="W18" s="2"/>
      <c r="X18" s="2">
        <f t="shared" si="10"/>
        <v>-70459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12632.5</v>
      </c>
      <c r="E19" s="2"/>
      <c r="F19" s="19">
        <f t="shared" si="4"/>
        <v>0.37210632652922954</v>
      </c>
      <c r="G19" s="2"/>
      <c r="H19" s="2"/>
      <c r="I19" s="2"/>
      <c r="J19" s="19">
        <f t="shared" si="5"/>
        <v>0</v>
      </c>
      <c r="K19" s="2"/>
      <c r="L19" s="2">
        <f t="shared" si="6"/>
        <v>12632.5</v>
      </c>
      <c r="M19" s="2"/>
      <c r="N19" s="19">
        <f t="shared" si="7"/>
        <v>0</v>
      </c>
      <c r="O19" s="11"/>
      <c r="P19" s="2">
        <v>79329.7</v>
      </c>
      <c r="Q19" s="2"/>
      <c r="R19" s="19">
        <f t="shared" si="8"/>
        <v>0.47182235098672087</v>
      </c>
      <c r="S19" s="2"/>
      <c r="T19" s="2"/>
      <c r="U19" s="2"/>
      <c r="V19" s="19">
        <f t="shared" si="9"/>
        <v>0</v>
      </c>
      <c r="W19" s="2"/>
      <c r="X19" s="2">
        <f t="shared" si="10"/>
        <v>79329.7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3055.55</v>
      </c>
      <c r="E20" s="2"/>
      <c r="F20" s="19">
        <f t="shared" si="4"/>
        <v>9.0005104771532743E-2</v>
      </c>
      <c r="G20" s="2"/>
      <c r="H20" s="2"/>
      <c r="I20" s="2"/>
      <c r="J20" s="19">
        <f t="shared" si="5"/>
        <v>0</v>
      </c>
      <c r="K20" s="2"/>
      <c r="L20" s="2">
        <f t="shared" si="6"/>
        <v>3055.55</v>
      </c>
      <c r="M20" s="2"/>
      <c r="N20" s="19">
        <f t="shared" si="7"/>
        <v>0</v>
      </c>
      <c r="O20" s="11"/>
      <c r="P20" s="2">
        <v>2052.56</v>
      </c>
      <c r="Q20" s="2"/>
      <c r="R20" s="19">
        <f t="shared" si="8"/>
        <v>1.2207832435283429E-2</v>
      </c>
      <c r="S20" s="2"/>
      <c r="T20" s="2"/>
      <c r="U20" s="2"/>
      <c r="V20" s="19">
        <f t="shared" si="9"/>
        <v>0</v>
      </c>
      <c r="W20" s="2"/>
      <c r="X20" s="2">
        <f t="shared" si="10"/>
        <v>2052.56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0">
        <f>D12-D17</f>
        <v>18260.580000000005</v>
      </c>
      <c r="E22" s="14"/>
      <c r="F22" s="22">
        <f>IF(D$12=0,0,D22/D$12)</f>
        <v>0.53788856869923773</v>
      </c>
      <c r="G22" s="14"/>
      <c r="H22" s="20">
        <f>H12-H17</f>
        <v>13193</v>
      </c>
      <c r="I22" s="14"/>
      <c r="J22" s="22">
        <f>IF(H$12=0,0,H22/H$12)</f>
        <v>0.52199889214212236</v>
      </c>
      <c r="K22" s="16"/>
      <c r="L22" s="20">
        <f>+D22-H22</f>
        <v>5067.5800000000054</v>
      </c>
      <c r="M22" s="16"/>
      <c r="N22" s="22">
        <f>IF(H22=0,0,L22/H22)</f>
        <v>0.38411127112862925</v>
      </c>
      <c r="O22" s="29"/>
      <c r="P22" s="20">
        <f>P12-P17</f>
        <v>86752.42</v>
      </c>
      <c r="Q22" s="14"/>
      <c r="R22" s="22">
        <f>IF(P$12=0,0,P22/P$12)</f>
        <v>0.51596981657799568</v>
      </c>
      <c r="S22" s="14"/>
      <c r="T22" s="20">
        <f>T12-T17</f>
        <v>76945</v>
      </c>
      <c r="U22" s="14"/>
      <c r="V22" s="22">
        <f>IF(T$12=0,0,T22/T$12)</f>
        <v>0.52200075981655858</v>
      </c>
      <c r="W22" s="16"/>
      <c r="X22" s="20">
        <f>+P22-T22</f>
        <v>9807.4199999999983</v>
      </c>
      <c r="Y22" s="16"/>
      <c r="Z22" s="22">
        <f>IF(T22=0,0,X22/T22)</f>
        <v>0.12746013386184935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11635.26</v>
      </c>
      <c r="E24" s="21"/>
      <c r="F24" s="33">
        <f t="shared" ref="F24:F33" si="12">IF(D$12=0,0,D24/D$12)</f>
        <v>0.34273135616960093</v>
      </c>
      <c r="G24" s="21"/>
      <c r="H24" s="21">
        <f>SUM(OSRRefH22x_0)</f>
        <v>12383.96910538462</v>
      </c>
      <c r="I24" s="21"/>
      <c r="J24" s="33">
        <f t="shared" ref="J24:J33" si="13">IF(H$12=0,0,H24/H$12)</f>
        <v>0.48998849036102793</v>
      </c>
      <c r="K24" s="4"/>
      <c r="L24" s="21">
        <f t="shared" ref="L24:L33" si="14">+D24-H24</f>
        <v>-748.70910538461976</v>
      </c>
      <c r="M24" s="4"/>
      <c r="N24" s="33">
        <f t="shared" ref="N24:N33" si="15">IF(H24=0,0,L24/H24)</f>
        <v>-6.0457927423210121E-2</v>
      </c>
      <c r="O24" s="10"/>
      <c r="P24" s="21">
        <f>SUM(OSRRefP22x_0)</f>
        <v>64883.139999999992</v>
      </c>
      <c r="Q24" s="21"/>
      <c r="R24" s="33">
        <f t="shared" ref="R24:R33" si="16">IF(P$12=0,0,P24/P$12)</f>
        <v>0.38589980365740129</v>
      </c>
      <c r="S24" s="21"/>
      <c r="T24" s="21">
        <f>SUM(OSRRefT22x_0)</f>
        <v>66358.554429615397</v>
      </c>
      <c r="U24" s="21"/>
      <c r="V24" s="33">
        <f t="shared" ref="V24:V33" si="17">IF(T$12=0,0,T24/T$12)</f>
        <v>0.45018150409497298</v>
      </c>
      <c r="W24" s="4"/>
      <c r="X24" s="21">
        <f t="shared" ref="X24:X33" si="18">+P24-T24</f>
        <v>-1475.4144296154045</v>
      </c>
      <c r="Y24" s="4"/>
      <c r="Z24" s="33">
        <f t="shared" ref="Z24:Z33" si="19">IF(T24=0,0,X24/T24)</f>
        <v>-2.2233974840129074E-2</v>
      </c>
    </row>
    <row r="25" spans="1:26" s="26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2384.19</v>
      </c>
      <c r="E25" s="1"/>
      <c r="F25" s="5">
        <f t="shared" si="12"/>
        <v>7.0229343569976163E-2</v>
      </c>
      <c r="G25" s="1"/>
      <c r="H25" s="1">
        <f>SUM(OSRRefH22_0x_0)</f>
        <v>1375.7344899999998</v>
      </c>
      <c r="I25" s="1"/>
      <c r="J25" s="5">
        <f t="shared" si="13"/>
        <v>5.4432796154150503E-2</v>
      </c>
      <c r="K25" s="1"/>
      <c r="L25" s="1">
        <f t="shared" si="14"/>
        <v>1008.4555100000002</v>
      </c>
      <c r="M25" s="1"/>
      <c r="N25" s="5">
        <f t="shared" si="15"/>
        <v>0.73303062279117559</v>
      </c>
      <c r="O25" s="13"/>
      <c r="P25" s="1">
        <f>SUM(OSRRefP22_0x_0)</f>
        <v>8893.92</v>
      </c>
      <c r="Q25" s="1"/>
      <c r="R25" s="5">
        <f t="shared" si="16"/>
        <v>5.2897593762333862E-2</v>
      </c>
      <c r="S25" s="1"/>
      <c r="T25" s="1">
        <f>SUM(OSRRefT22_0x_0)</f>
        <v>7246.014044999999</v>
      </c>
      <c r="U25" s="1"/>
      <c r="V25" s="5">
        <f t="shared" si="17"/>
        <v>4.9157512991506329E-2</v>
      </c>
      <c r="W25" s="1"/>
      <c r="X25" s="1">
        <f t="shared" si="18"/>
        <v>1647.9059550000011</v>
      </c>
      <c r="Y25" s="1"/>
      <c r="Z25" s="5">
        <f t="shared" si="19"/>
        <v>0.22742240696277885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6">
        <v>236.25</v>
      </c>
      <c r="E26" s="2"/>
      <c r="F26" s="7">
        <f t="shared" si="12"/>
        <v>6.9590437080966142E-3</v>
      </c>
      <c r="G26" s="2"/>
      <c r="H26" s="6">
        <v>151.34690538461498</v>
      </c>
      <c r="I26" s="2"/>
      <c r="J26" s="7">
        <f t="shared" si="13"/>
        <v>5.9882450496405388E-3</v>
      </c>
      <c r="K26" s="2"/>
      <c r="L26" s="6">
        <f t="shared" si="14"/>
        <v>84.903094615385015</v>
      </c>
      <c r="M26" s="2"/>
      <c r="N26" s="7">
        <f t="shared" si="15"/>
        <v>0.56098335410045164</v>
      </c>
      <c r="O26" s="11"/>
      <c r="P26" s="6">
        <v>1481.21</v>
      </c>
      <c r="Q26" s="2"/>
      <c r="R26" s="7">
        <f t="shared" si="16"/>
        <v>8.8096637766818843E-3</v>
      </c>
      <c r="S26" s="2"/>
      <c r="T26" s="6">
        <v>969.01402961538292</v>
      </c>
      <c r="U26" s="2"/>
      <c r="V26" s="7">
        <f t="shared" si="17"/>
        <v>6.5738652249286511E-3</v>
      </c>
      <c r="W26" s="2"/>
      <c r="X26" s="6">
        <f t="shared" si="18"/>
        <v>512.19597038461711</v>
      </c>
      <c r="Y26" s="2"/>
      <c r="Z26" s="7">
        <f t="shared" si="19"/>
        <v>0.52857435984483714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6">
        <v>131.85</v>
      </c>
      <c r="E27" s="2"/>
      <c r="F27" s="7">
        <f t="shared" si="12"/>
        <v>3.8838091551853483E-3</v>
      </c>
      <c r="G27" s="2"/>
      <c r="H27" s="6">
        <v>119.398192307692</v>
      </c>
      <c r="I27" s="2"/>
      <c r="J27" s="7">
        <f t="shared" si="13"/>
        <v>4.7241509973764339E-3</v>
      </c>
      <c r="K27" s="2"/>
      <c r="L27" s="6">
        <f t="shared" si="14"/>
        <v>12.451807692307995</v>
      </c>
      <c r="M27" s="2"/>
      <c r="N27" s="7">
        <f t="shared" si="15"/>
        <v>0.10428807548626355</v>
      </c>
      <c r="O27" s="11"/>
      <c r="P27" s="6">
        <v>492.47</v>
      </c>
      <c r="Q27" s="2"/>
      <c r="R27" s="7">
        <f t="shared" si="16"/>
        <v>2.9290209491581393E-3</v>
      </c>
      <c r="S27" s="2"/>
      <c r="T27" s="6">
        <v>615.49330769230676</v>
      </c>
      <c r="U27" s="2"/>
      <c r="V27" s="7">
        <f t="shared" si="17"/>
        <v>4.1755536328207292E-3</v>
      </c>
      <c r="W27" s="2"/>
      <c r="X27" s="6">
        <f t="shared" si="18"/>
        <v>-123.02330769230673</v>
      </c>
      <c r="Y27" s="2"/>
      <c r="Z27" s="7">
        <f t="shared" si="19"/>
        <v>-0.19987757162391068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6">
        <v>935.3</v>
      </c>
      <c r="E28" s="2"/>
      <c r="F28" s="7">
        <f t="shared" si="12"/>
        <v>2.7550449016646616E-2</v>
      </c>
      <c r="G28" s="2"/>
      <c r="H28" s="6">
        <v>690.5</v>
      </c>
      <c r="I28" s="2"/>
      <c r="J28" s="7">
        <f t="shared" si="13"/>
        <v>2.7320566590171718E-2</v>
      </c>
      <c r="K28" s="2"/>
      <c r="L28" s="6">
        <f t="shared" si="14"/>
        <v>244.79999999999995</v>
      </c>
      <c r="M28" s="2"/>
      <c r="N28" s="7">
        <f t="shared" si="15"/>
        <v>0.3545257060101375</v>
      </c>
      <c r="O28" s="11"/>
      <c r="P28" s="6">
        <v>4676.5</v>
      </c>
      <c r="Q28" s="2"/>
      <c r="R28" s="7">
        <f t="shared" si="16"/>
        <v>2.7814011957556884E-2</v>
      </c>
      <c r="S28" s="2"/>
      <c r="T28" s="6">
        <v>3452.5</v>
      </c>
      <c r="U28" s="2"/>
      <c r="V28" s="7">
        <f t="shared" si="17"/>
        <v>2.3422023825676371E-2</v>
      </c>
      <c r="W28" s="2"/>
      <c r="X28" s="6">
        <f t="shared" si="18"/>
        <v>1224</v>
      </c>
      <c r="Y28" s="2"/>
      <c r="Z28" s="7">
        <f t="shared" si="19"/>
        <v>0.35452570601013761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6">
        <v>18.04</v>
      </c>
      <c r="E29" s="2"/>
      <c r="F29" s="7">
        <f t="shared" si="12"/>
        <v>5.3139110473677425E-4</v>
      </c>
      <c r="G29" s="2"/>
      <c r="H29" s="6">
        <v>16.338699999999999</v>
      </c>
      <c r="I29" s="2"/>
      <c r="J29" s="7">
        <f t="shared" si="13"/>
        <v>6.4646276806204007E-4</v>
      </c>
      <c r="K29" s="2"/>
      <c r="L29" s="6">
        <f t="shared" si="14"/>
        <v>1.7012999999999998</v>
      </c>
      <c r="M29" s="2"/>
      <c r="N29" s="7">
        <f t="shared" si="15"/>
        <v>0.10412701132893069</v>
      </c>
      <c r="O29" s="11"/>
      <c r="P29" s="6">
        <v>75.87</v>
      </c>
      <c r="Q29" s="2"/>
      <c r="R29" s="7">
        <f t="shared" si="16"/>
        <v>4.5124539446591275E-4</v>
      </c>
      <c r="S29" s="2"/>
      <c r="T29" s="6">
        <v>84.225399999999993</v>
      </c>
      <c r="U29" s="2"/>
      <c r="V29" s="7">
        <f t="shared" si="17"/>
        <v>5.7139154975441634E-4</v>
      </c>
      <c r="W29" s="2"/>
      <c r="X29" s="6">
        <f t="shared" si="18"/>
        <v>-8.3553999999999888</v>
      </c>
      <c r="Y29" s="2"/>
      <c r="Z29" s="7">
        <f t="shared" si="19"/>
        <v>-9.9202853296036467E-2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6">
        <v>134.11000000000001</v>
      </c>
      <c r="E30" s="2"/>
      <c r="F30" s="7">
        <f t="shared" si="12"/>
        <v>3.9503803246257654E-3</v>
      </c>
      <c r="G30" s="2"/>
      <c r="H30" s="6">
        <v>170.074923076923</v>
      </c>
      <c r="I30" s="2"/>
      <c r="J30" s="7">
        <f t="shared" si="13"/>
        <v>6.7292444044046449E-3</v>
      </c>
      <c r="K30" s="2"/>
      <c r="L30" s="6">
        <f t="shared" si="14"/>
        <v>-35.964923076922986</v>
      </c>
      <c r="M30" s="2"/>
      <c r="N30" s="7">
        <f t="shared" si="15"/>
        <v>-0.21146517326752781</v>
      </c>
      <c r="O30" s="11"/>
      <c r="P30" s="6">
        <v>670.55</v>
      </c>
      <c r="Q30" s="2"/>
      <c r="R30" s="7">
        <f t="shared" si="16"/>
        <v>3.9881718631754022E-3</v>
      </c>
      <c r="S30" s="2"/>
      <c r="T30" s="6">
        <v>935.41207692307705</v>
      </c>
      <c r="U30" s="2"/>
      <c r="V30" s="7">
        <f t="shared" si="17"/>
        <v>6.345907010142717E-3</v>
      </c>
      <c r="W30" s="2"/>
      <c r="X30" s="6">
        <f t="shared" si="18"/>
        <v>-264.8620769230771</v>
      </c>
      <c r="Y30" s="2"/>
      <c r="Z30" s="7">
        <f t="shared" si="19"/>
        <v>-0.28315015751593492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>
        <v>840.08</v>
      </c>
      <c r="E32" s="2"/>
      <c r="F32" s="7">
        <f t="shared" si="12"/>
        <v>2.4745623019249964E-2</v>
      </c>
      <c r="G32" s="2"/>
      <c r="H32" s="6">
        <v>39.5523076923077</v>
      </c>
      <c r="I32" s="2"/>
      <c r="J32" s="7">
        <f t="shared" si="13"/>
        <v>1.564940559163872E-3</v>
      </c>
      <c r="K32" s="2"/>
      <c r="L32" s="6">
        <f t="shared" si="14"/>
        <v>800.52769230769229</v>
      </c>
      <c r="M32" s="2"/>
      <c r="N32" s="7">
        <f t="shared" si="15"/>
        <v>20.239721498307983</v>
      </c>
      <c r="O32" s="11"/>
      <c r="P32" s="6">
        <v>1098.8</v>
      </c>
      <c r="Q32" s="2"/>
      <c r="R32" s="7">
        <f t="shared" si="16"/>
        <v>6.5352371087273606E-3</v>
      </c>
      <c r="S32" s="2"/>
      <c r="T32" s="6">
        <v>217.53769230769228</v>
      </c>
      <c r="U32" s="2"/>
      <c r="V32" s="7">
        <f t="shared" si="17"/>
        <v>1.4757923279401664E-3</v>
      </c>
      <c r="W32" s="2"/>
      <c r="X32" s="6">
        <f t="shared" si="18"/>
        <v>881.26230769230767</v>
      </c>
      <c r="Y32" s="2"/>
      <c r="Z32" s="7">
        <f t="shared" si="19"/>
        <v>4.0510786813248991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>
        <v>88.56</v>
      </c>
      <c r="E33" s="2"/>
      <c r="F33" s="7">
        <f t="shared" si="12"/>
        <v>2.6086472414350737E-3</v>
      </c>
      <c r="G33" s="2"/>
      <c r="H33" s="6">
        <v>188.52346153846202</v>
      </c>
      <c r="I33" s="2"/>
      <c r="J33" s="7">
        <f t="shared" si="13"/>
        <v>7.4591857853312498E-3</v>
      </c>
      <c r="K33" s="2"/>
      <c r="L33" s="6">
        <f t="shared" si="14"/>
        <v>-99.963461538462013</v>
      </c>
      <c r="M33" s="2"/>
      <c r="N33" s="7">
        <f t="shared" si="15"/>
        <v>-0.53024414427096522</v>
      </c>
      <c r="O33" s="11"/>
      <c r="P33" s="6">
        <v>398.52</v>
      </c>
      <c r="Q33" s="2"/>
      <c r="R33" s="7">
        <f t="shared" si="16"/>
        <v>2.3702427125682816E-3</v>
      </c>
      <c r="S33" s="2"/>
      <c r="T33" s="6">
        <v>971.83153846153994</v>
      </c>
      <c r="U33" s="2"/>
      <c r="V33" s="7">
        <f t="shared" si="17"/>
        <v>6.5929794202432765E-3</v>
      </c>
      <c r="W33" s="2"/>
      <c r="X33" s="6">
        <f t="shared" si="18"/>
        <v>-573.31153846153995</v>
      </c>
      <c r="Y33" s="2"/>
      <c r="Z33" s="7">
        <f t="shared" si="19"/>
        <v>-0.58992892880295078</v>
      </c>
    </row>
    <row r="34" spans="1:26" s="26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6001.04</v>
      </c>
      <c r="E34" s="1"/>
      <c r="F34" s="5">
        <f t="shared" ref="F34:F44" si="20">IF(D$12=0,0,D34/D$12)</f>
        <v>0.17676825250385653</v>
      </c>
      <c r="G34" s="1"/>
      <c r="H34" s="1">
        <f>SUM(OSRRefH22_1x_0)</f>
        <v>6185.2346153846202</v>
      </c>
      <c r="I34" s="1"/>
      <c r="J34" s="5">
        <f t="shared" ref="J34:J44" si="21">IF(H$12=0,0,H34/H$12)</f>
        <v>0.24472717477979822</v>
      </c>
      <c r="K34" s="1"/>
      <c r="L34" s="1">
        <f t="shared" ref="L34:L44" si="22">+D34-H34</f>
        <v>-184.19461538462019</v>
      </c>
      <c r="M34" s="1"/>
      <c r="N34" s="5">
        <f t="shared" ref="N34:N44" si="23">IF(H34=0,0,L34/H34)</f>
        <v>-2.9779729765863749E-2</v>
      </c>
      <c r="O34" s="13"/>
      <c r="P34" s="1">
        <f>SUM(OSRRefP22_1x_0)</f>
        <v>31639.910000000003</v>
      </c>
      <c r="Q34" s="1"/>
      <c r="R34" s="5">
        <f t="shared" ref="R34:R44" si="24">IF(P$12=0,0,P34/P$12)</f>
        <v>0.18818193843173819</v>
      </c>
      <c r="S34" s="1"/>
      <c r="T34" s="1">
        <f>SUM(OSRRefT22_1x_0)</f>
        <v>31850.5403846154</v>
      </c>
      <c r="U34" s="1"/>
      <c r="V34" s="5">
        <f t="shared" ref="V34:V44" si="25">IF(T$12=0,0,T34/T$12)</f>
        <v>0.21607649985492525</v>
      </c>
      <c r="W34" s="1"/>
      <c r="X34" s="1">
        <f t="shared" ref="X34:X44" si="26">+P34-T34</f>
        <v>-210.63038461539691</v>
      </c>
      <c r="Y34" s="1"/>
      <c r="Z34" s="5">
        <f t="shared" ref="Z34:Z44" si="27">IF(T34=0,0,X34/T34)</f>
        <v>-6.6130866877579441E-3</v>
      </c>
    </row>
    <row r="35" spans="1:26" s="24" customFormat="1" hidden="1" outlineLevel="2" x14ac:dyDescent="0.25">
      <c r="A35" s="25"/>
      <c r="B35" s="11" t="str">
        <f>CONCATENATE("          ", "6001", " - ", "ADMINISTRATIVE SALARIES")</f>
        <v xml:space="preserve">          6001 - ADMINISTRATIVE SALARIES</v>
      </c>
      <c r="C35" s="11"/>
      <c r="D35" s="6"/>
      <c r="E35" s="2"/>
      <c r="F35" s="7">
        <f t="shared" si="20"/>
        <v>0</v>
      </c>
      <c r="G35" s="2"/>
      <c r="H35" s="6">
        <v>1878.7346153846199</v>
      </c>
      <c r="I35" s="2"/>
      <c r="J35" s="7">
        <f t="shared" si="21"/>
        <v>7.4334676560284085E-2</v>
      </c>
      <c r="K35" s="2"/>
      <c r="L35" s="6">
        <f t="shared" si="22"/>
        <v>-1878.7346153846199</v>
      </c>
      <c r="M35" s="2"/>
      <c r="N35" s="7">
        <f t="shared" si="23"/>
        <v>-1</v>
      </c>
      <c r="O35" s="11"/>
      <c r="P35" s="6"/>
      <c r="Q35" s="2"/>
      <c r="R35" s="7">
        <f t="shared" si="24"/>
        <v>0</v>
      </c>
      <c r="S35" s="2"/>
      <c r="T35" s="6">
        <v>10333.040384615399</v>
      </c>
      <c r="U35" s="2"/>
      <c r="V35" s="7">
        <f t="shared" si="25"/>
        <v>7.010013557715801E-2</v>
      </c>
      <c r="W35" s="2"/>
      <c r="X35" s="6">
        <f t="shared" si="26"/>
        <v>-10333.040384615399</v>
      </c>
      <c r="Y35" s="2"/>
      <c r="Z35" s="7">
        <f t="shared" si="27"/>
        <v>-1</v>
      </c>
    </row>
    <row r="36" spans="1:26" s="24" customFormat="1" hidden="1" outlineLevel="2" x14ac:dyDescent="0.25">
      <c r="A36" s="25"/>
      <c r="B36" s="11" t="str">
        <f>CONCATENATE("          ", "6002", " - ", "STAFF SALARIES")</f>
        <v xml:space="preserve">          6002 - STAFF SALARIES</v>
      </c>
      <c r="C36" s="11"/>
      <c r="D36" s="6">
        <v>1824</v>
      </c>
      <c r="E36" s="2"/>
      <c r="F36" s="7">
        <f t="shared" si="20"/>
        <v>5.3728235866955451E-2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1824</v>
      </c>
      <c r="M36" s="2"/>
      <c r="N36" s="7">
        <f t="shared" si="23"/>
        <v>0</v>
      </c>
      <c r="O36" s="11"/>
      <c r="P36" s="6">
        <v>10272</v>
      </c>
      <c r="Q36" s="2"/>
      <c r="R36" s="7">
        <f t="shared" si="24"/>
        <v>6.1093880215551011E-2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10272</v>
      </c>
      <c r="Y36" s="2"/>
      <c r="Z36" s="7">
        <f t="shared" si="27"/>
        <v>0</v>
      </c>
    </row>
    <row r="37" spans="1:26" s="24" customFormat="1" hidden="1" outlineLevel="2" x14ac:dyDescent="0.25">
      <c r="A37" s="25"/>
      <c r="B37" s="11" t="str">
        <f>CONCATENATE("          ", "6003", " - ", "STAFF HOURLY-9 MONTH")</f>
        <v xml:space="preserve">          6003 - STAFF HOURLY-9 MONTH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"6004", " - ", "STAFF HOURLY")</f>
        <v xml:space="preserve">          6004 - STAFF HOURLY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"6005", " - ", "TEMPORARY WAGES-HOURLY")</f>
        <v xml:space="preserve">          6005 - TEMPORARY WAGES-HOURLY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>
        <v>1708.78</v>
      </c>
      <c r="Q39" s="2"/>
      <c r="R39" s="7">
        <f t="shared" si="24"/>
        <v>1.0163162055561649E-2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1708.78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"6006", " - ", "TEMPORARY PART TIME")</f>
        <v xml:space="preserve">          6006 - TEMPORARY PART TIME</v>
      </c>
      <c r="C40" s="11"/>
      <c r="D40" s="6">
        <v>1168.23</v>
      </c>
      <c r="E40" s="2"/>
      <c r="F40" s="7">
        <f t="shared" si="20"/>
        <v>3.4411697909459082E-2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1168.23</v>
      </c>
      <c r="M40" s="2"/>
      <c r="N40" s="7">
        <f t="shared" si="23"/>
        <v>0</v>
      </c>
      <c r="O40" s="11"/>
      <c r="P40" s="6">
        <v>5694.48</v>
      </c>
      <c r="Q40" s="2"/>
      <c r="R40" s="7">
        <f t="shared" si="24"/>
        <v>3.3868562987719127E-2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5694.48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"6007", " - ", "STUDENT HOURLY")</f>
        <v xml:space="preserve">          6007 - STUDENT HOURLY</v>
      </c>
      <c r="C41" s="11"/>
      <c r="D41" s="6">
        <v>2903.81</v>
      </c>
      <c r="E41" s="2"/>
      <c r="F41" s="7">
        <f t="shared" si="20"/>
        <v>8.5535410412732396E-2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2903.81</v>
      </c>
      <c r="M41" s="2"/>
      <c r="N41" s="7">
        <f t="shared" si="23"/>
        <v>0</v>
      </c>
      <c r="O41" s="11"/>
      <c r="P41" s="6">
        <v>13276.34</v>
      </c>
      <c r="Q41" s="2"/>
      <c r="R41" s="7">
        <f t="shared" si="24"/>
        <v>7.8962531703750824E-2</v>
      </c>
      <c r="S41" s="2"/>
      <c r="T41" s="6">
        <v>1785</v>
      </c>
      <c r="U41" s="2"/>
      <c r="V41" s="7">
        <f t="shared" si="25"/>
        <v>1.2109576402268596E-2</v>
      </c>
      <c r="W41" s="2"/>
      <c r="X41" s="6">
        <f t="shared" si="26"/>
        <v>11491.34</v>
      </c>
      <c r="Y41" s="2"/>
      <c r="Z41" s="7">
        <f t="shared" si="27"/>
        <v>6.4377254901960788</v>
      </c>
    </row>
    <row r="42" spans="1:26" s="24" customFormat="1" hidden="1" outlineLevel="2" x14ac:dyDescent="0.25">
      <c r="A42" s="25"/>
      <c r="B42" s="11" t="str">
        <f>CONCATENATE("          ", "6008", " - ", "STUDENT HOURLY-FICA EXEMPT")</f>
        <v xml:space="preserve">          6008 - STUDENT HOURLY-FICA EXEMPT</v>
      </c>
      <c r="C42" s="11"/>
      <c r="D42" s="6">
        <v>105</v>
      </c>
      <c r="E42" s="2"/>
      <c r="F42" s="7">
        <f t="shared" si="20"/>
        <v>3.0929083147096066E-3</v>
      </c>
      <c r="G42" s="2"/>
      <c r="H42" s="6">
        <v>4306.5</v>
      </c>
      <c r="I42" s="2"/>
      <c r="J42" s="7">
        <f t="shared" si="21"/>
        <v>0.17039249821951413</v>
      </c>
      <c r="K42" s="2"/>
      <c r="L42" s="6">
        <f t="shared" si="22"/>
        <v>-4201.5</v>
      </c>
      <c r="M42" s="2"/>
      <c r="N42" s="7">
        <f t="shared" si="23"/>
        <v>-0.97561825148032044</v>
      </c>
      <c r="O42" s="11"/>
      <c r="P42" s="6">
        <v>688.31</v>
      </c>
      <c r="Q42" s="2"/>
      <c r="R42" s="7">
        <f t="shared" si="24"/>
        <v>4.0938014691555601E-3</v>
      </c>
      <c r="S42" s="2"/>
      <c r="T42" s="6">
        <v>19732.5</v>
      </c>
      <c r="U42" s="2"/>
      <c r="V42" s="7">
        <f t="shared" si="25"/>
        <v>0.13386678787549863</v>
      </c>
      <c r="W42" s="2"/>
      <c r="X42" s="6">
        <f t="shared" si="26"/>
        <v>-19044.189999999999</v>
      </c>
      <c r="Y42" s="2"/>
      <c r="Z42" s="7">
        <f t="shared" si="27"/>
        <v>-0.96511795261624223</v>
      </c>
    </row>
    <row r="43" spans="1:26" s="24" customFormat="1" hidden="1" outlineLevel="2" x14ac:dyDescent="0.25">
      <c r="A43" s="25"/>
      <c r="B43" s="11" t="str">
        <f>CONCATENATE("          ", "6009", " - ", "TEMPORARY-SEASONAL")</f>
        <v xml:space="preserve">          6009 - TEMPORARY-SEASONAL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"6010", " - ", "GRATUITY")</f>
        <v xml:space="preserve">          6010 - GRATUITY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6" customFormat="1" outlineLevel="1" collapsed="1" x14ac:dyDescent="0.25">
      <c r="A45" s="27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0</v>
      </c>
      <c r="E45" s="1"/>
      <c r="F45" s="5">
        <f t="shared" ref="F45:F62" si="28">IF(D$12=0,0,D45/D$12)</f>
        <v>0</v>
      </c>
      <c r="G45" s="1"/>
      <c r="H45" s="1">
        <f>SUM(OSRRefH22_2x_0)</f>
        <v>0</v>
      </c>
      <c r="I45" s="1"/>
      <c r="J45" s="5">
        <f t="shared" ref="J45:J62" si="29">IF(H$12=0,0,H45/H$12)</f>
        <v>0</v>
      </c>
      <c r="K45" s="1"/>
      <c r="L45" s="1">
        <f t="shared" ref="L45:L62" si="30">+D45-H45</f>
        <v>0</v>
      </c>
      <c r="M45" s="1"/>
      <c r="N45" s="5">
        <f t="shared" ref="N45:N62" si="31">IF(H45=0,0,L45/H45)</f>
        <v>0</v>
      </c>
      <c r="O45" s="13"/>
      <c r="P45" s="1">
        <f>SUM(OSRRefP22_2x_0)</f>
        <v>0</v>
      </c>
      <c r="Q45" s="1"/>
      <c r="R45" s="5">
        <f t="shared" ref="R45:R62" si="32">IF(P$12=0,0,P45/P$12)</f>
        <v>0</v>
      </c>
      <c r="S45" s="1"/>
      <c r="T45" s="1">
        <f>SUM(OSRRefT22_2x_0)</f>
        <v>0</v>
      </c>
      <c r="U45" s="1"/>
      <c r="V45" s="5">
        <f t="shared" ref="V45:V62" si="33">IF(T$12=0,0,T45/T$12)</f>
        <v>0</v>
      </c>
      <c r="W45" s="1"/>
      <c r="X45" s="1">
        <f t="shared" ref="X45:X62" si="34">+P45-T45</f>
        <v>0</v>
      </c>
      <c r="Y45" s="1"/>
      <c r="Z45" s="5">
        <f t="shared" ref="Z45:Z62" si="35">IF(T45=0,0,X45/T45)</f>
        <v>0</v>
      </c>
    </row>
    <row r="46" spans="1:26" s="24" customFormat="1" hidden="1" outlineLevel="2" x14ac:dyDescent="0.25">
      <c r="A46" s="25"/>
      <c r="B46" s="11" t="str">
        <f>CONCATENATE("          ", "6362", " - ", "ADVERTISING EXPENSE")</f>
        <v xml:space="preserve">          6362 - ADVERTISING EXPENSE</v>
      </c>
      <c r="C46" s="11"/>
      <c r="D46" s="6"/>
      <c r="E46" s="2"/>
      <c r="F46" s="7">
        <f t="shared" si="28"/>
        <v>0</v>
      </c>
      <c r="G46" s="2"/>
      <c r="H46" s="6">
        <v>0</v>
      </c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/>
      <c r="Q46" s="2"/>
      <c r="R46" s="7">
        <f t="shared" si="32"/>
        <v>0</v>
      </c>
      <c r="S46" s="2"/>
      <c r="T46" s="6">
        <v>0</v>
      </c>
      <c r="U46" s="2"/>
      <c r="V46" s="7">
        <f t="shared" si="33"/>
        <v>0</v>
      </c>
      <c r="W46" s="2"/>
      <c r="X46" s="6">
        <f t="shared" si="34"/>
        <v>0</v>
      </c>
      <c r="Y46" s="2"/>
      <c r="Z46" s="7">
        <f t="shared" si="35"/>
        <v>0</v>
      </c>
    </row>
    <row r="47" spans="1:26" s="26" customFormat="1" outlineLevel="1" collapsed="1" x14ac:dyDescent="0.25">
      <c r="A47" s="27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-11.75</v>
      </c>
      <c r="E47" s="1"/>
      <c r="F47" s="5">
        <f t="shared" si="28"/>
        <v>-3.4611116855083688E-4</v>
      </c>
      <c r="G47" s="1"/>
      <c r="H47" s="1">
        <f>SUM(OSRRefH22_3x_0)</f>
        <v>0</v>
      </c>
      <c r="I47" s="1"/>
      <c r="J47" s="5">
        <f t="shared" si="29"/>
        <v>0</v>
      </c>
      <c r="K47" s="1"/>
      <c r="L47" s="1">
        <f t="shared" si="30"/>
        <v>-11.75</v>
      </c>
      <c r="M47" s="1"/>
      <c r="N47" s="5">
        <f t="shared" si="31"/>
        <v>0</v>
      </c>
      <c r="O47" s="13"/>
      <c r="P47" s="1">
        <f>SUM(OSRRefP22_3x_0)</f>
        <v>-51.52</v>
      </c>
      <c r="Q47" s="1"/>
      <c r="R47" s="5">
        <f t="shared" si="32"/>
        <v>-3.0642101914964842E-4</v>
      </c>
      <c r="S47" s="1"/>
      <c r="T47" s="1">
        <f>SUM(OSRRefT22_3x_0)</f>
        <v>0</v>
      </c>
      <c r="U47" s="1"/>
      <c r="V47" s="5">
        <f t="shared" si="33"/>
        <v>0</v>
      </c>
      <c r="W47" s="1"/>
      <c r="X47" s="1">
        <f t="shared" si="34"/>
        <v>-51.52</v>
      </c>
      <c r="Y47" s="1"/>
      <c r="Z47" s="5">
        <f t="shared" si="35"/>
        <v>0</v>
      </c>
    </row>
    <row r="48" spans="1:26" s="24" customFormat="1" hidden="1" outlineLevel="2" x14ac:dyDescent="0.25">
      <c r="A48" s="25"/>
      <c r="B48" s="11" t="str">
        <f>CONCATENATE("          ", "6272", " - ", "CASH (OVER/SHORT)")</f>
        <v xml:space="preserve">          6272 - CASH (OVER/SHORT)</v>
      </c>
      <c r="C48" s="11"/>
      <c r="D48" s="6">
        <v>-11.75</v>
      </c>
      <c r="E48" s="2"/>
      <c r="F48" s="7">
        <f t="shared" si="28"/>
        <v>-3.4611116855083688E-4</v>
      </c>
      <c r="G48" s="2"/>
      <c r="H48" s="6">
        <v>0</v>
      </c>
      <c r="I48" s="2"/>
      <c r="J48" s="7">
        <f t="shared" si="29"/>
        <v>0</v>
      </c>
      <c r="K48" s="2"/>
      <c r="L48" s="6">
        <f t="shared" si="30"/>
        <v>-11.75</v>
      </c>
      <c r="M48" s="2"/>
      <c r="N48" s="7">
        <f t="shared" si="31"/>
        <v>0</v>
      </c>
      <c r="O48" s="11"/>
      <c r="P48" s="6">
        <v>-51.52</v>
      </c>
      <c r="Q48" s="2"/>
      <c r="R48" s="7">
        <f t="shared" si="32"/>
        <v>-3.0642101914964842E-4</v>
      </c>
      <c r="S48" s="2"/>
      <c r="T48" s="6">
        <v>0</v>
      </c>
      <c r="U48" s="2"/>
      <c r="V48" s="7">
        <f t="shared" si="33"/>
        <v>0</v>
      </c>
      <c r="W48" s="2"/>
      <c r="X48" s="6">
        <f t="shared" si="34"/>
        <v>-51.52</v>
      </c>
      <c r="Y48" s="2"/>
      <c r="Z48" s="7">
        <f t="shared" si="35"/>
        <v>0</v>
      </c>
    </row>
    <row r="49" spans="1:26" s="26" customFormat="1" outlineLevel="1" collapsed="1" x14ac:dyDescent="0.25">
      <c r="A49" s="27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1325.39</v>
      </c>
      <c r="E49" s="1"/>
      <c r="F49" s="5">
        <f t="shared" si="28"/>
        <v>3.9041045249837765E-2</v>
      </c>
      <c r="G49" s="1"/>
      <c r="H49" s="1">
        <f>SUM(OSRRefH22_4x_0)</f>
        <v>776</v>
      </c>
      <c r="I49" s="1"/>
      <c r="J49" s="5">
        <f t="shared" si="29"/>
        <v>3.0703489752314631E-2</v>
      </c>
      <c r="K49" s="1"/>
      <c r="L49" s="1">
        <f t="shared" si="30"/>
        <v>549.3900000000001</v>
      </c>
      <c r="M49" s="1"/>
      <c r="N49" s="5">
        <f t="shared" si="31"/>
        <v>0.70797680412371145</v>
      </c>
      <c r="O49" s="13"/>
      <c r="P49" s="1">
        <f>SUM(OSRRefP22_4x_0)</f>
        <v>5870.95</v>
      </c>
      <c r="Q49" s="1"/>
      <c r="R49" s="5">
        <f t="shared" si="32"/>
        <v>3.4918138244887965E-2</v>
      </c>
      <c r="S49" s="1"/>
      <c r="T49" s="1">
        <f>SUM(OSRRefT22_4x_0)</f>
        <v>4526</v>
      </c>
      <c r="U49" s="1"/>
      <c r="V49" s="5">
        <f t="shared" si="33"/>
        <v>3.070472985807712E-2</v>
      </c>
      <c r="W49" s="1"/>
      <c r="X49" s="1">
        <f t="shared" si="34"/>
        <v>1344.9499999999998</v>
      </c>
      <c r="Y49" s="1"/>
      <c r="Z49" s="5">
        <f t="shared" si="35"/>
        <v>0.29716084843128587</v>
      </c>
    </row>
    <row r="50" spans="1:26" s="24" customFormat="1" hidden="1" outlineLevel="2" x14ac:dyDescent="0.25">
      <c r="A50" s="25"/>
      <c r="B50" s="11" t="str">
        <f>CONCATENATE("          ", "6381", " - ", "BANK/CREDIT CARD FEES")</f>
        <v xml:space="preserve">          6381 - BANK/CREDIT CARD FEES</v>
      </c>
      <c r="C50" s="11"/>
      <c r="D50" s="6">
        <v>1325.39</v>
      </c>
      <c r="E50" s="2"/>
      <c r="F50" s="7">
        <f t="shared" si="28"/>
        <v>3.9041045249837765E-2</v>
      </c>
      <c r="G50" s="2"/>
      <c r="H50" s="6">
        <v>776</v>
      </c>
      <c r="I50" s="2"/>
      <c r="J50" s="7">
        <f t="shared" si="29"/>
        <v>3.0703489752314631E-2</v>
      </c>
      <c r="K50" s="2"/>
      <c r="L50" s="6">
        <f t="shared" si="30"/>
        <v>549.3900000000001</v>
      </c>
      <c r="M50" s="2"/>
      <c r="N50" s="7">
        <f t="shared" si="31"/>
        <v>0.70797680412371145</v>
      </c>
      <c r="O50" s="11"/>
      <c r="P50" s="6">
        <v>5870.95</v>
      </c>
      <c r="Q50" s="2"/>
      <c r="R50" s="7">
        <f t="shared" si="32"/>
        <v>3.4918138244887965E-2</v>
      </c>
      <c r="S50" s="2"/>
      <c r="T50" s="6">
        <v>4526</v>
      </c>
      <c r="U50" s="2"/>
      <c r="V50" s="7">
        <f t="shared" si="33"/>
        <v>3.070472985807712E-2</v>
      </c>
      <c r="W50" s="2"/>
      <c r="X50" s="6">
        <f t="shared" si="34"/>
        <v>1344.9499999999998</v>
      </c>
      <c r="Y50" s="2"/>
      <c r="Z50" s="7">
        <f t="shared" si="35"/>
        <v>0.29716084843128587</v>
      </c>
    </row>
    <row r="51" spans="1:26" s="26" customFormat="1" outlineLevel="1" collapsed="1" x14ac:dyDescent="0.25">
      <c r="A51" s="27"/>
      <c r="B51" s="13" t="str">
        <f>CONCATENATE("     ","Depreciation                                      ")</f>
        <v xml:space="preserve">     Depreciation                                      </v>
      </c>
      <c r="C51" s="13"/>
      <c r="D51" s="1">
        <f>SUM(OSRRefD22_5x_0)</f>
        <v>968.86</v>
      </c>
      <c r="E51" s="1"/>
      <c r="F51" s="5">
        <f t="shared" si="28"/>
        <v>2.8539001426567137E-2</v>
      </c>
      <c r="G51" s="1"/>
      <c r="H51" s="1">
        <f>SUM(OSRRefH22_5x_0)</f>
        <v>969</v>
      </c>
      <c r="I51" s="1"/>
      <c r="J51" s="5">
        <f t="shared" si="29"/>
        <v>3.8339795837619685E-2</v>
      </c>
      <c r="K51" s="1"/>
      <c r="L51" s="1">
        <f t="shared" si="30"/>
        <v>-0.13999999999998636</v>
      </c>
      <c r="M51" s="1"/>
      <c r="N51" s="5">
        <f t="shared" si="31"/>
        <v>-1.4447884416923256E-4</v>
      </c>
      <c r="O51" s="13"/>
      <c r="P51" s="1">
        <f>SUM(OSRRefP22_5x_0)</f>
        <v>4844.3</v>
      </c>
      <c r="Q51" s="1"/>
      <c r="R51" s="5">
        <f t="shared" si="32"/>
        <v>2.8812021410455003E-2</v>
      </c>
      <c r="S51" s="1"/>
      <c r="T51" s="1">
        <f>SUM(OSRRefT22_5x_0)</f>
        <v>4845</v>
      </c>
      <c r="U51" s="1"/>
      <c r="V51" s="5">
        <f t="shared" si="33"/>
        <v>3.2868850234729047E-2</v>
      </c>
      <c r="W51" s="1"/>
      <c r="X51" s="1">
        <f t="shared" si="34"/>
        <v>-0.6999999999998181</v>
      </c>
      <c r="Y51" s="1"/>
      <c r="Z51" s="5">
        <f t="shared" si="35"/>
        <v>-1.4447884416920911E-4</v>
      </c>
    </row>
    <row r="52" spans="1:26" s="24" customFormat="1" hidden="1" outlineLevel="2" x14ac:dyDescent="0.25">
      <c r="A52" s="25"/>
      <c r="B52" s="11" t="str">
        <f>CONCATENATE("          ", "6322", " - ", "EQUIPMENT DEPRECIATION EXPENSE")</f>
        <v xml:space="preserve">          6322 - EQUIPMENT DEPRECIATION EXPENSE</v>
      </c>
      <c r="C52" s="11"/>
      <c r="D52" s="6">
        <v>968.86</v>
      </c>
      <c r="E52" s="2"/>
      <c r="F52" s="7">
        <f t="shared" si="28"/>
        <v>2.8539001426567137E-2</v>
      </c>
      <c r="G52" s="2"/>
      <c r="H52" s="6">
        <v>969</v>
      </c>
      <c r="I52" s="2"/>
      <c r="J52" s="7">
        <f t="shared" si="29"/>
        <v>3.8339795837619685E-2</v>
      </c>
      <c r="K52" s="2"/>
      <c r="L52" s="6">
        <f t="shared" si="30"/>
        <v>-0.13999999999998636</v>
      </c>
      <c r="M52" s="2"/>
      <c r="N52" s="7">
        <f t="shared" si="31"/>
        <v>-1.4447884416923256E-4</v>
      </c>
      <c r="O52" s="11"/>
      <c r="P52" s="6">
        <v>4844.3</v>
      </c>
      <c r="Q52" s="2"/>
      <c r="R52" s="7">
        <f t="shared" si="32"/>
        <v>2.8812021410455003E-2</v>
      </c>
      <c r="S52" s="2"/>
      <c r="T52" s="6">
        <v>4845</v>
      </c>
      <c r="U52" s="2"/>
      <c r="V52" s="7">
        <f t="shared" si="33"/>
        <v>3.2868850234729047E-2</v>
      </c>
      <c r="W52" s="2"/>
      <c r="X52" s="6">
        <f t="shared" si="34"/>
        <v>-0.6999999999998181</v>
      </c>
      <c r="Y52" s="2"/>
      <c r="Z52" s="7">
        <f t="shared" si="35"/>
        <v>-1.4447884416920911E-4</v>
      </c>
    </row>
    <row r="53" spans="1:26" s="26" customFormat="1" outlineLevel="1" collapsed="1" x14ac:dyDescent="0.25">
      <c r="A53" s="27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SUM(OSRRefD22_6x_0)</f>
        <v>0</v>
      </c>
      <c r="E53" s="1"/>
      <c r="F53" s="5">
        <f t="shared" si="28"/>
        <v>0</v>
      </c>
      <c r="G53" s="1"/>
      <c r="H53" s="1">
        <f>SUM(OSRRefH22_6x_0)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SUM(OSRRefP22_6x_0)</f>
        <v>0</v>
      </c>
      <c r="Q53" s="1"/>
      <c r="R53" s="5">
        <f t="shared" si="32"/>
        <v>0</v>
      </c>
      <c r="S53" s="1"/>
      <c r="T53" s="1">
        <f>SUM(OSRRefT22_6x_0)</f>
        <v>0</v>
      </c>
      <c r="U53" s="1"/>
      <c r="V53" s="5">
        <f t="shared" si="33"/>
        <v>0</v>
      </c>
      <c r="W53" s="1"/>
      <c r="X53" s="1">
        <f t="shared" si="34"/>
        <v>0</v>
      </c>
      <c r="Y53" s="1"/>
      <c r="Z53" s="5">
        <f t="shared" si="35"/>
        <v>0</v>
      </c>
    </row>
    <row r="54" spans="1:26" s="24" customFormat="1" hidden="1" outlineLevel="2" x14ac:dyDescent="0.25">
      <c r="A54" s="25"/>
      <c r="B54" s="11" t="str">
        <f>CONCATENATE("          ", "6277", " - ", "EMPLOYEE APPRECIATION")</f>
        <v xml:space="preserve">          6277 - EMPLOYEE APPRECIATION</v>
      </c>
      <c r="C54" s="11"/>
      <c r="D54" s="6"/>
      <c r="E54" s="2"/>
      <c r="F54" s="7">
        <f t="shared" si="28"/>
        <v>0</v>
      </c>
      <c r="G54" s="2"/>
      <c r="H54" s="6">
        <v>0</v>
      </c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/>
      <c r="Q54" s="2"/>
      <c r="R54" s="7">
        <f t="shared" si="32"/>
        <v>0</v>
      </c>
      <c r="S54" s="2"/>
      <c r="T54" s="6">
        <v>0</v>
      </c>
      <c r="U54" s="2"/>
      <c r="V54" s="7">
        <f t="shared" si="33"/>
        <v>0</v>
      </c>
      <c r="W54" s="2"/>
      <c r="X54" s="6">
        <f t="shared" si="34"/>
        <v>0</v>
      </c>
      <c r="Y54" s="2"/>
      <c r="Z54" s="7">
        <f t="shared" si="35"/>
        <v>0</v>
      </c>
    </row>
    <row r="55" spans="1:26" s="26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SUM(OSRRefD22_7x_0)</f>
        <v>0</v>
      </c>
      <c r="E55" s="1"/>
      <c r="F55" s="5">
        <f t="shared" si="28"/>
        <v>0</v>
      </c>
      <c r="G55" s="1"/>
      <c r="H55" s="1">
        <f>SUM(OSRRefH22_7x_0)</f>
        <v>175</v>
      </c>
      <c r="I55" s="1"/>
      <c r="J55" s="5">
        <f t="shared" si="29"/>
        <v>6.9241117353802326E-3</v>
      </c>
      <c r="K55" s="1"/>
      <c r="L55" s="1">
        <f t="shared" si="30"/>
        <v>-175</v>
      </c>
      <c r="M55" s="1"/>
      <c r="N55" s="5">
        <f t="shared" si="31"/>
        <v>-1</v>
      </c>
      <c r="O55" s="13"/>
      <c r="P55" s="1">
        <f>SUM(OSRRefP22_7x_0)</f>
        <v>1031.19</v>
      </c>
      <c r="Q55" s="1"/>
      <c r="R55" s="5">
        <f t="shared" si="32"/>
        <v>6.1331189972229413E-3</v>
      </c>
      <c r="S55" s="1"/>
      <c r="T55" s="1">
        <f>SUM(OSRRefT22_7x_0)</f>
        <v>1021</v>
      </c>
      <c r="U55" s="1"/>
      <c r="V55" s="5">
        <f t="shared" si="33"/>
        <v>6.9265420205693196E-3</v>
      </c>
      <c r="W55" s="1"/>
      <c r="X55" s="1">
        <f t="shared" si="34"/>
        <v>10.190000000000055</v>
      </c>
      <c r="Y55" s="1"/>
      <c r="Z55" s="5">
        <f t="shared" si="35"/>
        <v>9.9804113614104361E-3</v>
      </c>
    </row>
    <row r="56" spans="1:26" s="24" customFormat="1" hidden="1" outlineLevel="2" x14ac:dyDescent="0.25">
      <c r="A56" s="25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28"/>
        <v>0</v>
      </c>
      <c r="G56" s="2"/>
      <c r="H56" s="6">
        <v>175</v>
      </c>
      <c r="I56" s="2"/>
      <c r="J56" s="7">
        <f t="shared" si="29"/>
        <v>6.9241117353802326E-3</v>
      </c>
      <c r="K56" s="2"/>
      <c r="L56" s="6">
        <f t="shared" si="30"/>
        <v>-175</v>
      </c>
      <c r="M56" s="2"/>
      <c r="N56" s="7">
        <f t="shared" si="31"/>
        <v>-1</v>
      </c>
      <c r="O56" s="11"/>
      <c r="P56" s="6">
        <v>1031.19</v>
      </c>
      <c r="Q56" s="2"/>
      <c r="R56" s="7">
        <f t="shared" si="32"/>
        <v>6.1331189972229413E-3</v>
      </c>
      <c r="S56" s="2"/>
      <c r="T56" s="6">
        <v>1021</v>
      </c>
      <c r="U56" s="2"/>
      <c r="V56" s="7">
        <f t="shared" si="33"/>
        <v>6.9265420205693196E-3</v>
      </c>
      <c r="W56" s="2"/>
      <c r="X56" s="6">
        <f t="shared" si="34"/>
        <v>10.190000000000055</v>
      </c>
      <c r="Y56" s="2"/>
      <c r="Z56" s="7">
        <f t="shared" si="35"/>
        <v>9.9804113614104361E-3</v>
      </c>
    </row>
    <row r="57" spans="1:26" s="26" customFormat="1" outlineLevel="1" collapsed="1" x14ac:dyDescent="0.25">
      <c r="A57" s="27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SUM(OSRRefD22_8x_0)</f>
        <v>0</v>
      </c>
      <c r="E57" s="1"/>
      <c r="F57" s="5">
        <f t="shared" si="28"/>
        <v>0</v>
      </c>
      <c r="G57" s="1"/>
      <c r="H57" s="1">
        <f>SUM(OSRRefH22_8x_0)</f>
        <v>0</v>
      </c>
      <c r="I57" s="1"/>
      <c r="J57" s="5">
        <f t="shared" si="29"/>
        <v>0</v>
      </c>
      <c r="K57" s="1"/>
      <c r="L57" s="1">
        <f t="shared" si="30"/>
        <v>0</v>
      </c>
      <c r="M57" s="1"/>
      <c r="N57" s="5">
        <f t="shared" si="31"/>
        <v>0</v>
      </c>
      <c r="O57" s="13"/>
      <c r="P57" s="1">
        <f>SUM(OSRRefP22_8x_0)</f>
        <v>0</v>
      </c>
      <c r="Q57" s="1"/>
      <c r="R57" s="5">
        <f t="shared" si="32"/>
        <v>0</v>
      </c>
      <c r="S57" s="1"/>
      <c r="T57" s="1">
        <f>SUM(OSRRefT22_8x_0)</f>
        <v>0</v>
      </c>
      <c r="U57" s="1"/>
      <c r="V57" s="5">
        <f t="shared" si="33"/>
        <v>0</v>
      </c>
      <c r="W57" s="1"/>
      <c r="X57" s="1">
        <f t="shared" si="34"/>
        <v>0</v>
      </c>
      <c r="Y57" s="1"/>
      <c r="Z57" s="5">
        <f t="shared" si="35"/>
        <v>0</v>
      </c>
    </row>
    <row r="58" spans="1:26" s="24" customFormat="1" hidden="1" outlineLevel="2" x14ac:dyDescent="0.25">
      <c r="A58" s="25"/>
      <c r="B58" s="11" t="str">
        <f>CONCATENATE("          ", "6387", " - ", "COMMISSION DUE HOUSING")</f>
        <v xml:space="preserve">          6387 - COMMISSION DUE HOUSING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/>
      <c r="Q58" s="2"/>
      <c r="R58" s="7">
        <f t="shared" si="32"/>
        <v>0</v>
      </c>
      <c r="S58" s="2"/>
      <c r="T58" s="6">
        <v>0</v>
      </c>
      <c r="U58" s="2"/>
      <c r="V58" s="7">
        <f t="shared" si="33"/>
        <v>0</v>
      </c>
      <c r="W58" s="2"/>
      <c r="X58" s="6">
        <f t="shared" si="34"/>
        <v>0</v>
      </c>
      <c r="Y58" s="2"/>
      <c r="Z58" s="7">
        <f t="shared" si="35"/>
        <v>0</v>
      </c>
    </row>
    <row r="59" spans="1:26" s="26" customFormat="1" outlineLevel="1" collapsed="1" x14ac:dyDescent="0.25">
      <c r="A59" s="27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SUM(OSRRefD22_9x_0)</f>
        <v>0</v>
      </c>
      <c r="E59" s="1"/>
      <c r="F59" s="5">
        <f t="shared" si="28"/>
        <v>0</v>
      </c>
      <c r="G59" s="1"/>
      <c r="H59" s="1">
        <f>SUM(OSRRefH22_9x_0)</f>
        <v>0</v>
      </c>
      <c r="I59" s="1"/>
      <c r="J59" s="5">
        <f t="shared" si="29"/>
        <v>0</v>
      </c>
      <c r="K59" s="1"/>
      <c r="L59" s="1">
        <f t="shared" si="30"/>
        <v>0</v>
      </c>
      <c r="M59" s="1"/>
      <c r="N59" s="5">
        <f t="shared" si="31"/>
        <v>0</v>
      </c>
      <c r="O59" s="13"/>
      <c r="P59" s="1">
        <f>SUM(OSRRefP22_9x_0)</f>
        <v>839.91</v>
      </c>
      <c r="Q59" s="1"/>
      <c r="R59" s="5">
        <f t="shared" si="32"/>
        <v>4.9954595922744793E-3</v>
      </c>
      <c r="S59" s="1"/>
      <c r="T59" s="1">
        <f>SUM(OSRRefT22_9x_0)</f>
        <v>0</v>
      </c>
      <c r="U59" s="1"/>
      <c r="V59" s="5">
        <f t="shared" si="33"/>
        <v>0</v>
      </c>
      <c r="W59" s="1"/>
      <c r="X59" s="1">
        <f t="shared" si="34"/>
        <v>839.91</v>
      </c>
      <c r="Y59" s="1"/>
      <c r="Z59" s="5">
        <f t="shared" si="35"/>
        <v>0</v>
      </c>
    </row>
    <row r="60" spans="1:26" s="24" customFormat="1" hidden="1" outlineLevel="2" x14ac:dyDescent="0.25">
      <c r="A60" s="25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437.31</v>
      </c>
      <c r="Q60" s="2"/>
      <c r="R60" s="7">
        <f t="shared" si="32"/>
        <v>2.6009506188729181E-3</v>
      </c>
      <c r="S60" s="2"/>
      <c r="T60" s="6">
        <v>0</v>
      </c>
      <c r="U60" s="2"/>
      <c r="V60" s="7">
        <f t="shared" si="33"/>
        <v>0</v>
      </c>
      <c r="W60" s="2"/>
      <c r="X60" s="6">
        <f t="shared" si="34"/>
        <v>437.31</v>
      </c>
      <c r="Y60" s="2"/>
      <c r="Z60" s="7">
        <f t="shared" si="35"/>
        <v>0</v>
      </c>
    </row>
    <row r="61" spans="1:26" s="24" customFormat="1" hidden="1" outlineLevel="2" x14ac:dyDescent="0.25">
      <c r="A61" s="25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28"/>
        <v>0</v>
      </c>
      <c r="G61" s="2"/>
      <c r="H61" s="6"/>
      <c r="I61" s="2"/>
      <c r="J61" s="7">
        <f t="shared" si="29"/>
        <v>0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>
        <v>45.65</v>
      </c>
      <c r="Q61" s="2"/>
      <c r="R61" s="7">
        <f t="shared" si="32"/>
        <v>2.7150853113706229E-4</v>
      </c>
      <c r="S61" s="2"/>
      <c r="T61" s="6"/>
      <c r="U61" s="2"/>
      <c r="V61" s="7">
        <f t="shared" si="33"/>
        <v>0</v>
      </c>
      <c r="W61" s="2"/>
      <c r="X61" s="6">
        <f t="shared" si="34"/>
        <v>45.65</v>
      </c>
      <c r="Y61" s="2"/>
      <c r="Z61" s="7">
        <f t="shared" si="35"/>
        <v>0</v>
      </c>
    </row>
    <row r="62" spans="1:26" s="24" customFormat="1" hidden="1" outlineLevel="2" x14ac:dyDescent="0.25">
      <c r="A62" s="25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28"/>
        <v>0</v>
      </c>
      <c r="G62" s="2"/>
      <c r="H62" s="6"/>
      <c r="I62" s="2"/>
      <c r="J62" s="7">
        <f t="shared" si="29"/>
        <v>0</v>
      </c>
      <c r="K62" s="2"/>
      <c r="L62" s="6">
        <f t="shared" si="30"/>
        <v>0</v>
      </c>
      <c r="M62" s="2"/>
      <c r="N62" s="7">
        <f t="shared" si="31"/>
        <v>0</v>
      </c>
      <c r="O62" s="11"/>
      <c r="P62" s="6">
        <v>356.95</v>
      </c>
      <c r="Q62" s="2"/>
      <c r="R62" s="7">
        <f t="shared" si="32"/>
        <v>2.1230004422644988E-3</v>
      </c>
      <c r="S62" s="2"/>
      <c r="T62" s="6"/>
      <c r="U62" s="2"/>
      <c r="V62" s="7">
        <f t="shared" si="33"/>
        <v>0</v>
      </c>
      <c r="W62" s="2"/>
      <c r="X62" s="6">
        <f t="shared" si="34"/>
        <v>356.95</v>
      </c>
      <c r="Y62" s="2"/>
      <c r="Z62" s="7">
        <f t="shared" si="35"/>
        <v>0</v>
      </c>
    </row>
    <row r="63" spans="1:26" s="26" customFormat="1" outlineLevel="1" collapsed="1" x14ac:dyDescent="0.25">
      <c r="A63" s="27"/>
      <c r="B63" s="13" t="str">
        <f>CONCATENATE("     ","Royalty &amp; Commissions                             ")</f>
        <v xml:space="preserve">     Royalty &amp; Commissions                             </v>
      </c>
      <c r="C63" s="13"/>
      <c r="D63" s="1">
        <f>SUM(OSRRefD22_10x_0)</f>
        <v>0</v>
      </c>
      <c r="E63" s="1"/>
      <c r="F63" s="5">
        <f t="shared" ref="F63:F65" si="36">IF(D$12=0,0,D63/D$12)</f>
        <v>0</v>
      </c>
      <c r="G63" s="1"/>
      <c r="H63" s="1">
        <f>SUM(OSRRefH22_10x_0)</f>
        <v>2253</v>
      </c>
      <c r="I63" s="1"/>
      <c r="J63" s="5">
        <f t="shared" ref="J63:J65" si="37">IF(H$12=0,0,H63/H$12)</f>
        <v>8.9142992798923792E-2</v>
      </c>
      <c r="K63" s="1"/>
      <c r="L63" s="1">
        <f t="shared" ref="L63:L65" si="38">+D63-H63</f>
        <v>-2253</v>
      </c>
      <c r="M63" s="1"/>
      <c r="N63" s="5">
        <f t="shared" ref="N63:N65" si="39">IF(H63=0,0,L63/H63)</f>
        <v>-1</v>
      </c>
      <c r="O63" s="13"/>
      <c r="P63" s="1">
        <f>SUM(OSRRefP22_10x_0)</f>
        <v>5673.45</v>
      </c>
      <c r="Q63" s="1"/>
      <c r="R63" s="5">
        <f t="shared" ref="R63:R65" si="40">IF(P$12=0,0,P63/P$12)</f>
        <v>3.3743484687394652E-2</v>
      </c>
      <c r="S63" s="1"/>
      <c r="T63" s="1">
        <f>SUM(OSRRefT22_10x_0)</f>
        <v>13138</v>
      </c>
      <c r="U63" s="1"/>
      <c r="V63" s="5">
        <f t="shared" ref="V63:V65" si="41">IF(T$12=0,0,T63/T$12)</f>
        <v>8.9129195951263201E-2</v>
      </c>
      <c r="W63" s="1"/>
      <c r="X63" s="1">
        <f t="shared" ref="X63:X65" si="42">+P63-T63</f>
        <v>-7464.55</v>
      </c>
      <c r="Y63" s="1"/>
      <c r="Z63" s="5">
        <f t="shared" ref="Z63:Z65" si="43">IF(T63=0,0,X63/T63)</f>
        <v>-0.56816486527629773</v>
      </c>
    </row>
    <row r="64" spans="1:26" s="24" customFormat="1" hidden="1" outlineLevel="2" x14ac:dyDescent="0.25">
      <c r="A64" s="25"/>
      <c r="B64" s="11" t="str">
        <f>CONCATENATE("          ", "6254", " - ", "ROYALTY &amp; COMMISSIONS")</f>
        <v xml:space="preserve">          6254 - ROYALTY &amp; COMMISSIONS</v>
      </c>
      <c r="C64" s="11"/>
      <c r="D64" s="6"/>
      <c r="E64" s="2"/>
      <c r="F64" s="7">
        <f t="shared" si="36"/>
        <v>0</v>
      </c>
      <c r="G64" s="2"/>
      <c r="H64" s="6"/>
      <c r="I64" s="2"/>
      <c r="J64" s="7">
        <f t="shared" si="37"/>
        <v>0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>
        <v>5673.45</v>
      </c>
      <c r="Q64" s="2"/>
      <c r="R64" s="7">
        <f t="shared" si="40"/>
        <v>3.3743484687394652E-2</v>
      </c>
      <c r="S64" s="2"/>
      <c r="T64" s="6"/>
      <c r="U64" s="2"/>
      <c r="V64" s="7">
        <f t="shared" si="41"/>
        <v>0</v>
      </c>
      <c r="W64" s="2"/>
      <c r="X64" s="6">
        <f t="shared" si="42"/>
        <v>5673.45</v>
      </c>
      <c r="Y64" s="2"/>
      <c r="Z64" s="7">
        <f t="shared" si="43"/>
        <v>0</v>
      </c>
    </row>
    <row r="65" spans="1:26" s="24" customFormat="1" hidden="1" outlineLevel="2" x14ac:dyDescent="0.25">
      <c r="A65" s="25"/>
      <c r="B65" s="11" t="str">
        <f>CONCATENATE("          ", "6259", " - ", "ROYALTY &amp; COMMISSIONS")</f>
        <v xml:space="preserve">          6259 - ROYALTY &amp; COMMISSIONS</v>
      </c>
      <c r="C65" s="11"/>
      <c r="D65" s="6"/>
      <c r="E65" s="2"/>
      <c r="F65" s="7">
        <f t="shared" si="36"/>
        <v>0</v>
      </c>
      <c r="G65" s="2"/>
      <c r="H65" s="6">
        <v>2253</v>
      </c>
      <c r="I65" s="2"/>
      <c r="J65" s="7">
        <f t="shared" si="37"/>
        <v>8.9142992798923792E-2</v>
      </c>
      <c r="K65" s="2"/>
      <c r="L65" s="6">
        <f t="shared" si="38"/>
        <v>-2253</v>
      </c>
      <c r="M65" s="2"/>
      <c r="N65" s="7">
        <f t="shared" si="39"/>
        <v>-1</v>
      </c>
      <c r="O65" s="11"/>
      <c r="P65" s="6"/>
      <c r="Q65" s="2"/>
      <c r="R65" s="7">
        <f t="shared" si="40"/>
        <v>0</v>
      </c>
      <c r="S65" s="2"/>
      <c r="T65" s="6">
        <v>13138</v>
      </c>
      <c r="U65" s="2"/>
      <c r="V65" s="7">
        <f t="shared" si="41"/>
        <v>8.9129195951263201E-2</v>
      </c>
      <c r="W65" s="2"/>
      <c r="X65" s="6">
        <f t="shared" si="42"/>
        <v>-13138</v>
      </c>
      <c r="Y65" s="2"/>
      <c r="Z65" s="7">
        <f t="shared" si="43"/>
        <v>-1</v>
      </c>
    </row>
    <row r="66" spans="1:26" s="26" customFormat="1" outlineLevel="1" collapsed="1" x14ac:dyDescent="0.25">
      <c r="A66" s="27"/>
      <c r="B66" s="13" t="str">
        <f>CONCATENATE("     ","Services                                          ")</f>
        <v xml:space="preserve">     Services                                          </v>
      </c>
      <c r="C66" s="13"/>
      <c r="D66" s="1">
        <f>SUM(OSRRefD22_11x_0)</f>
        <v>196.58</v>
      </c>
      <c r="E66" s="1"/>
      <c r="F66" s="5">
        <f t="shared" ref="F66:F69" si="44">IF(D$12=0,0,D66/D$12)</f>
        <v>5.7905134905296618E-3</v>
      </c>
      <c r="G66" s="1"/>
      <c r="H66" s="1">
        <f>SUM(OSRRefH22_11x_0)</f>
        <v>150</v>
      </c>
      <c r="I66" s="1"/>
      <c r="J66" s="5">
        <f t="shared" ref="J66:J69" si="45">IF(H$12=0,0,H66/H$12)</f>
        <v>5.9349529160401997E-3</v>
      </c>
      <c r="K66" s="1"/>
      <c r="L66" s="1">
        <f t="shared" ref="L66:L69" si="46">+D66-H66</f>
        <v>46.580000000000013</v>
      </c>
      <c r="M66" s="1"/>
      <c r="N66" s="5">
        <f t="shared" ref="N66:N69" si="47">IF(H66=0,0,L66/H66)</f>
        <v>0.31053333333333344</v>
      </c>
      <c r="O66" s="13"/>
      <c r="P66" s="1">
        <f>SUM(OSRRefP22_11x_0)</f>
        <v>1004.34</v>
      </c>
      <c r="Q66" s="1"/>
      <c r="R66" s="5">
        <f t="shared" ref="R66:R69" si="48">IF(P$12=0,0,P66/P$12)</f>
        <v>5.9734255895333432E-3</v>
      </c>
      <c r="S66" s="1"/>
      <c r="T66" s="1">
        <f>SUM(OSRRefT22_11x_0)</f>
        <v>876</v>
      </c>
      <c r="U66" s="1"/>
      <c r="V66" s="5">
        <f t="shared" ref="V66:V69" si="49">IF(T$12=0,0,T66/T$12)</f>
        <v>5.9428509402729909E-3</v>
      </c>
      <c r="W66" s="1"/>
      <c r="X66" s="1">
        <f t="shared" ref="X66:X69" si="50">+P66-T66</f>
        <v>128.34000000000003</v>
      </c>
      <c r="Y66" s="1"/>
      <c r="Z66" s="5">
        <f t="shared" ref="Z66:Z69" si="51">IF(T66=0,0,X66/T66)</f>
        <v>0.14650684931506852</v>
      </c>
    </row>
    <row r="67" spans="1:26" s="24" customFormat="1" hidden="1" outlineLevel="2" x14ac:dyDescent="0.25">
      <c r="A67" s="25"/>
      <c r="B67" s="11" t="str">
        <f>CONCATENATE("          ", "6282", " - ", "JANITORIAL/EXTERMINATOR EXPENS")</f>
        <v xml:space="preserve">          6282 - JANITORIAL/EXTERMINATOR EXPENS</v>
      </c>
      <c r="C67" s="11"/>
      <c r="D67" s="6">
        <v>41</v>
      </c>
      <c r="E67" s="2"/>
      <c r="F67" s="7">
        <f t="shared" si="44"/>
        <v>1.2077070562199416E-3</v>
      </c>
      <c r="G67" s="2"/>
      <c r="H67" s="6"/>
      <c r="I67" s="2"/>
      <c r="J67" s="7">
        <f t="shared" si="45"/>
        <v>0</v>
      </c>
      <c r="K67" s="2"/>
      <c r="L67" s="6">
        <f t="shared" si="46"/>
        <v>41</v>
      </c>
      <c r="M67" s="2"/>
      <c r="N67" s="7">
        <f t="shared" si="47"/>
        <v>0</v>
      </c>
      <c r="O67" s="11"/>
      <c r="P67" s="6">
        <v>82</v>
      </c>
      <c r="Q67" s="2"/>
      <c r="R67" s="7">
        <f t="shared" si="48"/>
        <v>4.8770426184532547E-4</v>
      </c>
      <c r="S67" s="2"/>
      <c r="T67" s="6"/>
      <c r="U67" s="2"/>
      <c r="V67" s="7">
        <f t="shared" si="49"/>
        <v>0</v>
      </c>
      <c r="W67" s="2"/>
      <c r="X67" s="6">
        <f t="shared" si="50"/>
        <v>82</v>
      </c>
      <c r="Y67" s="2"/>
      <c r="Z67" s="7">
        <f t="shared" si="51"/>
        <v>0</v>
      </c>
    </row>
    <row r="68" spans="1:26" s="24" customFormat="1" hidden="1" outlineLevel="2" x14ac:dyDescent="0.25">
      <c r="A68" s="25"/>
      <c r="B68" s="11" t="str">
        <f>CONCATENATE("          ", "6285", " - ", "JANITORIAL SERVICES")</f>
        <v xml:space="preserve">          6285 - JANITORIAL SERVICES</v>
      </c>
      <c r="C68" s="11"/>
      <c r="D68" s="6">
        <v>22.62</v>
      </c>
      <c r="E68" s="2"/>
      <c r="F68" s="7">
        <f t="shared" si="44"/>
        <v>6.6630081979744096E-4</v>
      </c>
      <c r="G68" s="2"/>
      <c r="H68" s="6">
        <v>150</v>
      </c>
      <c r="I68" s="2"/>
      <c r="J68" s="7">
        <f t="shared" si="45"/>
        <v>5.9349529160401997E-3</v>
      </c>
      <c r="K68" s="2"/>
      <c r="L68" s="6">
        <f t="shared" si="46"/>
        <v>-127.38</v>
      </c>
      <c r="M68" s="2"/>
      <c r="N68" s="7">
        <f t="shared" si="47"/>
        <v>-0.84919999999999995</v>
      </c>
      <c r="O68" s="11"/>
      <c r="P68" s="6">
        <v>113.1</v>
      </c>
      <c r="Q68" s="2"/>
      <c r="R68" s="7">
        <f t="shared" si="48"/>
        <v>6.7267502456958906E-4</v>
      </c>
      <c r="S68" s="2"/>
      <c r="T68" s="6">
        <v>876</v>
      </c>
      <c r="U68" s="2"/>
      <c r="V68" s="7">
        <f t="shared" si="49"/>
        <v>5.9428509402729909E-3</v>
      </c>
      <c r="W68" s="2"/>
      <c r="X68" s="6">
        <f t="shared" si="50"/>
        <v>-762.9</v>
      </c>
      <c r="Y68" s="2"/>
      <c r="Z68" s="7">
        <f t="shared" si="51"/>
        <v>-0.87089041095890407</v>
      </c>
    </row>
    <row r="69" spans="1:26" s="24" customFormat="1" hidden="1" outlineLevel="2" x14ac:dyDescent="0.25">
      <c r="A69" s="25"/>
      <c r="B69" s="11" t="str">
        <f>CONCATENATE("          ", "6286", " - ", "LAUNDRY EXPENSE")</f>
        <v xml:space="preserve">          6286 - LAUNDRY EXPENSE</v>
      </c>
      <c r="C69" s="11"/>
      <c r="D69" s="6">
        <v>132.96</v>
      </c>
      <c r="E69" s="2"/>
      <c r="F69" s="7">
        <f t="shared" si="44"/>
        <v>3.9165056145122794E-3</v>
      </c>
      <c r="G69" s="2"/>
      <c r="H69" s="6"/>
      <c r="I69" s="2"/>
      <c r="J69" s="7">
        <f t="shared" si="45"/>
        <v>0</v>
      </c>
      <c r="K69" s="2"/>
      <c r="L69" s="6">
        <f t="shared" si="46"/>
        <v>132.96</v>
      </c>
      <c r="M69" s="2"/>
      <c r="N69" s="7">
        <f t="shared" si="47"/>
        <v>0</v>
      </c>
      <c r="O69" s="11"/>
      <c r="P69" s="6">
        <v>809.24</v>
      </c>
      <c r="Q69" s="2"/>
      <c r="R69" s="7">
        <f t="shared" si="48"/>
        <v>4.8130463031184293E-3</v>
      </c>
      <c r="S69" s="2"/>
      <c r="T69" s="6"/>
      <c r="U69" s="2"/>
      <c r="V69" s="7">
        <f t="shared" si="49"/>
        <v>0</v>
      </c>
      <c r="W69" s="2"/>
      <c r="X69" s="6">
        <f t="shared" si="50"/>
        <v>809.24</v>
      </c>
      <c r="Y69" s="2"/>
      <c r="Z69" s="7">
        <f t="shared" si="51"/>
        <v>0</v>
      </c>
    </row>
    <row r="70" spans="1:26" s="26" customFormat="1" outlineLevel="1" collapsed="1" x14ac:dyDescent="0.25">
      <c r="A70" s="27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SUM(OSRRefD22_12x_0)</f>
        <v>693.45</v>
      </c>
      <c r="E70" s="1"/>
      <c r="F70" s="5">
        <f t="shared" ref="F70:F73" si="52">IF(D$12=0,0,D70/D$12)</f>
        <v>2.0426450198432158E-2</v>
      </c>
      <c r="G70" s="1"/>
      <c r="H70" s="1">
        <f>SUM(OSRRefH22_12x_0)</f>
        <v>400</v>
      </c>
      <c r="I70" s="1"/>
      <c r="J70" s="5">
        <f t="shared" ref="J70:J73" si="53">IF(H$12=0,0,H70/H$12)</f>
        <v>1.5826541109440533E-2</v>
      </c>
      <c r="K70" s="1"/>
      <c r="L70" s="1">
        <f t="shared" ref="L70:L73" si="54">+D70-H70</f>
        <v>293.45000000000005</v>
      </c>
      <c r="M70" s="1"/>
      <c r="N70" s="5">
        <f t="shared" ref="N70:N73" si="55">IF(H70=0,0,L70/H70)</f>
        <v>0.73362500000000008</v>
      </c>
      <c r="O70" s="13"/>
      <c r="P70" s="1">
        <f>SUM(OSRRefP22_12x_0)</f>
        <v>5633.0700000000006</v>
      </c>
      <c r="Q70" s="1"/>
      <c r="R70" s="5">
        <f t="shared" ref="R70:R73" si="56">IF(P$12=0,0,P70/P$12)</f>
        <v>3.350332007650058E-2</v>
      </c>
      <c r="S70" s="1"/>
      <c r="T70" s="1">
        <f>SUM(OSRRefT22_12x_0)</f>
        <v>2335</v>
      </c>
      <c r="U70" s="1"/>
      <c r="V70" s="5">
        <f t="shared" ref="V70:V73" si="57">IF(T$12=0,0,T70/T$12)</f>
        <v>1.5840818430978808E-2</v>
      </c>
      <c r="W70" s="1"/>
      <c r="X70" s="1">
        <f t="shared" ref="X70:X73" si="58">+P70-T70</f>
        <v>3298.0700000000006</v>
      </c>
      <c r="Y70" s="1"/>
      <c r="Z70" s="5">
        <f t="shared" ref="Z70:Z73" si="59">IF(T70=0,0,X70/T70)</f>
        <v>1.4124496788008567</v>
      </c>
    </row>
    <row r="71" spans="1:26" s="24" customFormat="1" hidden="1" outlineLevel="2" x14ac:dyDescent="0.25">
      <c r="A71" s="25"/>
      <c r="B71" s="11" t="str">
        <f>CONCATENATE("          ", "6234", " - ", "EXPENDABLE SUPPLIES &amp; EQUIPMEN")</f>
        <v xml:space="preserve">          6234 - EXPENDABLE SUPPLIES &amp; EQUIPMEN</v>
      </c>
      <c r="C71" s="11"/>
      <c r="D71" s="6"/>
      <c r="E71" s="2"/>
      <c r="F71" s="7">
        <f t="shared" si="52"/>
        <v>0</v>
      </c>
      <c r="G71" s="2"/>
      <c r="H71" s="6"/>
      <c r="I71" s="2"/>
      <c r="J71" s="7">
        <f t="shared" si="53"/>
        <v>0</v>
      </c>
      <c r="K71" s="2"/>
      <c r="L71" s="6">
        <f t="shared" si="54"/>
        <v>0</v>
      </c>
      <c r="M71" s="2"/>
      <c r="N71" s="7">
        <f t="shared" si="55"/>
        <v>0</v>
      </c>
      <c r="O71" s="11"/>
      <c r="P71" s="6">
        <v>354.71</v>
      </c>
      <c r="Q71" s="2"/>
      <c r="R71" s="7">
        <f t="shared" si="56"/>
        <v>2.1096777892579926E-3</v>
      </c>
      <c r="S71" s="2"/>
      <c r="T71" s="6"/>
      <c r="U71" s="2"/>
      <c r="V71" s="7">
        <f t="shared" si="57"/>
        <v>0</v>
      </c>
      <c r="W71" s="2"/>
      <c r="X71" s="6">
        <f t="shared" si="58"/>
        <v>354.71</v>
      </c>
      <c r="Y71" s="2"/>
      <c r="Z71" s="7">
        <f t="shared" si="59"/>
        <v>0</v>
      </c>
    </row>
    <row r="72" spans="1:26" s="24" customFormat="1" hidden="1" outlineLevel="2" x14ac:dyDescent="0.25">
      <c r="A72" s="25"/>
      <c r="B72" s="11" t="str">
        <f>CONCATENATE("          ", "6237", " - ", "JANITORIAL SUPPLIES")</f>
        <v xml:space="preserve">          6237 - JANITORIAL SUPPLIES</v>
      </c>
      <c r="C72" s="11"/>
      <c r="D72" s="6"/>
      <c r="E72" s="2"/>
      <c r="F72" s="7">
        <f t="shared" si="52"/>
        <v>0</v>
      </c>
      <c r="G72" s="2"/>
      <c r="H72" s="6"/>
      <c r="I72" s="2"/>
      <c r="J72" s="7">
        <f t="shared" si="53"/>
        <v>0</v>
      </c>
      <c r="K72" s="2"/>
      <c r="L72" s="6">
        <f t="shared" si="54"/>
        <v>0</v>
      </c>
      <c r="M72" s="2"/>
      <c r="N72" s="7">
        <f t="shared" si="55"/>
        <v>0</v>
      </c>
      <c r="O72" s="11"/>
      <c r="P72" s="6">
        <v>20.93</v>
      </c>
      <c r="Q72" s="2"/>
      <c r="R72" s="7">
        <f t="shared" si="56"/>
        <v>1.2448353902954465E-4</v>
      </c>
      <c r="S72" s="2"/>
      <c r="T72" s="6"/>
      <c r="U72" s="2"/>
      <c r="V72" s="7">
        <f t="shared" si="57"/>
        <v>0</v>
      </c>
      <c r="W72" s="2"/>
      <c r="X72" s="6">
        <f t="shared" si="58"/>
        <v>20.93</v>
      </c>
      <c r="Y72" s="2"/>
      <c r="Z72" s="7">
        <f t="shared" si="59"/>
        <v>0</v>
      </c>
    </row>
    <row r="73" spans="1:26" s="24" customFormat="1" hidden="1" outlineLevel="2" x14ac:dyDescent="0.25">
      <c r="A73" s="25"/>
      <c r="B73" s="11" t="str">
        <f>CONCATENATE("          ", "6247", " - ", "STORE SUPPLIES")</f>
        <v xml:space="preserve">          6247 - STORE SUPPLIES</v>
      </c>
      <c r="C73" s="11"/>
      <c r="D73" s="6">
        <v>693.45</v>
      </c>
      <c r="E73" s="2"/>
      <c r="F73" s="7">
        <f t="shared" si="52"/>
        <v>2.0426450198432158E-2</v>
      </c>
      <c r="G73" s="2"/>
      <c r="H73" s="6">
        <v>400</v>
      </c>
      <c r="I73" s="2"/>
      <c r="J73" s="7">
        <f t="shared" si="53"/>
        <v>1.5826541109440533E-2</v>
      </c>
      <c r="K73" s="2"/>
      <c r="L73" s="6">
        <f t="shared" si="54"/>
        <v>293.45000000000005</v>
      </c>
      <c r="M73" s="2"/>
      <c r="N73" s="7">
        <f t="shared" si="55"/>
        <v>0.73362500000000008</v>
      </c>
      <c r="O73" s="11"/>
      <c r="P73" s="6">
        <v>5257.43</v>
      </c>
      <c r="Q73" s="2"/>
      <c r="R73" s="7">
        <f t="shared" si="56"/>
        <v>3.1269158748213045E-2</v>
      </c>
      <c r="S73" s="2"/>
      <c r="T73" s="6">
        <v>2335</v>
      </c>
      <c r="U73" s="2"/>
      <c r="V73" s="7">
        <f t="shared" si="57"/>
        <v>1.5840818430978808E-2</v>
      </c>
      <c r="W73" s="2"/>
      <c r="X73" s="6">
        <f t="shared" si="58"/>
        <v>2922.4300000000003</v>
      </c>
      <c r="Y73" s="2"/>
      <c r="Z73" s="7">
        <f t="shared" si="59"/>
        <v>1.2515760171306212</v>
      </c>
    </row>
    <row r="74" spans="1:26" s="26" customFormat="1" outlineLevel="1" collapsed="1" x14ac:dyDescent="0.25">
      <c r="A74" s="27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SUM(OSRRefD22_13x_0)</f>
        <v>52.5</v>
      </c>
      <c r="E74" s="1"/>
      <c r="F74" s="5">
        <f t="shared" ref="F74:F77" si="60">IF(D$12=0,0,D74/D$12)</f>
        <v>1.5464541573548033E-3</v>
      </c>
      <c r="G74" s="1"/>
      <c r="H74" s="1">
        <f>SUM(OSRRefH22_13x_0)</f>
        <v>75</v>
      </c>
      <c r="I74" s="1"/>
      <c r="J74" s="5">
        <f t="shared" ref="J74:J77" si="61">IF(H$12=0,0,H74/H$12)</f>
        <v>2.9674764580200999E-3</v>
      </c>
      <c r="K74" s="1"/>
      <c r="L74" s="1">
        <f t="shared" ref="L74:L77" si="62">+D74-H74</f>
        <v>-22.5</v>
      </c>
      <c r="M74" s="1"/>
      <c r="N74" s="5">
        <f t="shared" ref="N74:N77" si="63">IF(H74=0,0,L74/H74)</f>
        <v>-0.3</v>
      </c>
      <c r="O74" s="13"/>
      <c r="P74" s="1">
        <f>SUM(OSRRefP22_13x_0)</f>
        <v>277.5</v>
      </c>
      <c r="Q74" s="1"/>
      <c r="R74" s="5">
        <f t="shared" ref="R74:R77" si="64">IF(P$12=0,0,P74/P$12)</f>
        <v>1.6504625934399733E-3</v>
      </c>
      <c r="S74" s="1"/>
      <c r="T74" s="1">
        <f>SUM(OSRRefT22_13x_0)</f>
        <v>375</v>
      </c>
      <c r="U74" s="1"/>
      <c r="V74" s="5">
        <f t="shared" ref="V74:V77" si="65">IF(T$12=0,0,T74/T$12)</f>
        <v>2.5440286559387805E-3</v>
      </c>
      <c r="W74" s="1"/>
      <c r="X74" s="1">
        <f t="shared" ref="X74:X77" si="66">+P74-T74</f>
        <v>-97.5</v>
      </c>
      <c r="Y74" s="1"/>
      <c r="Z74" s="5">
        <f t="shared" ref="Z74:Z77" si="67">IF(T74=0,0,X74/T74)</f>
        <v>-0.26</v>
      </c>
    </row>
    <row r="75" spans="1:26" s="24" customFormat="1" hidden="1" outlineLevel="2" x14ac:dyDescent="0.25">
      <c r="A75" s="25"/>
      <c r="B75" s="11" t="str">
        <f>CONCATENATE("          ", "6309", " - ", "TELEPHONE")</f>
        <v xml:space="preserve">          6309 - TELEPHONE</v>
      </c>
      <c r="C75" s="11"/>
      <c r="D75" s="6">
        <v>52.5</v>
      </c>
      <c r="E75" s="2"/>
      <c r="F75" s="7">
        <f t="shared" si="60"/>
        <v>1.5464541573548033E-3</v>
      </c>
      <c r="G75" s="2"/>
      <c r="H75" s="6">
        <v>75</v>
      </c>
      <c r="I75" s="2"/>
      <c r="J75" s="7">
        <f t="shared" si="61"/>
        <v>2.9674764580200999E-3</v>
      </c>
      <c r="K75" s="2"/>
      <c r="L75" s="6">
        <f t="shared" si="62"/>
        <v>-22.5</v>
      </c>
      <c r="M75" s="2"/>
      <c r="N75" s="7">
        <f t="shared" si="63"/>
        <v>-0.3</v>
      </c>
      <c r="O75" s="11"/>
      <c r="P75" s="6">
        <v>277.5</v>
      </c>
      <c r="Q75" s="2"/>
      <c r="R75" s="7">
        <f t="shared" si="64"/>
        <v>1.6504625934399733E-3</v>
      </c>
      <c r="S75" s="2"/>
      <c r="T75" s="6">
        <v>375</v>
      </c>
      <c r="U75" s="2"/>
      <c r="V75" s="7">
        <f t="shared" si="65"/>
        <v>2.5440286559387805E-3</v>
      </c>
      <c r="W75" s="2"/>
      <c r="X75" s="6">
        <f t="shared" si="66"/>
        <v>-97.5</v>
      </c>
      <c r="Y75" s="2"/>
      <c r="Z75" s="7">
        <f t="shared" si="67"/>
        <v>-0.26</v>
      </c>
    </row>
    <row r="76" spans="1:26" s="26" customFormat="1" outlineLevel="1" collapsed="1" x14ac:dyDescent="0.25">
      <c r="A76" s="27"/>
      <c r="B76" s="13" t="str">
        <f>CONCATENATE("     ","Utilities                                         ")</f>
        <v xml:space="preserve">     Utilities                                         </v>
      </c>
      <c r="C76" s="13"/>
      <c r="D76" s="1">
        <f>SUM(OSRRefD22_14x_0)</f>
        <v>25</v>
      </c>
      <c r="E76" s="1"/>
      <c r="F76" s="5">
        <f t="shared" si="60"/>
        <v>7.3640674159752536E-4</v>
      </c>
      <c r="G76" s="1"/>
      <c r="H76" s="1">
        <f>SUM(OSRRefH22_14x_0)</f>
        <v>25</v>
      </c>
      <c r="I76" s="1"/>
      <c r="J76" s="5">
        <f t="shared" si="61"/>
        <v>9.8915881934003328E-4</v>
      </c>
      <c r="K76" s="1"/>
      <c r="L76" s="1">
        <f t="shared" si="62"/>
        <v>0</v>
      </c>
      <c r="M76" s="1"/>
      <c r="N76" s="5">
        <f t="shared" si="63"/>
        <v>0</v>
      </c>
      <c r="O76" s="13"/>
      <c r="P76" s="1">
        <f>SUM(OSRRefP22_14x_0)</f>
        <v>-773.88</v>
      </c>
      <c r="Q76" s="1"/>
      <c r="R76" s="5">
        <f t="shared" si="64"/>
        <v>-4.6027387092300058E-3</v>
      </c>
      <c r="S76" s="1"/>
      <c r="T76" s="1">
        <f>SUM(OSRRefT22_14x_0)</f>
        <v>146</v>
      </c>
      <c r="U76" s="1"/>
      <c r="V76" s="5">
        <f t="shared" si="65"/>
        <v>9.9047515671216516E-4</v>
      </c>
      <c r="W76" s="1"/>
      <c r="X76" s="1">
        <f t="shared" si="66"/>
        <v>-919.88</v>
      </c>
      <c r="Y76" s="1"/>
      <c r="Z76" s="5">
        <f t="shared" si="67"/>
        <v>-6.3005479452054791</v>
      </c>
    </row>
    <row r="77" spans="1:26" s="24" customFormat="1" hidden="1" outlineLevel="2" x14ac:dyDescent="0.25">
      <c r="A77" s="25"/>
      <c r="B77" s="11" t="str">
        <f>CONCATENATE("          ", "6274", " - ", "UTILITIES")</f>
        <v xml:space="preserve">          6274 - UTILITIES</v>
      </c>
      <c r="C77" s="11"/>
      <c r="D77" s="6">
        <v>25</v>
      </c>
      <c r="E77" s="2"/>
      <c r="F77" s="7">
        <f t="shared" si="60"/>
        <v>7.3640674159752536E-4</v>
      </c>
      <c r="G77" s="2"/>
      <c r="H77" s="6">
        <v>25</v>
      </c>
      <c r="I77" s="2"/>
      <c r="J77" s="7">
        <f t="shared" si="61"/>
        <v>9.8915881934003328E-4</v>
      </c>
      <c r="K77" s="2"/>
      <c r="L77" s="6">
        <f t="shared" si="62"/>
        <v>0</v>
      </c>
      <c r="M77" s="2"/>
      <c r="N77" s="7">
        <f t="shared" si="63"/>
        <v>0</v>
      </c>
      <c r="O77" s="11"/>
      <c r="P77" s="6">
        <v>-773.88</v>
      </c>
      <c r="Q77" s="2"/>
      <c r="R77" s="7">
        <f t="shared" si="64"/>
        <v>-4.6027387092300058E-3</v>
      </c>
      <c r="S77" s="2"/>
      <c r="T77" s="6">
        <v>146</v>
      </c>
      <c r="U77" s="2"/>
      <c r="V77" s="7">
        <f t="shared" si="65"/>
        <v>9.9047515671216516E-4</v>
      </c>
      <c r="W77" s="2"/>
      <c r="X77" s="6">
        <f t="shared" si="66"/>
        <v>-919.88</v>
      </c>
      <c r="Y77" s="2"/>
      <c r="Z77" s="7">
        <f t="shared" si="67"/>
        <v>-6.3005479452054791</v>
      </c>
    </row>
    <row r="78" spans="1:26" s="59" customFormat="1" x14ac:dyDescent="0.25">
      <c r="A78" s="36"/>
      <c r="B78" s="36"/>
      <c r="C78" s="36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6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9" t="s">
        <v>0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8" t="s">
        <v>3</v>
      </c>
      <c r="C81" s="28"/>
      <c r="D81" s="20">
        <f>+D22-D24+D79</f>
        <v>6625.3200000000052</v>
      </c>
      <c r="E81" s="14"/>
      <c r="F81" s="22">
        <f>IF(D$12=0,0,D81/D$12)</f>
        <v>0.1951572125296368</v>
      </c>
      <c r="G81" s="14"/>
      <c r="H81" s="20">
        <f>+H22-H24+H79</f>
        <v>809.03089461538002</v>
      </c>
      <c r="I81" s="14"/>
      <c r="J81" s="22">
        <f>IF(H$12=0,0,H81/H$12)</f>
        <v>3.2010401781094405E-2</v>
      </c>
      <c r="K81" s="16"/>
      <c r="L81" s="20">
        <f>+D81-H81</f>
        <v>5816.2891053846251</v>
      </c>
      <c r="M81" s="16"/>
      <c r="N81" s="22">
        <f>IF(H81=0,0,L81/H81)</f>
        <v>7.1892051886964552</v>
      </c>
      <c r="O81" s="29"/>
      <c r="P81" s="20">
        <f>+P22-P24+P79</f>
        <v>21869.280000000006</v>
      </c>
      <c r="Q81" s="14"/>
      <c r="R81" s="22">
        <f>IF(P$12=0,0,P81/P$12)</f>
        <v>0.13007001292059442</v>
      </c>
      <c r="S81" s="14"/>
      <c r="T81" s="20">
        <f>+T22-T24+T79</f>
        <v>10586.445570384603</v>
      </c>
      <c r="U81" s="14"/>
      <c r="V81" s="22">
        <f>IF(T$12=0,0,T81/T$12)</f>
        <v>7.1819255721585595E-2</v>
      </c>
      <c r="W81" s="16"/>
      <c r="X81" s="20">
        <f>+P81-T81</f>
        <v>11282.834429615403</v>
      </c>
      <c r="Y81" s="16"/>
      <c r="Z81" s="22">
        <f>IF(T81=0,0,X81/T81)</f>
        <v>1.0657811778845712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2"/>
      <c r="B83" s="10" t="s">
        <v>14</v>
      </c>
      <c r="C83" s="10"/>
      <c r="D83" s="4">
        <v>4296.82</v>
      </c>
      <c r="E83" s="4"/>
      <c r="F83" s="12">
        <f>IF(D$12=0,0,D83/D$12)</f>
        <v>0.12656828861724315</v>
      </c>
      <c r="G83" s="4"/>
      <c r="H83" s="4">
        <v>3973</v>
      </c>
      <c r="I83" s="4"/>
      <c r="J83" s="12">
        <f>IF(H$12=0,0,H83/H$12)</f>
        <v>0.1571971195695181</v>
      </c>
      <c r="K83" s="4"/>
      <c r="L83" s="4">
        <f>+D83-H83</f>
        <v>323.81999999999971</v>
      </c>
      <c r="M83" s="4"/>
      <c r="N83" s="12">
        <f>IF(H83=0,0,L83/H83)</f>
        <v>8.1505159828844626E-2</v>
      </c>
      <c r="O83" s="10"/>
      <c r="P83" s="4">
        <v>17804.329999999998</v>
      </c>
      <c r="Q83" s="4"/>
      <c r="R83" s="12">
        <f>IF(P$12=0,0,P83/P$12)</f>
        <v>0.10589326366220222</v>
      </c>
      <c r="S83" s="4"/>
      <c r="T83" s="4">
        <v>18681</v>
      </c>
      <c r="U83" s="4"/>
      <c r="V83" s="12">
        <f>IF(T$12=0,0,T83/T$12)</f>
        <v>0.12673333152424629</v>
      </c>
      <c r="W83" s="4"/>
      <c r="X83" s="4">
        <f>+P83-T83</f>
        <v>-876.67000000000189</v>
      </c>
      <c r="Y83" s="4"/>
      <c r="Z83" s="12">
        <f>IF(T83=0,0,X83/T83)</f>
        <v>-4.6928429955569929E-2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8" t="s">
        <v>4</v>
      </c>
      <c r="C85" s="28"/>
      <c r="D85" s="30">
        <f>+D81-D83</f>
        <v>2328.5000000000055</v>
      </c>
      <c r="E85" s="14"/>
      <c r="F85" s="32">
        <f>IF(D$12=0,0,D85/D$12)</f>
        <v>6.8588923912393671E-2</v>
      </c>
      <c r="G85" s="14"/>
      <c r="H85" s="30">
        <f>+H81-H83</f>
        <v>-3163.96910538462</v>
      </c>
      <c r="I85" s="14"/>
      <c r="J85" s="32">
        <f>IF(H$12=0,0,H85/H$12)</f>
        <v>-0.12518671778842366</v>
      </c>
      <c r="K85" s="16"/>
      <c r="L85" s="30">
        <f>D85-H85</f>
        <v>5492.4691053846254</v>
      </c>
      <c r="M85" s="16"/>
      <c r="N85" s="32">
        <f>IF(H85=0,0,L85/H85)</f>
        <v>-1.7359427107038541</v>
      </c>
      <c r="O85" s="29"/>
      <c r="P85" s="30">
        <f>+P81-P83</f>
        <v>4064.950000000008</v>
      </c>
      <c r="Q85" s="14"/>
      <c r="R85" s="32">
        <f>IF(P$12=0,0,P85/P$12)</f>
        <v>2.417674925839219E-2</v>
      </c>
      <c r="S85" s="14"/>
      <c r="T85" s="30">
        <f>+T81-T83</f>
        <v>-8094.5544296153967</v>
      </c>
      <c r="U85" s="14"/>
      <c r="V85" s="32">
        <f>IF(T$12=0,0,T85/T$12)</f>
        <v>-5.4914075802660695E-2</v>
      </c>
      <c r="W85" s="16"/>
      <c r="X85" s="30">
        <f>P85-T85</f>
        <v>12159.504429615405</v>
      </c>
      <c r="Y85" s="16"/>
      <c r="Z85" s="32">
        <f>IF(T85=0,0,X85/T85)</f>
        <v>-1.502183293144296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8" t="s">
        <v>5</v>
      </c>
      <c r="C88" s="28"/>
      <c r="D88" s="31">
        <f>SUM(D85:D87)</f>
        <v>2328.5000000000055</v>
      </c>
      <c r="E88" s="14"/>
      <c r="F88" s="35">
        <f>IF(D$12=0,0,D88/D$12)</f>
        <v>6.8588923912393671E-2</v>
      </c>
      <c r="G88" s="14"/>
      <c r="H88" s="31">
        <f>SUM(H85:H87)</f>
        <v>-3163.96910538462</v>
      </c>
      <c r="I88" s="14"/>
      <c r="J88" s="35">
        <f>IF(H$12=0,0,H88/H$12)</f>
        <v>-0.12518671778842366</v>
      </c>
      <c r="K88" s="16"/>
      <c r="L88" s="31">
        <f>+D88-H88</f>
        <v>5492.4691053846254</v>
      </c>
      <c r="M88" s="16"/>
      <c r="N88" s="35">
        <f>IF(H88=0,0,L88/H88)</f>
        <v>-1.7359427107038541</v>
      </c>
      <c r="O88" s="29"/>
      <c r="P88" s="31">
        <f>SUM(P85:P87)</f>
        <v>4064.950000000008</v>
      </c>
      <c r="Q88" s="14"/>
      <c r="R88" s="35">
        <f>IF(P$12=0,0,P88/P$12)</f>
        <v>2.417674925839219E-2</v>
      </c>
      <c r="S88" s="14"/>
      <c r="T88" s="31">
        <f>SUM(T85:T87)</f>
        <v>-8094.5544296153967</v>
      </c>
      <c r="U88" s="14"/>
      <c r="V88" s="35">
        <f>IF(T$12=0,0,T88/T$12)</f>
        <v>-5.4914075802660695E-2</v>
      </c>
      <c r="W88" s="16"/>
      <c r="X88" s="31">
        <f>+P88-T88</f>
        <v>12159.504429615405</v>
      </c>
      <c r="Y88" s="16"/>
      <c r="Z88" s="35">
        <f>IF(T88=0,0,X88/T88)</f>
        <v>-1.502183293144296</v>
      </c>
    </row>
    <row r="89" spans="1:26" ht="15.75" thickTop="1" x14ac:dyDescent="0.25">
      <c r="A89" s="9"/>
      <c r="C89" s="9"/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56">
        <v>43815.483818090281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62" t="s">
        <v>314</v>
      </c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58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","322", " - ", "Beach Hut")</f>
        <v>Department 322 - Beach Hut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92431.430000000008</v>
      </c>
      <c r="E12" s="4"/>
      <c r="F12" s="12"/>
      <c r="G12" s="4"/>
      <c r="H12" s="4">
        <f>SUM(OSRRefH13x_0)</f>
        <v>91280</v>
      </c>
      <c r="I12" s="4"/>
      <c r="J12" s="12"/>
      <c r="K12" s="4"/>
      <c r="L12" s="4">
        <f t="shared" ref="L12:L15" si="0">+D12-H12</f>
        <v>1151.4300000000076</v>
      </c>
      <c r="M12" s="4"/>
      <c r="N12" s="12">
        <f t="shared" ref="N12:N15" si="1">IF(H12=0,0,L12/H12)</f>
        <v>1.2614263803681065E-2</v>
      </c>
      <c r="O12" s="10"/>
      <c r="P12" s="4">
        <f>SUM(OSRRefP13x_0)</f>
        <v>415061.82</v>
      </c>
      <c r="Q12" s="4"/>
      <c r="R12" s="12"/>
      <c r="S12" s="4"/>
      <c r="T12" s="4">
        <f>SUM(OSRRefT13x_0)</f>
        <v>429744</v>
      </c>
      <c r="U12" s="4"/>
      <c r="V12" s="12"/>
      <c r="W12" s="4"/>
      <c r="X12" s="4">
        <f t="shared" ref="X12:X15" si="2">+P12-T12</f>
        <v>-14682.179999999993</v>
      </c>
      <c r="Y12" s="4"/>
      <c r="Z12" s="12">
        <f t="shared" ref="Z12:Z15" si="3">IF(T12=0,0,X12/T12)</f>
        <v>-3.4164944711269948E-2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--9811.97</f>
        <v>9811.9699999999993</v>
      </c>
      <c r="E13" s="2"/>
      <c r="F13" s="19"/>
      <c r="G13" s="2"/>
      <c r="H13" s="2"/>
      <c r="I13" s="2"/>
      <c r="J13" s="19"/>
      <c r="K13" s="2"/>
      <c r="L13" s="2">
        <f t="shared" si="0"/>
        <v>9811.9699999999993</v>
      </c>
      <c r="M13" s="2"/>
      <c r="N13" s="19">
        <f t="shared" si="1"/>
        <v>0</v>
      </c>
      <c r="O13" s="11"/>
      <c r="P13" s="2">
        <f>--53058.08</f>
        <v>53058.080000000002</v>
      </c>
      <c r="Q13" s="2"/>
      <c r="R13" s="19"/>
      <c r="S13" s="2"/>
      <c r="T13" s="2"/>
      <c r="U13" s="2"/>
      <c r="V13" s="19"/>
      <c r="W13" s="2"/>
      <c r="X13" s="2">
        <f t="shared" si="2"/>
        <v>53058.080000000002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91280</v>
      </c>
      <c r="I14" s="2"/>
      <c r="J14" s="19"/>
      <c r="K14" s="2"/>
      <c r="L14" s="2">
        <f t="shared" si="0"/>
        <v>-91280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429744</v>
      </c>
      <c r="U14" s="2"/>
      <c r="V14" s="19"/>
      <c r="W14" s="2"/>
      <c r="X14" s="2">
        <f t="shared" si="2"/>
        <v>-429744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--82619.46</f>
        <v>82619.460000000006</v>
      </c>
      <c r="E15" s="2"/>
      <c r="F15" s="19"/>
      <c r="G15" s="2"/>
      <c r="H15" s="2"/>
      <c r="I15" s="2"/>
      <c r="J15" s="19"/>
      <c r="K15" s="2"/>
      <c r="L15" s="2">
        <f t="shared" si="0"/>
        <v>82619.460000000006</v>
      </c>
      <c r="M15" s="2"/>
      <c r="N15" s="19">
        <f t="shared" si="1"/>
        <v>0</v>
      </c>
      <c r="O15" s="11"/>
      <c r="P15" s="2">
        <f>--362003.74</f>
        <v>362003.74</v>
      </c>
      <c r="Q15" s="2"/>
      <c r="R15" s="19"/>
      <c r="S15" s="2"/>
      <c r="T15" s="2"/>
      <c r="U15" s="2"/>
      <c r="V15" s="19"/>
      <c r="W15" s="2"/>
      <c r="X15" s="2">
        <f t="shared" si="2"/>
        <v>362003.74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46877.009999999995</v>
      </c>
      <c r="E17" s="4"/>
      <c r="F17" s="12">
        <f t="shared" ref="F17:F20" si="4">IF(D$12=0,0,D17/D$12)</f>
        <v>0.50715443870120791</v>
      </c>
      <c r="G17" s="4"/>
      <c r="H17" s="4">
        <f>SUM(OSRRefH16x_0)</f>
        <v>43814</v>
      </c>
      <c r="I17" s="4"/>
      <c r="J17" s="12">
        <f t="shared" ref="J17:J20" si="5">IF(H$12=0,0,H17/H$12)</f>
        <v>0.47999561787905348</v>
      </c>
      <c r="K17" s="4"/>
      <c r="L17" s="4">
        <f t="shared" ref="L17:L20" si="6">+D17-H17</f>
        <v>3063.0099999999948</v>
      </c>
      <c r="M17" s="4"/>
      <c r="N17" s="12">
        <f t="shared" ref="N17:N20" si="7">IF(H17=0,0,L17/H17)</f>
        <v>6.9909389692792145E-2</v>
      </c>
      <c r="O17" s="10"/>
      <c r="P17" s="4">
        <f>SUM(OSRRefP16x_0)</f>
        <v>211359.16999999998</v>
      </c>
      <c r="Q17" s="4"/>
      <c r="R17" s="12">
        <f t="shared" ref="R17:R20" si="8">IF(P$12=0,0,P17/P$12)</f>
        <v>0.50922334894594734</v>
      </c>
      <c r="S17" s="4"/>
      <c r="T17" s="4">
        <f>SUM(OSRRefT16x_0)</f>
        <v>206277</v>
      </c>
      <c r="U17" s="4"/>
      <c r="V17" s="12">
        <f t="shared" ref="V17:V20" si="9">IF(T$12=0,0,T17/T$12)</f>
        <v>0.47999972076398972</v>
      </c>
      <c r="W17" s="4"/>
      <c r="X17" s="4">
        <f t="shared" ref="X17:X20" si="10">+P17-T17</f>
        <v>5082.1699999999837</v>
      </c>
      <c r="Y17" s="4"/>
      <c r="Z17" s="12">
        <f t="shared" ref="Z17:Z20" si="11">IF(T17=0,0,X17/T17)</f>
        <v>2.4637598956742553E-2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43814</v>
      </c>
      <c r="I18" s="2"/>
      <c r="J18" s="19">
        <f t="shared" si="5"/>
        <v>0.47999561787905348</v>
      </c>
      <c r="K18" s="2"/>
      <c r="L18" s="2">
        <f t="shared" si="6"/>
        <v>-43814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206277</v>
      </c>
      <c r="U18" s="2"/>
      <c r="V18" s="19">
        <f t="shared" si="9"/>
        <v>0.47999972076398972</v>
      </c>
      <c r="W18" s="2"/>
      <c r="X18" s="2">
        <f t="shared" si="10"/>
        <v>-206277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44509.7</v>
      </c>
      <c r="E19" s="2"/>
      <c r="F19" s="19">
        <f t="shared" si="4"/>
        <v>0.48154291240544472</v>
      </c>
      <c r="G19" s="2"/>
      <c r="H19" s="2"/>
      <c r="I19" s="2"/>
      <c r="J19" s="19">
        <f t="shared" si="5"/>
        <v>0</v>
      </c>
      <c r="K19" s="2"/>
      <c r="L19" s="2">
        <f t="shared" si="6"/>
        <v>44509.7</v>
      </c>
      <c r="M19" s="2"/>
      <c r="N19" s="19">
        <f t="shared" si="7"/>
        <v>0</v>
      </c>
      <c r="O19" s="11"/>
      <c r="P19" s="2">
        <v>226149.84</v>
      </c>
      <c r="Q19" s="2"/>
      <c r="R19" s="19">
        <f t="shared" si="8"/>
        <v>0.54485820931445827</v>
      </c>
      <c r="S19" s="2"/>
      <c r="T19" s="2"/>
      <c r="U19" s="2"/>
      <c r="V19" s="19">
        <f t="shared" si="9"/>
        <v>0</v>
      </c>
      <c r="W19" s="2"/>
      <c r="X19" s="2">
        <f t="shared" si="10"/>
        <v>226149.84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2367.31</v>
      </c>
      <c r="E20" s="2"/>
      <c r="F20" s="19">
        <f t="shared" si="4"/>
        <v>2.5611526295763246E-2</v>
      </c>
      <c r="G20" s="2"/>
      <c r="H20" s="2"/>
      <c r="I20" s="2"/>
      <c r="J20" s="19">
        <f t="shared" si="5"/>
        <v>0</v>
      </c>
      <c r="K20" s="2"/>
      <c r="L20" s="2">
        <f t="shared" si="6"/>
        <v>2367.31</v>
      </c>
      <c r="M20" s="2"/>
      <c r="N20" s="19">
        <f t="shared" si="7"/>
        <v>0</v>
      </c>
      <c r="O20" s="11"/>
      <c r="P20" s="2">
        <v>-14790.670000000002</v>
      </c>
      <c r="Q20" s="2"/>
      <c r="R20" s="19">
        <f t="shared" si="8"/>
        <v>-3.5634860368510893E-2</v>
      </c>
      <c r="S20" s="2"/>
      <c r="T20" s="2"/>
      <c r="U20" s="2"/>
      <c r="V20" s="19">
        <f t="shared" si="9"/>
        <v>0</v>
      </c>
      <c r="W20" s="2"/>
      <c r="X20" s="2">
        <f t="shared" si="10"/>
        <v>-14790.670000000002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0">
        <f>D12-D17</f>
        <v>45554.420000000013</v>
      </c>
      <c r="E22" s="14"/>
      <c r="F22" s="22">
        <f>IF(D$12=0,0,D22/D$12)</f>
        <v>0.49284556129879209</v>
      </c>
      <c r="G22" s="14"/>
      <c r="H22" s="20">
        <f>H12-H17</f>
        <v>47466</v>
      </c>
      <c r="I22" s="14"/>
      <c r="J22" s="22">
        <f>IF(H$12=0,0,H22/H$12)</f>
        <v>0.52000438212094657</v>
      </c>
      <c r="K22" s="16"/>
      <c r="L22" s="20">
        <f>+D22-H22</f>
        <v>-1911.5799999999872</v>
      </c>
      <c r="M22" s="16"/>
      <c r="N22" s="22">
        <f>IF(H22=0,0,L22/H22)</f>
        <v>-4.0272616188429346E-2</v>
      </c>
      <c r="O22" s="29"/>
      <c r="P22" s="20">
        <f>P12-P17</f>
        <v>203702.65000000002</v>
      </c>
      <c r="Q22" s="14"/>
      <c r="R22" s="22">
        <f>IF(P$12=0,0,P22/P$12)</f>
        <v>0.49077665105405266</v>
      </c>
      <c r="S22" s="14"/>
      <c r="T22" s="20">
        <f>T12-T17</f>
        <v>223467</v>
      </c>
      <c r="U22" s="14"/>
      <c r="V22" s="22">
        <f>IF(T$12=0,0,T22/T$12)</f>
        <v>0.52000027923601022</v>
      </c>
      <c r="W22" s="16"/>
      <c r="X22" s="20">
        <f>+P22-T22</f>
        <v>-19764.349999999977</v>
      </c>
      <c r="Y22" s="16"/>
      <c r="Z22" s="22">
        <f>IF(T22=0,0,X22/T22)</f>
        <v>-8.8444155065401056E-2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28604.039999999997</v>
      </c>
      <c r="E24" s="21"/>
      <c r="F24" s="33">
        <f t="shared" ref="F24:F34" si="12">IF(D$12=0,0,D24/D$12)</f>
        <v>0.30946226840805119</v>
      </c>
      <c r="G24" s="21"/>
      <c r="H24" s="21">
        <f>SUM(OSRRefH22x_0)</f>
        <v>27503.715610769228</v>
      </c>
      <c r="I24" s="21"/>
      <c r="J24" s="33">
        <f t="shared" ref="J24:J34" si="13">IF(H$12=0,0,H24/H$12)</f>
        <v>0.30131152071394862</v>
      </c>
      <c r="K24" s="4"/>
      <c r="L24" s="21">
        <f t="shared" ref="L24:L34" si="14">+D24-H24</f>
        <v>1100.3243892307692</v>
      </c>
      <c r="M24" s="4"/>
      <c r="N24" s="33">
        <f t="shared" ref="N24:N34" si="15">IF(H24=0,0,L24/H24)</f>
        <v>4.0006390583821015E-2</v>
      </c>
      <c r="O24" s="10"/>
      <c r="P24" s="21">
        <f>SUM(OSRRefP22x_0)</f>
        <v>144939.41999999998</v>
      </c>
      <c r="Q24" s="21"/>
      <c r="R24" s="33">
        <f t="shared" ref="R24:R34" si="16">IF(P$12=0,0,P24/P$12)</f>
        <v>0.34919959633964881</v>
      </c>
      <c r="S24" s="21"/>
      <c r="T24" s="21">
        <f>SUM(OSRRefT22x_0)</f>
        <v>138894.65832173076</v>
      </c>
      <c r="U24" s="21"/>
      <c r="V24" s="33">
        <f t="shared" ref="V24:V34" si="17">IF(T$12=0,0,T24/T$12)</f>
        <v>0.3232032519866031</v>
      </c>
      <c r="W24" s="4"/>
      <c r="X24" s="21">
        <f t="shared" ref="X24:X34" si="18">+P24-T24</f>
        <v>6044.7616782692203</v>
      </c>
      <c r="Y24" s="4"/>
      <c r="Z24" s="33">
        <f t="shared" ref="Z24:Z34" si="19">IF(T24=0,0,X24/T24)</f>
        <v>4.3520476246590736E-2</v>
      </c>
    </row>
    <row r="25" spans="1:26" s="26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2290</v>
      </c>
      <c r="E25" s="1"/>
      <c r="F25" s="5">
        <f t="shared" si="12"/>
        <v>2.4775122488097392E-2</v>
      </c>
      <c r="G25" s="1"/>
      <c r="H25" s="1">
        <f>SUM(OSRRefH22_0x_0)</f>
        <v>2265.74638</v>
      </c>
      <c r="I25" s="1"/>
      <c r="J25" s="5">
        <f t="shared" si="13"/>
        <v>2.4821936678352322E-2</v>
      </c>
      <c r="K25" s="1"/>
      <c r="L25" s="1">
        <f t="shared" si="14"/>
        <v>24.253619999999955</v>
      </c>
      <c r="M25" s="1"/>
      <c r="N25" s="5">
        <f t="shared" si="15"/>
        <v>1.0704472580907292E-2</v>
      </c>
      <c r="O25" s="13"/>
      <c r="P25" s="1">
        <f>SUM(OSRRefP22_0x_0)</f>
        <v>12067.82</v>
      </c>
      <c r="Q25" s="1"/>
      <c r="R25" s="5">
        <f t="shared" si="16"/>
        <v>2.9074753250009841E-2</v>
      </c>
      <c r="S25" s="1"/>
      <c r="T25" s="1">
        <f>SUM(OSRRefT22_0x_0)</f>
        <v>12165.827552500001</v>
      </c>
      <c r="U25" s="1"/>
      <c r="V25" s="5">
        <f t="shared" si="17"/>
        <v>2.8309476228871144E-2</v>
      </c>
      <c r="W25" s="1"/>
      <c r="X25" s="1">
        <f t="shared" si="18"/>
        <v>-98.007552500001111</v>
      </c>
      <c r="Y25" s="1"/>
      <c r="Z25" s="5">
        <f t="shared" si="19"/>
        <v>-8.0559708804898503E-3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6">
        <v>379.71</v>
      </c>
      <c r="E26" s="2"/>
      <c r="F26" s="7">
        <f t="shared" si="12"/>
        <v>4.1080182357884102E-3</v>
      </c>
      <c r="G26" s="2"/>
      <c r="H26" s="6">
        <v>302.69381076923099</v>
      </c>
      <c r="I26" s="2"/>
      <c r="J26" s="7">
        <f t="shared" si="13"/>
        <v>3.3161022213982361E-3</v>
      </c>
      <c r="K26" s="2"/>
      <c r="L26" s="6">
        <f t="shared" si="14"/>
        <v>77.016189230768987</v>
      </c>
      <c r="M26" s="2"/>
      <c r="N26" s="7">
        <f t="shared" si="15"/>
        <v>0.25443595637138722</v>
      </c>
      <c r="O26" s="11"/>
      <c r="P26" s="6">
        <v>3187.82</v>
      </c>
      <c r="Q26" s="2"/>
      <c r="R26" s="7">
        <f t="shared" si="16"/>
        <v>7.6803498813742977E-3</v>
      </c>
      <c r="S26" s="2"/>
      <c r="T26" s="6">
        <v>2016.949621730771</v>
      </c>
      <c r="U26" s="2"/>
      <c r="V26" s="7">
        <f t="shared" si="17"/>
        <v>4.6933747108296358E-3</v>
      </c>
      <c r="W26" s="2"/>
      <c r="X26" s="6">
        <f t="shared" si="18"/>
        <v>1170.8703782692291</v>
      </c>
      <c r="Y26" s="2"/>
      <c r="Z26" s="7">
        <f t="shared" si="19"/>
        <v>0.58051543065537248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6">
        <v>384.28</v>
      </c>
      <c r="E27" s="2"/>
      <c r="F27" s="7">
        <f t="shared" si="12"/>
        <v>4.1574602924567966E-3</v>
      </c>
      <c r="G27" s="2"/>
      <c r="H27" s="6">
        <v>324.32488461538497</v>
      </c>
      <c r="I27" s="2"/>
      <c r="J27" s="7">
        <f t="shared" si="13"/>
        <v>3.5530771758915968E-3</v>
      </c>
      <c r="K27" s="2"/>
      <c r="L27" s="6">
        <f t="shared" si="14"/>
        <v>59.955115384614999</v>
      </c>
      <c r="M27" s="2"/>
      <c r="N27" s="7">
        <f t="shared" si="15"/>
        <v>0.18486128640950703</v>
      </c>
      <c r="O27" s="11"/>
      <c r="P27" s="6">
        <v>1274.5899999999999</v>
      </c>
      <c r="Q27" s="2"/>
      <c r="R27" s="7">
        <f t="shared" si="16"/>
        <v>3.0708437600933756E-3</v>
      </c>
      <c r="S27" s="2"/>
      <c r="T27" s="6">
        <v>1667.2788653846169</v>
      </c>
      <c r="U27" s="2"/>
      <c r="V27" s="7">
        <f t="shared" si="17"/>
        <v>3.8797024865608754E-3</v>
      </c>
      <c r="W27" s="2"/>
      <c r="X27" s="6">
        <f t="shared" si="18"/>
        <v>-392.68886538461697</v>
      </c>
      <c r="Y27" s="2"/>
      <c r="Z27" s="7">
        <f t="shared" si="19"/>
        <v>-0.23552680570567264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6">
        <v>641.14</v>
      </c>
      <c r="E28" s="2"/>
      <c r="F28" s="7">
        <f t="shared" si="12"/>
        <v>6.9363851668204192E-3</v>
      </c>
      <c r="G28" s="2"/>
      <c r="H28" s="6">
        <v>663</v>
      </c>
      <c r="I28" s="2"/>
      <c r="J28" s="7">
        <f t="shared" si="13"/>
        <v>7.2633654688869414E-3</v>
      </c>
      <c r="K28" s="2"/>
      <c r="L28" s="6">
        <f t="shared" si="14"/>
        <v>-21.860000000000014</v>
      </c>
      <c r="M28" s="2"/>
      <c r="N28" s="7">
        <f t="shared" si="15"/>
        <v>-3.2971342383107109E-2</v>
      </c>
      <c r="O28" s="11"/>
      <c r="P28" s="6">
        <v>3205.7</v>
      </c>
      <c r="Q28" s="2"/>
      <c r="R28" s="7">
        <f t="shared" si="16"/>
        <v>7.7234278016706038E-3</v>
      </c>
      <c r="S28" s="2"/>
      <c r="T28" s="6">
        <v>3315</v>
      </c>
      <c r="U28" s="2"/>
      <c r="V28" s="7">
        <f t="shared" si="17"/>
        <v>7.7138947838713279E-3</v>
      </c>
      <c r="W28" s="2"/>
      <c r="X28" s="6">
        <f t="shared" si="18"/>
        <v>-109.30000000000018</v>
      </c>
      <c r="Y28" s="2"/>
      <c r="Z28" s="7">
        <f t="shared" si="19"/>
        <v>-3.2971342383107144E-2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6">
        <v>52.59</v>
      </c>
      <c r="E29" s="2"/>
      <c r="F29" s="7">
        <f t="shared" si="12"/>
        <v>5.6896231076377377E-4</v>
      </c>
      <c r="G29" s="2"/>
      <c r="H29" s="6">
        <v>44.381300000000003</v>
      </c>
      <c r="I29" s="2"/>
      <c r="J29" s="7">
        <f t="shared" si="13"/>
        <v>4.8621056091148121E-4</v>
      </c>
      <c r="K29" s="2"/>
      <c r="L29" s="6">
        <f t="shared" si="14"/>
        <v>8.2087000000000003</v>
      </c>
      <c r="M29" s="2"/>
      <c r="N29" s="7">
        <f t="shared" si="15"/>
        <v>0.18495852983125777</v>
      </c>
      <c r="O29" s="11"/>
      <c r="P29" s="6">
        <v>219.59</v>
      </c>
      <c r="Q29" s="2"/>
      <c r="R29" s="7">
        <f t="shared" si="16"/>
        <v>5.2905372023859005E-4</v>
      </c>
      <c r="S29" s="2"/>
      <c r="T29" s="6">
        <v>228.15395000000001</v>
      </c>
      <c r="U29" s="2"/>
      <c r="V29" s="7">
        <f t="shared" si="17"/>
        <v>5.3090665605569831E-4</v>
      </c>
      <c r="W29" s="2"/>
      <c r="X29" s="6">
        <f t="shared" si="18"/>
        <v>-8.5639500000000055</v>
      </c>
      <c r="Y29" s="2"/>
      <c r="Z29" s="7">
        <f t="shared" si="19"/>
        <v>-3.7535839287463596E-2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6">
        <v>268.22000000000003</v>
      </c>
      <c r="E30" s="2"/>
      <c r="F30" s="7">
        <f t="shared" si="12"/>
        <v>2.9018267920338354E-3</v>
      </c>
      <c r="G30" s="2"/>
      <c r="H30" s="6">
        <v>340.149846153846</v>
      </c>
      <c r="I30" s="2"/>
      <c r="J30" s="7">
        <f t="shared" si="13"/>
        <v>3.7264444144812225E-3</v>
      </c>
      <c r="K30" s="2"/>
      <c r="L30" s="6">
        <f t="shared" si="14"/>
        <v>-71.929846153845972</v>
      </c>
      <c r="M30" s="2"/>
      <c r="N30" s="7">
        <f t="shared" si="15"/>
        <v>-0.21146517326752781</v>
      </c>
      <c r="O30" s="11"/>
      <c r="P30" s="6">
        <v>1206.99</v>
      </c>
      <c r="Q30" s="2"/>
      <c r="R30" s="7">
        <f t="shared" si="16"/>
        <v>2.907976455169979E-3</v>
      </c>
      <c r="S30" s="2"/>
      <c r="T30" s="6">
        <v>1870.8241538461541</v>
      </c>
      <c r="U30" s="2"/>
      <c r="V30" s="7">
        <f t="shared" si="17"/>
        <v>4.3533456053979911E-3</v>
      </c>
      <c r="W30" s="2"/>
      <c r="X30" s="6">
        <f t="shared" si="18"/>
        <v>-663.83415384615409</v>
      </c>
      <c r="Y30" s="2"/>
      <c r="Z30" s="7">
        <f t="shared" si="19"/>
        <v>-0.35483514176434139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>
        <v>221.28</v>
      </c>
      <c r="E32" s="2"/>
      <c r="F32" s="7">
        <f t="shared" si="12"/>
        <v>2.3939908751817425E-3</v>
      </c>
      <c r="G32" s="2"/>
      <c r="H32" s="6">
        <v>118.65692307692301</v>
      </c>
      <c r="I32" s="2"/>
      <c r="J32" s="7">
        <f t="shared" si="13"/>
        <v>1.2999224701678682E-3</v>
      </c>
      <c r="K32" s="2"/>
      <c r="L32" s="6">
        <f t="shared" si="14"/>
        <v>102.62307692307699</v>
      </c>
      <c r="M32" s="2"/>
      <c r="N32" s="7">
        <f t="shared" si="15"/>
        <v>0.86487222373487993</v>
      </c>
      <c r="O32" s="11"/>
      <c r="P32" s="6">
        <v>1217.04</v>
      </c>
      <c r="Q32" s="2"/>
      <c r="R32" s="7">
        <f t="shared" si="16"/>
        <v>2.9321897157392118E-3</v>
      </c>
      <c r="S32" s="2"/>
      <c r="T32" s="6">
        <v>652.61307692307707</v>
      </c>
      <c r="U32" s="2"/>
      <c r="V32" s="7">
        <f t="shared" si="17"/>
        <v>1.5186089321155784E-3</v>
      </c>
      <c r="W32" s="2"/>
      <c r="X32" s="6">
        <f t="shared" si="18"/>
        <v>564.42692307692289</v>
      </c>
      <c r="Y32" s="2"/>
      <c r="Z32" s="7">
        <f t="shared" si="19"/>
        <v>0.86487222373487838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>
        <v>177.12</v>
      </c>
      <c r="E33" s="2"/>
      <c r="F33" s="7">
        <f t="shared" si="12"/>
        <v>1.9162313079003537E-3</v>
      </c>
      <c r="G33" s="2"/>
      <c r="H33" s="6">
        <v>472.53961538461499</v>
      </c>
      <c r="I33" s="2"/>
      <c r="J33" s="7">
        <f t="shared" si="13"/>
        <v>5.1768143666149754E-3</v>
      </c>
      <c r="K33" s="2"/>
      <c r="L33" s="6">
        <f t="shared" si="14"/>
        <v>-295.41961538461499</v>
      </c>
      <c r="M33" s="2"/>
      <c r="N33" s="7">
        <f t="shared" si="15"/>
        <v>-0.62517428331202152</v>
      </c>
      <c r="O33" s="11"/>
      <c r="P33" s="6">
        <v>974.16</v>
      </c>
      <c r="Q33" s="2"/>
      <c r="R33" s="7">
        <f t="shared" si="16"/>
        <v>2.3470238722511261E-3</v>
      </c>
      <c r="S33" s="2"/>
      <c r="T33" s="6">
        <v>2415.0078846153829</v>
      </c>
      <c r="U33" s="2"/>
      <c r="V33" s="7">
        <f t="shared" si="17"/>
        <v>5.6196430540400395E-3</v>
      </c>
      <c r="W33" s="2"/>
      <c r="X33" s="6">
        <f t="shared" si="18"/>
        <v>-1440.847884615383</v>
      </c>
      <c r="Y33" s="2"/>
      <c r="Z33" s="7">
        <f t="shared" si="19"/>
        <v>-0.59662243498010537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6">
        <v>165.66</v>
      </c>
      <c r="E34" s="2"/>
      <c r="F34" s="7">
        <f t="shared" si="12"/>
        <v>1.7922475071520585E-3</v>
      </c>
      <c r="G34" s="2"/>
      <c r="H34" s="6"/>
      <c r="I34" s="2"/>
      <c r="J34" s="7">
        <f t="shared" si="13"/>
        <v>0</v>
      </c>
      <c r="K34" s="2"/>
      <c r="L34" s="6">
        <f t="shared" si="14"/>
        <v>165.66</v>
      </c>
      <c r="M34" s="2"/>
      <c r="N34" s="7">
        <f t="shared" si="15"/>
        <v>0</v>
      </c>
      <c r="O34" s="11"/>
      <c r="P34" s="6">
        <v>781.93</v>
      </c>
      <c r="Q34" s="2"/>
      <c r="R34" s="7">
        <f t="shared" si="16"/>
        <v>1.8838880434726565E-3</v>
      </c>
      <c r="S34" s="2"/>
      <c r="T34" s="6"/>
      <c r="U34" s="2"/>
      <c r="V34" s="7">
        <f t="shared" si="17"/>
        <v>0</v>
      </c>
      <c r="W34" s="2"/>
      <c r="X34" s="6">
        <f t="shared" si="18"/>
        <v>781.93</v>
      </c>
      <c r="Y34" s="2"/>
      <c r="Z34" s="7">
        <f t="shared" si="19"/>
        <v>0</v>
      </c>
    </row>
    <row r="35" spans="1:26" s="26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16264.53</v>
      </c>
      <c r="E35" s="1"/>
      <c r="F35" s="5">
        <f t="shared" ref="F35:F45" si="20">IF(D$12=0,0,D35/D$12)</f>
        <v>0.17596319779970945</v>
      </c>
      <c r="G35" s="1"/>
      <c r="H35" s="1">
        <f>SUM(OSRRefH22_1x_0)</f>
        <v>16871.969230769231</v>
      </c>
      <c r="I35" s="1"/>
      <c r="J35" s="5">
        <f t="shared" ref="J35:J45" si="21">IF(H$12=0,0,H35/H$12)</f>
        <v>0.18483752443875143</v>
      </c>
      <c r="K35" s="1"/>
      <c r="L35" s="1">
        <f t="shared" ref="L35:L45" si="22">+D35-H35</f>
        <v>-607.43923076923056</v>
      </c>
      <c r="M35" s="1"/>
      <c r="N35" s="5">
        <f t="shared" ref="N35:N45" si="23">IF(H35=0,0,L35/H35)</f>
        <v>-3.6002865015984625E-2</v>
      </c>
      <c r="O35" s="13"/>
      <c r="P35" s="1">
        <f>SUM(OSRRefP22_1x_0)</f>
        <v>85262.6</v>
      </c>
      <c r="Q35" s="1"/>
      <c r="R35" s="5">
        <f t="shared" ref="R35:R45" si="24">IF(P$12=0,0,P35/P$12)</f>
        <v>0.20542144782191724</v>
      </c>
      <c r="S35" s="1"/>
      <c r="T35" s="1">
        <f>SUM(OSRRefT22_1x_0)</f>
        <v>86663.830769230772</v>
      </c>
      <c r="U35" s="1"/>
      <c r="V35" s="5">
        <f t="shared" ref="V35:V45" si="25">IF(T$12=0,0,T35/T$12)</f>
        <v>0.20166385282687083</v>
      </c>
      <c r="W35" s="1"/>
      <c r="X35" s="1">
        <f t="shared" ref="X35:X45" si="26">+P35-T35</f>
        <v>-1401.2307692307659</v>
      </c>
      <c r="Y35" s="1"/>
      <c r="Z35" s="5">
        <f t="shared" ref="Z35:Z45" si="27">IF(T35=0,0,X35/T35)</f>
        <v>-1.6168576403713053E-2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3757.4692307692299</v>
      </c>
      <c r="I36" s="2"/>
      <c r="J36" s="7">
        <f t="shared" si="21"/>
        <v>4.1164211555315841E-2</v>
      </c>
      <c r="K36" s="2"/>
      <c r="L36" s="6">
        <f t="shared" si="22"/>
        <v>-3757.4692307692299</v>
      </c>
      <c r="M36" s="2"/>
      <c r="N36" s="7">
        <f t="shared" si="23"/>
        <v>-1</v>
      </c>
      <c r="O36" s="11"/>
      <c r="P36" s="6"/>
      <c r="Q36" s="2"/>
      <c r="R36" s="7">
        <f t="shared" si="24"/>
        <v>0</v>
      </c>
      <c r="S36" s="2"/>
      <c r="T36" s="6">
        <v>20666.080769230768</v>
      </c>
      <c r="U36" s="2"/>
      <c r="V36" s="7">
        <f t="shared" si="25"/>
        <v>4.8089282850326633E-2</v>
      </c>
      <c r="W36" s="2"/>
      <c r="X36" s="6">
        <f t="shared" si="26"/>
        <v>-20666.080769230768</v>
      </c>
      <c r="Y36" s="2"/>
      <c r="Z36" s="7">
        <f t="shared" si="27"/>
        <v>-1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>
        <v>3264</v>
      </c>
      <c r="E37" s="2"/>
      <c r="F37" s="7">
        <f t="shared" si="20"/>
        <v>3.53126636686244E-2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3264</v>
      </c>
      <c r="M37" s="2"/>
      <c r="N37" s="7">
        <f t="shared" si="23"/>
        <v>0</v>
      </c>
      <c r="O37" s="11"/>
      <c r="P37" s="6">
        <v>18816</v>
      </c>
      <c r="Q37" s="2"/>
      <c r="R37" s="7">
        <f t="shared" si="24"/>
        <v>4.5333006056784503E-2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18816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>
        <v>1123.5</v>
      </c>
      <c r="E40" s="2"/>
      <c r="F40" s="7">
        <f t="shared" si="20"/>
        <v>1.2154956382260881E-2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1123.5</v>
      </c>
      <c r="M40" s="2"/>
      <c r="N40" s="7">
        <f t="shared" si="23"/>
        <v>0</v>
      </c>
      <c r="O40" s="11"/>
      <c r="P40" s="6">
        <v>6954.5</v>
      </c>
      <c r="Q40" s="2"/>
      <c r="R40" s="7">
        <f t="shared" si="24"/>
        <v>1.6755335385943232E-2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6954.5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11493.03</v>
      </c>
      <c r="E42" s="2"/>
      <c r="F42" s="7">
        <f t="shared" si="20"/>
        <v>0.12434114672898601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11493.03</v>
      </c>
      <c r="M42" s="2"/>
      <c r="N42" s="7">
        <f t="shared" si="23"/>
        <v>0</v>
      </c>
      <c r="O42" s="11"/>
      <c r="P42" s="6">
        <v>58016.1</v>
      </c>
      <c r="Q42" s="2"/>
      <c r="R42" s="7">
        <f t="shared" si="24"/>
        <v>0.13977700960305142</v>
      </c>
      <c r="S42" s="2"/>
      <c r="T42" s="6">
        <v>4601.25</v>
      </c>
      <c r="U42" s="2"/>
      <c r="V42" s="7">
        <f t="shared" si="25"/>
        <v>1.0706955769015973E-2</v>
      </c>
      <c r="W42" s="2"/>
      <c r="X42" s="6">
        <f t="shared" si="26"/>
        <v>53414.85</v>
      </c>
      <c r="Y42" s="2"/>
      <c r="Z42" s="7">
        <f t="shared" si="27"/>
        <v>11.608769356153219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>
        <v>384</v>
      </c>
      <c r="E43" s="2"/>
      <c r="F43" s="7">
        <f t="shared" si="20"/>
        <v>4.1544310198381651E-3</v>
      </c>
      <c r="G43" s="2"/>
      <c r="H43" s="6">
        <v>13114.5</v>
      </c>
      <c r="I43" s="2"/>
      <c r="J43" s="7">
        <f t="shared" si="21"/>
        <v>0.14367331288343557</v>
      </c>
      <c r="K43" s="2"/>
      <c r="L43" s="6">
        <f t="shared" si="22"/>
        <v>-12730.5</v>
      </c>
      <c r="M43" s="2"/>
      <c r="N43" s="7">
        <f t="shared" si="23"/>
        <v>-0.9707194326890084</v>
      </c>
      <c r="O43" s="11"/>
      <c r="P43" s="6">
        <v>1476</v>
      </c>
      <c r="Q43" s="2"/>
      <c r="R43" s="7">
        <f t="shared" si="24"/>
        <v>3.55609677613807E-3</v>
      </c>
      <c r="S43" s="2"/>
      <c r="T43" s="6">
        <v>61396.5</v>
      </c>
      <c r="U43" s="2"/>
      <c r="V43" s="7">
        <f t="shared" si="25"/>
        <v>0.14286761420752819</v>
      </c>
      <c r="W43" s="2"/>
      <c r="X43" s="6">
        <f t="shared" si="26"/>
        <v>-59920.5</v>
      </c>
      <c r="Y43" s="2"/>
      <c r="Z43" s="7">
        <f t="shared" si="27"/>
        <v>-0.97595954166768462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6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54" si="28">IF(D$12=0,0,D46/D$12)</f>
        <v>0</v>
      </c>
      <c r="G46" s="1"/>
      <c r="H46" s="1">
        <f>SUM(OSRRefH22_2x_0)</f>
        <v>0</v>
      </c>
      <c r="I46" s="1"/>
      <c r="J46" s="5">
        <f t="shared" ref="J46:J54" si="29">IF(H$12=0,0,H46/H$12)</f>
        <v>0</v>
      </c>
      <c r="K46" s="1"/>
      <c r="L46" s="1">
        <f t="shared" ref="L46:L54" si="30">+D46-H46</f>
        <v>0</v>
      </c>
      <c r="M46" s="1"/>
      <c r="N46" s="5">
        <f t="shared" ref="N46:N54" si="31">IF(H46=0,0,L46/H46)</f>
        <v>0</v>
      </c>
      <c r="O46" s="13"/>
      <c r="P46" s="1">
        <f>SUM(OSRRefP22_2x_0)</f>
        <v>150</v>
      </c>
      <c r="Q46" s="1"/>
      <c r="R46" s="5">
        <f t="shared" ref="R46:R54" si="32">IF(P$12=0,0,P46/P$12)</f>
        <v>3.6139194879451932E-4</v>
      </c>
      <c r="S46" s="1"/>
      <c r="T46" s="1">
        <f>SUM(OSRRefT22_2x_0)</f>
        <v>0</v>
      </c>
      <c r="U46" s="1"/>
      <c r="V46" s="5">
        <f t="shared" ref="V46:V54" si="33">IF(T$12=0,0,T46/T$12)</f>
        <v>0</v>
      </c>
      <c r="W46" s="1"/>
      <c r="X46" s="1">
        <f t="shared" ref="X46:X54" si="34">+P46-T46</f>
        <v>150</v>
      </c>
      <c r="Y46" s="1"/>
      <c r="Z46" s="5">
        <f t="shared" ref="Z46:Z54" si="35">IF(T46=0,0,X46/T46)</f>
        <v>0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8"/>
        <v>0</v>
      </c>
      <c r="G47" s="2"/>
      <c r="H47" s="6">
        <v>0</v>
      </c>
      <c r="I47" s="2"/>
      <c r="J47" s="7">
        <f t="shared" si="29"/>
        <v>0</v>
      </c>
      <c r="K47" s="2"/>
      <c r="L47" s="6">
        <f t="shared" si="30"/>
        <v>0</v>
      </c>
      <c r="M47" s="2"/>
      <c r="N47" s="7">
        <f t="shared" si="31"/>
        <v>0</v>
      </c>
      <c r="O47" s="11"/>
      <c r="P47" s="6">
        <v>150</v>
      </c>
      <c r="Q47" s="2"/>
      <c r="R47" s="7">
        <f t="shared" si="32"/>
        <v>3.6139194879451932E-4</v>
      </c>
      <c r="S47" s="2"/>
      <c r="T47" s="6">
        <v>0</v>
      </c>
      <c r="U47" s="2"/>
      <c r="V47" s="7">
        <f t="shared" si="33"/>
        <v>0</v>
      </c>
      <c r="W47" s="2"/>
      <c r="X47" s="6">
        <f t="shared" si="34"/>
        <v>150</v>
      </c>
      <c r="Y47" s="2"/>
      <c r="Z47" s="7">
        <f t="shared" si="35"/>
        <v>0</v>
      </c>
    </row>
    <row r="48" spans="1:26" s="26" customFormat="1" outlineLevel="1" collapsed="1" x14ac:dyDescent="0.25">
      <c r="A48" s="27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-6.27</v>
      </c>
      <c r="E48" s="1"/>
      <c r="F48" s="5">
        <f t="shared" si="28"/>
        <v>-6.7834068995795041E-5</v>
      </c>
      <c r="G48" s="1"/>
      <c r="H48" s="1">
        <f>SUM(OSRRefH22_3x_0)</f>
        <v>0</v>
      </c>
      <c r="I48" s="1"/>
      <c r="J48" s="5">
        <f t="shared" si="29"/>
        <v>0</v>
      </c>
      <c r="K48" s="1"/>
      <c r="L48" s="1">
        <f t="shared" si="30"/>
        <v>-6.27</v>
      </c>
      <c r="M48" s="1"/>
      <c r="N48" s="5">
        <f t="shared" si="31"/>
        <v>0</v>
      </c>
      <c r="O48" s="13"/>
      <c r="P48" s="1">
        <f>SUM(OSRRefP22_3x_0)</f>
        <v>-38.08</v>
      </c>
      <c r="Q48" s="1"/>
      <c r="R48" s="5">
        <f t="shared" si="32"/>
        <v>-9.1745369400635308E-5</v>
      </c>
      <c r="S48" s="1"/>
      <c r="T48" s="1">
        <f>SUM(OSRRefT22_3x_0)</f>
        <v>0</v>
      </c>
      <c r="U48" s="1"/>
      <c r="V48" s="5">
        <f t="shared" si="33"/>
        <v>0</v>
      </c>
      <c r="W48" s="1"/>
      <c r="X48" s="1">
        <f t="shared" si="34"/>
        <v>-38.08</v>
      </c>
      <c r="Y48" s="1"/>
      <c r="Z48" s="5">
        <f t="shared" si="35"/>
        <v>0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6">
        <v>-6.27</v>
      </c>
      <c r="E49" s="2"/>
      <c r="F49" s="7">
        <f t="shared" si="28"/>
        <v>-6.7834068995795041E-5</v>
      </c>
      <c r="G49" s="2"/>
      <c r="H49" s="6">
        <v>0</v>
      </c>
      <c r="I49" s="2"/>
      <c r="J49" s="7">
        <f t="shared" si="29"/>
        <v>0</v>
      </c>
      <c r="K49" s="2"/>
      <c r="L49" s="6">
        <f t="shared" si="30"/>
        <v>-6.27</v>
      </c>
      <c r="M49" s="2"/>
      <c r="N49" s="7">
        <f t="shared" si="31"/>
        <v>0</v>
      </c>
      <c r="O49" s="11"/>
      <c r="P49" s="6">
        <v>-38.08</v>
      </c>
      <c r="Q49" s="2"/>
      <c r="R49" s="7">
        <f t="shared" si="32"/>
        <v>-9.1745369400635308E-5</v>
      </c>
      <c r="S49" s="2"/>
      <c r="T49" s="6">
        <v>0</v>
      </c>
      <c r="U49" s="2"/>
      <c r="V49" s="7">
        <f t="shared" si="33"/>
        <v>0</v>
      </c>
      <c r="W49" s="2"/>
      <c r="X49" s="6">
        <f t="shared" si="34"/>
        <v>-38.08</v>
      </c>
      <c r="Y49" s="2"/>
      <c r="Z49" s="7">
        <f t="shared" si="35"/>
        <v>0</v>
      </c>
    </row>
    <row r="50" spans="1:26" s="26" customFormat="1" outlineLevel="1" collapsed="1" x14ac:dyDescent="0.25">
      <c r="A50" s="27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3576.28</v>
      </c>
      <c r="E50" s="1"/>
      <c r="F50" s="5">
        <f t="shared" si="28"/>
        <v>3.8691168144861544E-2</v>
      </c>
      <c r="G50" s="1"/>
      <c r="H50" s="1">
        <f>SUM(OSRRefH22_4x_0)</f>
        <v>2768</v>
      </c>
      <c r="I50" s="1"/>
      <c r="J50" s="5">
        <f t="shared" si="29"/>
        <v>3.0324276950043822E-2</v>
      </c>
      <c r="K50" s="1"/>
      <c r="L50" s="1">
        <f t="shared" si="30"/>
        <v>808.2800000000002</v>
      </c>
      <c r="M50" s="1"/>
      <c r="N50" s="5">
        <f t="shared" si="31"/>
        <v>0.29200867052023127</v>
      </c>
      <c r="O50" s="13"/>
      <c r="P50" s="1">
        <f>SUM(OSRRefP22_4x_0)</f>
        <v>14336.24</v>
      </c>
      <c r="Q50" s="1"/>
      <c r="R50" s="5">
        <f t="shared" si="32"/>
        <v>3.4540011413239598E-2</v>
      </c>
      <c r="S50" s="1"/>
      <c r="T50" s="1">
        <f>SUM(OSRRefT22_4x_0)</f>
        <v>13032</v>
      </c>
      <c r="U50" s="1"/>
      <c r="V50" s="5">
        <f t="shared" si="33"/>
        <v>3.032503071596113E-2</v>
      </c>
      <c r="W50" s="1"/>
      <c r="X50" s="1">
        <f t="shared" si="34"/>
        <v>1304.2399999999998</v>
      </c>
      <c r="Y50" s="1"/>
      <c r="Z50" s="5">
        <f t="shared" si="35"/>
        <v>0.10007980356046653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6">
        <v>3576.28</v>
      </c>
      <c r="E51" s="2"/>
      <c r="F51" s="7">
        <f t="shared" si="28"/>
        <v>3.8691168144861544E-2</v>
      </c>
      <c r="G51" s="2"/>
      <c r="H51" s="6">
        <v>2768</v>
      </c>
      <c r="I51" s="2"/>
      <c r="J51" s="7">
        <f t="shared" si="29"/>
        <v>3.0324276950043822E-2</v>
      </c>
      <c r="K51" s="2"/>
      <c r="L51" s="6">
        <f t="shared" si="30"/>
        <v>808.2800000000002</v>
      </c>
      <c r="M51" s="2"/>
      <c r="N51" s="7">
        <f t="shared" si="31"/>
        <v>0.29200867052023127</v>
      </c>
      <c r="O51" s="11"/>
      <c r="P51" s="6">
        <v>14336.24</v>
      </c>
      <c r="Q51" s="2"/>
      <c r="R51" s="7">
        <f t="shared" si="32"/>
        <v>3.4540011413239598E-2</v>
      </c>
      <c r="S51" s="2"/>
      <c r="T51" s="6">
        <v>13032</v>
      </c>
      <c r="U51" s="2"/>
      <c r="V51" s="7">
        <f t="shared" si="33"/>
        <v>3.032503071596113E-2</v>
      </c>
      <c r="W51" s="2"/>
      <c r="X51" s="6">
        <f t="shared" si="34"/>
        <v>1304.2399999999998</v>
      </c>
      <c r="Y51" s="2"/>
      <c r="Z51" s="7">
        <f t="shared" si="35"/>
        <v>0.10007980356046653</v>
      </c>
    </row>
    <row r="52" spans="1:26" s="26" customFormat="1" outlineLevel="1" collapsed="1" x14ac:dyDescent="0.25">
      <c r="A52" s="27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1857.58</v>
      </c>
      <c r="E52" s="1"/>
      <c r="F52" s="5">
        <f t="shared" si="28"/>
        <v>2.0096843681851505E-2</v>
      </c>
      <c r="G52" s="1"/>
      <c r="H52" s="1">
        <f>SUM(OSRRefH22_5x_0)</f>
        <v>1941</v>
      </c>
      <c r="I52" s="1"/>
      <c r="J52" s="5">
        <f t="shared" si="29"/>
        <v>2.1264241893076248E-2</v>
      </c>
      <c r="K52" s="1"/>
      <c r="L52" s="1">
        <f t="shared" si="30"/>
        <v>-83.420000000000073</v>
      </c>
      <c r="M52" s="1"/>
      <c r="N52" s="5">
        <f t="shared" si="31"/>
        <v>-4.2977846470891333E-2</v>
      </c>
      <c r="O52" s="13"/>
      <c r="P52" s="1">
        <f>SUM(OSRRefP22_5x_0)</f>
        <v>9287.9</v>
      </c>
      <c r="Q52" s="1"/>
      <c r="R52" s="5">
        <f t="shared" si="32"/>
        <v>2.2377148541390772E-2</v>
      </c>
      <c r="S52" s="1"/>
      <c r="T52" s="1">
        <f>SUM(OSRRefT22_5x_0)</f>
        <v>9456</v>
      </c>
      <c r="U52" s="1"/>
      <c r="V52" s="5">
        <f t="shared" si="33"/>
        <v>2.2003797609739754E-2</v>
      </c>
      <c r="W52" s="1"/>
      <c r="X52" s="1">
        <f t="shared" si="34"/>
        <v>-168.10000000000036</v>
      </c>
      <c r="Y52" s="1"/>
      <c r="Z52" s="5">
        <f t="shared" si="35"/>
        <v>-1.7777072758037263E-2</v>
      </c>
    </row>
    <row r="53" spans="1:26" s="24" customFormat="1" hidden="1" outlineLevel="2" x14ac:dyDescent="0.25">
      <c r="A53" s="25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1857.58</v>
      </c>
      <c r="E53" s="2"/>
      <c r="F53" s="7">
        <f t="shared" si="28"/>
        <v>2.0096843681851505E-2</v>
      </c>
      <c r="G53" s="2"/>
      <c r="H53" s="6">
        <v>1858</v>
      </c>
      <c r="I53" s="2"/>
      <c r="J53" s="7">
        <f t="shared" si="29"/>
        <v>2.0354951796669588E-2</v>
      </c>
      <c r="K53" s="2"/>
      <c r="L53" s="6">
        <f t="shared" si="30"/>
        <v>-0.42000000000007276</v>
      </c>
      <c r="M53" s="2"/>
      <c r="N53" s="7">
        <f t="shared" si="31"/>
        <v>-2.2604951560822E-4</v>
      </c>
      <c r="O53" s="11"/>
      <c r="P53" s="6">
        <v>9287.9</v>
      </c>
      <c r="Q53" s="2"/>
      <c r="R53" s="7">
        <f t="shared" si="32"/>
        <v>2.2377148541390772E-2</v>
      </c>
      <c r="S53" s="2"/>
      <c r="T53" s="6">
        <v>9290</v>
      </c>
      <c r="U53" s="2"/>
      <c r="V53" s="7">
        <f t="shared" si="33"/>
        <v>2.1617521128858112E-2</v>
      </c>
      <c r="W53" s="2"/>
      <c r="X53" s="6">
        <f t="shared" si="34"/>
        <v>-2.1000000000003638</v>
      </c>
      <c r="Y53" s="2"/>
      <c r="Z53" s="7">
        <f t="shared" si="35"/>
        <v>-2.2604951560822E-4</v>
      </c>
    </row>
    <row r="54" spans="1:26" s="24" customFormat="1" hidden="1" outlineLevel="2" x14ac:dyDescent="0.25">
      <c r="A54" s="25"/>
      <c r="B54" s="11" t="str">
        <f>CONCATENATE("          ", "6324", " - ", "FURNITURE + FIXT DEPRECIATION")</f>
        <v xml:space="preserve">          6324 - FURNITURE + FIXT DEPRECIATION</v>
      </c>
      <c r="C54" s="11"/>
      <c r="D54" s="6"/>
      <c r="E54" s="2"/>
      <c r="F54" s="7">
        <f t="shared" si="28"/>
        <v>0</v>
      </c>
      <c r="G54" s="2"/>
      <c r="H54" s="6">
        <v>83</v>
      </c>
      <c r="I54" s="2"/>
      <c r="J54" s="7">
        <f t="shared" si="29"/>
        <v>9.0929009640666086E-4</v>
      </c>
      <c r="K54" s="2"/>
      <c r="L54" s="6">
        <f t="shared" si="30"/>
        <v>-83</v>
      </c>
      <c r="M54" s="2"/>
      <c r="N54" s="7">
        <f t="shared" si="31"/>
        <v>-1</v>
      </c>
      <c r="O54" s="11"/>
      <c r="P54" s="6"/>
      <c r="Q54" s="2"/>
      <c r="R54" s="7">
        <f t="shared" si="32"/>
        <v>0</v>
      </c>
      <c r="S54" s="2"/>
      <c r="T54" s="6">
        <v>166</v>
      </c>
      <c r="U54" s="2"/>
      <c r="V54" s="7">
        <f t="shared" si="33"/>
        <v>3.8627648088164116E-4</v>
      </c>
      <c r="W54" s="2"/>
      <c r="X54" s="6">
        <f t="shared" si="34"/>
        <v>-166</v>
      </c>
      <c r="Y54" s="2"/>
      <c r="Z54" s="7">
        <f t="shared" si="35"/>
        <v>-1</v>
      </c>
    </row>
    <row r="55" spans="1:26" s="26" customFormat="1" outlineLevel="1" collapsed="1" x14ac:dyDescent="0.25">
      <c r="A55" s="27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0</v>
      </c>
      <c r="E55" s="1"/>
      <c r="F55" s="5">
        <f t="shared" ref="F55:F64" si="36">IF(D$12=0,0,D55/D$12)</f>
        <v>0</v>
      </c>
      <c r="G55" s="1"/>
      <c r="H55" s="1">
        <f>SUM(OSRRefH22_6x_0)</f>
        <v>0</v>
      </c>
      <c r="I55" s="1"/>
      <c r="J55" s="5">
        <f t="shared" ref="J55:J64" si="37">IF(H$12=0,0,H55/H$12)</f>
        <v>0</v>
      </c>
      <c r="K55" s="1"/>
      <c r="L55" s="1">
        <f t="shared" ref="L55:L64" si="38">+D55-H55</f>
        <v>0</v>
      </c>
      <c r="M55" s="1"/>
      <c r="N55" s="5">
        <f t="shared" ref="N55:N64" si="39">IF(H55=0,0,L55/H55)</f>
        <v>0</v>
      </c>
      <c r="O55" s="13"/>
      <c r="P55" s="1">
        <f>SUM(OSRRefP22_6x_0)</f>
        <v>0</v>
      </c>
      <c r="Q55" s="1"/>
      <c r="R55" s="5">
        <f t="shared" ref="R55:R64" si="40">IF(P$12=0,0,P55/P$12)</f>
        <v>0</v>
      </c>
      <c r="S55" s="1"/>
      <c r="T55" s="1">
        <f>SUM(OSRRefT22_6x_0)</f>
        <v>0</v>
      </c>
      <c r="U55" s="1"/>
      <c r="V55" s="5">
        <f t="shared" ref="V55:V64" si="41">IF(T$12=0,0,T55/T$12)</f>
        <v>0</v>
      </c>
      <c r="W55" s="1"/>
      <c r="X55" s="1">
        <f t="shared" ref="X55:X64" si="42">+P55-T55</f>
        <v>0</v>
      </c>
      <c r="Y55" s="1"/>
      <c r="Z55" s="5">
        <f t="shared" ref="Z55:Z64" si="43">IF(T55=0,0,X55/T55)</f>
        <v>0</v>
      </c>
    </row>
    <row r="56" spans="1:26" s="24" customFormat="1" hidden="1" outlineLevel="2" x14ac:dyDescent="0.25">
      <c r="A56" s="25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36"/>
        <v>0</v>
      </c>
      <c r="G56" s="2"/>
      <c r="H56" s="6">
        <v>0</v>
      </c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/>
      <c r="Q56" s="2"/>
      <c r="R56" s="7">
        <f t="shared" si="40"/>
        <v>0</v>
      </c>
      <c r="S56" s="2"/>
      <c r="T56" s="6">
        <v>0</v>
      </c>
      <c r="U56" s="2"/>
      <c r="V56" s="7">
        <f t="shared" si="41"/>
        <v>0</v>
      </c>
      <c r="W56" s="2"/>
      <c r="X56" s="6">
        <f t="shared" si="42"/>
        <v>0</v>
      </c>
      <c r="Y56" s="2"/>
      <c r="Z56" s="7">
        <f t="shared" si="43"/>
        <v>0</v>
      </c>
    </row>
    <row r="57" spans="1:26" s="26" customFormat="1" outlineLevel="1" collapsed="1" x14ac:dyDescent="0.25">
      <c r="A57" s="27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SUM(OSRRefD22_7x_0)</f>
        <v>78.98</v>
      </c>
      <c r="E57" s="1"/>
      <c r="F57" s="5">
        <f t="shared" si="36"/>
        <v>8.5447125506983926E-4</v>
      </c>
      <c r="G57" s="1"/>
      <c r="H57" s="1">
        <f>SUM(OSRRefH22_7x_0)</f>
        <v>252</v>
      </c>
      <c r="I57" s="1"/>
      <c r="J57" s="5">
        <f t="shared" si="37"/>
        <v>2.7607361963190185E-3</v>
      </c>
      <c r="K57" s="1"/>
      <c r="L57" s="1">
        <f t="shared" si="38"/>
        <v>-173.01999999999998</v>
      </c>
      <c r="M57" s="1"/>
      <c r="N57" s="5">
        <f t="shared" si="39"/>
        <v>-0.68658730158730152</v>
      </c>
      <c r="O57" s="13"/>
      <c r="P57" s="1">
        <f>SUM(OSRRefP22_7x_0)</f>
        <v>1006.53</v>
      </c>
      <c r="Q57" s="1"/>
      <c r="R57" s="5">
        <f t="shared" si="40"/>
        <v>2.4250122548009835E-3</v>
      </c>
      <c r="S57" s="1"/>
      <c r="T57" s="1">
        <f>SUM(OSRRefT22_7x_0)</f>
        <v>1186</v>
      </c>
      <c r="U57" s="1"/>
      <c r="V57" s="5">
        <f t="shared" si="41"/>
        <v>2.7597825682266651E-3</v>
      </c>
      <c r="W57" s="1"/>
      <c r="X57" s="1">
        <f t="shared" si="42"/>
        <v>-179.47000000000003</v>
      </c>
      <c r="Y57" s="1"/>
      <c r="Z57" s="5">
        <f t="shared" si="43"/>
        <v>-0.15132377740303543</v>
      </c>
    </row>
    <row r="58" spans="1:26" s="24" customFormat="1" hidden="1" outlineLevel="2" x14ac:dyDescent="0.25">
      <c r="A58" s="25"/>
      <c r="B58" s="11" t="str">
        <f>CONCATENATE("          ", "6279", " - ", "GENERAL EXPENSE")</f>
        <v xml:space="preserve">          6279 - GENERAL EXPENSE</v>
      </c>
      <c r="C58" s="11"/>
      <c r="D58" s="6">
        <v>78.98</v>
      </c>
      <c r="E58" s="2"/>
      <c r="F58" s="7">
        <f t="shared" si="36"/>
        <v>8.5447125506983926E-4</v>
      </c>
      <c r="G58" s="2"/>
      <c r="H58" s="6">
        <v>252</v>
      </c>
      <c r="I58" s="2"/>
      <c r="J58" s="7">
        <f t="shared" si="37"/>
        <v>2.7607361963190185E-3</v>
      </c>
      <c r="K58" s="2"/>
      <c r="L58" s="6">
        <f t="shared" si="38"/>
        <v>-173.01999999999998</v>
      </c>
      <c r="M58" s="2"/>
      <c r="N58" s="7">
        <f t="shared" si="39"/>
        <v>-0.68658730158730152</v>
      </c>
      <c r="O58" s="11"/>
      <c r="P58" s="6">
        <v>1006.53</v>
      </c>
      <c r="Q58" s="2"/>
      <c r="R58" s="7">
        <f t="shared" si="40"/>
        <v>2.4250122548009835E-3</v>
      </c>
      <c r="S58" s="2"/>
      <c r="T58" s="6">
        <v>1186</v>
      </c>
      <c r="U58" s="2"/>
      <c r="V58" s="7">
        <f t="shared" si="41"/>
        <v>2.7597825682266651E-3</v>
      </c>
      <c r="W58" s="2"/>
      <c r="X58" s="6">
        <f t="shared" si="42"/>
        <v>-179.47000000000003</v>
      </c>
      <c r="Y58" s="2"/>
      <c r="Z58" s="7">
        <f t="shared" si="43"/>
        <v>-0.15132377740303543</v>
      </c>
    </row>
    <row r="59" spans="1:26" s="26" customFormat="1" outlineLevel="1" collapsed="1" x14ac:dyDescent="0.25">
      <c r="A59" s="27"/>
      <c r="B59" s="13" t="str">
        <f>CONCATENATE("     ","Rent                                              ")</f>
        <v xml:space="preserve">     Rent                                              </v>
      </c>
      <c r="C59" s="13"/>
      <c r="D59" s="1">
        <f>SUM(OSRRefD22_8x_0)</f>
        <v>1150</v>
      </c>
      <c r="E59" s="1"/>
      <c r="F59" s="5">
        <f t="shared" si="36"/>
        <v>1.2441655397952838E-2</v>
      </c>
      <c r="G59" s="1"/>
      <c r="H59" s="1">
        <f>SUM(OSRRefH22_8x_0)</f>
        <v>1150</v>
      </c>
      <c r="I59" s="1"/>
      <c r="J59" s="5">
        <f t="shared" si="37"/>
        <v>1.2598597721297108E-2</v>
      </c>
      <c r="K59" s="1"/>
      <c r="L59" s="1">
        <f t="shared" si="38"/>
        <v>0</v>
      </c>
      <c r="M59" s="1"/>
      <c r="N59" s="5">
        <f t="shared" si="39"/>
        <v>0</v>
      </c>
      <c r="O59" s="13"/>
      <c r="P59" s="1">
        <f>SUM(OSRRefP22_8x_0)</f>
        <v>5750</v>
      </c>
      <c r="Q59" s="1"/>
      <c r="R59" s="5">
        <f t="shared" si="40"/>
        <v>1.3853358037123242E-2</v>
      </c>
      <c r="S59" s="1"/>
      <c r="T59" s="1">
        <f>SUM(OSRRefT22_8x_0)</f>
        <v>5750</v>
      </c>
      <c r="U59" s="1"/>
      <c r="V59" s="5">
        <f t="shared" si="41"/>
        <v>1.3380058825719498E-2</v>
      </c>
      <c r="W59" s="1"/>
      <c r="X59" s="1">
        <f t="shared" si="42"/>
        <v>0</v>
      </c>
      <c r="Y59" s="1"/>
      <c r="Z59" s="5">
        <f t="shared" si="43"/>
        <v>0</v>
      </c>
    </row>
    <row r="60" spans="1:26" s="24" customFormat="1" hidden="1" outlineLevel="2" x14ac:dyDescent="0.25">
      <c r="A60" s="25"/>
      <c r="B60" s="11" t="str">
        <f>CONCATENATE("          ", "6273", " - ", "RENT")</f>
        <v xml:space="preserve">          6273 - RENT</v>
      </c>
      <c r="C60" s="11"/>
      <c r="D60" s="6">
        <v>1150</v>
      </c>
      <c r="E60" s="2"/>
      <c r="F60" s="7">
        <f t="shared" si="36"/>
        <v>1.2441655397952838E-2</v>
      </c>
      <c r="G60" s="2"/>
      <c r="H60" s="6">
        <v>1150</v>
      </c>
      <c r="I60" s="2"/>
      <c r="J60" s="7">
        <f t="shared" si="37"/>
        <v>1.2598597721297108E-2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5750</v>
      </c>
      <c r="Q60" s="2"/>
      <c r="R60" s="7">
        <f t="shared" si="40"/>
        <v>1.3853358037123242E-2</v>
      </c>
      <c r="S60" s="2"/>
      <c r="T60" s="6">
        <v>5750</v>
      </c>
      <c r="U60" s="2"/>
      <c r="V60" s="7">
        <f t="shared" si="41"/>
        <v>1.3380058825719498E-2</v>
      </c>
      <c r="W60" s="2"/>
      <c r="X60" s="6">
        <f t="shared" si="42"/>
        <v>0</v>
      </c>
      <c r="Y60" s="2"/>
      <c r="Z60" s="7">
        <f t="shared" si="43"/>
        <v>0</v>
      </c>
    </row>
    <row r="61" spans="1:26" s="26" customFormat="1" outlineLevel="1" collapsed="1" x14ac:dyDescent="0.25">
      <c r="A61" s="27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SUM(OSRRefD22_9x_0)</f>
        <v>1371.4</v>
      </c>
      <c r="E61" s="1"/>
      <c r="F61" s="5">
        <f t="shared" si="36"/>
        <v>1.4836944532828281E-2</v>
      </c>
      <c r="G61" s="1"/>
      <c r="H61" s="1">
        <f>SUM(OSRRefH22_9x_0)</f>
        <v>419</v>
      </c>
      <c r="I61" s="1"/>
      <c r="J61" s="5">
        <f t="shared" si="37"/>
        <v>4.5902716914986855E-3</v>
      </c>
      <c r="K61" s="1"/>
      <c r="L61" s="1">
        <f t="shared" si="38"/>
        <v>952.40000000000009</v>
      </c>
      <c r="M61" s="1"/>
      <c r="N61" s="5">
        <f t="shared" si="39"/>
        <v>2.2730310262529834</v>
      </c>
      <c r="O61" s="13"/>
      <c r="P61" s="1">
        <f>SUM(OSRRefP22_9x_0)</f>
        <v>2909.68</v>
      </c>
      <c r="Q61" s="1"/>
      <c r="R61" s="5">
        <f t="shared" si="40"/>
        <v>7.0102328371229126E-3</v>
      </c>
      <c r="S61" s="1"/>
      <c r="T61" s="1">
        <f>SUM(OSRRefT22_9x_0)</f>
        <v>1974</v>
      </c>
      <c r="U61" s="1"/>
      <c r="V61" s="5">
        <f t="shared" si="41"/>
        <v>4.5934323690383109E-3</v>
      </c>
      <c r="W61" s="1"/>
      <c r="X61" s="1">
        <f t="shared" si="42"/>
        <v>935.67999999999984</v>
      </c>
      <c r="Y61" s="1"/>
      <c r="Z61" s="5">
        <f t="shared" si="43"/>
        <v>0.47400202634245181</v>
      </c>
    </row>
    <row r="62" spans="1:26" s="24" customFormat="1" hidden="1" outlineLevel="2" x14ac:dyDescent="0.25">
      <c r="A62" s="25"/>
      <c r="B62" s="11" t="str">
        <f>CONCATENATE("          ", "6371", " - ", "COMPUTER SOFTWARE MAINTENANCE")</f>
        <v xml:space="preserve">          6371 - COMPUTER SOFTWARE MAINTENANCE</v>
      </c>
      <c r="C62" s="11"/>
      <c r="D62" s="6"/>
      <c r="E62" s="2"/>
      <c r="F62" s="7">
        <f t="shared" si="36"/>
        <v>0</v>
      </c>
      <c r="G62" s="2"/>
      <c r="H62" s="6"/>
      <c r="I62" s="2"/>
      <c r="J62" s="7">
        <f t="shared" si="37"/>
        <v>0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/>
      <c r="Q62" s="2"/>
      <c r="R62" s="7">
        <f t="shared" si="40"/>
        <v>0</v>
      </c>
      <c r="S62" s="2"/>
      <c r="T62" s="6">
        <v>0</v>
      </c>
      <c r="U62" s="2"/>
      <c r="V62" s="7">
        <f t="shared" si="41"/>
        <v>0</v>
      </c>
      <c r="W62" s="2"/>
      <c r="X62" s="6">
        <f t="shared" si="42"/>
        <v>0</v>
      </c>
      <c r="Y62" s="2"/>
      <c r="Z62" s="7">
        <f t="shared" si="43"/>
        <v>0</v>
      </c>
    </row>
    <row r="63" spans="1:26" s="24" customFormat="1" hidden="1" outlineLevel="2" x14ac:dyDescent="0.25">
      <c r="A63" s="25"/>
      <c r="B63" s="11" t="str">
        <f>CONCATENATE("          ", "6373", " - ", "MAINTENANCE CONTRACTS")</f>
        <v xml:space="preserve">          6373 - MAINTENANCE CONTRACTS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68.48</v>
      </c>
      <c r="Q63" s="2"/>
      <c r="R63" s="7">
        <f t="shared" si="40"/>
        <v>1.6498747102299124E-4</v>
      </c>
      <c r="S63" s="2"/>
      <c r="T63" s="6"/>
      <c r="U63" s="2"/>
      <c r="V63" s="7">
        <f t="shared" si="41"/>
        <v>0</v>
      </c>
      <c r="W63" s="2"/>
      <c r="X63" s="6">
        <f t="shared" si="42"/>
        <v>68.48</v>
      </c>
      <c r="Y63" s="2"/>
      <c r="Z63" s="7">
        <f t="shared" si="43"/>
        <v>0</v>
      </c>
    </row>
    <row r="64" spans="1:26" s="24" customFormat="1" hidden="1" outlineLevel="2" x14ac:dyDescent="0.25">
      <c r="A64" s="25"/>
      <c r="B64" s="11" t="str">
        <f>CONCATENATE("          ", "6375", " - ", "OUTSIDE REPAIRS &amp; MAINTENANCE")</f>
        <v xml:space="preserve">          6375 - OUTSIDE REPAIRS &amp; MAINTENANCE</v>
      </c>
      <c r="C64" s="11"/>
      <c r="D64" s="6">
        <v>1371.4</v>
      </c>
      <c r="E64" s="2"/>
      <c r="F64" s="7">
        <f t="shared" si="36"/>
        <v>1.4836944532828281E-2</v>
      </c>
      <c r="G64" s="2"/>
      <c r="H64" s="6">
        <v>419</v>
      </c>
      <c r="I64" s="2"/>
      <c r="J64" s="7">
        <f t="shared" si="37"/>
        <v>4.5902716914986855E-3</v>
      </c>
      <c r="K64" s="2"/>
      <c r="L64" s="6">
        <f t="shared" si="38"/>
        <v>952.40000000000009</v>
      </c>
      <c r="M64" s="2"/>
      <c r="N64" s="7">
        <f t="shared" si="39"/>
        <v>2.2730310262529834</v>
      </c>
      <c r="O64" s="11"/>
      <c r="P64" s="6">
        <v>2841.2</v>
      </c>
      <c r="Q64" s="2"/>
      <c r="R64" s="7">
        <f t="shared" si="40"/>
        <v>6.8452453660999219E-3</v>
      </c>
      <c r="S64" s="2"/>
      <c r="T64" s="6">
        <v>1974</v>
      </c>
      <c r="U64" s="2"/>
      <c r="V64" s="7">
        <f t="shared" si="41"/>
        <v>4.5934323690383109E-3</v>
      </c>
      <c r="W64" s="2"/>
      <c r="X64" s="6">
        <f t="shared" si="42"/>
        <v>867.19999999999982</v>
      </c>
      <c r="Y64" s="2"/>
      <c r="Z64" s="7">
        <f t="shared" si="43"/>
        <v>0.43931104356636264</v>
      </c>
    </row>
    <row r="65" spans="1:26" s="26" customFormat="1" outlineLevel="1" collapsed="1" x14ac:dyDescent="0.25">
      <c r="A65" s="27"/>
      <c r="B65" s="13" t="str">
        <f>CONCATENATE("     ","Services                                          ")</f>
        <v xml:space="preserve">     Services                                          </v>
      </c>
      <c r="C65" s="13"/>
      <c r="D65" s="1">
        <f>SUM(OSRRefD22_10x_0)</f>
        <v>500.94000000000005</v>
      </c>
      <c r="E65" s="1"/>
      <c r="F65" s="5">
        <f t="shared" ref="F65:F68" si="44">IF(D$12=0,0,D65/D$12)</f>
        <v>5.4195850913482573E-3</v>
      </c>
      <c r="G65" s="1"/>
      <c r="H65" s="1">
        <f>SUM(OSRRefH22_10x_0)</f>
        <v>0</v>
      </c>
      <c r="I65" s="1"/>
      <c r="J65" s="5">
        <f t="shared" ref="J65:J68" si="45">IF(H$12=0,0,H65/H$12)</f>
        <v>0</v>
      </c>
      <c r="K65" s="1"/>
      <c r="L65" s="1">
        <f t="shared" ref="L65:L68" si="46">+D65-H65</f>
        <v>500.94000000000005</v>
      </c>
      <c r="M65" s="1"/>
      <c r="N65" s="5">
        <f t="shared" ref="N65:N68" si="47">IF(H65=0,0,L65/H65)</f>
        <v>0</v>
      </c>
      <c r="O65" s="13"/>
      <c r="P65" s="1">
        <f>SUM(OSRRefP22_10x_0)</f>
        <v>2502.6</v>
      </c>
      <c r="Q65" s="1"/>
      <c r="R65" s="5">
        <f t="shared" ref="R65:R68" si="48">IF(P$12=0,0,P65/P$12)</f>
        <v>6.0294632736877605E-3</v>
      </c>
      <c r="S65" s="1"/>
      <c r="T65" s="1">
        <f>SUM(OSRRefT22_10x_0)</f>
        <v>0</v>
      </c>
      <c r="U65" s="1"/>
      <c r="V65" s="5">
        <f t="shared" ref="V65:V68" si="49">IF(T$12=0,0,T65/T$12)</f>
        <v>0</v>
      </c>
      <c r="W65" s="1"/>
      <c r="X65" s="1">
        <f t="shared" ref="X65:X68" si="50">+P65-T65</f>
        <v>2502.6</v>
      </c>
      <c r="Y65" s="1"/>
      <c r="Z65" s="5">
        <f t="shared" ref="Z65:Z68" si="51">IF(T65=0,0,X65/T65)</f>
        <v>0</v>
      </c>
    </row>
    <row r="66" spans="1:26" s="24" customFormat="1" hidden="1" outlineLevel="2" x14ac:dyDescent="0.25">
      <c r="A66" s="25"/>
      <c r="B66" s="11" t="str">
        <f>CONCATENATE("          ", "6282", " - ", "JANITORIAL/EXTERMINATOR EXPENS")</f>
        <v xml:space="preserve">          6282 - JANITORIAL/EXTERMINATOR EXPENS</v>
      </c>
      <c r="C66" s="11"/>
      <c r="D66" s="6">
        <v>116.81</v>
      </c>
      <c r="E66" s="2"/>
      <c r="F66" s="7">
        <f t="shared" si="44"/>
        <v>1.2637476235085835E-3</v>
      </c>
      <c r="G66" s="2"/>
      <c r="H66" s="6"/>
      <c r="I66" s="2"/>
      <c r="J66" s="7">
        <f t="shared" si="45"/>
        <v>0</v>
      </c>
      <c r="K66" s="2"/>
      <c r="L66" s="6">
        <f t="shared" si="46"/>
        <v>116.81</v>
      </c>
      <c r="M66" s="2"/>
      <c r="N66" s="7">
        <f t="shared" si="47"/>
        <v>0</v>
      </c>
      <c r="O66" s="11"/>
      <c r="P66" s="6">
        <v>700.86</v>
      </c>
      <c r="Q66" s="2"/>
      <c r="R66" s="7">
        <f t="shared" si="48"/>
        <v>1.6885677415475122E-3</v>
      </c>
      <c r="S66" s="2"/>
      <c r="T66" s="6"/>
      <c r="U66" s="2"/>
      <c r="V66" s="7">
        <f t="shared" si="49"/>
        <v>0</v>
      </c>
      <c r="W66" s="2"/>
      <c r="X66" s="6">
        <f t="shared" si="50"/>
        <v>700.86</v>
      </c>
      <c r="Y66" s="2"/>
      <c r="Z66" s="7">
        <f t="shared" si="51"/>
        <v>0</v>
      </c>
    </row>
    <row r="67" spans="1:26" s="24" customFormat="1" hidden="1" outlineLevel="2" x14ac:dyDescent="0.25">
      <c r="A67" s="25"/>
      <c r="B67" s="11" t="str">
        <f>CONCATENATE("          ", "6285", " - ", "JANITORIAL SERVICES")</f>
        <v xml:space="preserve">          6285 - JANITORIAL SERVICES</v>
      </c>
      <c r="C67" s="11"/>
      <c r="D67" s="6">
        <v>151.36000000000001</v>
      </c>
      <c r="E67" s="2"/>
      <c r="F67" s="7">
        <f t="shared" si="44"/>
        <v>1.6375382269862102E-3</v>
      </c>
      <c r="G67" s="2"/>
      <c r="H67" s="6"/>
      <c r="I67" s="2"/>
      <c r="J67" s="7">
        <f t="shared" si="45"/>
        <v>0</v>
      </c>
      <c r="K67" s="2"/>
      <c r="L67" s="6">
        <f t="shared" si="46"/>
        <v>151.36000000000001</v>
      </c>
      <c r="M67" s="2"/>
      <c r="N67" s="7">
        <f t="shared" si="47"/>
        <v>0</v>
      </c>
      <c r="O67" s="11"/>
      <c r="P67" s="6">
        <v>278.39999999999998</v>
      </c>
      <c r="Q67" s="2"/>
      <c r="R67" s="7">
        <f t="shared" si="48"/>
        <v>6.707434569626278E-4</v>
      </c>
      <c r="S67" s="2"/>
      <c r="T67" s="6"/>
      <c r="U67" s="2"/>
      <c r="V67" s="7">
        <f t="shared" si="49"/>
        <v>0</v>
      </c>
      <c r="W67" s="2"/>
      <c r="X67" s="6">
        <f t="shared" si="50"/>
        <v>278.39999999999998</v>
      </c>
      <c r="Y67" s="2"/>
      <c r="Z67" s="7">
        <f t="shared" si="51"/>
        <v>0</v>
      </c>
    </row>
    <row r="68" spans="1:26" s="24" customFormat="1" hidden="1" outlineLevel="2" x14ac:dyDescent="0.25">
      <c r="A68" s="25"/>
      <c r="B68" s="11" t="str">
        <f>CONCATENATE("          ", "6286", " - ", "LAUNDRY EXPENSE")</f>
        <v xml:space="preserve">          6286 - LAUNDRY EXPENSE</v>
      </c>
      <c r="C68" s="11"/>
      <c r="D68" s="6">
        <v>232.77</v>
      </c>
      <c r="E68" s="2"/>
      <c r="F68" s="7">
        <f t="shared" si="44"/>
        <v>2.5182992408534629E-3</v>
      </c>
      <c r="G68" s="2"/>
      <c r="H68" s="6"/>
      <c r="I68" s="2"/>
      <c r="J68" s="7">
        <f t="shared" si="45"/>
        <v>0</v>
      </c>
      <c r="K68" s="2"/>
      <c r="L68" s="6">
        <f t="shared" si="46"/>
        <v>232.77</v>
      </c>
      <c r="M68" s="2"/>
      <c r="N68" s="7">
        <f t="shared" si="47"/>
        <v>0</v>
      </c>
      <c r="O68" s="11"/>
      <c r="P68" s="6">
        <v>1523.34</v>
      </c>
      <c r="Q68" s="2"/>
      <c r="R68" s="7">
        <f t="shared" si="48"/>
        <v>3.6701520751776201E-3</v>
      </c>
      <c r="S68" s="2"/>
      <c r="T68" s="6"/>
      <c r="U68" s="2"/>
      <c r="V68" s="7">
        <f t="shared" si="49"/>
        <v>0</v>
      </c>
      <c r="W68" s="2"/>
      <c r="X68" s="6">
        <f t="shared" si="50"/>
        <v>1523.34</v>
      </c>
      <c r="Y68" s="2"/>
      <c r="Z68" s="7">
        <f t="shared" si="51"/>
        <v>0</v>
      </c>
    </row>
    <row r="69" spans="1:26" s="26" customFormat="1" outlineLevel="1" collapsed="1" x14ac:dyDescent="0.25">
      <c r="A69" s="27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SUM(OSRRefD22_11x_0)</f>
        <v>1302.5999999999999</v>
      </c>
      <c r="E69" s="1"/>
      <c r="F69" s="5">
        <f t="shared" ref="F69:F74" si="52">IF(D$12=0,0,D69/D$12)</f>
        <v>1.4092608975107274E-2</v>
      </c>
      <c r="G69" s="1"/>
      <c r="H69" s="1">
        <f>SUM(OSRRefH22_11x_0)</f>
        <v>1761</v>
      </c>
      <c r="I69" s="1"/>
      <c r="J69" s="5">
        <f t="shared" ref="J69:J74" si="53">IF(H$12=0,0,H69/H$12)</f>
        <v>1.9292287467134094E-2</v>
      </c>
      <c r="K69" s="1"/>
      <c r="L69" s="1">
        <f t="shared" ref="L69:L74" si="54">+D69-H69</f>
        <v>-458.40000000000009</v>
      </c>
      <c r="M69" s="1"/>
      <c r="N69" s="5">
        <f t="shared" ref="N69:N74" si="55">IF(H69=0,0,L69/H69)</f>
        <v>-0.26030664395229985</v>
      </c>
      <c r="O69" s="13"/>
      <c r="P69" s="1">
        <f>SUM(OSRRefP22_11x_0)</f>
        <v>10781.130000000001</v>
      </c>
      <c r="Q69" s="1"/>
      <c r="R69" s="5">
        <f t="shared" ref="R69:R74" si="56">IF(P$12=0,0,P69/P$12)</f>
        <v>2.5974757206047045E-2</v>
      </c>
      <c r="S69" s="1"/>
      <c r="T69" s="1">
        <f>SUM(OSRRefT22_11x_0)</f>
        <v>8292</v>
      </c>
      <c r="U69" s="1"/>
      <c r="V69" s="5">
        <f t="shared" ref="V69:V74" si="57">IF(T$12=0,0,T69/T$12)</f>
        <v>1.9295208310063667E-2</v>
      </c>
      <c r="W69" s="1"/>
      <c r="X69" s="1">
        <f t="shared" ref="X69:X74" si="58">+P69-T69</f>
        <v>2489.130000000001</v>
      </c>
      <c r="Y69" s="1"/>
      <c r="Z69" s="5">
        <f t="shared" ref="Z69:Z74" si="59">IF(T69=0,0,X69/T69)</f>
        <v>0.30018451519536915</v>
      </c>
    </row>
    <row r="70" spans="1:26" s="24" customFormat="1" hidden="1" outlineLevel="2" x14ac:dyDescent="0.25">
      <c r="A70" s="25"/>
      <c r="B70" s="11" t="str">
        <f>CONCATENATE("          ", "6234", " - ", "EXPENDABLE SUPPLIES &amp; EQUIPMEN")</f>
        <v xml:space="preserve">          6234 - EXPENDABLE SUPPLIES &amp; EQUIPMEN</v>
      </c>
      <c r="C70" s="11"/>
      <c r="D70" s="6"/>
      <c r="E70" s="2"/>
      <c r="F70" s="7">
        <f t="shared" si="52"/>
        <v>0</v>
      </c>
      <c r="G70" s="2"/>
      <c r="H70" s="6"/>
      <c r="I70" s="2"/>
      <c r="J70" s="7">
        <f t="shared" si="53"/>
        <v>0</v>
      </c>
      <c r="K70" s="2"/>
      <c r="L70" s="6">
        <f t="shared" si="54"/>
        <v>0</v>
      </c>
      <c r="M70" s="2"/>
      <c r="N70" s="7">
        <f t="shared" si="55"/>
        <v>0</v>
      </c>
      <c r="O70" s="11"/>
      <c r="P70" s="6">
        <v>354.71</v>
      </c>
      <c r="Q70" s="2"/>
      <c r="R70" s="7">
        <f t="shared" si="56"/>
        <v>8.5459558771269295E-4</v>
      </c>
      <c r="S70" s="2"/>
      <c r="T70" s="6"/>
      <c r="U70" s="2"/>
      <c r="V70" s="7">
        <f t="shared" si="57"/>
        <v>0</v>
      </c>
      <c r="W70" s="2"/>
      <c r="X70" s="6">
        <f t="shared" si="58"/>
        <v>354.71</v>
      </c>
      <c r="Y70" s="2"/>
      <c r="Z70" s="7">
        <f t="shared" si="59"/>
        <v>0</v>
      </c>
    </row>
    <row r="71" spans="1:26" s="24" customFormat="1" hidden="1" outlineLevel="2" x14ac:dyDescent="0.25">
      <c r="A71" s="25"/>
      <c r="B71" s="11" t="str">
        <f>CONCATENATE("          ", "6237", " - ", "JANITORIAL SUPPLIES")</f>
        <v xml:space="preserve">          6237 - JANITORIAL SUPPLIES</v>
      </c>
      <c r="C71" s="11"/>
      <c r="D71" s="6">
        <v>520.76</v>
      </c>
      <c r="E71" s="2"/>
      <c r="F71" s="7">
        <f t="shared" si="52"/>
        <v>5.6340143174242784E-3</v>
      </c>
      <c r="G71" s="2"/>
      <c r="H71" s="6"/>
      <c r="I71" s="2"/>
      <c r="J71" s="7">
        <f t="shared" si="53"/>
        <v>0</v>
      </c>
      <c r="K71" s="2"/>
      <c r="L71" s="6">
        <f t="shared" si="54"/>
        <v>520.76</v>
      </c>
      <c r="M71" s="2"/>
      <c r="N71" s="7">
        <f t="shared" si="55"/>
        <v>0</v>
      </c>
      <c r="O71" s="11"/>
      <c r="P71" s="6">
        <v>1184.68</v>
      </c>
      <c r="Q71" s="2"/>
      <c r="R71" s="7">
        <f t="shared" si="56"/>
        <v>2.8542254259859411E-3</v>
      </c>
      <c r="S71" s="2"/>
      <c r="T71" s="6"/>
      <c r="U71" s="2"/>
      <c r="V71" s="7">
        <f t="shared" si="57"/>
        <v>0</v>
      </c>
      <c r="W71" s="2"/>
      <c r="X71" s="6">
        <f t="shared" si="58"/>
        <v>1184.68</v>
      </c>
      <c r="Y71" s="2"/>
      <c r="Z71" s="7">
        <f t="shared" si="59"/>
        <v>0</v>
      </c>
    </row>
    <row r="72" spans="1:26" s="24" customFormat="1" hidden="1" outlineLevel="2" x14ac:dyDescent="0.25">
      <c r="A72" s="25"/>
      <c r="B72" s="11" t="str">
        <f>CONCATENATE("          ", "6241", " - ", "OFFICE EXPENSE")</f>
        <v xml:space="preserve">          6241 - OFFICE EXPENSE</v>
      </c>
      <c r="C72" s="11"/>
      <c r="D72" s="6">
        <v>134.30000000000001</v>
      </c>
      <c r="E72" s="2"/>
      <c r="F72" s="7">
        <f t="shared" si="52"/>
        <v>1.4529689738652751E-3</v>
      </c>
      <c r="G72" s="2"/>
      <c r="H72" s="6"/>
      <c r="I72" s="2"/>
      <c r="J72" s="7">
        <f t="shared" si="53"/>
        <v>0</v>
      </c>
      <c r="K72" s="2"/>
      <c r="L72" s="6">
        <f t="shared" si="54"/>
        <v>134.30000000000001</v>
      </c>
      <c r="M72" s="2"/>
      <c r="N72" s="7">
        <f t="shared" si="55"/>
        <v>0</v>
      </c>
      <c r="O72" s="11"/>
      <c r="P72" s="6">
        <v>1007.25</v>
      </c>
      <c r="Q72" s="2"/>
      <c r="R72" s="7">
        <f t="shared" si="56"/>
        <v>2.4267469361551972E-3</v>
      </c>
      <c r="S72" s="2"/>
      <c r="T72" s="6"/>
      <c r="U72" s="2"/>
      <c r="V72" s="7">
        <f t="shared" si="57"/>
        <v>0</v>
      </c>
      <c r="W72" s="2"/>
      <c r="X72" s="6">
        <f t="shared" si="58"/>
        <v>1007.25</v>
      </c>
      <c r="Y72" s="2"/>
      <c r="Z72" s="7">
        <f t="shared" si="59"/>
        <v>0</v>
      </c>
    </row>
    <row r="73" spans="1:26" s="24" customFormat="1" hidden="1" outlineLevel="2" x14ac:dyDescent="0.25">
      <c r="A73" s="25"/>
      <c r="B73" s="11" t="str">
        <f>CONCATENATE("          ", "6243", " - ", "PAPER SUPPLIES")</f>
        <v xml:space="preserve">          6243 - PAPER SUPPLIES</v>
      </c>
      <c r="C73" s="11"/>
      <c r="D73" s="6">
        <v>44.56</v>
      </c>
      <c r="E73" s="2"/>
      <c r="F73" s="7">
        <f t="shared" si="52"/>
        <v>4.8208709959372044E-4</v>
      </c>
      <c r="G73" s="2"/>
      <c r="H73" s="6"/>
      <c r="I73" s="2"/>
      <c r="J73" s="7">
        <f t="shared" si="53"/>
        <v>0</v>
      </c>
      <c r="K73" s="2"/>
      <c r="L73" s="6">
        <f t="shared" si="54"/>
        <v>44.56</v>
      </c>
      <c r="M73" s="2"/>
      <c r="N73" s="7">
        <f t="shared" si="55"/>
        <v>0</v>
      </c>
      <c r="O73" s="11"/>
      <c r="P73" s="6">
        <v>1636.54</v>
      </c>
      <c r="Q73" s="2"/>
      <c r="R73" s="7">
        <f t="shared" si="56"/>
        <v>3.9428825325345512E-3</v>
      </c>
      <c r="S73" s="2"/>
      <c r="T73" s="6"/>
      <c r="U73" s="2"/>
      <c r="V73" s="7">
        <f t="shared" si="57"/>
        <v>0</v>
      </c>
      <c r="W73" s="2"/>
      <c r="X73" s="6">
        <f t="shared" si="58"/>
        <v>1636.54</v>
      </c>
      <c r="Y73" s="2"/>
      <c r="Z73" s="7">
        <f t="shared" si="59"/>
        <v>0</v>
      </c>
    </row>
    <row r="74" spans="1:26" s="24" customFormat="1" hidden="1" outlineLevel="2" x14ac:dyDescent="0.25">
      <c r="A74" s="25"/>
      <c r="B74" s="11" t="str">
        <f>CONCATENATE("          ", "6247", " - ", "STORE SUPPLIES")</f>
        <v xml:space="preserve">          6247 - STORE SUPPLIES</v>
      </c>
      <c r="C74" s="11"/>
      <c r="D74" s="6">
        <v>602.98</v>
      </c>
      <c r="E74" s="2"/>
      <c r="F74" s="7">
        <f t="shared" si="52"/>
        <v>6.5235385842240022E-3</v>
      </c>
      <c r="G74" s="2"/>
      <c r="H74" s="6">
        <v>1761</v>
      </c>
      <c r="I74" s="2"/>
      <c r="J74" s="7">
        <f t="shared" si="53"/>
        <v>1.9292287467134094E-2</v>
      </c>
      <c r="K74" s="2"/>
      <c r="L74" s="6">
        <f t="shared" si="54"/>
        <v>-1158.02</v>
      </c>
      <c r="M74" s="2"/>
      <c r="N74" s="7">
        <f t="shared" si="55"/>
        <v>-0.65759227711527535</v>
      </c>
      <c r="O74" s="11"/>
      <c r="P74" s="6">
        <v>6597.95</v>
      </c>
      <c r="Q74" s="2"/>
      <c r="R74" s="7">
        <f t="shared" si="56"/>
        <v>1.589630672365866E-2</v>
      </c>
      <c r="S74" s="2"/>
      <c r="T74" s="6">
        <v>8292</v>
      </c>
      <c r="U74" s="2"/>
      <c r="V74" s="7">
        <f t="shared" si="57"/>
        <v>1.9295208310063667E-2</v>
      </c>
      <c r="W74" s="2"/>
      <c r="X74" s="6">
        <f t="shared" si="58"/>
        <v>-1694.0500000000002</v>
      </c>
      <c r="Y74" s="2"/>
      <c r="Z74" s="7">
        <f t="shared" si="59"/>
        <v>-0.20429932465026535</v>
      </c>
    </row>
    <row r="75" spans="1:26" s="26" customFormat="1" outlineLevel="1" collapsed="1" x14ac:dyDescent="0.25">
      <c r="A75" s="27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SUM(OSRRefD22_12x_0)</f>
        <v>36</v>
      </c>
      <c r="E75" s="1"/>
      <c r="F75" s="5">
        <f t="shared" ref="F75:F78" si="60">IF(D$12=0,0,D75/D$12)</f>
        <v>3.89477908109828E-4</v>
      </c>
      <c r="G75" s="1"/>
      <c r="H75" s="1">
        <f>SUM(OSRRefH22_12x_0)</f>
        <v>75</v>
      </c>
      <c r="I75" s="1"/>
      <c r="J75" s="5">
        <f t="shared" ref="J75:J78" si="61">IF(H$12=0,0,H75/H$12)</f>
        <v>8.216476774758983E-4</v>
      </c>
      <c r="K75" s="1"/>
      <c r="L75" s="1">
        <f t="shared" ref="L75:L78" si="62">+D75-H75</f>
        <v>-39</v>
      </c>
      <c r="M75" s="1"/>
      <c r="N75" s="5">
        <f t="shared" ref="N75:N78" si="63">IF(H75=0,0,L75/H75)</f>
        <v>-0.52</v>
      </c>
      <c r="O75" s="13"/>
      <c r="P75" s="1">
        <f>SUM(OSRRefP22_12x_0)</f>
        <v>195</v>
      </c>
      <c r="Q75" s="1"/>
      <c r="R75" s="5">
        <f t="shared" ref="R75:R78" si="64">IF(P$12=0,0,P75/P$12)</f>
        <v>4.6980953343287514E-4</v>
      </c>
      <c r="S75" s="1"/>
      <c r="T75" s="1">
        <f>SUM(OSRRefT22_12x_0)</f>
        <v>375</v>
      </c>
      <c r="U75" s="1"/>
      <c r="V75" s="5">
        <f t="shared" ref="V75:V78" si="65">IF(T$12=0,0,T75/T$12)</f>
        <v>8.7261253211214117E-4</v>
      </c>
      <c r="W75" s="1"/>
      <c r="X75" s="1">
        <f t="shared" ref="X75:X78" si="66">+P75-T75</f>
        <v>-180</v>
      </c>
      <c r="Y75" s="1"/>
      <c r="Z75" s="5">
        <f t="shared" ref="Z75:Z78" si="67">IF(T75=0,0,X75/T75)</f>
        <v>-0.48</v>
      </c>
    </row>
    <row r="76" spans="1:26" s="24" customFormat="1" hidden="1" outlineLevel="2" x14ac:dyDescent="0.25">
      <c r="A76" s="25"/>
      <c r="B76" s="11" t="str">
        <f>CONCATENATE("          ", "6309", " - ", "TELEPHONE")</f>
        <v xml:space="preserve">          6309 - TELEPHONE</v>
      </c>
      <c r="C76" s="11"/>
      <c r="D76" s="6">
        <v>36</v>
      </c>
      <c r="E76" s="2"/>
      <c r="F76" s="7">
        <f t="shared" si="60"/>
        <v>3.89477908109828E-4</v>
      </c>
      <c r="G76" s="2"/>
      <c r="H76" s="6">
        <v>75</v>
      </c>
      <c r="I76" s="2"/>
      <c r="J76" s="7">
        <f t="shared" si="61"/>
        <v>8.216476774758983E-4</v>
      </c>
      <c r="K76" s="2"/>
      <c r="L76" s="6">
        <f t="shared" si="62"/>
        <v>-39</v>
      </c>
      <c r="M76" s="2"/>
      <c r="N76" s="7">
        <f t="shared" si="63"/>
        <v>-0.52</v>
      </c>
      <c r="O76" s="11"/>
      <c r="P76" s="6">
        <v>195</v>
      </c>
      <c r="Q76" s="2"/>
      <c r="R76" s="7">
        <f t="shared" si="64"/>
        <v>4.6980953343287514E-4</v>
      </c>
      <c r="S76" s="2"/>
      <c r="T76" s="6">
        <v>375</v>
      </c>
      <c r="U76" s="2"/>
      <c r="V76" s="7">
        <f t="shared" si="65"/>
        <v>8.7261253211214117E-4</v>
      </c>
      <c r="W76" s="2"/>
      <c r="X76" s="6">
        <f t="shared" si="66"/>
        <v>-180</v>
      </c>
      <c r="Y76" s="2"/>
      <c r="Z76" s="7">
        <f t="shared" si="67"/>
        <v>-0.48</v>
      </c>
    </row>
    <row r="77" spans="1:26" s="26" customFormat="1" outlineLevel="1" collapsed="1" x14ac:dyDescent="0.25">
      <c r="A77" s="27"/>
      <c r="B77" s="13" t="str">
        <f>CONCATENATE("     ","Utilities                                         ")</f>
        <v xml:space="preserve">     Utilities                                         </v>
      </c>
      <c r="C77" s="13"/>
      <c r="D77" s="1">
        <f>SUM(OSRRefD22_13x_0)</f>
        <v>182</v>
      </c>
      <c r="E77" s="1"/>
      <c r="F77" s="5">
        <f t="shared" si="60"/>
        <v>1.9690272021107972E-3</v>
      </c>
      <c r="G77" s="1"/>
      <c r="H77" s="1">
        <f>SUM(OSRRefH22_13x_0)</f>
        <v>0</v>
      </c>
      <c r="I77" s="1"/>
      <c r="J77" s="5">
        <f t="shared" si="61"/>
        <v>0</v>
      </c>
      <c r="K77" s="1"/>
      <c r="L77" s="1">
        <f t="shared" si="62"/>
        <v>182</v>
      </c>
      <c r="M77" s="1"/>
      <c r="N77" s="5">
        <f t="shared" si="63"/>
        <v>0</v>
      </c>
      <c r="O77" s="13"/>
      <c r="P77" s="1">
        <f>SUM(OSRRefP22_13x_0)</f>
        <v>728</v>
      </c>
      <c r="Q77" s="1"/>
      <c r="R77" s="5">
        <f t="shared" si="64"/>
        <v>1.7539555914827339E-3</v>
      </c>
      <c r="S77" s="1"/>
      <c r="T77" s="1">
        <f>SUM(OSRRefT22_13x_0)</f>
        <v>0</v>
      </c>
      <c r="U77" s="1"/>
      <c r="V77" s="5">
        <f t="shared" si="65"/>
        <v>0</v>
      </c>
      <c r="W77" s="1"/>
      <c r="X77" s="1">
        <f t="shared" si="66"/>
        <v>728</v>
      </c>
      <c r="Y77" s="1"/>
      <c r="Z77" s="5">
        <f t="shared" si="67"/>
        <v>0</v>
      </c>
    </row>
    <row r="78" spans="1:26" s="24" customFormat="1" hidden="1" outlineLevel="2" x14ac:dyDescent="0.25">
      <c r="A78" s="25"/>
      <c r="B78" s="11" t="str">
        <f>CONCATENATE("          ", "6274", " - ", "UTILITIES")</f>
        <v xml:space="preserve">          6274 - UTILITIES</v>
      </c>
      <c r="C78" s="11"/>
      <c r="D78" s="6">
        <v>182</v>
      </c>
      <c r="E78" s="2"/>
      <c r="F78" s="7">
        <f t="shared" si="60"/>
        <v>1.9690272021107972E-3</v>
      </c>
      <c r="G78" s="2"/>
      <c r="H78" s="6"/>
      <c r="I78" s="2"/>
      <c r="J78" s="7">
        <f t="shared" si="61"/>
        <v>0</v>
      </c>
      <c r="K78" s="2"/>
      <c r="L78" s="6">
        <f t="shared" si="62"/>
        <v>182</v>
      </c>
      <c r="M78" s="2"/>
      <c r="N78" s="7">
        <f t="shared" si="63"/>
        <v>0</v>
      </c>
      <c r="O78" s="11"/>
      <c r="P78" s="6">
        <v>728</v>
      </c>
      <c r="Q78" s="2"/>
      <c r="R78" s="7">
        <f t="shared" si="64"/>
        <v>1.7539555914827339E-3</v>
      </c>
      <c r="S78" s="2"/>
      <c r="T78" s="6"/>
      <c r="U78" s="2"/>
      <c r="V78" s="7">
        <f t="shared" si="65"/>
        <v>0</v>
      </c>
      <c r="W78" s="2"/>
      <c r="X78" s="6">
        <f t="shared" si="66"/>
        <v>728</v>
      </c>
      <c r="Y78" s="2"/>
      <c r="Z78" s="7">
        <f t="shared" si="67"/>
        <v>0</v>
      </c>
    </row>
    <row r="79" spans="1:26" s="59" customFormat="1" x14ac:dyDescent="0.25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9" t="s">
        <v>0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8" t="s">
        <v>3</v>
      </c>
      <c r="C82" s="28"/>
      <c r="D82" s="20">
        <f>+D22-D24+D80</f>
        <v>16950.380000000016</v>
      </c>
      <c r="E82" s="14"/>
      <c r="F82" s="22">
        <f>IF(D$12=0,0,D82/D$12)</f>
        <v>0.1833832928907409</v>
      </c>
      <c r="G82" s="14"/>
      <c r="H82" s="20">
        <f>+H22-H24+H80</f>
        <v>19962.284389230772</v>
      </c>
      <c r="I82" s="14"/>
      <c r="J82" s="22">
        <f>IF(H$12=0,0,H82/H$12)</f>
        <v>0.21869286140699795</v>
      </c>
      <c r="K82" s="16"/>
      <c r="L82" s="20">
        <f>+D82-H82</f>
        <v>-3011.9043892307564</v>
      </c>
      <c r="M82" s="16"/>
      <c r="N82" s="22">
        <f>IF(H82=0,0,L82/H82)</f>
        <v>-0.15087974554934278</v>
      </c>
      <c r="O82" s="29"/>
      <c r="P82" s="20">
        <f>+P22-P24+P80</f>
        <v>58763.23000000004</v>
      </c>
      <c r="Q82" s="14"/>
      <c r="R82" s="22">
        <f>IF(P$12=0,0,P82/P$12)</f>
        <v>0.14157705471440385</v>
      </c>
      <c r="S82" s="14"/>
      <c r="T82" s="20">
        <f>+T22-T24+T80</f>
        <v>84572.341678269237</v>
      </c>
      <c r="U82" s="14"/>
      <c r="V82" s="22">
        <f>IF(T$12=0,0,T82/T$12)</f>
        <v>0.19679702724940717</v>
      </c>
      <c r="W82" s="16"/>
      <c r="X82" s="20">
        <f>+P82-T82</f>
        <v>-25809.111678269197</v>
      </c>
      <c r="Y82" s="16"/>
      <c r="Z82" s="22">
        <f>IF(T82=0,0,X82/T82)</f>
        <v>-0.30517201210358369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2"/>
      <c r="B84" s="10" t="s">
        <v>14</v>
      </c>
      <c r="C84" s="10"/>
      <c r="D84" s="4">
        <v>11475.44</v>
      </c>
      <c r="E84" s="4"/>
      <c r="F84" s="12">
        <f>IF(D$12=0,0,D84/D$12)</f>
        <v>0.12415084349555124</v>
      </c>
      <c r="G84" s="4"/>
      <c r="H84" s="4">
        <v>13703</v>
      </c>
      <c r="I84" s="4"/>
      <c r="J84" s="12">
        <f>IF(H$12=0,0,H84/H$12)</f>
        <v>0.1501205083260298</v>
      </c>
      <c r="K84" s="4"/>
      <c r="L84" s="4">
        <f>+D84-H84</f>
        <v>-2227.5599999999995</v>
      </c>
      <c r="M84" s="4"/>
      <c r="N84" s="12">
        <f>IF(H84=0,0,L84/H84)</f>
        <v>-0.16256002335255049</v>
      </c>
      <c r="O84" s="10"/>
      <c r="P84" s="4">
        <v>43952.24</v>
      </c>
      <c r="Q84" s="4"/>
      <c r="R84" s="12">
        <f>IF(P$12=0,0,P84/P$12)</f>
        <v>0.10589323778322948</v>
      </c>
      <c r="S84" s="4"/>
      <c r="T84" s="4">
        <v>54461</v>
      </c>
      <c r="U84" s="4"/>
      <c r="V84" s="12">
        <f>IF(T$12=0,0,T84/T$12)</f>
        <v>0.12672893629695819</v>
      </c>
      <c r="W84" s="4"/>
      <c r="X84" s="4">
        <f>+P84-T84</f>
        <v>-10508.760000000002</v>
      </c>
      <c r="Y84" s="4"/>
      <c r="Z84" s="12">
        <f>IF(T84=0,0,X84/T84)</f>
        <v>-0.19295936541745473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8" t="s">
        <v>4</v>
      </c>
      <c r="C86" s="28"/>
      <c r="D86" s="30">
        <f>+D82-D84</f>
        <v>5474.9400000000151</v>
      </c>
      <c r="E86" s="14"/>
      <c r="F86" s="32">
        <f>IF(D$12=0,0,D86/D$12)</f>
        <v>5.9232449395189651E-2</v>
      </c>
      <c r="G86" s="14"/>
      <c r="H86" s="30">
        <f>+H82-H84</f>
        <v>6259.2843892307719</v>
      </c>
      <c r="I86" s="14"/>
      <c r="J86" s="32">
        <f>IF(H$12=0,0,H86/H$12)</f>
        <v>6.8572353080968138E-2</v>
      </c>
      <c r="K86" s="16"/>
      <c r="L86" s="30">
        <f>D86-H86</f>
        <v>-784.34438923075686</v>
      </c>
      <c r="M86" s="16"/>
      <c r="N86" s="32">
        <f>IF(H86=0,0,L86/H86)</f>
        <v>-0.12530895553815027</v>
      </c>
      <c r="O86" s="29"/>
      <c r="P86" s="30">
        <f>+P82-P84</f>
        <v>14810.990000000042</v>
      </c>
      <c r="Q86" s="14"/>
      <c r="R86" s="32">
        <f>IF(P$12=0,0,P86/P$12)</f>
        <v>3.5683816931174353E-2</v>
      </c>
      <c r="S86" s="14"/>
      <c r="T86" s="30">
        <f>+T82-T84</f>
        <v>30111.341678269237</v>
      </c>
      <c r="U86" s="14"/>
      <c r="V86" s="32">
        <f>IF(T$12=0,0,T86/T$12)</f>
        <v>7.006809095244898E-2</v>
      </c>
      <c r="W86" s="16"/>
      <c r="X86" s="30">
        <f>P86-T86</f>
        <v>-15300.351678269195</v>
      </c>
      <c r="Y86" s="16"/>
      <c r="Z86" s="32">
        <f>IF(T86=0,0,X86/T86)</f>
        <v>-0.50812586970547235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5</v>
      </c>
      <c r="C89" s="28"/>
      <c r="D89" s="31">
        <f>SUM(D86:D88)</f>
        <v>5474.9400000000151</v>
      </c>
      <c r="E89" s="14"/>
      <c r="F89" s="35">
        <f>IF(D$12=0,0,D89/D$12)</f>
        <v>5.9232449395189651E-2</v>
      </c>
      <c r="G89" s="14"/>
      <c r="H89" s="31">
        <f>SUM(H86:H88)</f>
        <v>6259.2843892307719</v>
      </c>
      <c r="I89" s="14"/>
      <c r="J89" s="35">
        <f>IF(H$12=0,0,H89/H$12)</f>
        <v>6.8572353080968138E-2</v>
      </c>
      <c r="K89" s="16"/>
      <c r="L89" s="31">
        <f>+D89-H89</f>
        <v>-784.34438923075686</v>
      </c>
      <c r="M89" s="16"/>
      <c r="N89" s="35">
        <f>IF(H89=0,0,L89/H89)</f>
        <v>-0.12530895553815027</v>
      </c>
      <c r="O89" s="29"/>
      <c r="P89" s="31">
        <f>SUM(P86:P88)</f>
        <v>14810.990000000042</v>
      </c>
      <c r="Q89" s="14"/>
      <c r="R89" s="35">
        <f>IF(P$12=0,0,P89/P$12)</f>
        <v>3.5683816931174353E-2</v>
      </c>
      <c r="S89" s="14"/>
      <c r="T89" s="31">
        <f>SUM(T86:T88)</f>
        <v>30111.341678269237</v>
      </c>
      <c r="U89" s="14"/>
      <c r="V89" s="35">
        <f>IF(T$12=0,0,T89/T$12)</f>
        <v>7.006809095244898E-2</v>
      </c>
      <c r="W89" s="16"/>
      <c r="X89" s="31">
        <f>+P89-T89</f>
        <v>-15300.351678269195</v>
      </c>
      <c r="Y89" s="16"/>
      <c r="Z89" s="35">
        <f>IF(T89=0,0,X89/T89)</f>
        <v>-0.50812586970547235</v>
      </c>
    </row>
    <row r="90" spans="1:26" ht="15.75" thickTop="1" x14ac:dyDescent="0.25">
      <c r="A90" s="9"/>
      <c r="C90" s="9"/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56">
        <v>43815.483832256941</v>
      </c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62" t="s">
        <v>314</v>
      </c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58"/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","325", " - ", "Outpost C-Store")</f>
        <v>Department 325 - Outpost C-Store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77434.09</v>
      </c>
      <c r="E12" s="4"/>
      <c r="F12" s="12"/>
      <c r="G12" s="4"/>
      <c r="H12" s="4">
        <f>SUM(OSRRefH13x_0)</f>
        <v>62259.000000000007</v>
      </c>
      <c r="I12" s="4"/>
      <c r="J12" s="12"/>
      <c r="K12" s="4"/>
      <c r="L12" s="4">
        <f t="shared" ref="L12:L15" si="0">+D12-H12</f>
        <v>15175.089999999989</v>
      </c>
      <c r="M12" s="4"/>
      <c r="N12" s="12">
        <f t="shared" ref="N12:N15" si="1">IF(H12=0,0,L12/H12)</f>
        <v>0.24374130647777811</v>
      </c>
      <c r="O12" s="10"/>
      <c r="P12" s="4">
        <f>SUM(OSRRefP13x_0)</f>
        <v>353511.95999999996</v>
      </c>
      <c r="Q12" s="4"/>
      <c r="R12" s="12"/>
      <c r="S12" s="4"/>
      <c r="T12" s="4">
        <f>SUM(OSRRefT13x_0)</f>
        <v>326423.19999999995</v>
      </c>
      <c r="U12" s="4"/>
      <c r="V12" s="12"/>
      <c r="W12" s="4"/>
      <c r="X12" s="4">
        <f t="shared" ref="X12:X15" si="2">+P12-T12</f>
        <v>27088.760000000009</v>
      </c>
      <c r="Y12" s="4"/>
      <c r="Z12" s="12">
        <f t="shared" ref="Z12:Z15" si="3">IF(T12=0,0,X12/T12)</f>
        <v>8.2986625950606491E-2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62259.000000000007</v>
      </c>
      <c r="I13" s="2"/>
      <c r="J13" s="19"/>
      <c r="K13" s="2"/>
      <c r="L13" s="2">
        <f t="shared" si="0"/>
        <v>-62259.000000000007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326423.19999999995</v>
      </c>
      <c r="U13" s="2"/>
      <c r="V13" s="19"/>
      <c r="W13" s="2"/>
      <c r="X13" s="2">
        <f t="shared" si="2"/>
        <v>-326423.19999999995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>--11990.47</f>
        <v>11990.47</v>
      </c>
      <c r="E14" s="2"/>
      <c r="F14" s="19"/>
      <c r="G14" s="2"/>
      <c r="H14" s="2"/>
      <c r="I14" s="2"/>
      <c r="J14" s="19"/>
      <c r="K14" s="2"/>
      <c r="L14" s="2">
        <f t="shared" si="0"/>
        <v>11990.47</v>
      </c>
      <c r="M14" s="2"/>
      <c r="N14" s="19">
        <f t="shared" si="1"/>
        <v>0</v>
      </c>
      <c r="O14" s="11"/>
      <c r="P14" s="2">
        <f>--62615.55</f>
        <v>62615.55</v>
      </c>
      <c r="Q14" s="2"/>
      <c r="R14" s="19"/>
      <c r="S14" s="2"/>
      <c r="T14" s="2"/>
      <c r="U14" s="2"/>
      <c r="V14" s="19"/>
      <c r="W14" s="2"/>
      <c r="X14" s="2">
        <f t="shared" si="2"/>
        <v>62615.55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>--65443.62</f>
        <v>65443.62</v>
      </c>
      <c r="E15" s="2"/>
      <c r="F15" s="19"/>
      <c r="G15" s="2"/>
      <c r="H15" s="2"/>
      <c r="I15" s="2"/>
      <c r="J15" s="19"/>
      <c r="K15" s="2"/>
      <c r="L15" s="2">
        <f t="shared" si="0"/>
        <v>65443.62</v>
      </c>
      <c r="M15" s="2"/>
      <c r="N15" s="19">
        <f t="shared" si="1"/>
        <v>0</v>
      </c>
      <c r="O15" s="11"/>
      <c r="P15" s="2">
        <f>--290896.41</f>
        <v>290896.40999999997</v>
      </c>
      <c r="Q15" s="2"/>
      <c r="R15" s="19"/>
      <c r="S15" s="2"/>
      <c r="T15" s="2"/>
      <c r="U15" s="2"/>
      <c r="V15" s="19"/>
      <c r="W15" s="2"/>
      <c r="X15" s="2">
        <f t="shared" si="2"/>
        <v>290896.40999999997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37610.43</v>
      </c>
      <c r="E17" s="4"/>
      <c r="F17" s="12">
        <f t="shared" ref="F17:F20" si="4">IF(D$12=0,0,D17/D$12)</f>
        <v>0.48570894292165118</v>
      </c>
      <c r="G17" s="4"/>
      <c r="H17" s="4">
        <f>SUM(OSRRefH16x_0)</f>
        <v>29885</v>
      </c>
      <c r="I17" s="4"/>
      <c r="J17" s="12">
        <f t="shared" ref="J17:J20" si="5">IF(H$12=0,0,H17/H$12)</f>
        <v>0.48001092211567797</v>
      </c>
      <c r="K17" s="4"/>
      <c r="L17" s="4">
        <f t="shared" ref="L17:L20" si="6">+D17-H17</f>
        <v>7725.43</v>
      </c>
      <c r="M17" s="4"/>
      <c r="N17" s="12">
        <f t="shared" ref="N17:N20" si="7">IF(H17=0,0,L17/H17)</f>
        <v>0.25850527020244268</v>
      </c>
      <c r="O17" s="10"/>
      <c r="P17" s="4">
        <f>SUM(OSRRefP16x_0)</f>
        <v>159252.60999999999</v>
      </c>
      <c r="Q17" s="4"/>
      <c r="R17" s="12">
        <f t="shared" ref="R17:R20" si="8">IF(P$12=0,0,P17/P$12)</f>
        <v>0.45048719143759663</v>
      </c>
      <c r="S17" s="4"/>
      <c r="T17" s="4">
        <f>SUM(OSRRefT16x_0)</f>
        <v>156680</v>
      </c>
      <c r="U17" s="4"/>
      <c r="V17" s="12">
        <f t="shared" ref="V17:V20" si="9">IF(T$12=0,0,T17/T$12)</f>
        <v>0.47999039283972472</v>
      </c>
      <c r="W17" s="4"/>
      <c r="X17" s="4">
        <f t="shared" ref="X17:X20" si="10">+P17-T17</f>
        <v>2572.609999999986</v>
      </c>
      <c r="Y17" s="4"/>
      <c r="Z17" s="12">
        <f t="shared" ref="Z17:Z20" si="11">IF(T17=0,0,X17/T17)</f>
        <v>1.6419517487873285E-2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29885</v>
      </c>
      <c r="I18" s="2"/>
      <c r="J18" s="19">
        <f t="shared" si="5"/>
        <v>0.48001092211567797</v>
      </c>
      <c r="K18" s="2"/>
      <c r="L18" s="2">
        <f t="shared" si="6"/>
        <v>-29885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156680</v>
      </c>
      <c r="U18" s="2"/>
      <c r="V18" s="19">
        <f t="shared" si="9"/>
        <v>0.47999039283972472</v>
      </c>
      <c r="W18" s="2"/>
      <c r="X18" s="2">
        <f t="shared" si="10"/>
        <v>-156680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35873.279999999999</v>
      </c>
      <c r="E19" s="2"/>
      <c r="F19" s="19">
        <f t="shared" si="4"/>
        <v>0.46327502525050662</v>
      </c>
      <c r="G19" s="2"/>
      <c r="H19" s="2"/>
      <c r="I19" s="2"/>
      <c r="J19" s="19">
        <f t="shared" si="5"/>
        <v>0</v>
      </c>
      <c r="K19" s="2"/>
      <c r="L19" s="2">
        <f t="shared" si="6"/>
        <v>35873.279999999999</v>
      </c>
      <c r="M19" s="2"/>
      <c r="N19" s="19">
        <f t="shared" si="7"/>
        <v>0</v>
      </c>
      <c r="O19" s="11"/>
      <c r="P19" s="2">
        <v>169477.34</v>
      </c>
      <c r="Q19" s="2"/>
      <c r="R19" s="19">
        <f t="shared" si="8"/>
        <v>0.47941048444301576</v>
      </c>
      <c r="S19" s="2"/>
      <c r="T19" s="2"/>
      <c r="U19" s="2"/>
      <c r="V19" s="19">
        <f t="shared" si="9"/>
        <v>0</v>
      </c>
      <c r="W19" s="2"/>
      <c r="X19" s="2">
        <f t="shared" si="10"/>
        <v>169477.34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1737.15</v>
      </c>
      <c r="E20" s="2"/>
      <c r="F20" s="19">
        <f t="shared" si="4"/>
        <v>2.2433917671144585E-2</v>
      </c>
      <c r="G20" s="2"/>
      <c r="H20" s="2"/>
      <c r="I20" s="2"/>
      <c r="J20" s="19">
        <f t="shared" si="5"/>
        <v>0</v>
      </c>
      <c r="K20" s="2"/>
      <c r="L20" s="2">
        <f t="shared" si="6"/>
        <v>1737.15</v>
      </c>
      <c r="M20" s="2"/>
      <c r="N20" s="19">
        <f t="shared" si="7"/>
        <v>0</v>
      </c>
      <c r="O20" s="11"/>
      <c r="P20" s="2">
        <v>-10224.73</v>
      </c>
      <c r="Q20" s="2"/>
      <c r="R20" s="19">
        <f t="shared" si="8"/>
        <v>-2.8923293005419112E-2</v>
      </c>
      <c r="S20" s="2"/>
      <c r="T20" s="2"/>
      <c r="U20" s="2"/>
      <c r="V20" s="19">
        <f t="shared" si="9"/>
        <v>0</v>
      </c>
      <c r="W20" s="2"/>
      <c r="X20" s="2">
        <f t="shared" si="10"/>
        <v>-10224.73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0">
        <f>D12-D17</f>
        <v>39823.659999999996</v>
      </c>
      <c r="E22" s="14"/>
      <c r="F22" s="22">
        <f>IF(D$12=0,0,D22/D$12)</f>
        <v>0.51429105707834877</v>
      </c>
      <c r="G22" s="14"/>
      <c r="H22" s="20">
        <f>H12-H17</f>
        <v>32374.000000000007</v>
      </c>
      <c r="I22" s="14"/>
      <c r="J22" s="22">
        <f>IF(H$12=0,0,H22/H$12)</f>
        <v>0.51998907788432203</v>
      </c>
      <c r="K22" s="16"/>
      <c r="L22" s="20">
        <f>+D22-H22</f>
        <v>7449.6599999999889</v>
      </c>
      <c r="M22" s="16"/>
      <c r="N22" s="22">
        <f>IF(H22=0,0,L22/H22)</f>
        <v>0.23011243590535577</v>
      </c>
      <c r="O22" s="29"/>
      <c r="P22" s="20">
        <f>P12-P17</f>
        <v>194259.34999999998</v>
      </c>
      <c r="Q22" s="14"/>
      <c r="R22" s="22">
        <f>IF(P$12=0,0,P22/P$12)</f>
        <v>0.54951280856240337</v>
      </c>
      <c r="S22" s="14"/>
      <c r="T22" s="20">
        <f>T12-T17</f>
        <v>169743.19999999995</v>
      </c>
      <c r="U22" s="14"/>
      <c r="V22" s="22">
        <f>IF(T$12=0,0,T22/T$12)</f>
        <v>0.52000960716027533</v>
      </c>
      <c r="W22" s="16"/>
      <c r="X22" s="20">
        <f>+P22-T22</f>
        <v>24516.150000000023</v>
      </c>
      <c r="Y22" s="16"/>
      <c r="Z22" s="22">
        <f>IF(T22=0,0,X22/T22)</f>
        <v>0.14443082256019699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29583.890000000003</v>
      </c>
      <c r="E24" s="21"/>
      <c r="F24" s="33">
        <f t="shared" ref="F24:F34" si="12">IF(D$12=0,0,D24/D$12)</f>
        <v>0.38205253009365775</v>
      </c>
      <c r="G24" s="21"/>
      <c r="H24" s="21">
        <f>SUM(OSRRefH22x_0)</f>
        <v>29017.054576000002</v>
      </c>
      <c r="I24" s="21"/>
      <c r="J24" s="33">
        <f t="shared" ref="J24:J34" si="13">IF(H$12=0,0,H24/H$12)</f>
        <v>0.46607003928749258</v>
      </c>
      <c r="K24" s="4"/>
      <c r="L24" s="21">
        <f t="shared" ref="L24:L34" si="14">+D24-H24</f>
        <v>566.83542400000078</v>
      </c>
      <c r="M24" s="4"/>
      <c r="N24" s="33">
        <f t="shared" ref="N24:N34" si="15">IF(H24=0,0,L24/H24)</f>
        <v>1.9534561046345145E-2</v>
      </c>
      <c r="O24" s="10"/>
      <c r="P24" s="21">
        <f>SUM(OSRRefP22x_0)</f>
        <v>151201.94</v>
      </c>
      <c r="Q24" s="21"/>
      <c r="R24" s="33">
        <f t="shared" ref="R24:R34" si="16">IF(P$12=0,0,P24/P$12)</f>
        <v>0.42771378937221816</v>
      </c>
      <c r="S24" s="21"/>
      <c r="T24" s="21">
        <f>SUM(OSRRefT22x_0)</f>
        <v>151928.26138675</v>
      </c>
      <c r="U24" s="21"/>
      <c r="V24" s="33">
        <f t="shared" ref="V24:V34" si="17">IF(T$12=0,0,T24/T$12)</f>
        <v>0.46543340481543599</v>
      </c>
      <c r="W24" s="4"/>
      <c r="X24" s="21">
        <f t="shared" ref="X24:X34" si="18">+P24-T24</f>
        <v>-726.32138675000169</v>
      </c>
      <c r="Y24" s="4"/>
      <c r="Z24" s="33">
        <f t="shared" ref="Z24:Z34" si="19">IF(T24=0,0,X24/T24)</f>
        <v>-4.7806864905869696E-3</v>
      </c>
    </row>
    <row r="25" spans="1:26" s="26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3588.5899999999997</v>
      </c>
      <c r="E25" s="1"/>
      <c r="F25" s="5">
        <f t="shared" si="12"/>
        <v>4.6343800256450352E-2</v>
      </c>
      <c r="G25" s="1"/>
      <c r="H25" s="1">
        <f>SUM(OSRRefH22_0x_0)</f>
        <v>3468.8795759999998</v>
      </c>
      <c r="I25" s="1"/>
      <c r="J25" s="5">
        <f t="shared" si="13"/>
        <v>5.5716917650460163E-2</v>
      </c>
      <c r="K25" s="1"/>
      <c r="L25" s="1">
        <f t="shared" si="14"/>
        <v>119.71042399999988</v>
      </c>
      <c r="M25" s="1"/>
      <c r="N25" s="5">
        <f t="shared" si="15"/>
        <v>3.4509824102351566E-2</v>
      </c>
      <c r="O25" s="13"/>
      <c r="P25" s="1">
        <f>SUM(OSRRefP22_0x_0)</f>
        <v>19048.660000000003</v>
      </c>
      <c r="Q25" s="1"/>
      <c r="R25" s="5">
        <f t="shared" si="16"/>
        <v>5.38840609522801E-2</v>
      </c>
      <c r="S25" s="1"/>
      <c r="T25" s="1">
        <f>SUM(OSRRefT22_0x_0)</f>
        <v>18225.482636749999</v>
      </c>
      <c r="U25" s="1"/>
      <c r="V25" s="5">
        <f t="shared" si="17"/>
        <v>5.5833907138800189E-2</v>
      </c>
      <c r="W25" s="1"/>
      <c r="X25" s="1">
        <f t="shared" si="18"/>
        <v>823.17736325000442</v>
      </c>
      <c r="Y25" s="1"/>
      <c r="Z25" s="5">
        <f t="shared" si="19"/>
        <v>4.5166286109216303E-2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6">
        <v>501.05</v>
      </c>
      <c r="E26" s="2"/>
      <c r="F26" s="7">
        <f t="shared" si="12"/>
        <v>6.4706642771936761E-3</v>
      </c>
      <c r="G26" s="2"/>
      <c r="H26" s="6">
        <v>302.69145600000002</v>
      </c>
      <c r="I26" s="2"/>
      <c r="J26" s="7">
        <f t="shared" si="13"/>
        <v>4.8618104370452457E-3</v>
      </c>
      <c r="K26" s="2"/>
      <c r="L26" s="6">
        <f t="shared" si="14"/>
        <v>198.35854399999999</v>
      </c>
      <c r="M26" s="2"/>
      <c r="N26" s="7">
        <f t="shared" si="15"/>
        <v>0.6553159663680761</v>
      </c>
      <c r="O26" s="11"/>
      <c r="P26" s="6">
        <v>3024.14</v>
      </c>
      <c r="Q26" s="2"/>
      <c r="R26" s="7">
        <f t="shared" si="16"/>
        <v>8.5545620578155266E-3</v>
      </c>
      <c r="S26" s="2"/>
      <c r="T26" s="6">
        <v>1930.6969267499999</v>
      </c>
      <c r="U26" s="2"/>
      <c r="V26" s="7">
        <f t="shared" si="17"/>
        <v>5.9147049803751697E-3</v>
      </c>
      <c r="W26" s="2"/>
      <c r="X26" s="6">
        <f t="shared" si="18"/>
        <v>1093.44307325</v>
      </c>
      <c r="Y26" s="2"/>
      <c r="Z26" s="7">
        <f t="shared" si="19"/>
        <v>0.56634630640378425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6">
        <v>249.62</v>
      </c>
      <c r="E27" s="2"/>
      <c r="F27" s="7">
        <f t="shared" si="12"/>
        <v>3.2236447797087823E-3</v>
      </c>
      <c r="G27" s="2"/>
      <c r="H27" s="6">
        <v>210.68530000000001</v>
      </c>
      <c r="I27" s="2"/>
      <c r="J27" s="7">
        <f t="shared" si="13"/>
        <v>3.3840135562729886E-3</v>
      </c>
      <c r="K27" s="2"/>
      <c r="L27" s="6">
        <f t="shared" si="14"/>
        <v>38.934699999999992</v>
      </c>
      <c r="M27" s="2"/>
      <c r="N27" s="7">
        <f t="shared" si="15"/>
        <v>0.18480026845726774</v>
      </c>
      <c r="O27" s="11"/>
      <c r="P27" s="6">
        <v>791.13</v>
      </c>
      <c r="Q27" s="2"/>
      <c r="R27" s="7">
        <f t="shared" si="16"/>
        <v>2.2379157978134603E-3</v>
      </c>
      <c r="S27" s="2"/>
      <c r="T27" s="6">
        <v>1064.598025</v>
      </c>
      <c r="U27" s="2"/>
      <c r="V27" s="7">
        <f t="shared" si="17"/>
        <v>3.2614042905038617E-3</v>
      </c>
      <c r="W27" s="2"/>
      <c r="X27" s="6">
        <f t="shared" si="18"/>
        <v>-273.46802500000001</v>
      </c>
      <c r="Y27" s="2"/>
      <c r="Z27" s="7">
        <f t="shared" si="19"/>
        <v>-0.25687444329046166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6">
        <v>1815.82</v>
      </c>
      <c r="E28" s="2"/>
      <c r="F28" s="7">
        <f t="shared" si="12"/>
        <v>2.3449878470838879E-2</v>
      </c>
      <c r="G28" s="2"/>
      <c r="H28" s="6">
        <v>1977</v>
      </c>
      <c r="I28" s="2"/>
      <c r="J28" s="7">
        <f t="shared" si="13"/>
        <v>3.1754445140461614E-2</v>
      </c>
      <c r="K28" s="2"/>
      <c r="L28" s="6">
        <f t="shared" si="14"/>
        <v>-161.18000000000006</v>
      </c>
      <c r="M28" s="2"/>
      <c r="N28" s="7">
        <f t="shared" si="15"/>
        <v>-8.1527567020738531E-2</v>
      </c>
      <c r="O28" s="11"/>
      <c r="P28" s="6">
        <v>9546.75</v>
      </c>
      <c r="Q28" s="2"/>
      <c r="R28" s="7">
        <f t="shared" si="16"/>
        <v>2.7005451244138955E-2</v>
      </c>
      <c r="S28" s="2"/>
      <c r="T28" s="6">
        <v>9885</v>
      </c>
      <c r="U28" s="2"/>
      <c r="V28" s="7">
        <f t="shared" si="17"/>
        <v>3.0282774018513394E-2</v>
      </c>
      <c r="W28" s="2"/>
      <c r="X28" s="6">
        <f t="shared" si="18"/>
        <v>-338.25</v>
      </c>
      <c r="Y28" s="2"/>
      <c r="Z28" s="7">
        <f t="shared" si="19"/>
        <v>-3.4218512898330805E-2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6">
        <v>34.159999999999997</v>
      </c>
      <c r="E29" s="2"/>
      <c r="F29" s="7">
        <f t="shared" si="12"/>
        <v>4.4114936974141489E-4</v>
      </c>
      <c r="G29" s="2"/>
      <c r="H29" s="6">
        <v>28.83062</v>
      </c>
      <c r="I29" s="2"/>
      <c r="J29" s="7">
        <f t="shared" si="13"/>
        <v>4.6307553927946155E-4</v>
      </c>
      <c r="K29" s="2"/>
      <c r="L29" s="6">
        <f t="shared" si="14"/>
        <v>5.3293799999999969</v>
      </c>
      <c r="M29" s="2"/>
      <c r="N29" s="7">
        <f t="shared" si="15"/>
        <v>0.18485138370246623</v>
      </c>
      <c r="O29" s="11"/>
      <c r="P29" s="6">
        <v>144.52000000000001</v>
      </c>
      <c r="Q29" s="2"/>
      <c r="R29" s="7">
        <f t="shared" si="16"/>
        <v>4.0881219407682849E-4</v>
      </c>
      <c r="S29" s="2"/>
      <c r="T29" s="6">
        <v>145.68183500000001</v>
      </c>
      <c r="U29" s="2"/>
      <c r="V29" s="7">
        <f t="shared" si="17"/>
        <v>4.4629742922684424E-4</v>
      </c>
      <c r="W29" s="2"/>
      <c r="X29" s="6">
        <f t="shared" si="18"/>
        <v>-1.1618349999999964</v>
      </c>
      <c r="Y29" s="2"/>
      <c r="Z29" s="7">
        <f t="shared" si="19"/>
        <v>-7.9751535254892723E-3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6">
        <v>392.49</v>
      </c>
      <c r="E30" s="2"/>
      <c r="F30" s="7">
        <f t="shared" si="12"/>
        <v>5.0686977789756432E-3</v>
      </c>
      <c r="G30" s="2"/>
      <c r="H30" s="6">
        <v>340.1472</v>
      </c>
      <c r="I30" s="2"/>
      <c r="J30" s="7">
        <f t="shared" si="13"/>
        <v>5.4634221558328908E-3</v>
      </c>
      <c r="K30" s="2"/>
      <c r="L30" s="6">
        <f t="shared" si="14"/>
        <v>52.342800000000011</v>
      </c>
      <c r="M30" s="2"/>
      <c r="N30" s="7">
        <f t="shared" si="15"/>
        <v>0.15388278956875145</v>
      </c>
      <c r="O30" s="11"/>
      <c r="P30" s="6">
        <v>2243.0700000000002</v>
      </c>
      <c r="Q30" s="2"/>
      <c r="R30" s="7">
        <f t="shared" si="16"/>
        <v>6.3451035716019354E-3</v>
      </c>
      <c r="S30" s="2"/>
      <c r="T30" s="6">
        <v>1870.8096</v>
      </c>
      <c r="U30" s="2"/>
      <c r="V30" s="7">
        <f t="shared" si="17"/>
        <v>5.7312396912964532E-3</v>
      </c>
      <c r="W30" s="2"/>
      <c r="X30" s="6">
        <f t="shared" si="18"/>
        <v>372.26040000000012</v>
      </c>
      <c r="Y30" s="2"/>
      <c r="Z30" s="7">
        <f t="shared" si="19"/>
        <v>0.19898358443317807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>
        <v>280.8</v>
      </c>
      <c r="E32" s="2"/>
      <c r="F32" s="7">
        <f t="shared" si="12"/>
        <v>3.626309807476268E-3</v>
      </c>
      <c r="G32" s="2"/>
      <c r="H32" s="6">
        <v>197.76</v>
      </c>
      <c r="I32" s="2"/>
      <c r="J32" s="7">
        <f t="shared" si="13"/>
        <v>3.1764082301354015E-3</v>
      </c>
      <c r="K32" s="2"/>
      <c r="L32" s="6">
        <f t="shared" si="14"/>
        <v>83.04000000000002</v>
      </c>
      <c r="M32" s="2"/>
      <c r="N32" s="7">
        <f t="shared" si="15"/>
        <v>0.41990291262135937</v>
      </c>
      <c r="O32" s="11"/>
      <c r="P32" s="6">
        <v>1544.4</v>
      </c>
      <c r="Q32" s="2"/>
      <c r="R32" s="7">
        <f t="shared" si="16"/>
        <v>4.368734794715291E-3</v>
      </c>
      <c r="S32" s="2"/>
      <c r="T32" s="6">
        <v>1087.68</v>
      </c>
      <c r="U32" s="2"/>
      <c r="V32" s="7">
        <f t="shared" si="17"/>
        <v>3.3321160995909613E-3</v>
      </c>
      <c r="W32" s="2"/>
      <c r="X32" s="6">
        <f t="shared" si="18"/>
        <v>456.72</v>
      </c>
      <c r="Y32" s="2"/>
      <c r="Z32" s="7">
        <f t="shared" si="19"/>
        <v>0.4199029126213592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>
        <v>177.12</v>
      </c>
      <c r="E33" s="2"/>
      <c r="F33" s="7">
        <f t="shared" si="12"/>
        <v>2.2873646477927232E-3</v>
      </c>
      <c r="G33" s="2"/>
      <c r="H33" s="6">
        <v>411.76499999999999</v>
      </c>
      <c r="I33" s="2"/>
      <c r="J33" s="7">
        <f t="shared" si="13"/>
        <v>6.6137425914325632E-3</v>
      </c>
      <c r="K33" s="2"/>
      <c r="L33" s="6">
        <f t="shared" si="14"/>
        <v>-234.64499999999998</v>
      </c>
      <c r="M33" s="2"/>
      <c r="N33" s="7">
        <f t="shared" si="15"/>
        <v>-0.56985173582018867</v>
      </c>
      <c r="O33" s="11"/>
      <c r="P33" s="6">
        <v>974.16</v>
      </c>
      <c r="Q33" s="2"/>
      <c r="R33" s="7">
        <f t="shared" si="16"/>
        <v>2.7556634858973373E-3</v>
      </c>
      <c r="S33" s="2"/>
      <c r="T33" s="6">
        <v>2116.0162499999997</v>
      </c>
      <c r="U33" s="2"/>
      <c r="V33" s="7">
        <f t="shared" si="17"/>
        <v>6.4824321616845856E-3</v>
      </c>
      <c r="W33" s="2"/>
      <c r="X33" s="6">
        <f t="shared" si="18"/>
        <v>-1141.8562499999998</v>
      </c>
      <c r="Y33" s="2"/>
      <c r="Z33" s="7">
        <f t="shared" si="19"/>
        <v>-0.53962546365133068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6">
        <v>137.53</v>
      </c>
      <c r="E34" s="2"/>
      <c r="F34" s="7">
        <f t="shared" si="12"/>
        <v>1.7760911247229742E-3</v>
      </c>
      <c r="G34" s="2"/>
      <c r="H34" s="6"/>
      <c r="I34" s="2"/>
      <c r="J34" s="7">
        <f t="shared" si="13"/>
        <v>0</v>
      </c>
      <c r="K34" s="2"/>
      <c r="L34" s="6">
        <f t="shared" si="14"/>
        <v>137.53</v>
      </c>
      <c r="M34" s="2"/>
      <c r="N34" s="7">
        <f t="shared" si="15"/>
        <v>0</v>
      </c>
      <c r="O34" s="11"/>
      <c r="P34" s="6">
        <v>780.49</v>
      </c>
      <c r="Q34" s="2"/>
      <c r="R34" s="7">
        <f t="shared" si="16"/>
        <v>2.2078178062207572E-3</v>
      </c>
      <c r="S34" s="2"/>
      <c r="T34" s="6">
        <v>125</v>
      </c>
      <c r="U34" s="2"/>
      <c r="V34" s="7">
        <f t="shared" si="17"/>
        <v>3.8293846760891999E-4</v>
      </c>
      <c r="W34" s="2"/>
      <c r="X34" s="6">
        <f t="shared" si="18"/>
        <v>655.49</v>
      </c>
      <c r="Y34" s="2"/>
      <c r="Z34" s="7">
        <f t="shared" si="19"/>
        <v>5.2439200000000001</v>
      </c>
    </row>
    <row r="35" spans="1:26" s="26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10549.74</v>
      </c>
      <c r="E35" s="1"/>
      <c r="F35" s="5">
        <f t="shared" ref="F35:F45" si="20">IF(D$12=0,0,D35/D$12)</f>
        <v>0.13624154426041554</v>
      </c>
      <c r="G35" s="1"/>
      <c r="H35" s="1">
        <f>SUM(OSRRefH22_1x_0)</f>
        <v>10479.174999999999</v>
      </c>
      <c r="I35" s="1"/>
      <c r="J35" s="5">
        <f t="shared" ref="J35:J45" si="21">IF(H$12=0,0,H35/H$12)</f>
        <v>0.16831582582437876</v>
      </c>
      <c r="K35" s="1"/>
      <c r="L35" s="1">
        <f t="shared" ref="L35:L45" si="22">+D35-H35</f>
        <v>70.565000000000509</v>
      </c>
      <c r="M35" s="1"/>
      <c r="N35" s="5">
        <f t="shared" ref="N35:N45" si="23">IF(H35=0,0,L35/H35)</f>
        <v>6.7338316231955776E-3</v>
      </c>
      <c r="O35" s="13"/>
      <c r="P35" s="1">
        <f>SUM(OSRRefP22_1x_0)</f>
        <v>53170.63</v>
      </c>
      <c r="Q35" s="1"/>
      <c r="R35" s="5">
        <f t="shared" ref="R35:R45" si="24">IF(P$12=0,0,P35/P$12)</f>
        <v>0.15040687732318875</v>
      </c>
      <c r="S35" s="1"/>
      <c r="T35" s="1">
        <f>SUM(OSRRefT22_1x_0)</f>
        <v>52827.778749999998</v>
      </c>
      <c r="U35" s="1"/>
      <c r="V35" s="5">
        <f t="shared" ref="V35:V45" si="25">IF(T$12=0,0,T35/T$12)</f>
        <v>0.16183830913366454</v>
      </c>
      <c r="W35" s="1"/>
      <c r="X35" s="1">
        <f t="shared" ref="X35:X45" si="26">+P35-T35</f>
        <v>342.85124999999971</v>
      </c>
      <c r="Y35" s="1"/>
      <c r="Z35" s="5">
        <f t="shared" ref="Z35:Z45" si="27">IF(T35=0,0,X35/T35)</f>
        <v>6.4899804253079584E-3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>
        <v>3264</v>
      </c>
      <c r="E37" s="2"/>
      <c r="F37" s="7">
        <f t="shared" si="20"/>
        <v>4.2151977249296792E-2</v>
      </c>
      <c r="G37" s="2"/>
      <c r="H37" s="6">
        <v>3559.68</v>
      </c>
      <c r="I37" s="2"/>
      <c r="J37" s="7">
        <f t="shared" si="21"/>
        <v>5.717534814243723E-2</v>
      </c>
      <c r="K37" s="2"/>
      <c r="L37" s="6">
        <f t="shared" si="22"/>
        <v>-295.67999999999984</v>
      </c>
      <c r="M37" s="2"/>
      <c r="N37" s="7">
        <f t="shared" si="23"/>
        <v>-8.3063646170442249E-2</v>
      </c>
      <c r="O37" s="11"/>
      <c r="P37" s="6">
        <v>18432</v>
      </c>
      <c r="Q37" s="2"/>
      <c r="R37" s="7">
        <f t="shared" si="24"/>
        <v>5.2139678668863147E-2</v>
      </c>
      <c r="S37" s="2"/>
      <c r="T37" s="6">
        <v>19578.240000000002</v>
      </c>
      <c r="U37" s="2"/>
      <c r="V37" s="7">
        <f t="shared" si="25"/>
        <v>5.9978089792637301E-2</v>
      </c>
      <c r="W37" s="2"/>
      <c r="X37" s="6">
        <f t="shared" si="26"/>
        <v>-1146.2400000000016</v>
      </c>
      <c r="Y37" s="2"/>
      <c r="Z37" s="7">
        <f t="shared" si="27"/>
        <v>-5.8546631362165417E-2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>
        <v>254.64</v>
      </c>
      <c r="Q39" s="2"/>
      <c r="R39" s="7">
        <f t="shared" si="24"/>
        <v>7.2031509202687236E-4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254.64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>
        <v>2709.62</v>
      </c>
      <c r="E40" s="2"/>
      <c r="F40" s="7">
        <f t="shared" si="20"/>
        <v>3.4992598221274374E-2</v>
      </c>
      <c r="G40" s="2"/>
      <c r="H40" s="6">
        <v>1290.0999999999999</v>
      </c>
      <c r="I40" s="2"/>
      <c r="J40" s="7">
        <f t="shared" si="21"/>
        <v>2.0721502112144425E-2</v>
      </c>
      <c r="K40" s="2"/>
      <c r="L40" s="6">
        <f t="shared" si="22"/>
        <v>1419.52</v>
      </c>
      <c r="M40" s="2"/>
      <c r="N40" s="7">
        <f t="shared" si="23"/>
        <v>1.1003178048213318</v>
      </c>
      <c r="O40" s="11"/>
      <c r="P40" s="6">
        <v>11303.35</v>
      </c>
      <c r="Q40" s="2"/>
      <c r="R40" s="7">
        <f t="shared" si="24"/>
        <v>3.1974448615543306E-2</v>
      </c>
      <c r="S40" s="2"/>
      <c r="T40" s="6">
        <v>5527.06</v>
      </c>
      <c r="U40" s="2"/>
      <c r="V40" s="7">
        <f t="shared" si="25"/>
        <v>1.693219109426046E-2</v>
      </c>
      <c r="W40" s="2"/>
      <c r="X40" s="6">
        <f t="shared" si="26"/>
        <v>5776.29</v>
      </c>
      <c r="Y40" s="2"/>
      <c r="Z40" s="7">
        <f t="shared" si="27"/>
        <v>1.0450926894225863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4183.12</v>
      </c>
      <c r="E42" s="2"/>
      <c r="F42" s="7">
        <f t="shared" si="20"/>
        <v>5.4021684764423525E-2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4183.12</v>
      </c>
      <c r="M42" s="2"/>
      <c r="N42" s="7">
        <f t="shared" si="23"/>
        <v>0</v>
      </c>
      <c r="O42" s="11"/>
      <c r="P42" s="6">
        <v>21173.64</v>
      </c>
      <c r="Q42" s="2"/>
      <c r="R42" s="7">
        <f t="shared" si="24"/>
        <v>5.9895116419823535E-2</v>
      </c>
      <c r="S42" s="2"/>
      <c r="T42" s="6">
        <v>3370.1437500000002</v>
      </c>
      <c r="U42" s="2"/>
      <c r="V42" s="7">
        <f t="shared" si="25"/>
        <v>1.0324461465974235E-2</v>
      </c>
      <c r="W42" s="2"/>
      <c r="X42" s="6">
        <f t="shared" si="26"/>
        <v>17803.49625</v>
      </c>
      <c r="Y42" s="2"/>
      <c r="Z42" s="7">
        <f t="shared" si="27"/>
        <v>5.2827112344985281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>
        <v>393</v>
      </c>
      <c r="E43" s="2"/>
      <c r="F43" s="7">
        <f t="shared" si="20"/>
        <v>5.0752840254208453E-3</v>
      </c>
      <c r="G43" s="2"/>
      <c r="H43" s="6">
        <v>5629.3950000000004</v>
      </c>
      <c r="I43" s="2"/>
      <c r="J43" s="7">
        <f t="shared" si="21"/>
        <v>9.0418975569797139E-2</v>
      </c>
      <c r="K43" s="2"/>
      <c r="L43" s="6">
        <f t="shared" si="22"/>
        <v>-5236.3950000000004</v>
      </c>
      <c r="M43" s="2"/>
      <c r="N43" s="7">
        <f t="shared" si="23"/>
        <v>-0.93018787986986173</v>
      </c>
      <c r="O43" s="11"/>
      <c r="P43" s="6">
        <v>2007</v>
      </c>
      <c r="Q43" s="2"/>
      <c r="R43" s="7">
        <f t="shared" si="24"/>
        <v>5.6773185269318755E-3</v>
      </c>
      <c r="S43" s="2"/>
      <c r="T43" s="6">
        <v>24352.334999999999</v>
      </c>
      <c r="U43" s="2"/>
      <c r="V43" s="7">
        <f t="shared" si="25"/>
        <v>7.4603566780792552E-2</v>
      </c>
      <c r="W43" s="2"/>
      <c r="X43" s="6">
        <f t="shared" si="26"/>
        <v>-22345.334999999999</v>
      </c>
      <c r="Y43" s="2"/>
      <c r="Z43" s="7">
        <f t="shared" si="27"/>
        <v>-0.91758490510252921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6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338.66</v>
      </c>
      <c r="E46" s="1"/>
      <c r="F46" s="5">
        <f t="shared" ref="F46:F55" si="28">IF(D$12=0,0,D46/D$12)</f>
        <v>4.3735259237888645E-3</v>
      </c>
      <c r="G46" s="1"/>
      <c r="H46" s="1">
        <f>SUM(OSRRefH22_2x_0)</f>
        <v>75</v>
      </c>
      <c r="I46" s="1"/>
      <c r="J46" s="5">
        <f t="shared" ref="J46:J55" si="29">IF(H$12=0,0,H46/H$12)</f>
        <v>1.2046451115501372E-3</v>
      </c>
      <c r="K46" s="1"/>
      <c r="L46" s="1">
        <f t="shared" ref="L46:L55" si="30">+D46-H46</f>
        <v>263.66000000000003</v>
      </c>
      <c r="M46" s="1"/>
      <c r="N46" s="5">
        <f t="shared" ref="N46:N55" si="31">IF(H46=0,0,L46/H46)</f>
        <v>3.5154666666666672</v>
      </c>
      <c r="O46" s="13"/>
      <c r="P46" s="1">
        <f>SUM(OSRRefP22_2x_0)</f>
        <v>639.96</v>
      </c>
      <c r="Q46" s="1"/>
      <c r="R46" s="5">
        <f t="shared" ref="R46:R55" si="32">IF(P$12=0,0,P46/P$12)</f>
        <v>1.8102923589911925E-3</v>
      </c>
      <c r="S46" s="1"/>
      <c r="T46" s="1">
        <f>SUM(OSRRefT22_2x_0)</f>
        <v>525</v>
      </c>
      <c r="U46" s="1"/>
      <c r="V46" s="5">
        <f t="shared" ref="V46:V55" si="33">IF(T$12=0,0,T46/T$12)</f>
        <v>1.608341563957464E-3</v>
      </c>
      <c r="W46" s="1"/>
      <c r="X46" s="1">
        <f t="shared" ref="X46:X55" si="34">+P46-T46</f>
        <v>114.96000000000004</v>
      </c>
      <c r="Y46" s="1"/>
      <c r="Z46" s="5">
        <f t="shared" ref="Z46:Z55" si="35">IF(T46=0,0,X46/T46)</f>
        <v>0.21897142857142865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6">
        <v>338.66</v>
      </c>
      <c r="E47" s="2"/>
      <c r="F47" s="7">
        <f t="shared" si="28"/>
        <v>4.3735259237888645E-3</v>
      </c>
      <c r="G47" s="2"/>
      <c r="H47" s="6">
        <v>75</v>
      </c>
      <c r="I47" s="2"/>
      <c r="J47" s="7">
        <f t="shared" si="29"/>
        <v>1.2046451115501372E-3</v>
      </c>
      <c r="K47" s="2"/>
      <c r="L47" s="6">
        <f t="shared" si="30"/>
        <v>263.66000000000003</v>
      </c>
      <c r="M47" s="2"/>
      <c r="N47" s="7">
        <f t="shared" si="31"/>
        <v>3.5154666666666672</v>
      </c>
      <c r="O47" s="11"/>
      <c r="P47" s="6">
        <v>639.96</v>
      </c>
      <c r="Q47" s="2"/>
      <c r="R47" s="7">
        <f t="shared" si="32"/>
        <v>1.8102923589911925E-3</v>
      </c>
      <c r="S47" s="2"/>
      <c r="T47" s="6">
        <v>525</v>
      </c>
      <c r="U47" s="2"/>
      <c r="V47" s="7">
        <f t="shared" si="33"/>
        <v>1.608341563957464E-3</v>
      </c>
      <c r="W47" s="2"/>
      <c r="X47" s="6">
        <f t="shared" si="34"/>
        <v>114.96000000000004</v>
      </c>
      <c r="Y47" s="2"/>
      <c r="Z47" s="7">
        <f t="shared" si="35"/>
        <v>0.21897142857142865</v>
      </c>
    </row>
    <row r="48" spans="1:26" s="26" customFormat="1" outlineLevel="1" collapsed="1" x14ac:dyDescent="0.25">
      <c r="A48" s="27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-15.6</v>
      </c>
      <c r="E48" s="1"/>
      <c r="F48" s="5">
        <f t="shared" si="28"/>
        <v>-2.0146165597090376E-4</v>
      </c>
      <c r="G48" s="1"/>
      <c r="H48" s="1">
        <f>SUM(OSRRefH22_3x_0)</f>
        <v>10</v>
      </c>
      <c r="I48" s="1"/>
      <c r="J48" s="5">
        <f t="shared" si="29"/>
        <v>1.6061934820668495E-4</v>
      </c>
      <c r="K48" s="1"/>
      <c r="L48" s="1">
        <f t="shared" si="30"/>
        <v>-25.6</v>
      </c>
      <c r="M48" s="1"/>
      <c r="N48" s="5">
        <f t="shared" si="31"/>
        <v>-2.56</v>
      </c>
      <c r="O48" s="13"/>
      <c r="P48" s="1">
        <f>SUM(OSRRefP22_3x_0)</f>
        <v>-52.77</v>
      </c>
      <c r="Q48" s="1"/>
      <c r="R48" s="5">
        <f t="shared" si="32"/>
        <v>-1.492735917619308E-4</v>
      </c>
      <c r="S48" s="1"/>
      <c r="T48" s="1">
        <f>SUM(OSRRefT22_3x_0)</f>
        <v>50</v>
      </c>
      <c r="U48" s="1"/>
      <c r="V48" s="5">
        <f t="shared" si="33"/>
        <v>1.5317538704356801E-4</v>
      </c>
      <c r="W48" s="1"/>
      <c r="X48" s="1">
        <f t="shared" si="34"/>
        <v>-102.77000000000001</v>
      </c>
      <c r="Y48" s="1"/>
      <c r="Z48" s="5">
        <f t="shared" si="35"/>
        <v>-2.0554000000000001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6">
        <v>-15.6</v>
      </c>
      <c r="E49" s="2"/>
      <c r="F49" s="7">
        <f t="shared" si="28"/>
        <v>-2.0146165597090376E-4</v>
      </c>
      <c r="G49" s="2"/>
      <c r="H49" s="6">
        <v>10</v>
      </c>
      <c r="I49" s="2"/>
      <c r="J49" s="7">
        <f t="shared" si="29"/>
        <v>1.6061934820668495E-4</v>
      </c>
      <c r="K49" s="2"/>
      <c r="L49" s="6">
        <f t="shared" si="30"/>
        <v>-25.6</v>
      </c>
      <c r="M49" s="2"/>
      <c r="N49" s="7">
        <f t="shared" si="31"/>
        <v>-2.56</v>
      </c>
      <c r="O49" s="11"/>
      <c r="P49" s="6">
        <v>-52.77</v>
      </c>
      <c r="Q49" s="2"/>
      <c r="R49" s="7">
        <f t="shared" si="32"/>
        <v>-1.492735917619308E-4</v>
      </c>
      <c r="S49" s="2"/>
      <c r="T49" s="6">
        <v>50</v>
      </c>
      <c r="U49" s="2"/>
      <c r="V49" s="7">
        <f t="shared" si="33"/>
        <v>1.5317538704356801E-4</v>
      </c>
      <c r="W49" s="2"/>
      <c r="X49" s="6">
        <f t="shared" si="34"/>
        <v>-102.77000000000001</v>
      </c>
      <c r="Y49" s="2"/>
      <c r="Z49" s="7">
        <f t="shared" si="35"/>
        <v>-2.0554000000000001</v>
      </c>
    </row>
    <row r="50" spans="1:26" s="26" customFormat="1" outlineLevel="1" collapsed="1" x14ac:dyDescent="0.25">
      <c r="A50" s="27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2968.63</v>
      </c>
      <c r="E50" s="1"/>
      <c r="F50" s="5">
        <f t="shared" si="28"/>
        <v>3.8337507420827185E-2</v>
      </c>
      <c r="G50" s="1"/>
      <c r="H50" s="1">
        <f>SUM(OSRRefH22_4x_0)</f>
        <v>2428</v>
      </c>
      <c r="I50" s="1"/>
      <c r="J50" s="5">
        <f t="shared" si="29"/>
        <v>3.8998377744583111E-2</v>
      </c>
      <c r="K50" s="1"/>
      <c r="L50" s="1">
        <f t="shared" si="30"/>
        <v>540.63000000000011</v>
      </c>
      <c r="M50" s="1"/>
      <c r="N50" s="5">
        <f t="shared" si="31"/>
        <v>0.22266474464579905</v>
      </c>
      <c r="O50" s="13"/>
      <c r="P50" s="1">
        <f>SUM(OSRRefP22_4x_0)</f>
        <v>12586.96</v>
      </c>
      <c r="Q50" s="1"/>
      <c r="R50" s="5">
        <f t="shared" si="32"/>
        <v>3.5605471452790451E-2</v>
      </c>
      <c r="S50" s="1"/>
      <c r="T50" s="1">
        <f>SUM(OSRRefT22_4x_0)</f>
        <v>11151</v>
      </c>
      <c r="U50" s="1"/>
      <c r="V50" s="5">
        <f t="shared" si="33"/>
        <v>3.4161174818456534E-2</v>
      </c>
      <c r="W50" s="1"/>
      <c r="X50" s="1">
        <f t="shared" si="34"/>
        <v>1435.9599999999991</v>
      </c>
      <c r="Y50" s="1"/>
      <c r="Z50" s="5">
        <f t="shared" si="35"/>
        <v>0.12877410097749073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6">
        <v>2968.63</v>
      </c>
      <c r="E51" s="2"/>
      <c r="F51" s="7">
        <f t="shared" si="28"/>
        <v>3.8337507420827185E-2</v>
      </c>
      <c r="G51" s="2"/>
      <c r="H51" s="6">
        <v>2428</v>
      </c>
      <c r="I51" s="2"/>
      <c r="J51" s="7">
        <f t="shared" si="29"/>
        <v>3.8998377744583111E-2</v>
      </c>
      <c r="K51" s="2"/>
      <c r="L51" s="6">
        <f t="shared" si="30"/>
        <v>540.63000000000011</v>
      </c>
      <c r="M51" s="2"/>
      <c r="N51" s="7">
        <f t="shared" si="31"/>
        <v>0.22266474464579905</v>
      </c>
      <c r="O51" s="11"/>
      <c r="P51" s="6">
        <v>12586.96</v>
      </c>
      <c r="Q51" s="2"/>
      <c r="R51" s="7">
        <f t="shared" si="32"/>
        <v>3.5605471452790451E-2</v>
      </c>
      <c r="S51" s="2"/>
      <c r="T51" s="6">
        <v>11151</v>
      </c>
      <c r="U51" s="2"/>
      <c r="V51" s="7">
        <f t="shared" si="33"/>
        <v>3.4161174818456534E-2</v>
      </c>
      <c r="W51" s="2"/>
      <c r="X51" s="6">
        <f t="shared" si="34"/>
        <v>1435.9599999999991</v>
      </c>
      <c r="Y51" s="2"/>
      <c r="Z51" s="7">
        <f t="shared" si="35"/>
        <v>0.12877410097749073</v>
      </c>
    </row>
    <row r="52" spans="1:26" s="26" customFormat="1" outlineLevel="1" collapsed="1" x14ac:dyDescent="0.25">
      <c r="A52" s="27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5421.37</v>
      </c>
      <c r="E52" s="1"/>
      <c r="F52" s="5">
        <f t="shared" si="28"/>
        <v>7.0012703707114016E-2</v>
      </c>
      <c r="G52" s="1"/>
      <c r="H52" s="1">
        <f>SUM(OSRRefH22_5x_0)</f>
        <v>6026</v>
      </c>
      <c r="I52" s="1"/>
      <c r="J52" s="5">
        <f t="shared" si="29"/>
        <v>9.6789219229348356E-2</v>
      </c>
      <c r="K52" s="1"/>
      <c r="L52" s="1">
        <f t="shared" si="30"/>
        <v>-604.63000000000011</v>
      </c>
      <c r="M52" s="1"/>
      <c r="N52" s="5">
        <f t="shared" si="31"/>
        <v>-0.10033687354795887</v>
      </c>
      <c r="O52" s="13"/>
      <c r="P52" s="1">
        <f>SUM(OSRRefP22_5x_0)</f>
        <v>27106.850000000002</v>
      </c>
      <c r="Q52" s="1"/>
      <c r="R52" s="5">
        <f t="shared" si="32"/>
        <v>7.6678735282393287E-2</v>
      </c>
      <c r="S52" s="1"/>
      <c r="T52" s="1">
        <f>SUM(OSRRefT22_5x_0)</f>
        <v>28519</v>
      </c>
      <c r="U52" s="1"/>
      <c r="V52" s="5">
        <f t="shared" si="33"/>
        <v>8.7368177261910318E-2</v>
      </c>
      <c r="W52" s="1"/>
      <c r="X52" s="1">
        <f t="shared" si="34"/>
        <v>-1412.1499999999978</v>
      </c>
      <c r="Y52" s="1"/>
      <c r="Z52" s="5">
        <f t="shared" si="35"/>
        <v>-4.9516112065640376E-2</v>
      </c>
    </row>
    <row r="53" spans="1:26" s="24" customFormat="1" hidden="1" outlineLevel="2" x14ac:dyDescent="0.25">
      <c r="A53" s="25"/>
      <c r="B53" s="11" t="str">
        <f>CONCATENATE("          ", "6321", " - ", "BUILDING DEPRECIATION")</f>
        <v xml:space="preserve">          6321 - BUILDING DEPRECIATION</v>
      </c>
      <c r="C53" s="11"/>
      <c r="D53" s="6">
        <v>5080.51</v>
      </c>
      <c r="E53" s="2"/>
      <c r="F53" s="7">
        <f t="shared" si="28"/>
        <v>6.5610766524149766E-2</v>
      </c>
      <c r="G53" s="2"/>
      <c r="H53" s="6">
        <v>5081</v>
      </c>
      <c r="I53" s="2"/>
      <c r="J53" s="7">
        <f t="shared" si="29"/>
        <v>8.1610690823816626E-2</v>
      </c>
      <c r="K53" s="2"/>
      <c r="L53" s="6">
        <f t="shared" si="30"/>
        <v>-0.48999999999978172</v>
      </c>
      <c r="M53" s="2"/>
      <c r="N53" s="7">
        <f t="shared" si="31"/>
        <v>-9.6437709112336489E-5</v>
      </c>
      <c r="O53" s="11"/>
      <c r="P53" s="6">
        <v>25402.550000000003</v>
      </c>
      <c r="Q53" s="2"/>
      <c r="R53" s="7">
        <f t="shared" si="32"/>
        <v>7.1857681986204958E-2</v>
      </c>
      <c r="S53" s="2"/>
      <c r="T53" s="6">
        <v>25405</v>
      </c>
      <c r="U53" s="2"/>
      <c r="V53" s="7">
        <f t="shared" si="33"/>
        <v>7.7828414156836903E-2</v>
      </c>
      <c r="W53" s="2"/>
      <c r="X53" s="6">
        <f t="shared" si="34"/>
        <v>-2.4499999999970896</v>
      </c>
      <c r="Y53" s="2"/>
      <c r="Z53" s="7">
        <f t="shared" si="35"/>
        <v>-9.6437709112264891E-5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340.86</v>
      </c>
      <c r="E54" s="2"/>
      <c r="F54" s="7">
        <f t="shared" si="28"/>
        <v>4.4019371829642478E-3</v>
      </c>
      <c r="G54" s="2"/>
      <c r="H54" s="6">
        <v>348</v>
      </c>
      <c r="I54" s="2"/>
      <c r="J54" s="7">
        <f t="shared" si="29"/>
        <v>5.5895533175926368E-3</v>
      </c>
      <c r="K54" s="2"/>
      <c r="L54" s="6">
        <f t="shared" si="30"/>
        <v>-7.1399999999999864</v>
      </c>
      <c r="M54" s="2"/>
      <c r="N54" s="7">
        <f t="shared" si="31"/>
        <v>-2.0517241379310304E-2</v>
      </c>
      <c r="O54" s="11"/>
      <c r="P54" s="6">
        <v>1704.3</v>
      </c>
      <c r="Q54" s="2"/>
      <c r="R54" s="7">
        <f t="shared" si="32"/>
        <v>4.8210532961883391E-3</v>
      </c>
      <c r="S54" s="2"/>
      <c r="T54" s="6">
        <v>1740</v>
      </c>
      <c r="U54" s="2"/>
      <c r="V54" s="7">
        <f t="shared" si="33"/>
        <v>5.3305034691161664E-3</v>
      </c>
      <c r="W54" s="2"/>
      <c r="X54" s="6">
        <f t="shared" si="34"/>
        <v>-35.700000000000045</v>
      </c>
      <c r="Y54" s="2"/>
      <c r="Z54" s="7">
        <f t="shared" si="35"/>
        <v>-2.051724137931037E-2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597</v>
      </c>
      <c r="I55" s="2"/>
      <c r="J55" s="7">
        <f t="shared" si="29"/>
        <v>9.5889750879390914E-3</v>
      </c>
      <c r="K55" s="2"/>
      <c r="L55" s="6">
        <f t="shared" si="30"/>
        <v>-597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1374</v>
      </c>
      <c r="U55" s="2"/>
      <c r="V55" s="7">
        <f t="shared" si="33"/>
        <v>4.2092596359572486E-3</v>
      </c>
      <c r="W55" s="2"/>
      <c r="X55" s="6">
        <f t="shared" si="34"/>
        <v>-1374</v>
      </c>
      <c r="Y55" s="2"/>
      <c r="Z55" s="7">
        <f t="shared" si="35"/>
        <v>-1</v>
      </c>
    </row>
    <row r="56" spans="1:26" s="26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28.66</v>
      </c>
      <c r="E56" s="1"/>
      <c r="F56" s="5">
        <f t="shared" ref="F56:F69" si="36">IF(D$12=0,0,D56/D$12)</f>
        <v>3.7012122180295529E-4</v>
      </c>
      <c r="G56" s="1"/>
      <c r="H56" s="1">
        <f>SUM(OSRRefH22_6x_0)</f>
        <v>25</v>
      </c>
      <c r="I56" s="1"/>
      <c r="J56" s="5">
        <f t="shared" ref="J56:J69" si="37">IF(H$12=0,0,H56/H$12)</f>
        <v>4.0154837051671242E-4</v>
      </c>
      <c r="K56" s="1"/>
      <c r="L56" s="1">
        <f t="shared" ref="L56:L69" si="38">+D56-H56</f>
        <v>3.66</v>
      </c>
      <c r="M56" s="1"/>
      <c r="N56" s="5">
        <f t="shared" ref="N56:N69" si="39">IF(H56=0,0,L56/H56)</f>
        <v>0.1464</v>
      </c>
      <c r="O56" s="13"/>
      <c r="P56" s="1">
        <f>SUM(OSRRefP22_6x_0)</f>
        <v>61.94</v>
      </c>
      <c r="Q56" s="1"/>
      <c r="R56" s="5">
        <f t="shared" ref="R56:R69" si="40">IF(P$12=0,0,P56/P$12)</f>
        <v>1.7521330820037886E-4</v>
      </c>
      <c r="S56" s="1"/>
      <c r="T56" s="1">
        <f>SUM(OSRRefT22_6x_0)</f>
        <v>125</v>
      </c>
      <c r="U56" s="1"/>
      <c r="V56" s="5">
        <f t="shared" ref="V56:V69" si="41">IF(T$12=0,0,T56/T$12)</f>
        <v>3.8293846760891999E-4</v>
      </c>
      <c r="W56" s="1"/>
      <c r="X56" s="1">
        <f t="shared" ref="X56:X69" si="42">+P56-T56</f>
        <v>-63.06</v>
      </c>
      <c r="Y56" s="1"/>
      <c r="Z56" s="5">
        <f t="shared" ref="Z56:Z69" si="43">IF(T56=0,0,X56/T56)</f>
        <v>-0.50448000000000004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6">
        <v>28.66</v>
      </c>
      <c r="E57" s="2"/>
      <c r="F57" s="7">
        <f t="shared" si="36"/>
        <v>3.7012122180295529E-4</v>
      </c>
      <c r="G57" s="2"/>
      <c r="H57" s="6">
        <v>25</v>
      </c>
      <c r="I57" s="2"/>
      <c r="J57" s="7">
        <f t="shared" si="37"/>
        <v>4.0154837051671242E-4</v>
      </c>
      <c r="K57" s="2"/>
      <c r="L57" s="6">
        <f t="shared" si="38"/>
        <v>3.66</v>
      </c>
      <c r="M57" s="2"/>
      <c r="N57" s="7">
        <f t="shared" si="39"/>
        <v>0.1464</v>
      </c>
      <c r="O57" s="11"/>
      <c r="P57" s="6">
        <v>61.94</v>
      </c>
      <c r="Q57" s="2"/>
      <c r="R57" s="7">
        <f t="shared" si="40"/>
        <v>1.7521330820037886E-4</v>
      </c>
      <c r="S57" s="2"/>
      <c r="T57" s="6">
        <v>125</v>
      </c>
      <c r="U57" s="2"/>
      <c r="V57" s="7">
        <f t="shared" si="41"/>
        <v>3.8293846760891999E-4</v>
      </c>
      <c r="W57" s="2"/>
      <c r="X57" s="6">
        <f t="shared" si="42"/>
        <v>-63.06</v>
      </c>
      <c r="Y57" s="2"/>
      <c r="Z57" s="7">
        <f t="shared" si="43"/>
        <v>-0.50448000000000004</v>
      </c>
    </row>
    <row r="58" spans="1:26" s="26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100.99</v>
      </c>
      <c r="E58" s="1"/>
      <c r="F58" s="5">
        <f t="shared" si="36"/>
        <v>1.3042059382372803E-3</v>
      </c>
      <c r="G58" s="1"/>
      <c r="H58" s="1">
        <f>SUM(OSRRefH22_7x_0)</f>
        <v>80</v>
      </c>
      <c r="I58" s="1"/>
      <c r="J58" s="5">
        <f t="shared" si="37"/>
        <v>1.2849547856534796E-3</v>
      </c>
      <c r="K58" s="1"/>
      <c r="L58" s="1">
        <f t="shared" si="38"/>
        <v>20.989999999999995</v>
      </c>
      <c r="M58" s="1"/>
      <c r="N58" s="5">
        <f t="shared" si="39"/>
        <v>0.26237499999999991</v>
      </c>
      <c r="O58" s="13"/>
      <c r="P58" s="1">
        <f>SUM(OSRRefP22_7x_0)</f>
        <v>573.92999999999995</v>
      </c>
      <c r="Q58" s="1"/>
      <c r="R58" s="5">
        <f t="shared" si="40"/>
        <v>1.6235094280827162E-3</v>
      </c>
      <c r="S58" s="1"/>
      <c r="T58" s="1">
        <f>SUM(OSRRefT22_7x_0)</f>
        <v>400</v>
      </c>
      <c r="U58" s="1"/>
      <c r="V58" s="5">
        <f t="shared" si="41"/>
        <v>1.2254030963485441E-3</v>
      </c>
      <c r="W58" s="1"/>
      <c r="X58" s="1">
        <f t="shared" si="42"/>
        <v>173.92999999999995</v>
      </c>
      <c r="Y58" s="1"/>
      <c r="Z58" s="5">
        <f t="shared" si="43"/>
        <v>0.43482499999999985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6">
        <v>100.99</v>
      </c>
      <c r="E59" s="2"/>
      <c r="F59" s="7">
        <f t="shared" si="36"/>
        <v>1.3042059382372803E-3</v>
      </c>
      <c r="G59" s="2"/>
      <c r="H59" s="6">
        <v>80</v>
      </c>
      <c r="I59" s="2"/>
      <c r="J59" s="7">
        <f t="shared" si="37"/>
        <v>1.2849547856534796E-3</v>
      </c>
      <c r="K59" s="2"/>
      <c r="L59" s="6">
        <f t="shared" si="38"/>
        <v>20.989999999999995</v>
      </c>
      <c r="M59" s="2"/>
      <c r="N59" s="7">
        <f t="shared" si="39"/>
        <v>0.26237499999999991</v>
      </c>
      <c r="O59" s="11"/>
      <c r="P59" s="6">
        <v>573.92999999999995</v>
      </c>
      <c r="Q59" s="2"/>
      <c r="R59" s="7">
        <f t="shared" si="40"/>
        <v>1.6235094280827162E-3</v>
      </c>
      <c r="S59" s="2"/>
      <c r="T59" s="6">
        <v>400</v>
      </c>
      <c r="U59" s="2"/>
      <c r="V59" s="7">
        <f t="shared" si="41"/>
        <v>1.2254030963485441E-3</v>
      </c>
      <c r="W59" s="2"/>
      <c r="X59" s="6">
        <f t="shared" si="42"/>
        <v>173.92999999999995</v>
      </c>
      <c r="Y59" s="2"/>
      <c r="Z59" s="7">
        <f t="shared" si="43"/>
        <v>0.43482499999999985</v>
      </c>
    </row>
    <row r="60" spans="1:26" s="26" customFormat="1" outlineLevel="1" collapsed="1" x14ac:dyDescent="0.25">
      <c r="A60" s="27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27</v>
      </c>
      <c r="E60" s="1"/>
      <c r="F60" s="5">
        <f t="shared" si="36"/>
        <v>3.4868363533425653E-4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27</v>
      </c>
      <c r="M60" s="1"/>
      <c r="N60" s="5">
        <f t="shared" si="39"/>
        <v>0</v>
      </c>
      <c r="O60" s="13"/>
      <c r="P60" s="1">
        <f>SUM(OSRRefP22_8x_0)</f>
        <v>1054.23</v>
      </c>
      <c r="Q60" s="1"/>
      <c r="R60" s="5">
        <f t="shared" si="40"/>
        <v>2.9821621876668617E-3</v>
      </c>
      <c r="S60" s="1"/>
      <c r="T60" s="1">
        <f>SUM(OSRRefT22_8x_0)</f>
        <v>400</v>
      </c>
      <c r="U60" s="1"/>
      <c r="V60" s="5">
        <f t="shared" si="41"/>
        <v>1.2254030963485441E-3</v>
      </c>
      <c r="W60" s="1"/>
      <c r="X60" s="1">
        <f t="shared" si="42"/>
        <v>654.23</v>
      </c>
      <c r="Y60" s="1"/>
      <c r="Z60" s="5">
        <f t="shared" si="43"/>
        <v>1.635575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6">
        <v>27</v>
      </c>
      <c r="E61" s="2"/>
      <c r="F61" s="7">
        <f t="shared" si="36"/>
        <v>3.4868363533425653E-4</v>
      </c>
      <c r="G61" s="2"/>
      <c r="H61" s="6"/>
      <c r="I61" s="2"/>
      <c r="J61" s="7">
        <f t="shared" si="37"/>
        <v>0</v>
      </c>
      <c r="K61" s="2"/>
      <c r="L61" s="6">
        <f t="shared" si="38"/>
        <v>27</v>
      </c>
      <c r="M61" s="2"/>
      <c r="N61" s="7">
        <f t="shared" si="39"/>
        <v>0</v>
      </c>
      <c r="O61" s="11"/>
      <c r="P61" s="6">
        <v>1054.23</v>
      </c>
      <c r="Q61" s="2"/>
      <c r="R61" s="7">
        <f t="shared" si="40"/>
        <v>2.9821621876668617E-3</v>
      </c>
      <c r="S61" s="2"/>
      <c r="T61" s="6">
        <v>400</v>
      </c>
      <c r="U61" s="2"/>
      <c r="V61" s="7">
        <f t="shared" si="41"/>
        <v>1.2254030963485441E-3</v>
      </c>
      <c r="W61" s="2"/>
      <c r="X61" s="6">
        <f t="shared" si="42"/>
        <v>654.23</v>
      </c>
      <c r="Y61" s="2"/>
      <c r="Z61" s="7">
        <f t="shared" si="43"/>
        <v>1.635575</v>
      </c>
    </row>
    <row r="62" spans="1:26" s="26" customFormat="1" outlineLevel="1" collapsed="1" x14ac:dyDescent="0.25">
      <c r="A62" s="27"/>
      <c r="B62" s="13" t="str">
        <f>CONCATENATE("     ","Insurance                                         ")</f>
        <v xml:space="preserve">     Insurance                                         </v>
      </c>
      <c r="C62" s="13"/>
      <c r="D62" s="1">
        <f>SUM(OSRRefD22_9x_0)</f>
        <v>243.54</v>
      </c>
      <c r="E62" s="1"/>
      <c r="F62" s="5">
        <f t="shared" si="36"/>
        <v>3.145126390714994E-3</v>
      </c>
      <c r="G62" s="1"/>
      <c r="H62" s="1">
        <f>SUM(OSRRefH22_9x_0)</f>
        <v>230</v>
      </c>
      <c r="I62" s="1"/>
      <c r="J62" s="5">
        <f t="shared" si="37"/>
        <v>3.6942450087537539E-3</v>
      </c>
      <c r="K62" s="1"/>
      <c r="L62" s="1">
        <f t="shared" si="38"/>
        <v>13.539999999999992</v>
      </c>
      <c r="M62" s="1"/>
      <c r="N62" s="5">
        <f t="shared" si="39"/>
        <v>5.886956521739127E-2</v>
      </c>
      <c r="O62" s="13"/>
      <c r="P62" s="1">
        <f>SUM(OSRRefP22_9x_0)</f>
        <v>1217.7</v>
      </c>
      <c r="Q62" s="1"/>
      <c r="R62" s="5">
        <f t="shared" si="40"/>
        <v>3.4445793573716719E-3</v>
      </c>
      <c r="S62" s="1"/>
      <c r="T62" s="1">
        <f>SUM(OSRRefT22_9x_0)</f>
        <v>1150</v>
      </c>
      <c r="U62" s="1"/>
      <c r="V62" s="5">
        <f t="shared" si="41"/>
        <v>3.5230339020020643E-3</v>
      </c>
      <c r="W62" s="1"/>
      <c r="X62" s="1">
        <f t="shared" si="42"/>
        <v>67.700000000000045</v>
      </c>
      <c r="Y62" s="1"/>
      <c r="Z62" s="5">
        <f t="shared" si="43"/>
        <v>5.8869565217391347E-2</v>
      </c>
    </row>
    <row r="63" spans="1:26" s="24" customFormat="1" hidden="1" outlineLevel="2" x14ac:dyDescent="0.25">
      <c r="A63" s="25"/>
      <c r="B63" s="11" t="str">
        <f>CONCATENATE("          ", "6314", " - ", "LIABILITY INSURANCE")</f>
        <v xml:space="preserve">          6314 - LIABILITY INSURANCE</v>
      </c>
      <c r="C63" s="11"/>
      <c r="D63" s="6">
        <v>243.54</v>
      </c>
      <c r="E63" s="2"/>
      <c r="F63" s="7">
        <f t="shared" si="36"/>
        <v>3.145126390714994E-3</v>
      </c>
      <c r="G63" s="2"/>
      <c r="H63" s="6">
        <v>230</v>
      </c>
      <c r="I63" s="2"/>
      <c r="J63" s="7">
        <f t="shared" si="37"/>
        <v>3.6942450087537539E-3</v>
      </c>
      <c r="K63" s="2"/>
      <c r="L63" s="6">
        <f t="shared" si="38"/>
        <v>13.539999999999992</v>
      </c>
      <c r="M63" s="2"/>
      <c r="N63" s="7">
        <f t="shared" si="39"/>
        <v>5.886956521739127E-2</v>
      </c>
      <c r="O63" s="11"/>
      <c r="P63" s="6">
        <v>1217.7</v>
      </c>
      <c r="Q63" s="2"/>
      <c r="R63" s="7">
        <f t="shared" si="40"/>
        <v>3.4445793573716719E-3</v>
      </c>
      <c r="S63" s="2"/>
      <c r="T63" s="6">
        <v>1150</v>
      </c>
      <c r="U63" s="2"/>
      <c r="V63" s="7">
        <f t="shared" si="41"/>
        <v>3.5230339020020643E-3</v>
      </c>
      <c r="W63" s="2"/>
      <c r="X63" s="6">
        <f t="shared" si="42"/>
        <v>67.700000000000045</v>
      </c>
      <c r="Y63" s="2"/>
      <c r="Z63" s="7">
        <f t="shared" si="43"/>
        <v>5.8869565217391347E-2</v>
      </c>
    </row>
    <row r="64" spans="1:26" s="26" customFormat="1" outlineLevel="1" collapsed="1" x14ac:dyDescent="0.25">
      <c r="A64" s="27"/>
      <c r="B64" s="13" t="str">
        <f>CONCATENATE("     ","Interest                                          ")</f>
        <v xml:space="preserve">     Interest                                          </v>
      </c>
      <c r="C64" s="13"/>
      <c r="D64" s="1">
        <f>SUM(OSRRefD22_10x_0)</f>
        <v>4175</v>
      </c>
      <c r="E64" s="1"/>
      <c r="F64" s="5">
        <f t="shared" si="36"/>
        <v>5.3916821389648928E-2</v>
      </c>
      <c r="G64" s="1"/>
      <c r="H64" s="1">
        <f>SUM(OSRRefH22_10x_0)</f>
        <v>4175</v>
      </c>
      <c r="I64" s="1"/>
      <c r="J64" s="5">
        <f t="shared" si="37"/>
        <v>6.7058577876290965E-2</v>
      </c>
      <c r="K64" s="1"/>
      <c r="L64" s="1">
        <f t="shared" si="38"/>
        <v>0</v>
      </c>
      <c r="M64" s="1"/>
      <c r="N64" s="5">
        <f t="shared" si="39"/>
        <v>0</v>
      </c>
      <c r="O64" s="13"/>
      <c r="P64" s="1">
        <f>SUM(OSRRefP22_10x_0)</f>
        <v>20668.95</v>
      </c>
      <c r="Q64" s="1"/>
      <c r="R64" s="5">
        <f t="shared" si="40"/>
        <v>5.8467470237782065E-2</v>
      </c>
      <c r="S64" s="1"/>
      <c r="T64" s="1">
        <f>SUM(OSRRefT22_10x_0)</f>
        <v>20875</v>
      </c>
      <c r="U64" s="1"/>
      <c r="V64" s="5">
        <f t="shared" si="41"/>
        <v>6.3950724090689637E-2</v>
      </c>
      <c r="W64" s="1"/>
      <c r="X64" s="1">
        <f t="shared" si="42"/>
        <v>-206.04999999999927</v>
      </c>
      <c r="Y64" s="1"/>
      <c r="Z64" s="5">
        <f t="shared" si="43"/>
        <v>-9.8706586826346962E-3</v>
      </c>
    </row>
    <row r="65" spans="1:26" s="24" customFormat="1" hidden="1" outlineLevel="2" x14ac:dyDescent="0.25">
      <c r="A65" s="25"/>
      <c r="B65" s="11" t="str">
        <f>CONCATENATE("          ", "6401", " - ", "INTEREST EXPENSE")</f>
        <v xml:space="preserve">          6401 - INTEREST EXPENSE</v>
      </c>
      <c r="C65" s="11"/>
      <c r="D65" s="6">
        <v>4175</v>
      </c>
      <c r="E65" s="2"/>
      <c r="F65" s="7">
        <f t="shared" si="36"/>
        <v>5.3916821389648928E-2</v>
      </c>
      <c r="G65" s="2"/>
      <c r="H65" s="6">
        <v>4175</v>
      </c>
      <c r="I65" s="2"/>
      <c r="J65" s="7">
        <f t="shared" si="37"/>
        <v>6.7058577876290965E-2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>
        <v>20668.95</v>
      </c>
      <c r="Q65" s="2"/>
      <c r="R65" s="7">
        <f t="shared" si="40"/>
        <v>5.8467470237782065E-2</v>
      </c>
      <c r="S65" s="2"/>
      <c r="T65" s="6">
        <v>20875</v>
      </c>
      <c r="U65" s="2"/>
      <c r="V65" s="7">
        <f t="shared" si="41"/>
        <v>6.3950724090689637E-2</v>
      </c>
      <c r="W65" s="2"/>
      <c r="X65" s="6">
        <f t="shared" si="42"/>
        <v>-206.04999999999927</v>
      </c>
      <c r="Y65" s="2"/>
      <c r="Z65" s="7">
        <f t="shared" si="43"/>
        <v>-9.8706586826346962E-3</v>
      </c>
    </row>
    <row r="66" spans="1:26" s="26" customFormat="1" outlineLevel="1" collapsed="1" x14ac:dyDescent="0.25">
      <c r="A66" s="27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0</v>
      </c>
      <c r="E66" s="1"/>
      <c r="F66" s="5">
        <f t="shared" si="36"/>
        <v>0</v>
      </c>
      <c r="G66" s="1"/>
      <c r="H66" s="1">
        <f>SUM(OSRRefH22_11x_0)</f>
        <v>200</v>
      </c>
      <c r="I66" s="1"/>
      <c r="J66" s="5">
        <f t="shared" si="37"/>
        <v>3.2123869641336993E-3</v>
      </c>
      <c r="K66" s="1"/>
      <c r="L66" s="1">
        <f t="shared" si="38"/>
        <v>-200</v>
      </c>
      <c r="M66" s="1"/>
      <c r="N66" s="5">
        <f t="shared" si="39"/>
        <v>-1</v>
      </c>
      <c r="O66" s="13"/>
      <c r="P66" s="1">
        <f>SUM(OSRRefP22_11x_0)</f>
        <v>624.08999999999992</v>
      </c>
      <c r="Q66" s="1"/>
      <c r="R66" s="5">
        <f t="shared" si="40"/>
        <v>1.7653999598768878E-3</v>
      </c>
      <c r="S66" s="1"/>
      <c r="T66" s="1">
        <f>SUM(OSRRefT22_11x_0)</f>
        <v>3800</v>
      </c>
      <c r="U66" s="1"/>
      <c r="V66" s="5">
        <f t="shared" si="41"/>
        <v>1.1641329415311168E-2</v>
      </c>
      <c r="W66" s="1"/>
      <c r="X66" s="1">
        <f t="shared" si="42"/>
        <v>-3175.91</v>
      </c>
      <c r="Y66" s="1"/>
      <c r="Z66" s="5">
        <f t="shared" si="43"/>
        <v>-0.83576578947368418</v>
      </c>
    </row>
    <row r="67" spans="1:26" s="24" customFormat="1" hidden="1" outlineLevel="2" x14ac:dyDescent="0.25">
      <c r="A67" s="25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36"/>
        <v>0</v>
      </c>
      <c r="G67" s="2"/>
      <c r="H67" s="6"/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>
        <v>437.31</v>
      </c>
      <c r="Q67" s="2"/>
      <c r="R67" s="7">
        <f t="shared" si="40"/>
        <v>1.2370444270117483E-3</v>
      </c>
      <c r="S67" s="2"/>
      <c r="T67" s="6">
        <v>0</v>
      </c>
      <c r="U67" s="2"/>
      <c r="V67" s="7">
        <f t="shared" si="41"/>
        <v>0</v>
      </c>
      <c r="W67" s="2"/>
      <c r="X67" s="6">
        <f t="shared" si="42"/>
        <v>437.31</v>
      </c>
      <c r="Y67" s="2"/>
      <c r="Z67" s="7">
        <f t="shared" si="43"/>
        <v>0</v>
      </c>
    </row>
    <row r="68" spans="1:26" s="24" customFormat="1" hidden="1" outlineLevel="2" x14ac:dyDescent="0.25">
      <c r="A68" s="25"/>
      <c r="B68" s="11" t="str">
        <f>CONCATENATE("          ", "6373", " - ", "MAINTENANCE CONTRACTS")</f>
        <v xml:space="preserve">          6373 - MAINTENANCE CONTRACTS</v>
      </c>
      <c r="C68" s="11"/>
      <c r="D68" s="6"/>
      <c r="E68" s="2"/>
      <c r="F68" s="7">
        <f t="shared" si="36"/>
        <v>0</v>
      </c>
      <c r="G68" s="2"/>
      <c r="H68" s="6"/>
      <c r="I68" s="2"/>
      <c r="J68" s="7">
        <f t="shared" si="37"/>
        <v>0</v>
      </c>
      <c r="K68" s="2"/>
      <c r="L68" s="6">
        <f t="shared" si="38"/>
        <v>0</v>
      </c>
      <c r="M68" s="2"/>
      <c r="N68" s="7">
        <f t="shared" si="39"/>
        <v>0</v>
      </c>
      <c r="O68" s="11"/>
      <c r="P68" s="6">
        <v>102.71</v>
      </c>
      <c r="Q68" s="2"/>
      <c r="R68" s="7">
        <f t="shared" si="40"/>
        <v>2.9054179666226855E-4</v>
      </c>
      <c r="S68" s="2"/>
      <c r="T68" s="6"/>
      <c r="U68" s="2"/>
      <c r="V68" s="7">
        <f t="shared" si="41"/>
        <v>0</v>
      </c>
      <c r="W68" s="2"/>
      <c r="X68" s="6">
        <f t="shared" si="42"/>
        <v>102.71</v>
      </c>
      <c r="Y68" s="2"/>
      <c r="Z68" s="7">
        <f t="shared" si="43"/>
        <v>0</v>
      </c>
    </row>
    <row r="69" spans="1:26" s="24" customFormat="1" hidden="1" outlineLevel="2" x14ac:dyDescent="0.25">
      <c r="A69" s="25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36"/>
        <v>0</v>
      </c>
      <c r="G69" s="2"/>
      <c r="H69" s="6">
        <v>200</v>
      </c>
      <c r="I69" s="2"/>
      <c r="J69" s="7">
        <f t="shared" si="37"/>
        <v>3.2123869641336993E-3</v>
      </c>
      <c r="K69" s="2"/>
      <c r="L69" s="6">
        <f t="shared" si="38"/>
        <v>-200</v>
      </c>
      <c r="M69" s="2"/>
      <c r="N69" s="7">
        <f t="shared" si="39"/>
        <v>-1</v>
      </c>
      <c r="O69" s="11"/>
      <c r="P69" s="6">
        <v>84.07</v>
      </c>
      <c r="Q69" s="2"/>
      <c r="R69" s="7">
        <f t="shared" si="40"/>
        <v>2.3781373620287134E-4</v>
      </c>
      <c r="S69" s="2"/>
      <c r="T69" s="6">
        <v>3800</v>
      </c>
      <c r="U69" s="2"/>
      <c r="V69" s="7">
        <f t="shared" si="41"/>
        <v>1.1641329415311168E-2</v>
      </c>
      <c r="W69" s="2"/>
      <c r="X69" s="6">
        <f t="shared" si="42"/>
        <v>-3715.93</v>
      </c>
      <c r="Y69" s="2"/>
      <c r="Z69" s="7">
        <f t="shared" si="43"/>
        <v>-0.97787631578947365</v>
      </c>
    </row>
    <row r="70" spans="1:26" s="26" customFormat="1" outlineLevel="1" collapsed="1" x14ac:dyDescent="0.25">
      <c r="A70" s="27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340.88</v>
      </c>
      <c r="E70" s="1"/>
      <c r="F70" s="5">
        <f t="shared" ref="F70:F74" si="44">IF(D$12=0,0,D70/D$12)</f>
        <v>4.4021954671385694E-3</v>
      </c>
      <c r="G70" s="1"/>
      <c r="H70" s="1">
        <f>SUM(OSRRefH22_12x_0)</f>
        <v>400</v>
      </c>
      <c r="I70" s="1"/>
      <c r="J70" s="5">
        <f t="shared" ref="J70:J74" si="45">IF(H$12=0,0,H70/H$12)</f>
        <v>6.4247739282673987E-3</v>
      </c>
      <c r="K70" s="1"/>
      <c r="L70" s="1">
        <f t="shared" ref="L70:L74" si="46">+D70-H70</f>
        <v>-59.120000000000005</v>
      </c>
      <c r="M70" s="1"/>
      <c r="N70" s="5">
        <f t="shared" ref="N70:N74" si="47">IF(H70=0,0,L70/H70)</f>
        <v>-0.14780000000000001</v>
      </c>
      <c r="O70" s="13"/>
      <c r="P70" s="1">
        <f>SUM(OSRRefP22_12x_0)</f>
        <v>1743.3600000000001</v>
      </c>
      <c r="Q70" s="1"/>
      <c r="R70" s="5">
        <f t="shared" ref="R70:R74" si="48">IF(P$12=0,0,P70/P$12)</f>
        <v>4.931544607429973E-3</v>
      </c>
      <c r="S70" s="1"/>
      <c r="T70" s="1">
        <f>SUM(OSRRefT22_12x_0)</f>
        <v>1910</v>
      </c>
      <c r="U70" s="1"/>
      <c r="V70" s="5">
        <f t="shared" ref="V70:V74" si="49">IF(T$12=0,0,T70/T$12)</f>
        <v>5.8512997850642973E-3</v>
      </c>
      <c r="W70" s="1"/>
      <c r="X70" s="1">
        <f t="shared" ref="X70:X74" si="50">+P70-T70</f>
        <v>-166.63999999999987</v>
      </c>
      <c r="Y70" s="1"/>
      <c r="Z70" s="5">
        <f t="shared" ref="Z70:Z74" si="51">IF(T70=0,0,X70/T70)</f>
        <v>-8.7246073298429247E-2</v>
      </c>
    </row>
    <row r="71" spans="1:26" s="24" customFormat="1" hidden="1" outlineLevel="2" x14ac:dyDescent="0.25">
      <c r="A71" s="25"/>
      <c r="B71" s="11" t="str">
        <f>CONCATENATE("          ", "6281", " - ", "STORAGE FEE")</f>
        <v xml:space="preserve">          6281 - STORAGE FEE</v>
      </c>
      <c r="C71" s="11"/>
      <c r="D71" s="6"/>
      <c r="E71" s="2"/>
      <c r="F71" s="7">
        <f t="shared" si="44"/>
        <v>0</v>
      </c>
      <c r="G71" s="2"/>
      <c r="H71" s="6"/>
      <c r="I71" s="2"/>
      <c r="J71" s="7">
        <f t="shared" si="45"/>
        <v>0</v>
      </c>
      <c r="K71" s="2"/>
      <c r="L71" s="6">
        <f t="shared" si="46"/>
        <v>0</v>
      </c>
      <c r="M71" s="2"/>
      <c r="N71" s="7">
        <f t="shared" si="47"/>
        <v>0</v>
      </c>
      <c r="O71" s="11"/>
      <c r="P71" s="6"/>
      <c r="Q71" s="2"/>
      <c r="R71" s="7">
        <f t="shared" si="48"/>
        <v>0</v>
      </c>
      <c r="S71" s="2"/>
      <c r="T71" s="6">
        <v>0</v>
      </c>
      <c r="U71" s="2"/>
      <c r="V71" s="7">
        <f t="shared" si="49"/>
        <v>0</v>
      </c>
      <c r="W71" s="2"/>
      <c r="X71" s="6">
        <f t="shared" si="50"/>
        <v>0</v>
      </c>
      <c r="Y71" s="2"/>
      <c r="Z71" s="7">
        <f t="shared" si="51"/>
        <v>0</v>
      </c>
    </row>
    <row r="72" spans="1:26" s="24" customFormat="1" hidden="1" outlineLevel="2" x14ac:dyDescent="0.25">
      <c r="A72" s="25"/>
      <c r="B72" s="11" t="str">
        <f>CONCATENATE("          ", "6282", " - ", "JANITORIAL/EXTERMINATOR EXPENS")</f>
        <v xml:space="preserve">          6282 - JANITORIAL/EXTERMINATOR EXPENS</v>
      </c>
      <c r="C72" s="11"/>
      <c r="D72" s="6"/>
      <c r="E72" s="2"/>
      <c r="F72" s="7">
        <f t="shared" si="44"/>
        <v>0</v>
      </c>
      <c r="G72" s="2"/>
      <c r="H72" s="6">
        <v>160</v>
      </c>
      <c r="I72" s="2"/>
      <c r="J72" s="7">
        <f t="shared" si="45"/>
        <v>2.5699095713069592E-3</v>
      </c>
      <c r="K72" s="2"/>
      <c r="L72" s="6">
        <f t="shared" si="46"/>
        <v>-160</v>
      </c>
      <c r="M72" s="2"/>
      <c r="N72" s="7">
        <f t="shared" si="47"/>
        <v>-1</v>
      </c>
      <c r="O72" s="11"/>
      <c r="P72" s="6">
        <v>314.7</v>
      </c>
      <c r="Q72" s="2"/>
      <c r="R72" s="7">
        <f t="shared" si="48"/>
        <v>8.9021033404357807E-4</v>
      </c>
      <c r="S72" s="2"/>
      <c r="T72" s="6">
        <v>800</v>
      </c>
      <c r="U72" s="2"/>
      <c r="V72" s="7">
        <f t="shared" si="49"/>
        <v>2.4508061926970881E-3</v>
      </c>
      <c r="W72" s="2"/>
      <c r="X72" s="6">
        <f t="shared" si="50"/>
        <v>-485.3</v>
      </c>
      <c r="Y72" s="2"/>
      <c r="Z72" s="7">
        <f t="shared" si="51"/>
        <v>-0.60662499999999997</v>
      </c>
    </row>
    <row r="73" spans="1:26" s="24" customFormat="1" hidden="1" outlineLevel="2" x14ac:dyDescent="0.25">
      <c r="A73" s="25"/>
      <c r="B73" s="11" t="str">
        <f>CONCATENATE("          ", "6284", " - ", "TRASH REMOVAL EXPENSE")</f>
        <v xml:space="preserve">          6284 - TRASH REMOVAL EXPENSE</v>
      </c>
      <c r="C73" s="11"/>
      <c r="D73" s="6">
        <v>237</v>
      </c>
      <c r="E73" s="2"/>
      <c r="F73" s="7">
        <f t="shared" si="44"/>
        <v>3.0606674657118076E-3</v>
      </c>
      <c r="G73" s="2"/>
      <c r="H73" s="6">
        <v>150</v>
      </c>
      <c r="I73" s="2"/>
      <c r="J73" s="7">
        <f t="shared" si="45"/>
        <v>2.4092902231002745E-3</v>
      </c>
      <c r="K73" s="2"/>
      <c r="L73" s="6">
        <f t="shared" si="46"/>
        <v>87</v>
      </c>
      <c r="M73" s="2"/>
      <c r="N73" s="7">
        <f t="shared" si="47"/>
        <v>0.57999999999999996</v>
      </c>
      <c r="O73" s="11"/>
      <c r="P73" s="6">
        <v>948</v>
      </c>
      <c r="Q73" s="2"/>
      <c r="R73" s="7">
        <f t="shared" si="48"/>
        <v>2.6816631607032479E-3</v>
      </c>
      <c r="S73" s="2"/>
      <c r="T73" s="6">
        <v>750</v>
      </c>
      <c r="U73" s="2"/>
      <c r="V73" s="7">
        <f t="shared" si="49"/>
        <v>2.2976308056535202E-3</v>
      </c>
      <c r="W73" s="2"/>
      <c r="X73" s="6">
        <f t="shared" si="50"/>
        <v>198</v>
      </c>
      <c r="Y73" s="2"/>
      <c r="Z73" s="7">
        <f t="shared" si="51"/>
        <v>0.26400000000000001</v>
      </c>
    </row>
    <row r="74" spans="1:26" s="24" customFormat="1" hidden="1" outlineLevel="2" x14ac:dyDescent="0.25">
      <c r="A74" s="25"/>
      <c r="B74" s="11" t="str">
        <f>CONCATENATE("          ", "6286", " - ", "LAUNDRY EXPENSE")</f>
        <v xml:space="preserve">          6286 - LAUNDRY EXPENSE</v>
      </c>
      <c r="C74" s="11"/>
      <c r="D74" s="6">
        <v>103.88</v>
      </c>
      <c r="E74" s="2"/>
      <c r="F74" s="7">
        <f t="shared" si="44"/>
        <v>1.3415280014267617E-3</v>
      </c>
      <c r="G74" s="2"/>
      <c r="H74" s="6">
        <v>90</v>
      </c>
      <c r="I74" s="2"/>
      <c r="J74" s="7">
        <f t="shared" si="45"/>
        <v>1.4455741338601645E-3</v>
      </c>
      <c r="K74" s="2"/>
      <c r="L74" s="6">
        <f t="shared" si="46"/>
        <v>13.879999999999995</v>
      </c>
      <c r="M74" s="2"/>
      <c r="N74" s="7">
        <f t="shared" si="47"/>
        <v>0.15422222222222218</v>
      </c>
      <c r="O74" s="11"/>
      <c r="P74" s="6">
        <v>480.66</v>
      </c>
      <c r="Q74" s="2"/>
      <c r="R74" s="7">
        <f t="shared" si="48"/>
        <v>1.3596711126831467E-3</v>
      </c>
      <c r="S74" s="2"/>
      <c r="T74" s="6">
        <v>360</v>
      </c>
      <c r="U74" s="2"/>
      <c r="V74" s="7">
        <f t="shared" si="49"/>
        <v>1.1028627867136897E-3</v>
      </c>
      <c r="W74" s="2"/>
      <c r="X74" s="6">
        <f t="shared" si="50"/>
        <v>120.66000000000003</v>
      </c>
      <c r="Y74" s="2"/>
      <c r="Z74" s="7">
        <f t="shared" si="51"/>
        <v>0.33516666666666672</v>
      </c>
    </row>
    <row r="75" spans="1:26" s="26" customFormat="1" outlineLevel="1" collapsed="1" x14ac:dyDescent="0.25">
      <c r="A75" s="27"/>
      <c r="B75" s="13" t="str">
        <f>CONCATENATE("     ","Subscriptions &amp; Dues                              ")</f>
        <v xml:space="preserve">     Subscriptions &amp; Dues                              </v>
      </c>
      <c r="C75" s="13"/>
      <c r="D75" s="1">
        <f>SUM(OSRRefD22_13x_0)</f>
        <v>0</v>
      </c>
      <c r="E75" s="1"/>
      <c r="F75" s="5">
        <f t="shared" ref="F75:F84" si="52">IF(D$12=0,0,D75/D$12)</f>
        <v>0</v>
      </c>
      <c r="G75" s="1"/>
      <c r="H75" s="1">
        <f>SUM(OSRRefH22_13x_0)</f>
        <v>180</v>
      </c>
      <c r="I75" s="1"/>
      <c r="J75" s="5">
        <f t="shared" ref="J75:J84" si="53">IF(H$12=0,0,H75/H$12)</f>
        <v>2.891148267720329E-3</v>
      </c>
      <c r="K75" s="1"/>
      <c r="L75" s="1">
        <f t="shared" ref="L75:L84" si="54">+D75-H75</f>
        <v>-180</v>
      </c>
      <c r="M75" s="1"/>
      <c r="N75" s="5">
        <f t="shared" ref="N75:N84" si="55">IF(H75=0,0,L75/H75)</f>
        <v>-1</v>
      </c>
      <c r="O75" s="13"/>
      <c r="P75" s="1">
        <f>SUM(OSRRefP22_13x_0)</f>
        <v>705.6</v>
      </c>
      <c r="Q75" s="1"/>
      <c r="R75" s="5">
        <f t="shared" ref="R75:R84" si="56">IF(P$12=0,0,P75/P$12)</f>
        <v>1.9959720740424175E-3</v>
      </c>
      <c r="S75" s="1"/>
      <c r="T75" s="1">
        <f>SUM(OSRRefT22_13x_0)</f>
        <v>900</v>
      </c>
      <c r="U75" s="1"/>
      <c r="V75" s="5">
        <f t="shared" ref="V75:V84" si="57">IF(T$12=0,0,T75/T$12)</f>
        <v>2.757156966784224E-3</v>
      </c>
      <c r="W75" s="1"/>
      <c r="X75" s="1">
        <f t="shared" ref="X75:X84" si="58">+P75-T75</f>
        <v>-194.39999999999998</v>
      </c>
      <c r="Y75" s="1"/>
      <c r="Z75" s="5">
        <f t="shared" ref="Z75:Z84" si="59">IF(T75=0,0,X75/T75)</f>
        <v>-0.21599999999999997</v>
      </c>
    </row>
    <row r="76" spans="1:26" s="24" customFormat="1" hidden="1" outlineLevel="2" x14ac:dyDescent="0.25">
      <c r="A76" s="25"/>
      <c r="B76" s="11" t="str">
        <f>CONCATENATE("          ", "6275", " - ", "SUBSCRIPTIONS")</f>
        <v xml:space="preserve">          6275 - SUBSCRIPTIONS</v>
      </c>
      <c r="C76" s="11"/>
      <c r="D76" s="6"/>
      <c r="E76" s="2"/>
      <c r="F76" s="7">
        <f t="shared" si="52"/>
        <v>0</v>
      </c>
      <c r="G76" s="2"/>
      <c r="H76" s="6">
        <v>180</v>
      </c>
      <c r="I76" s="2"/>
      <c r="J76" s="7">
        <f t="shared" si="53"/>
        <v>2.891148267720329E-3</v>
      </c>
      <c r="K76" s="2"/>
      <c r="L76" s="6">
        <f t="shared" si="54"/>
        <v>-180</v>
      </c>
      <c r="M76" s="2"/>
      <c r="N76" s="7">
        <f t="shared" si="55"/>
        <v>-1</v>
      </c>
      <c r="O76" s="11"/>
      <c r="P76" s="6">
        <v>705.6</v>
      </c>
      <c r="Q76" s="2"/>
      <c r="R76" s="7">
        <f t="shared" si="56"/>
        <v>1.9959720740424175E-3</v>
      </c>
      <c r="S76" s="2"/>
      <c r="T76" s="6">
        <v>900</v>
      </c>
      <c r="U76" s="2"/>
      <c r="V76" s="7">
        <f t="shared" si="57"/>
        <v>2.757156966784224E-3</v>
      </c>
      <c r="W76" s="2"/>
      <c r="X76" s="6">
        <f t="shared" si="58"/>
        <v>-194.39999999999998</v>
      </c>
      <c r="Y76" s="2"/>
      <c r="Z76" s="7">
        <f t="shared" si="59"/>
        <v>-0.21599999999999997</v>
      </c>
    </row>
    <row r="77" spans="1:26" s="26" customFormat="1" outlineLevel="1" collapsed="1" x14ac:dyDescent="0.25">
      <c r="A77" s="27"/>
      <c r="B77" s="13" t="str">
        <f>CONCATENATE("     ","Supplies                                          ")</f>
        <v xml:space="preserve">     Supplies                                          </v>
      </c>
      <c r="C77" s="13"/>
      <c r="D77" s="1">
        <f>SUM(OSRRefD22_14x_0)</f>
        <v>1005.78</v>
      </c>
      <c r="E77" s="1"/>
      <c r="F77" s="5">
        <f t="shared" si="52"/>
        <v>1.2988852842462538E-2</v>
      </c>
      <c r="G77" s="1"/>
      <c r="H77" s="1">
        <f>SUM(OSRRefH22_14x_0)</f>
        <v>100</v>
      </c>
      <c r="I77" s="1"/>
      <c r="J77" s="5">
        <f t="shared" si="53"/>
        <v>1.6061934820668497E-3</v>
      </c>
      <c r="K77" s="1"/>
      <c r="L77" s="1">
        <f t="shared" si="54"/>
        <v>905.78</v>
      </c>
      <c r="M77" s="1"/>
      <c r="N77" s="5">
        <f t="shared" si="55"/>
        <v>9.0578000000000003</v>
      </c>
      <c r="O77" s="13"/>
      <c r="P77" s="1">
        <f>SUM(OSRRefP22_14x_0)</f>
        <v>8772.6</v>
      </c>
      <c r="Q77" s="1"/>
      <c r="R77" s="5">
        <f t="shared" si="56"/>
        <v>2.4815567767495054E-2</v>
      </c>
      <c r="S77" s="1"/>
      <c r="T77" s="1">
        <f>SUM(OSRRefT22_14x_0)</f>
        <v>4270</v>
      </c>
      <c r="U77" s="1"/>
      <c r="V77" s="5">
        <f t="shared" si="57"/>
        <v>1.3081178053520708E-2</v>
      </c>
      <c r="W77" s="1"/>
      <c r="X77" s="1">
        <f t="shared" si="58"/>
        <v>4502.6000000000004</v>
      </c>
      <c r="Y77" s="1"/>
      <c r="Z77" s="5">
        <f t="shared" si="59"/>
        <v>1.0544730679156908</v>
      </c>
    </row>
    <row r="78" spans="1:26" s="24" customFormat="1" hidden="1" outlineLevel="2" x14ac:dyDescent="0.25">
      <c r="A78" s="25"/>
      <c r="B78" s="11" t="str">
        <f>CONCATENATE("          ", "6234", " - ", "EXPENDABLE SUPPLIES &amp; EQUIPMEN")</f>
        <v xml:space="preserve">          6234 - EXPENDABLE SUPPLIES &amp; EQUIPMEN</v>
      </c>
      <c r="C78" s="11"/>
      <c r="D78" s="6">
        <v>28.22</v>
      </c>
      <c r="E78" s="2"/>
      <c r="F78" s="7">
        <f t="shared" si="52"/>
        <v>3.644389699678785E-4</v>
      </c>
      <c r="G78" s="2"/>
      <c r="H78" s="6"/>
      <c r="I78" s="2"/>
      <c r="J78" s="7">
        <f t="shared" si="53"/>
        <v>0</v>
      </c>
      <c r="K78" s="2"/>
      <c r="L78" s="6">
        <f t="shared" si="54"/>
        <v>28.22</v>
      </c>
      <c r="M78" s="2"/>
      <c r="N78" s="7">
        <f t="shared" si="55"/>
        <v>0</v>
      </c>
      <c r="O78" s="11"/>
      <c r="P78" s="6">
        <v>28.22</v>
      </c>
      <c r="Q78" s="2"/>
      <c r="R78" s="7">
        <f t="shared" si="56"/>
        <v>7.9827567927263343E-5</v>
      </c>
      <c r="S78" s="2"/>
      <c r="T78" s="6">
        <v>3000</v>
      </c>
      <c r="U78" s="2"/>
      <c r="V78" s="7">
        <f t="shared" si="57"/>
        <v>9.1905232226140807E-3</v>
      </c>
      <c r="W78" s="2"/>
      <c r="X78" s="6">
        <f t="shared" si="58"/>
        <v>-2971.78</v>
      </c>
      <c r="Y78" s="2"/>
      <c r="Z78" s="7">
        <f t="shared" si="59"/>
        <v>-0.99059333333333344</v>
      </c>
    </row>
    <row r="79" spans="1:26" s="24" customFormat="1" hidden="1" outlineLevel="2" x14ac:dyDescent="0.25">
      <c r="A79" s="25"/>
      <c r="B79" s="11" t="str">
        <f>CONCATENATE("          ", "6237", " - ", "JANITORIAL SUPPLIES")</f>
        <v xml:space="preserve">          6237 - JANITORIAL SUPPLIES</v>
      </c>
      <c r="C79" s="11"/>
      <c r="D79" s="6">
        <v>290.66000000000003</v>
      </c>
      <c r="E79" s="2"/>
      <c r="F79" s="7">
        <f t="shared" si="52"/>
        <v>3.7536439054168523E-3</v>
      </c>
      <c r="G79" s="2"/>
      <c r="H79" s="6">
        <v>100</v>
      </c>
      <c r="I79" s="2"/>
      <c r="J79" s="7">
        <f t="shared" si="53"/>
        <v>1.6061934820668497E-3</v>
      </c>
      <c r="K79" s="2"/>
      <c r="L79" s="6">
        <f t="shared" si="54"/>
        <v>190.66000000000003</v>
      </c>
      <c r="M79" s="2"/>
      <c r="N79" s="7">
        <f t="shared" si="55"/>
        <v>1.9066000000000003</v>
      </c>
      <c r="O79" s="11"/>
      <c r="P79" s="6">
        <v>690.05</v>
      </c>
      <c r="Q79" s="2"/>
      <c r="R79" s="7">
        <f t="shared" si="56"/>
        <v>1.9519848776827805E-3</v>
      </c>
      <c r="S79" s="2"/>
      <c r="T79" s="6">
        <v>700</v>
      </c>
      <c r="U79" s="2"/>
      <c r="V79" s="7">
        <f t="shared" si="57"/>
        <v>2.1444554186099522E-3</v>
      </c>
      <c r="W79" s="2"/>
      <c r="X79" s="6">
        <f t="shared" si="58"/>
        <v>-9.9500000000000455</v>
      </c>
      <c r="Y79" s="2"/>
      <c r="Z79" s="7">
        <f t="shared" si="59"/>
        <v>-1.421428571428578E-2</v>
      </c>
    </row>
    <row r="80" spans="1:26" s="24" customFormat="1" hidden="1" outlineLevel="2" x14ac:dyDescent="0.25">
      <c r="A80" s="25"/>
      <c r="B80" s="11" t="str">
        <f>CONCATENATE("          ", "6241", " - ", "OFFICE EXPENSE")</f>
        <v xml:space="preserve">          6241 - OFFICE EXPENSE</v>
      </c>
      <c r="C80" s="11"/>
      <c r="D80" s="6"/>
      <c r="E80" s="2"/>
      <c r="F80" s="7">
        <f t="shared" si="52"/>
        <v>0</v>
      </c>
      <c r="G80" s="2"/>
      <c r="H80" s="6">
        <v>0</v>
      </c>
      <c r="I80" s="2"/>
      <c r="J80" s="7">
        <f t="shared" si="53"/>
        <v>0</v>
      </c>
      <c r="K80" s="2"/>
      <c r="L80" s="6">
        <f t="shared" si="54"/>
        <v>0</v>
      </c>
      <c r="M80" s="2"/>
      <c r="N80" s="7">
        <f t="shared" si="55"/>
        <v>0</v>
      </c>
      <c r="O80" s="11"/>
      <c r="P80" s="6">
        <v>328.13</v>
      </c>
      <c r="Q80" s="2"/>
      <c r="R80" s="7">
        <f t="shared" si="56"/>
        <v>9.2820056215354085E-4</v>
      </c>
      <c r="S80" s="2"/>
      <c r="T80" s="6">
        <v>240</v>
      </c>
      <c r="U80" s="2"/>
      <c r="V80" s="7">
        <f t="shared" si="57"/>
        <v>7.3524185780912644E-4</v>
      </c>
      <c r="W80" s="2"/>
      <c r="X80" s="6">
        <f t="shared" si="58"/>
        <v>88.13</v>
      </c>
      <c r="Y80" s="2"/>
      <c r="Z80" s="7">
        <f t="shared" si="59"/>
        <v>0.3672083333333333</v>
      </c>
    </row>
    <row r="81" spans="1:26" s="24" customFormat="1" hidden="1" outlineLevel="2" x14ac:dyDescent="0.25">
      <c r="A81" s="25"/>
      <c r="B81" s="11" t="str">
        <f>CONCATENATE("          ", "6243", " - ", "PAPER SUPPLIES")</f>
        <v xml:space="preserve">          6243 - PAPER SUPPLIES</v>
      </c>
      <c r="C81" s="11"/>
      <c r="D81" s="6">
        <v>246.21</v>
      </c>
      <c r="E81" s="2"/>
      <c r="F81" s="7">
        <f t="shared" si="52"/>
        <v>3.1796073279869372E-3</v>
      </c>
      <c r="G81" s="2"/>
      <c r="H81" s="6"/>
      <c r="I81" s="2"/>
      <c r="J81" s="7">
        <f t="shared" si="53"/>
        <v>0</v>
      </c>
      <c r="K81" s="2"/>
      <c r="L81" s="6">
        <f t="shared" si="54"/>
        <v>246.21</v>
      </c>
      <c r="M81" s="2"/>
      <c r="N81" s="7">
        <f t="shared" si="55"/>
        <v>0</v>
      </c>
      <c r="O81" s="11"/>
      <c r="P81" s="6">
        <v>676.55</v>
      </c>
      <c r="Q81" s="2"/>
      <c r="R81" s="7">
        <f t="shared" si="56"/>
        <v>1.9137966364702343E-3</v>
      </c>
      <c r="S81" s="2"/>
      <c r="T81" s="6"/>
      <c r="U81" s="2"/>
      <c r="V81" s="7">
        <f t="shared" si="57"/>
        <v>0</v>
      </c>
      <c r="W81" s="2"/>
      <c r="X81" s="6">
        <f t="shared" si="58"/>
        <v>676.55</v>
      </c>
      <c r="Y81" s="2"/>
      <c r="Z81" s="7">
        <f t="shared" si="59"/>
        <v>0</v>
      </c>
    </row>
    <row r="82" spans="1:26" s="24" customFormat="1" hidden="1" outlineLevel="2" x14ac:dyDescent="0.25">
      <c r="A82" s="25"/>
      <c r="B82" s="11" t="str">
        <f>CONCATENATE("          ", "6244", " - ", "SAFETY SUPPLY EXPENSE")</f>
        <v xml:space="preserve">          6244 - SAFETY SUPPLY EXPENSE</v>
      </c>
      <c r="C82" s="11"/>
      <c r="D82" s="6"/>
      <c r="E82" s="2"/>
      <c r="F82" s="7">
        <f t="shared" si="52"/>
        <v>0</v>
      </c>
      <c r="G82" s="2"/>
      <c r="H82" s="6"/>
      <c r="I82" s="2"/>
      <c r="J82" s="7">
        <f t="shared" si="53"/>
        <v>0</v>
      </c>
      <c r="K82" s="2"/>
      <c r="L82" s="6">
        <f t="shared" si="54"/>
        <v>0</v>
      </c>
      <c r="M82" s="2"/>
      <c r="N82" s="7">
        <f t="shared" si="55"/>
        <v>0</v>
      </c>
      <c r="O82" s="11"/>
      <c r="P82" s="6"/>
      <c r="Q82" s="2"/>
      <c r="R82" s="7">
        <f t="shared" si="56"/>
        <v>0</v>
      </c>
      <c r="S82" s="2"/>
      <c r="T82" s="6">
        <v>30</v>
      </c>
      <c r="U82" s="2"/>
      <c r="V82" s="7">
        <f t="shared" si="57"/>
        <v>9.1905232226140805E-5</v>
      </c>
      <c r="W82" s="2"/>
      <c r="X82" s="6">
        <f t="shared" si="58"/>
        <v>-30</v>
      </c>
      <c r="Y82" s="2"/>
      <c r="Z82" s="7">
        <f t="shared" si="59"/>
        <v>-1</v>
      </c>
    </row>
    <row r="83" spans="1:26" s="24" customFormat="1" hidden="1" outlineLevel="2" x14ac:dyDescent="0.25">
      <c r="A83" s="25"/>
      <c r="B83" s="11" t="str">
        <f>CONCATENATE("          ", "6247", " - ", "STORE SUPPLIES")</f>
        <v xml:space="preserve">          6247 - STORE SUPPLIES</v>
      </c>
      <c r="C83" s="11"/>
      <c r="D83" s="6">
        <v>440.69</v>
      </c>
      <c r="E83" s="2"/>
      <c r="F83" s="7">
        <f t="shared" si="52"/>
        <v>5.691162639090871E-3</v>
      </c>
      <c r="G83" s="2"/>
      <c r="H83" s="6"/>
      <c r="I83" s="2"/>
      <c r="J83" s="7">
        <f t="shared" si="53"/>
        <v>0</v>
      </c>
      <c r="K83" s="2"/>
      <c r="L83" s="6">
        <f t="shared" si="54"/>
        <v>440.69</v>
      </c>
      <c r="M83" s="2"/>
      <c r="N83" s="7">
        <f t="shared" si="55"/>
        <v>0</v>
      </c>
      <c r="O83" s="11"/>
      <c r="P83" s="6">
        <v>7049.65</v>
      </c>
      <c r="Q83" s="2"/>
      <c r="R83" s="7">
        <f t="shared" si="56"/>
        <v>1.9941758123261235E-2</v>
      </c>
      <c r="S83" s="2"/>
      <c r="T83" s="6"/>
      <c r="U83" s="2"/>
      <c r="V83" s="7">
        <f t="shared" si="57"/>
        <v>0</v>
      </c>
      <c r="W83" s="2"/>
      <c r="X83" s="6">
        <f t="shared" si="58"/>
        <v>7049.65</v>
      </c>
      <c r="Y83" s="2"/>
      <c r="Z83" s="7">
        <f t="shared" si="59"/>
        <v>0</v>
      </c>
    </row>
    <row r="84" spans="1:26" s="24" customFormat="1" hidden="1" outlineLevel="2" x14ac:dyDescent="0.25">
      <c r="A84" s="25"/>
      <c r="B84" s="11" t="str">
        <f>CONCATENATE("          ", "6248", " - ", "UNIFORMS")</f>
        <v xml:space="preserve">          6248 - UNIFORMS</v>
      </c>
      <c r="C84" s="11"/>
      <c r="D84" s="6"/>
      <c r="E84" s="2"/>
      <c r="F84" s="7">
        <f t="shared" si="52"/>
        <v>0</v>
      </c>
      <c r="G84" s="2"/>
      <c r="H84" s="6"/>
      <c r="I84" s="2"/>
      <c r="J84" s="7">
        <f t="shared" si="53"/>
        <v>0</v>
      </c>
      <c r="K84" s="2"/>
      <c r="L84" s="6">
        <f t="shared" si="54"/>
        <v>0</v>
      </c>
      <c r="M84" s="2"/>
      <c r="N84" s="7">
        <f t="shared" si="55"/>
        <v>0</v>
      </c>
      <c r="O84" s="11"/>
      <c r="P84" s="6"/>
      <c r="Q84" s="2"/>
      <c r="R84" s="7">
        <f t="shared" si="56"/>
        <v>0</v>
      </c>
      <c r="S84" s="2"/>
      <c r="T84" s="6">
        <v>300</v>
      </c>
      <c r="U84" s="2"/>
      <c r="V84" s="7">
        <f t="shared" si="57"/>
        <v>9.1905232226140805E-4</v>
      </c>
      <c r="W84" s="2"/>
      <c r="X84" s="6">
        <f t="shared" si="58"/>
        <v>-300</v>
      </c>
      <c r="Y84" s="2"/>
      <c r="Z84" s="7">
        <f t="shared" si="59"/>
        <v>-1</v>
      </c>
    </row>
    <row r="85" spans="1:26" s="26" customFormat="1" outlineLevel="1" collapsed="1" x14ac:dyDescent="0.25">
      <c r="A85" s="27"/>
      <c r="B85" s="13" t="str">
        <f>CONCATENATE("     ","Telephone/Data Lines                              ")</f>
        <v xml:space="preserve">     Telephone/Data Lines                              </v>
      </c>
      <c r="C85" s="13"/>
      <c r="D85" s="1">
        <f>SUM(OSRRefD22_15x_0)</f>
        <v>39.65</v>
      </c>
      <c r="E85" s="1"/>
      <c r="F85" s="5">
        <f t="shared" ref="F85:F92" si="60">IF(D$12=0,0,D85/D$12)</f>
        <v>5.1204837559271381E-4</v>
      </c>
      <c r="G85" s="1"/>
      <c r="H85" s="1">
        <f>SUM(OSRRefH22_15x_0)</f>
        <v>40</v>
      </c>
      <c r="I85" s="1"/>
      <c r="J85" s="5">
        <f t="shared" ref="J85:J92" si="61">IF(H$12=0,0,H85/H$12)</f>
        <v>6.424773928267398E-4</v>
      </c>
      <c r="K85" s="1"/>
      <c r="L85" s="1">
        <f t="shared" ref="L85:L92" si="62">+D85-H85</f>
        <v>-0.35000000000000142</v>
      </c>
      <c r="M85" s="1"/>
      <c r="N85" s="5">
        <f t="shared" ref="N85:N92" si="63">IF(H85=0,0,L85/H85)</f>
        <v>-8.7500000000000355E-3</v>
      </c>
      <c r="O85" s="13"/>
      <c r="P85" s="1">
        <f>SUM(OSRRefP22_15x_0)</f>
        <v>195.25</v>
      </c>
      <c r="Q85" s="1"/>
      <c r="R85" s="5">
        <f t="shared" ref="R85:R92" si="64">IF(P$12=0,0,P85/P$12)</f>
        <v>5.5231511827775223E-4</v>
      </c>
      <c r="S85" s="1"/>
      <c r="T85" s="1">
        <f>SUM(OSRRefT22_15x_0)</f>
        <v>200</v>
      </c>
      <c r="U85" s="1"/>
      <c r="V85" s="5">
        <f t="shared" ref="V85:V92" si="65">IF(T$12=0,0,T85/T$12)</f>
        <v>6.1270154817427203E-4</v>
      </c>
      <c r="W85" s="1"/>
      <c r="X85" s="1">
        <f t="shared" ref="X85:X92" si="66">+P85-T85</f>
        <v>-4.75</v>
      </c>
      <c r="Y85" s="1"/>
      <c r="Z85" s="5">
        <f t="shared" ref="Z85:Z92" si="67">IF(T85=0,0,X85/T85)</f>
        <v>-2.375E-2</v>
      </c>
    </row>
    <row r="86" spans="1:26" s="24" customFormat="1" hidden="1" outlineLevel="2" x14ac:dyDescent="0.25">
      <c r="A86" s="25"/>
      <c r="B86" s="11" t="str">
        <f>CONCATENATE("          ", "6309", " - ", "TELEPHONE")</f>
        <v xml:space="preserve">          6309 - TELEPHONE</v>
      </c>
      <c r="C86" s="11"/>
      <c r="D86" s="6">
        <v>39.65</v>
      </c>
      <c r="E86" s="2"/>
      <c r="F86" s="7">
        <f t="shared" si="60"/>
        <v>5.1204837559271381E-4</v>
      </c>
      <c r="G86" s="2"/>
      <c r="H86" s="6">
        <v>40</v>
      </c>
      <c r="I86" s="2"/>
      <c r="J86" s="7">
        <f t="shared" si="61"/>
        <v>6.424773928267398E-4</v>
      </c>
      <c r="K86" s="2"/>
      <c r="L86" s="6">
        <f t="shared" si="62"/>
        <v>-0.35000000000000142</v>
      </c>
      <c r="M86" s="2"/>
      <c r="N86" s="7">
        <f t="shared" si="63"/>
        <v>-8.7500000000000355E-3</v>
      </c>
      <c r="O86" s="11"/>
      <c r="P86" s="6">
        <v>195.25</v>
      </c>
      <c r="Q86" s="2"/>
      <c r="R86" s="7">
        <f t="shared" si="64"/>
        <v>5.5231511827775223E-4</v>
      </c>
      <c r="S86" s="2"/>
      <c r="T86" s="6">
        <v>200</v>
      </c>
      <c r="U86" s="2"/>
      <c r="V86" s="7">
        <f t="shared" si="65"/>
        <v>6.1270154817427203E-4</v>
      </c>
      <c r="W86" s="2"/>
      <c r="X86" s="6">
        <f t="shared" si="66"/>
        <v>-4.75</v>
      </c>
      <c r="Y86" s="2"/>
      <c r="Z86" s="7">
        <f t="shared" si="67"/>
        <v>-2.375E-2</v>
      </c>
    </row>
    <row r="87" spans="1:26" s="26" customFormat="1" outlineLevel="1" collapsed="1" x14ac:dyDescent="0.25">
      <c r="A87" s="27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SUM(OSRRefD22_16x_0)</f>
        <v>0</v>
      </c>
      <c r="E87" s="1"/>
      <c r="F87" s="5">
        <f t="shared" si="60"/>
        <v>0</v>
      </c>
      <c r="G87" s="1"/>
      <c r="H87" s="1">
        <f>SUM(OSRRefH22_16x_0)</f>
        <v>0</v>
      </c>
      <c r="I87" s="1"/>
      <c r="J87" s="5">
        <f t="shared" si="61"/>
        <v>0</v>
      </c>
      <c r="K87" s="1"/>
      <c r="L87" s="1">
        <f t="shared" si="62"/>
        <v>0</v>
      </c>
      <c r="M87" s="1"/>
      <c r="N87" s="5">
        <f t="shared" si="63"/>
        <v>0</v>
      </c>
      <c r="O87" s="13"/>
      <c r="P87" s="1">
        <f>SUM(OSRRefP22_16x_0)</f>
        <v>0</v>
      </c>
      <c r="Q87" s="1"/>
      <c r="R87" s="5">
        <f t="shared" si="64"/>
        <v>0</v>
      </c>
      <c r="S87" s="1"/>
      <c r="T87" s="1">
        <f>SUM(OSRRefT22_16x_0)</f>
        <v>100</v>
      </c>
      <c r="U87" s="1"/>
      <c r="V87" s="5">
        <f t="shared" si="65"/>
        <v>3.0635077408713602E-4</v>
      </c>
      <c r="W87" s="1"/>
      <c r="X87" s="1">
        <f t="shared" si="66"/>
        <v>-100</v>
      </c>
      <c r="Y87" s="1"/>
      <c r="Z87" s="5">
        <f t="shared" si="67"/>
        <v>-1</v>
      </c>
    </row>
    <row r="88" spans="1:26" s="24" customFormat="1" hidden="1" outlineLevel="2" x14ac:dyDescent="0.25">
      <c r="A88" s="25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60"/>
        <v>0</v>
      </c>
      <c r="G88" s="2"/>
      <c r="H88" s="6"/>
      <c r="I88" s="2"/>
      <c r="J88" s="7">
        <f t="shared" si="61"/>
        <v>0</v>
      </c>
      <c r="K88" s="2"/>
      <c r="L88" s="6">
        <f t="shared" si="62"/>
        <v>0</v>
      </c>
      <c r="M88" s="2"/>
      <c r="N88" s="7">
        <f t="shared" si="63"/>
        <v>0</v>
      </c>
      <c r="O88" s="11"/>
      <c r="P88" s="6"/>
      <c r="Q88" s="2"/>
      <c r="R88" s="7">
        <f t="shared" si="64"/>
        <v>0</v>
      </c>
      <c r="S88" s="2"/>
      <c r="T88" s="6">
        <v>100</v>
      </c>
      <c r="U88" s="2"/>
      <c r="V88" s="7">
        <f t="shared" si="65"/>
        <v>3.0635077408713602E-4</v>
      </c>
      <c r="W88" s="2"/>
      <c r="X88" s="6">
        <f t="shared" si="66"/>
        <v>-100</v>
      </c>
      <c r="Y88" s="2"/>
      <c r="Z88" s="7">
        <f t="shared" si="67"/>
        <v>-1</v>
      </c>
    </row>
    <row r="89" spans="1:26" s="26" customFormat="1" outlineLevel="1" collapsed="1" x14ac:dyDescent="0.25">
      <c r="A89" s="27"/>
      <c r="B89" s="13" t="str">
        <f>CONCATENATE("     ","Travel                                            ")</f>
        <v xml:space="preserve">     Travel                                            </v>
      </c>
      <c r="C89" s="13"/>
      <c r="D89" s="1">
        <f>SUM(OSRRefD22_17x_0)</f>
        <v>0</v>
      </c>
      <c r="E89" s="1"/>
      <c r="F89" s="5">
        <f t="shared" si="60"/>
        <v>0</v>
      </c>
      <c r="G89" s="1"/>
      <c r="H89" s="1">
        <f>SUM(OSRRefH22_17x_0)</f>
        <v>0</v>
      </c>
      <c r="I89" s="1"/>
      <c r="J89" s="5">
        <f t="shared" si="61"/>
        <v>0</v>
      </c>
      <c r="K89" s="1"/>
      <c r="L89" s="1">
        <f t="shared" si="62"/>
        <v>0</v>
      </c>
      <c r="M89" s="1"/>
      <c r="N89" s="5">
        <f t="shared" si="63"/>
        <v>0</v>
      </c>
      <c r="O89" s="13"/>
      <c r="P89" s="1">
        <f>SUM(OSRRefP22_17x_0)</f>
        <v>0</v>
      </c>
      <c r="Q89" s="1"/>
      <c r="R89" s="5">
        <f t="shared" si="64"/>
        <v>0</v>
      </c>
      <c r="S89" s="1"/>
      <c r="T89" s="1">
        <f>SUM(OSRRefT22_17x_0)</f>
        <v>1000</v>
      </c>
      <c r="U89" s="1"/>
      <c r="V89" s="5">
        <f t="shared" si="65"/>
        <v>3.06350774087136E-3</v>
      </c>
      <c r="W89" s="1"/>
      <c r="X89" s="1">
        <f t="shared" si="66"/>
        <v>-1000</v>
      </c>
      <c r="Y89" s="1"/>
      <c r="Z89" s="5">
        <f t="shared" si="67"/>
        <v>-1</v>
      </c>
    </row>
    <row r="90" spans="1:26" s="24" customFormat="1" hidden="1" outlineLevel="2" x14ac:dyDescent="0.25">
      <c r="A90" s="25"/>
      <c r="B90" s="11" t="str">
        <f>CONCATENATE("          ", "6292", " - ", "TRAVEL/CONFERENCE")</f>
        <v xml:space="preserve">          6292 - TRAVEL/CONFERENCE</v>
      </c>
      <c r="C90" s="11"/>
      <c r="D90" s="6"/>
      <c r="E90" s="2"/>
      <c r="F90" s="7">
        <f t="shared" si="60"/>
        <v>0</v>
      </c>
      <c r="G90" s="2"/>
      <c r="H90" s="6">
        <v>0</v>
      </c>
      <c r="I90" s="2"/>
      <c r="J90" s="7">
        <f t="shared" si="61"/>
        <v>0</v>
      </c>
      <c r="K90" s="2"/>
      <c r="L90" s="6">
        <f t="shared" si="62"/>
        <v>0</v>
      </c>
      <c r="M90" s="2"/>
      <c r="N90" s="7">
        <f t="shared" si="63"/>
        <v>0</v>
      </c>
      <c r="O90" s="11"/>
      <c r="P90" s="6"/>
      <c r="Q90" s="2"/>
      <c r="R90" s="7">
        <f t="shared" si="64"/>
        <v>0</v>
      </c>
      <c r="S90" s="2"/>
      <c r="T90" s="6">
        <v>1000</v>
      </c>
      <c r="U90" s="2"/>
      <c r="V90" s="7">
        <f t="shared" si="65"/>
        <v>3.06350774087136E-3</v>
      </c>
      <c r="W90" s="2"/>
      <c r="X90" s="6">
        <f t="shared" si="66"/>
        <v>-1000</v>
      </c>
      <c r="Y90" s="2"/>
      <c r="Z90" s="7">
        <f t="shared" si="67"/>
        <v>-1</v>
      </c>
    </row>
    <row r="91" spans="1:26" s="26" customFormat="1" outlineLevel="1" collapsed="1" x14ac:dyDescent="0.25">
      <c r="A91" s="27"/>
      <c r="B91" s="13" t="str">
        <f>CONCATENATE("     ","Utilities                                         ")</f>
        <v xml:space="preserve">     Utilities                                         </v>
      </c>
      <c r="C91" s="13"/>
      <c r="D91" s="1">
        <f>SUM(OSRRefD22_18x_0)</f>
        <v>771</v>
      </c>
      <c r="E91" s="1"/>
      <c r="F91" s="5">
        <f t="shared" si="60"/>
        <v>9.9568549201004362E-3</v>
      </c>
      <c r="G91" s="1"/>
      <c r="H91" s="1">
        <f>SUM(OSRRefH22_18x_0)</f>
        <v>1100</v>
      </c>
      <c r="I91" s="1"/>
      <c r="J91" s="5">
        <f t="shared" si="61"/>
        <v>1.7668128302735345E-2</v>
      </c>
      <c r="K91" s="1"/>
      <c r="L91" s="1">
        <f t="shared" si="62"/>
        <v>-329</v>
      </c>
      <c r="M91" s="1"/>
      <c r="N91" s="5">
        <f t="shared" si="63"/>
        <v>-0.29909090909090907</v>
      </c>
      <c r="O91" s="13"/>
      <c r="P91" s="1">
        <f>SUM(OSRRefP22_18x_0)</f>
        <v>3084</v>
      </c>
      <c r="Q91" s="1"/>
      <c r="R91" s="5">
        <f t="shared" si="64"/>
        <v>8.7238915481105649E-3</v>
      </c>
      <c r="S91" s="1"/>
      <c r="T91" s="1">
        <f>SUM(OSRRefT22_18x_0)</f>
        <v>5500</v>
      </c>
      <c r="U91" s="1"/>
      <c r="V91" s="5">
        <f t="shared" si="65"/>
        <v>1.6849292574792479E-2</v>
      </c>
      <c r="W91" s="1"/>
      <c r="X91" s="1">
        <f t="shared" si="66"/>
        <v>-2416</v>
      </c>
      <c r="Y91" s="1"/>
      <c r="Z91" s="5">
        <f t="shared" si="67"/>
        <v>-0.43927272727272726</v>
      </c>
    </row>
    <row r="92" spans="1:26" s="24" customFormat="1" hidden="1" outlineLevel="2" x14ac:dyDescent="0.25">
      <c r="A92" s="25"/>
      <c r="B92" s="11" t="str">
        <f>CONCATENATE("          ", "6274", " - ", "UTILITIES")</f>
        <v xml:space="preserve">          6274 - UTILITIES</v>
      </c>
      <c r="C92" s="11"/>
      <c r="D92" s="6">
        <v>771</v>
      </c>
      <c r="E92" s="2"/>
      <c r="F92" s="7">
        <f t="shared" si="60"/>
        <v>9.9568549201004362E-3</v>
      </c>
      <c r="G92" s="2"/>
      <c r="H92" s="6">
        <v>1100</v>
      </c>
      <c r="I92" s="2"/>
      <c r="J92" s="7">
        <f t="shared" si="61"/>
        <v>1.7668128302735345E-2</v>
      </c>
      <c r="K92" s="2"/>
      <c r="L92" s="6">
        <f t="shared" si="62"/>
        <v>-329</v>
      </c>
      <c r="M92" s="2"/>
      <c r="N92" s="7">
        <f t="shared" si="63"/>
        <v>-0.29909090909090907</v>
      </c>
      <c r="O92" s="11"/>
      <c r="P92" s="6">
        <v>3084</v>
      </c>
      <c r="Q92" s="2"/>
      <c r="R92" s="7">
        <f t="shared" si="64"/>
        <v>8.7238915481105649E-3</v>
      </c>
      <c r="S92" s="2"/>
      <c r="T92" s="6">
        <v>5500</v>
      </c>
      <c r="U92" s="2"/>
      <c r="V92" s="7">
        <f t="shared" si="65"/>
        <v>1.6849292574792479E-2</v>
      </c>
      <c r="W92" s="2"/>
      <c r="X92" s="6">
        <f t="shared" si="66"/>
        <v>-2416</v>
      </c>
      <c r="Y92" s="2"/>
      <c r="Z92" s="7">
        <f t="shared" si="67"/>
        <v>-0.43927272727272726</v>
      </c>
    </row>
    <row r="93" spans="1:26" s="59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x14ac:dyDescent="0.25">
      <c r="A94" s="10"/>
      <c r="B94" s="29" t="s">
        <v>0</v>
      </c>
      <c r="C94" s="10"/>
      <c r="D94" s="4">
        <f>SUM(0)</f>
        <v>0</v>
      </c>
      <c r="E94" s="4"/>
      <c r="F94" s="12">
        <f>IF(D$12=0,0,D94/D$12)</f>
        <v>0</v>
      </c>
      <c r="G94" s="4"/>
      <c r="H94" s="4">
        <f>SUM(0)</f>
        <v>0</v>
      </c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>
        <f>SUM(0)</f>
        <v>0</v>
      </c>
      <c r="Q94" s="4"/>
      <c r="R94" s="12">
        <f>IF(P$12=0,0,P94/P$12)</f>
        <v>0</v>
      </c>
      <c r="S94" s="4"/>
      <c r="T94" s="4">
        <f>SUM(0)</f>
        <v>0</v>
      </c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8" t="s">
        <v>3</v>
      </c>
      <c r="C96" s="28"/>
      <c r="D96" s="20">
        <f>+D22-D24+D94</f>
        <v>10239.769999999993</v>
      </c>
      <c r="E96" s="14"/>
      <c r="F96" s="22">
        <f>IF(D$12=0,0,D96/D$12)</f>
        <v>0.13223852698469102</v>
      </c>
      <c r="G96" s="14"/>
      <c r="H96" s="20">
        <f>+H22-H24+H94</f>
        <v>3356.945424000005</v>
      </c>
      <c r="I96" s="14"/>
      <c r="J96" s="22">
        <f>IF(H$12=0,0,H96/H$12)</f>
        <v>5.3919038596829449E-2</v>
      </c>
      <c r="K96" s="16"/>
      <c r="L96" s="20">
        <f>+D96-H96</f>
        <v>6882.8245759999882</v>
      </c>
      <c r="M96" s="16"/>
      <c r="N96" s="22">
        <f>IF(H96=0,0,L96/H96)</f>
        <v>2.0503236444632704</v>
      </c>
      <c r="O96" s="29"/>
      <c r="P96" s="20">
        <f>+P22-P24+P94</f>
        <v>43057.409999999974</v>
      </c>
      <c r="Q96" s="14"/>
      <c r="R96" s="22">
        <f>IF(P$12=0,0,P96/P$12)</f>
        <v>0.1217990191901852</v>
      </c>
      <c r="S96" s="14"/>
      <c r="T96" s="20">
        <f>+T22-T24+T94</f>
        <v>17814.938613249949</v>
      </c>
      <c r="U96" s="14"/>
      <c r="V96" s="22">
        <f>IF(T$12=0,0,T96/T$12)</f>
        <v>5.4576202344839314E-2</v>
      </c>
      <c r="W96" s="16"/>
      <c r="X96" s="20">
        <f>+P96-T96</f>
        <v>25242.471386750025</v>
      </c>
      <c r="Y96" s="16"/>
      <c r="Z96" s="22">
        <f>IF(T96=0,0,X96/T96)</f>
        <v>1.4169272168008376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2"/>
      <c r="B98" s="10" t="s">
        <v>14</v>
      </c>
      <c r="C98" s="10"/>
      <c r="D98" s="4">
        <v>9643.83</v>
      </c>
      <c r="E98" s="4"/>
      <c r="F98" s="12">
        <f>IF(D$12=0,0,D98/D$12)</f>
        <v>0.12454243344242827</v>
      </c>
      <c r="G98" s="4"/>
      <c r="H98" s="4">
        <v>9557</v>
      </c>
      <c r="I98" s="4"/>
      <c r="J98" s="12">
        <f>IF(H$12=0,0,H98/H$12)</f>
        <v>0.15350391108112882</v>
      </c>
      <c r="K98" s="4"/>
      <c r="L98" s="4">
        <f>+D98-H98</f>
        <v>86.829999999999927</v>
      </c>
      <c r="M98" s="4"/>
      <c r="N98" s="12">
        <f>IF(H98=0,0,L98/H98)</f>
        <v>9.0854870775347839E-3</v>
      </c>
      <c r="O98" s="10"/>
      <c r="P98" s="4">
        <v>37434.53</v>
      </c>
      <c r="Q98" s="4"/>
      <c r="R98" s="12">
        <f>IF(P$12=0,0,P98/P$12)</f>
        <v>0.10589324898654066</v>
      </c>
      <c r="S98" s="4"/>
      <c r="T98" s="4">
        <v>41369</v>
      </c>
      <c r="U98" s="4"/>
      <c r="V98" s="12">
        <f>IF(T$12=0,0,T98/T$12)</f>
        <v>0.12673425173210728</v>
      </c>
      <c r="W98" s="4"/>
      <c r="X98" s="4">
        <f>+P98-T98</f>
        <v>-3934.4700000000012</v>
      </c>
      <c r="Y98" s="4"/>
      <c r="Z98" s="12">
        <f>IF(T98=0,0,X98/T98)</f>
        <v>-9.5106722425004259E-2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4</v>
      </c>
      <c r="C100" s="28"/>
      <c r="D100" s="30">
        <f>+D96-D98</f>
        <v>595.93999999999323</v>
      </c>
      <c r="E100" s="14"/>
      <c r="F100" s="32">
        <f>IF(D$12=0,0,D100/D$12)</f>
        <v>7.6960935422627583E-3</v>
      </c>
      <c r="G100" s="14"/>
      <c r="H100" s="30">
        <f>+H96-H98</f>
        <v>-6200.054575999995</v>
      </c>
      <c r="I100" s="14"/>
      <c r="J100" s="32">
        <f>IF(H$12=0,0,H100/H$12)</f>
        <v>-9.9584872484299369E-2</v>
      </c>
      <c r="K100" s="16"/>
      <c r="L100" s="30">
        <f>D100-H100</f>
        <v>6795.9945759999882</v>
      </c>
      <c r="M100" s="16"/>
      <c r="N100" s="32">
        <f>IF(H100=0,0,L100/H100)</f>
        <v>-1.0961185087477838</v>
      </c>
      <c r="O100" s="29"/>
      <c r="P100" s="30">
        <f>+P96-P98</f>
        <v>5622.8799999999756</v>
      </c>
      <c r="Q100" s="14"/>
      <c r="R100" s="32">
        <f>IF(P$12=0,0,P100/P$12)</f>
        <v>1.5905770203644528E-2</v>
      </c>
      <c r="S100" s="14"/>
      <c r="T100" s="30">
        <f>+T96-T98</f>
        <v>-23554.061386750051</v>
      </c>
      <c r="U100" s="14"/>
      <c r="V100" s="32">
        <f>IF(T$12=0,0,T100/T$12)</f>
        <v>-7.2158049387267983E-2</v>
      </c>
      <c r="W100" s="16"/>
      <c r="X100" s="30">
        <f>P100-T100</f>
        <v>29176.941386750026</v>
      </c>
      <c r="Y100" s="16"/>
      <c r="Z100" s="32">
        <f>IF(T100=0,0,X100/T100)</f>
        <v>-1.238722312372126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8" t="s">
        <v>5</v>
      </c>
      <c r="C103" s="28"/>
      <c r="D103" s="31">
        <f>SUM(D100:D102)</f>
        <v>595.93999999999323</v>
      </c>
      <c r="E103" s="14"/>
      <c r="F103" s="35">
        <f>IF(D$12=0,0,D103/D$12)</f>
        <v>7.6960935422627583E-3</v>
      </c>
      <c r="G103" s="14"/>
      <c r="H103" s="31">
        <f>SUM(H100:H102)</f>
        <v>-6200.054575999995</v>
      </c>
      <c r="I103" s="14"/>
      <c r="J103" s="35">
        <f>IF(H$12=0,0,H103/H$12)</f>
        <v>-9.9584872484299369E-2</v>
      </c>
      <c r="K103" s="16"/>
      <c r="L103" s="31">
        <f>+D103-H103</f>
        <v>6795.9945759999882</v>
      </c>
      <c r="M103" s="16"/>
      <c r="N103" s="35">
        <f>IF(H103=0,0,L103/H103)</f>
        <v>-1.0961185087477838</v>
      </c>
      <c r="O103" s="29"/>
      <c r="P103" s="31">
        <f>SUM(P100:P102)</f>
        <v>5622.8799999999756</v>
      </c>
      <c r="Q103" s="14"/>
      <c r="R103" s="35">
        <f>IF(P$12=0,0,P103/P$12)</f>
        <v>1.5905770203644528E-2</v>
      </c>
      <c r="S103" s="14"/>
      <c r="T103" s="31">
        <f>SUM(T100:T102)</f>
        <v>-23554.061386750051</v>
      </c>
      <c r="U103" s="14"/>
      <c r="V103" s="35">
        <f>IF(T$12=0,0,T103/T$12)</f>
        <v>-7.2158049387267983E-2</v>
      </c>
      <c r="W103" s="16"/>
      <c r="X103" s="31">
        <f>+P103-T103</f>
        <v>29176.941386750026</v>
      </c>
      <c r="Y103" s="16"/>
      <c r="Z103" s="35">
        <f>IF(T103=0,0,X103/T103)</f>
        <v>-1.238722312372126</v>
      </c>
    </row>
    <row r="104" spans="1:26" ht="15.75" thickTop="1" x14ac:dyDescent="0.25">
      <c r="A104" s="9"/>
      <c r="C104" s="9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A105" s="9"/>
      <c r="B105" s="56">
        <v>43815.483875428239</v>
      </c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25">
      <c r="A106" s="9"/>
      <c r="B106" s="62" t="s">
        <v>314</v>
      </c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25">
      <c r="A107" s="9"/>
      <c r="B107" s="58"/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","327", " - ", "C-Store Vending Machine(s)")</f>
        <v>Department 327 - C-Store Vending Machine(s)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1546.5</v>
      </c>
      <c r="E12" s="4"/>
      <c r="F12" s="12"/>
      <c r="G12" s="4"/>
      <c r="H12" s="4">
        <f>SUM(OSRRefH13x_0)</f>
        <v>964</v>
      </c>
      <c r="I12" s="4"/>
      <c r="J12" s="12"/>
      <c r="K12" s="4"/>
      <c r="L12" s="4">
        <f t="shared" ref="L12:L14" si="0">+D12-H12</f>
        <v>582.5</v>
      </c>
      <c r="M12" s="4"/>
      <c r="N12" s="12">
        <f t="shared" ref="N12:N14" si="1">IF(H12=0,0,L12/H12)</f>
        <v>0.60425311203319498</v>
      </c>
      <c r="O12" s="10"/>
      <c r="P12" s="4">
        <f>SUM(OSRRefP13x_0)</f>
        <v>6827</v>
      </c>
      <c r="Q12" s="4"/>
      <c r="R12" s="12"/>
      <c r="S12" s="4"/>
      <c r="T12" s="4">
        <f>SUM(OSRRefT13x_0)</f>
        <v>5537</v>
      </c>
      <c r="U12" s="4"/>
      <c r="V12" s="12"/>
      <c r="W12" s="4"/>
      <c r="X12" s="4">
        <f t="shared" ref="X12:X14" si="2">+P12-T12</f>
        <v>1290</v>
      </c>
      <c r="Y12" s="4"/>
      <c r="Z12" s="12">
        <f t="shared" ref="Z12:Z14" si="3">IF(T12=0,0,X12/T12)</f>
        <v>0.2329781470110168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19"/>
      <c r="G13" s="2"/>
      <c r="H13" s="2">
        <v>964</v>
      </c>
      <c r="I13" s="2"/>
      <c r="J13" s="19"/>
      <c r="K13" s="2"/>
      <c r="L13" s="2">
        <f t="shared" si="0"/>
        <v>-964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5537</v>
      </c>
      <c r="U13" s="2"/>
      <c r="V13" s="19"/>
      <c r="W13" s="2"/>
      <c r="X13" s="2">
        <f t="shared" si="2"/>
        <v>-5537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>--1546.5</f>
        <v>1546.5</v>
      </c>
      <c r="E14" s="2"/>
      <c r="F14" s="19"/>
      <c r="G14" s="2"/>
      <c r="H14" s="2"/>
      <c r="I14" s="2"/>
      <c r="J14" s="19"/>
      <c r="K14" s="2"/>
      <c r="L14" s="2">
        <f t="shared" si="0"/>
        <v>1546.5</v>
      </c>
      <c r="M14" s="2"/>
      <c r="N14" s="19">
        <f t="shared" si="1"/>
        <v>0</v>
      </c>
      <c r="O14" s="11"/>
      <c r="P14" s="2">
        <f>--6827</f>
        <v>6827</v>
      </c>
      <c r="Q14" s="2"/>
      <c r="R14" s="19"/>
      <c r="S14" s="2"/>
      <c r="T14" s="2"/>
      <c r="U14" s="2"/>
      <c r="V14" s="19"/>
      <c r="W14" s="2"/>
      <c r="X14" s="2">
        <f t="shared" si="2"/>
        <v>6827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9" t="s">
        <v>8</v>
      </c>
      <c r="C16" s="10"/>
      <c r="D16" s="4">
        <f>SUM(OSRRefD16x_0)</f>
        <v>773</v>
      </c>
      <c r="E16" s="4"/>
      <c r="F16" s="12">
        <f t="shared" ref="F16:F18" si="4">IF(D$12=0,0,D16/D$12)</f>
        <v>0.4998383446492079</v>
      </c>
      <c r="G16" s="4"/>
      <c r="H16" s="4">
        <f>SUM(OSRRefH16x_0)</f>
        <v>482</v>
      </c>
      <c r="I16" s="4"/>
      <c r="J16" s="12">
        <f t="shared" ref="J16:J18" si="5">IF(H$12=0,0,H16/H$12)</f>
        <v>0.5</v>
      </c>
      <c r="K16" s="4"/>
      <c r="L16" s="4">
        <f t="shared" ref="L16:L18" si="6">+D16-H16</f>
        <v>291</v>
      </c>
      <c r="M16" s="4"/>
      <c r="N16" s="12">
        <f t="shared" ref="N16:N18" si="7">IF(H16=0,0,L16/H16)</f>
        <v>0.60373443983402486</v>
      </c>
      <c r="O16" s="10"/>
      <c r="P16" s="4">
        <f>SUM(OSRRefP16x_0)</f>
        <v>3421.96</v>
      </c>
      <c r="Q16" s="4"/>
      <c r="R16" s="12">
        <f t="shared" ref="R16:R18" si="8">IF(P$12=0,0,P16/P$12)</f>
        <v>0.50123919730481914</v>
      </c>
      <c r="S16" s="4"/>
      <c r="T16" s="4">
        <f>SUM(OSRRefT16x_0)</f>
        <v>2768</v>
      </c>
      <c r="U16" s="4"/>
      <c r="V16" s="12">
        <f t="shared" ref="V16:V18" si="9">IF(T$12=0,0,T16/T$12)</f>
        <v>0.49990969839263139</v>
      </c>
      <c r="W16" s="4"/>
      <c r="X16" s="4">
        <f t="shared" ref="X16:X18" si="10">+P16-T16</f>
        <v>653.96</v>
      </c>
      <c r="Y16" s="4"/>
      <c r="Z16" s="12">
        <f t="shared" ref="Z16:Z18" si="11">IF(T16=0,0,X16/T16)</f>
        <v>0.23625722543352604</v>
      </c>
    </row>
    <row r="17" spans="1:26" s="24" customFormat="1" hidden="1" outlineLevel="1" x14ac:dyDescent="0.25">
      <c r="A17" s="44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19">
        <f t="shared" si="4"/>
        <v>0</v>
      </c>
      <c r="G17" s="2"/>
      <c r="H17" s="2">
        <v>482</v>
      </c>
      <c r="I17" s="2"/>
      <c r="J17" s="19">
        <f t="shared" si="5"/>
        <v>0.5</v>
      </c>
      <c r="K17" s="2"/>
      <c r="L17" s="2">
        <f t="shared" si="6"/>
        <v>-482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2768</v>
      </c>
      <c r="U17" s="2"/>
      <c r="V17" s="19">
        <f t="shared" si="9"/>
        <v>0.49990969839263139</v>
      </c>
      <c r="W17" s="2"/>
      <c r="X17" s="2">
        <f t="shared" si="10"/>
        <v>-2768</v>
      </c>
      <c r="Y17" s="2"/>
      <c r="Z17" s="19">
        <f t="shared" si="11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773</v>
      </c>
      <c r="E18" s="2"/>
      <c r="F18" s="19">
        <f t="shared" si="4"/>
        <v>0.4998383446492079</v>
      </c>
      <c r="G18" s="2"/>
      <c r="H18" s="2"/>
      <c r="I18" s="2"/>
      <c r="J18" s="19">
        <f t="shared" si="5"/>
        <v>0</v>
      </c>
      <c r="K18" s="2"/>
      <c r="L18" s="2">
        <f t="shared" si="6"/>
        <v>773</v>
      </c>
      <c r="M18" s="2"/>
      <c r="N18" s="19">
        <f t="shared" si="7"/>
        <v>0</v>
      </c>
      <c r="O18" s="11"/>
      <c r="P18" s="2">
        <v>3421.96</v>
      </c>
      <c r="Q18" s="2"/>
      <c r="R18" s="19">
        <f t="shared" si="8"/>
        <v>0.50123919730481914</v>
      </c>
      <c r="S18" s="2"/>
      <c r="T18" s="2"/>
      <c r="U18" s="2"/>
      <c r="V18" s="19">
        <f t="shared" si="9"/>
        <v>0</v>
      </c>
      <c r="W18" s="2"/>
      <c r="X18" s="2">
        <f t="shared" si="10"/>
        <v>3421.96</v>
      </c>
      <c r="Y18" s="2"/>
      <c r="Z18" s="19">
        <f t="shared" si="11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8" t="s">
        <v>6</v>
      </c>
      <c r="C20" s="28"/>
      <c r="D20" s="20">
        <f>D12-D16</f>
        <v>773.5</v>
      </c>
      <c r="E20" s="14"/>
      <c r="F20" s="22">
        <f>IF(D$12=0,0,D20/D$12)</f>
        <v>0.50016165535079216</v>
      </c>
      <c r="G20" s="14"/>
      <c r="H20" s="20">
        <f>H12-H16</f>
        <v>482</v>
      </c>
      <c r="I20" s="14"/>
      <c r="J20" s="22">
        <f>IF(H$12=0,0,H20/H$12)</f>
        <v>0.5</v>
      </c>
      <c r="K20" s="16"/>
      <c r="L20" s="20">
        <f>+D20-H20</f>
        <v>291.5</v>
      </c>
      <c r="M20" s="16"/>
      <c r="N20" s="22">
        <f>IF(H20=0,0,L20/H20)</f>
        <v>0.60477178423236511</v>
      </c>
      <c r="O20" s="29"/>
      <c r="P20" s="20">
        <f>P12-P16</f>
        <v>3405.04</v>
      </c>
      <c r="Q20" s="14"/>
      <c r="R20" s="22">
        <f>IF(P$12=0,0,P20/P$12)</f>
        <v>0.49876080269518092</v>
      </c>
      <c r="S20" s="14"/>
      <c r="T20" s="20">
        <f>T12-T16</f>
        <v>2769</v>
      </c>
      <c r="U20" s="14"/>
      <c r="V20" s="22">
        <f>IF(T$12=0,0,T20/T$12)</f>
        <v>0.50009030160736856</v>
      </c>
      <c r="W20" s="16"/>
      <c r="X20" s="20">
        <f>+P20-T20</f>
        <v>636.04</v>
      </c>
      <c r="Y20" s="16"/>
      <c r="Z20" s="22">
        <f>IF(T20=0,0,X20/T20)</f>
        <v>0.22970025279884435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9" t="s">
        <v>9</v>
      </c>
      <c r="C22" s="10"/>
      <c r="D22" s="21">
        <f>SUM(OSRRefD22x_0)</f>
        <v>232.77</v>
      </c>
      <c r="E22" s="21"/>
      <c r="F22" s="33">
        <f t="shared" ref="F22:F28" si="12">IF(D$12=0,0,D22/D$12)</f>
        <v>0.15051406401551892</v>
      </c>
      <c r="G22" s="21"/>
      <c r="H22" s="21">
        <f>SUM(OSRRefH22x_0)</f>
        <v>83</v>
      </c>
      <c r="I22" s="21"/>
      <c r="J22" s="33">
        <f t="shared" ref="J22:J28" si="13">IF(H$12=0,0,H22/H$12)</f>
        <v>8.6099585062240663E-2</v>
      </c>
      <c r="K22" s="4"/>
      <c r="L22" s="21">
        <f t="shared" ref="L22:L28" si="14">+D22-H22</f>
        <v>149.77000000000001</v>
      </c>
      <c r="M22" s="4"/>
      <c r="N22" s="33">
        <f t="shared" ref="N22:N28" si="15">IF(H22=0,0,L22/H22)</f>
        <v>1.8044578313253012</v>
      </c>
      <c r="O22" s="10"/>
      <c r="P22" s="21">
        <f>SUM(OSRRefP22x_0)</f>
        <v>973.97</v>
      </c>
      <c r="Q22" s="21"/>
      <c r="R22" s="33">
        <f t="shared" ref="R22:R28" si="16">IF(P$12=0,0,P22/P$12)</f>
        <v>0.14266442068258386</v>
      </c>
      <c r="S22" s="21"/>
      <c r="T22" s="21">
        <f>SUM(OSRRefT22x_0)</f>
        <v>476</v>
      </c>
      <c r="U22" s="21"/>
      <c r="V22" s="33">
        <f t="shared" ref="V22:V28" si="17">IF(T$12=0,0,T22/T$12)</f>
        <v>8.5967130214917822E-2</v>
      </c>
      <c r="W22" s="4"/>
      <c r="X22" s="21">
        <f t="shared" ref="X22:X28" si="18">+P22-T22</f>
        <v>497.97</v>
      </c>
      <c r="Y22" s="4"/>
      <c r="Z22" s="33">
        <f t="shared" ref="Z22:Z28" si="19">IF(T22=0,0,X22/T22)</f>
        <v>1.0461554621848741</v>
      </c>
    </row>
    <row r="23" spans="1:26" s="26" customFormat="1" outlineLevel="1" collapsed="1" x14ac:dyDescent="0.25">
      <c r="A23" s="27"/>
      <c r="B23" s="13" t="str">
        <f>CONCATENATE("     ","Bank/card Fees                                    ")</f>
        <v xml:space="preserve">     Bank/card Fees                                    </v>
      </c>
      <c r="C23" s="13"/>
      <c r="D23" s="1">
        <f>SUM(OSRRefD22_0x_0)</f>
        <v>232.77</v>
      </c>
      <c r="E23" s="1"/>
      <c r="F23" s="5">
        <f t="shared" si="12"/>
        <v>0.15051406401551892</v>
      </c>
      <c r="G23" s="1"/>
      <c r="H23" s="1">
        <f>SUM(OSRRefH22_0x_0)</f>
        <v>83</v>
      </c>
      <c r="I23" s="1"/>
      <c r="J23" s="5">
        <f t="shared" si="13"/>
        <v>8.6099585062240663E-2</v>
      </c>
      <c r="K23" s="1"/>
      <c r="L23" s="1">
        <f t="shared" si="14"/>
        <v>149.77000000000001</v>
      </c>
      <c r="M23" s="1"/>
      <c r="N23" s="5">
        <f t="shared" si="15"/>
        <v>1.8044578313253012</v>
      </c>
      <c r="O23" s="13"/>
      <c r="P23" s="1">
        <f>SUM(OSRRefP22_0x_0)</f>
        <v>653.52</v>
      </c>
      <c r="Q23" s="1"/>
      <c r="R23" s="5">
        <f t="shared" si="16"/>
        <v>9.5725794638933645E-2</v>
      </c>
      <c r="S23" s="1"/>
      <c r="T23" s="1">
        <f>SUM(OSRRefT22_0x_0)</f>
        <v>476</v>
      </c>
      <c r="U23" s="1"/>
      <c r="V23" s="5">
        <f t="shared" si="17"/>
        <v>8.5967130214917822E-2</v>
      </c>
      <c r="W23" s="1"/>
      <c r="X23" s="1">
        <f t="shared" si="18"/>
        <v>177.51999999999998</v>
      </c>
      <c r="Y23" s="1"/>
      <c r="Z23" s="5">
        <f t="shared" si="19"/>
        <v>0.37294117647058822</v>
      </c>
    </row>
    <row r="24" spans="1:26" s="24" customFormat="1" hidden="1" outlineLevel="2" x14ac:dyDescent="0.25">
      <c r="A24" s="25"/>
      <c r="B24" s="11" t="str">
        <f>CONCATENATE("          ", "6381", " - ", "BANK/CREDIT CARD FEES")</f>
        <v xml:space="preserve">          6381 - BANK/CREDIT CARD FEES</v>
      </c>
      <c r="C24" s="11"/>
      <c r="D24" s="6">
        <v>232.77</v>
      </c>
      <c r="E24" s="2"/>
      <c r="F24" s="7">
        <f t="shared" si="12"/>
        <v>0.15051406401551892</v>
      </c>
      <c r="G24" s="2"/>
      <c r="H24" s="6">
        <v>83</v>
      </c>
      <c r="I24" s="2"/>
      <c r="J24" s="7">
        <f t="shared" si="13"/>
        <v>8.6099585062240663E-2</v>
      </c>
      <c r="K24" s="2"/>
      <c r="L24" s="6">
        <f t="shared" si="14"/>
        <v>149.77000000000001</v>
      </c>
      <c r="M24" s="2"/>
      <c r="N24" s="7">
        <f t="shared" si="15"/>
        <v>1.8044578313253012</v>
      </c>
      <c r="O24" s="11"/>
      <c r="P24" s="6">
        <v>653.52</v>
      </c>
      <c r="Q24" s="2"/>
      <c r="R24" s="7">
        <f t="shared" si="16"/>
        <v>9.5725794638933645E-2</v>
      </c>
      <c r="S24" s="2"/>
      <c r="T24" s="6">
        <v>476</v>
      </c>
      <c r="U24" s="2"/>
      <c r="V24" s="7">
        <f t="shared" si="17"/>
        <v>8.5967130214917822E-2</v>
      </c>
      <c r="W24" s="2"/>
      <c r="X24" s="6">
        <f t="shared" si="18"/>
        <v>177.51999999999998</v>
      </c>
      <c r="Y24" s="2"/>
      <c r="Z24" s="7">
        <f t="shared" si="19"/>
        <v>0.37294117647058822</v>
      </c>
    </row>
    <row r="25" spans="1:26" s="26" customFormat="1" outlineLevel="1" collapsed="1" x14ac:dyDescent="0.25">
      <c r="A25" s="27"/>
      <c r="B25" s="13" t="str">
        <f>CONCATENATE("     ","General                                           ")</f>
        <v xml:space="preserve">     General                                           </v>
      </c>
      <c r="C25" s="13"/>
      <c r="D25" s="1">
        <f>SUM(OSRRefD22_1x_0)</f>
        <v>0</v>
      </c>
      <c r="E25" s="1"/>
      <c r="F25" s="5">
        <f t="shared" si="12"/>
        <v>0</v>
      </c>
      <c r="G25" s="1"/>
      <c r="H25" s="1">
        <f>SUM(OSRRefH22_1x_0)</f>
        <v>0</v>
      </c>
      <c r="I25" s="1"/>
      <c r="J25" s="5">
        <f t="shared" si="13"/>
        <v>0</v>
      </c>
      <c r="K25" s="1"/>
      <c r="L25" s="1">
        <f t="shared" si="14"/>
        <v>0</v>
      </c>
      <c r="M25" s="1"/>
      <c r="N25" s="5">
        <f t="shared" si="15"/>
        <v>0</v>
      </c>
      <c r="O25" s="13"/>
      <c r="P25" s="1">
        <f>SUM(OSRRefP22_1x_0)</f>
        <v>23.45</v>
      </c>
      <c r="Q25" s="1"/>
      <c r="R25" s="5">
        <f t="shared" si="16"/>
        <v>3.4348908744690201E-3</v>
      </c>
      <c r="S25" s="1"/>
      <c r="T25" s="1">
        <f>SUM(OSRRefT22_1x_0)</f>
        <v>0</v>
      </c>
      <c r="U25" s="1"/>
      <c r="V25" s="5">
        <f t="shared" si="17"/>
        <v>0</v>
      </c>
      <c r="W25" s="1"/>
      <c r="X25" s="1">
        <f t="shared" si="18"/>
        <v>23.45</v>
      </c>
      <c r="Y25" s="1"/>
      <c r="Z25" s="5">
        <f t="shared" si="19"/>
        <v>0</v>
      </c>
    </row>
    <row r="26" spans="1:26" s="24" customFormat="1" hidden="1" outlineLevel="2" x14ac:dyDescent="0.25">
      <c r="A26" s="25"/>
      <c r="B26" s="11" t="str">
        <f>CONCATENATE("          ", "6279", " - ", "GENERAL EXPENSE")</f>
        <v xml:space="preserve">          6279 - GENERAL EXPENSE</v>
      </c>
      <c r="C26" s="11"/>
      <c r="D26" s="6"/>
      <c r="E26" s="2"/>
      <c r="F26" s="7">
        <f t="shared" si="12"/>
        <v>0</v>
      </c>
      <c r="G26" s="2"/>
      <c r="H26" s="6"/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>
        <v>23.45</v>
      </c>
      <c r="Q26" s="2"/>
      <c r="R26" s="7">
        <f t="shared" si="16"/>
        <v>3.4348908744690201E-3</v>
      </c>
      <c r="S26" s="2"/>
      <c r="T26" s="6"/>
      <c r="U26" s="2"/>
      <c r="V26" s="7">
        <f t="shared" si="17"/>
        <v>0</v>
      </c>
      <c r="W26" s="2"/>
      <c r="X26" s="6">
        <f t="shared" si="18"/>
        <v>23.45</v>
      </c>
      <c r="Y26" s="2"/>
      <c r="Z26" s="7">
        <f t="shared" si="19"/>
        <v>0</v>
      </c>
    </row>
    <row r="27" spans="1:26" s="26" customFormat="1" outlineLevel="1" collapsed="1" x14ac:dyDescent="0.25">
      <c r="A27" s="27"/>
      <c r="B27" s="13" t="str">
        <f>CONCATENATE("     ","Supplies                                          ")</f>
        <v xml:space="preserve">     Supplies                                          </v>
      </c>
      <c r="C27" s="13"/>
      <c r="D27" s="1">
        <f>SUM(OSRRefD22_2x_0)</f>
        <v>0</v>
      </c>
      <c r="E27" s="1"/>
      <c r="F27" s="5">
        <f t="shared" si="12"/>
        <v>0</v>
      </c>
      <c r="G27" s="1"/>
      <c r="H27" s="1">
        <f>SUM(OSRRefH22_2x_0)</f>
        <v>0</v>
      </c>
      <c r="I27" s="1"/>
      <c r="J27" s="5">
        <f t="shared" si="13"/>
        <v>0</v>
      </c>
      <c r="K27" s="1"/>
      <c r="L27" s="1">
        <f t="shared" si="14"/>
        <v>0</v>
      </c>
      <c r="M27" s="1"/>
      <c r="N27" s="5">
        <f t="shared" si="15"/>
        <v>0</v>
      </c>
      <c r="O27" s="13"/>
      <c r="P27" s="1">
        <f>SUM(OSRRefP22_2x_0)</f>
        <v>297</v>
      </c>
      <c r="Q27" s="1"/>
      <c r="R27" s="5">
        <f t="shared" si="16"/>
        <v>4.3503735169181192E-2</v>
      </c>
      <c r="S27" s="1"/>
      <c r="T27" s="1">
        <f>SUM(OSRRefT22_2x_0)</f>
        <v>0</v>
      </c>
      <c r="U27" s="1"/>
      <c r="V27" s="5">
        <f t="shared" si="17"/>
        <v>0</v>
      </c>
      <c r="W27" s="1"/>
      <c r="X27" s="1">
        <f t="shared" si="18"/>
        <v>297</v>
      </c>
      <c r="Y27" s="1"/>
      <c r="Z27" s="5">
        <f t="shared" si="19"/>
        <v>0</v>
      </c>
    </row>
    <row r="28" spans="1:26" s="24" customFormat="1" hidden="1" outlineLevel="2" x14ac:dyDescent="0.25">
      <c r="A28" s="25"/>
      <c r="B28" s="11" t="str">
        <f>CONCATENATE("          ", "6247", " - ", "STORE SUPPLIES")</f>
        <v xml:space="preserve">          6247 - STORE SUPPLIES</v>
      </c>
      <c r="C28" s="11"/>
      <c r="D28" s="6"/>
      <c r="E28" s="2"/>
      <c r="F28" s="7">
        <f t="shared" si="12"/>
        <v>0</v>
      </c>
      <c r="G28" s="2"/>
      <c r="H28" s="6"/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>
        <v>297</v>
      </c>
      <c r="Q28" s="2"/>
      <c r="R28" s="7">
        <f t="shared" si="16"/>
        <v>4.3503735169181192E-2</v>
      </c>
      <c r="S28" s="2"/>
      <c r="T28" s="6"/>
      <c r="U28" s="2"/>
      <c r="V28" s="7">
        <f t="shared" si="17"/>
        <v>0</v>
      </c>
      <c r="W28" s="2"/>
      <c r="X28" s="6">
        <f t="shared" si="18"/>
        <v>297</v>
      </c>
      <c r="Y28" s="2"/>
      <c r="Z28" s="7">
        <f t="shared" si="19"/>
        <v>0</v>
      </c>
    </row>
    <row r="29" spans="1:26" s="59" customFormat="1" x14ac:dyDescent="0.25">
      <c r="A29" s="36"/>
      <c r="B29" s="36"/>
      <c r="C29" s="36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9" t="s">
        <v>0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8" t="s">
        <v>3</v>
      </c>
      <c r="C32" s="28"/>
      <c r="D32" s="20">
        <f>+D20-D22+D30</f>
        <v>540.73</v>
      </c>
      <c r="E32" s="14"/>
      <c r="F32" s="22">
        <f>IF(D$12=0,0,D32/D$12)</f>
        <v>0.34964759133527323</v>
      </c>
      <c r="G32" s="14"/>
      <c r="H32" s="20">
        <f>+H20-H22+H30</f>
        <v>399</v>
      </c>
      <c r="I32" s="14"/>
      <c r="J32" s="22">
        <f>IF(H$12=0,0,H32/H$12)</f>
        <v>0.41390041493775931</v>
      </c>
      <c r="K32" s="16"/>
      <c r="L32" s="20">
        <f>+D32-H32</f>
        <v>141.73000000000002</v>
      </c>
      <c r="M32" s="16"/>
      <c r="N32" s="22">
        <f>IF(H32=0,0,L32/H32)</f>
        <v>0.3552130325814537</v>
      </c>
      <c r="O32" s="29"/>
      <c r="P32" s="20">
        <f>+P20-P22+P30</f>
        <v>2431.0699999999997</v>
      </c>
      <c r="Q32" s="14"/>
      <c r="R32" s="22">
        <f>IF(P$12=0,0,P32/P$12)</f>
        <v>0.35609638201259702</v>
      </c>
      <c r="S32" s="14"/>
      <c r="T32" s="20">
        <f>+T20-T22+T30</f>
        <v>2293</v>
      </c>
      <c r="U32" s="14"/>
      <c r="V32" s="22">
        <f>IF(T$12=0,0,T32/T$12)</f>
        <v>0.41412317139245081</v>
      </c>
      <c r="W32" s="16"/>
      <c r="X32" s="20">
        <f>+P32-T32</f>
        <v>138.06999999999971</v>
      </c>
      <c r="Y32" s="16"/>
      <c r="Z32" s="22">
        <f>IF(T32=0,0,X32/T32)</f>
        <v>6.0213693850850285E-2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2"/>
      <c r="B34" s="10" t="s">
        <v>14</v>
      </c>
      <c r="C34" s="10"/>
      <c r="D34" s="4">
        <v>191.38</v>
      </c>
      <c r="E34" s="4"/>
      <c r="F34" s="12">
        <f>IF(D$12=0,0,D34/D$12)</f>
        <v>0.12375040413837697</v>
      </c>
      <c r="G34" s="4"/>
      <c r="H34" s="4">
        <v>151</v>
      </c>
      <c r="I34" s="4"/>
      <c r="J34" s="12">
        <f>IF(H$12=0,0,H34/H$12)</f>
        <v>0.15663900414937759</v>
      </c>
      <c r="K34" s="4"/>
      <c r="L34" s="4">
        <f>+D34-H34</f>
        <v>40.379999999999995</v>
      </c>
      <c r="M34" s="4"/>
      <c r="N34" s="12">
        <f>IF(H34=0,0,L34/H34)</f>
        <v>0.26741721854304634</v>
      </c>
      <c r="O34" s="10"/>
      <c r="P34" s="4">
        <v>722.93</v>
      </c>
      <c r="Q34" s="4"/>
      <c r="R34" s="12">
        <f>IF(P$12=0,0,P34/P$12)</f>
        <v>0.10589277867291635</v>
      </c>
      <c r="S34" s="4"/>
      <c r="T34" s="4">
        <v>702</v>
      </c>
      <c r="U34" s="4"/>
      <c r="V34" s="12">
        <f>IF(T$12=0,0,T34/T$12)</f>
        <v>0.12678345674553007</v>
      </c>
      <c r="W34" s="4"/>
      <c r="X34" s="4">
        <f>+P34-T34</f>
        <v>20.92999999999995</v>
      </c>
      <c r="Y34" s="4"/>
      <c r="Z34" s="12">
        <f>IF(T34=0,0,X34/T34)</f>
        <v>2.9814814814814742E-2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4</v>
      </c>
      <c r="C36" s="28"/>
      <c r="D36" s="30">
        <f>+D32-D34</f>
        <v>349.35</v>
      </c>
      <c r="E36" s="14"/>
      <c r="F36" s="32">
        <f>IF(D$12=0,0,D36/D$12)</f>
        <v>0.22589718719689622</v>
      </c>
      <c r="G36" s="14"/>
      <c r="H36" s="30">
        <f>+H32-H34</f>
        <v>248</v>
      </c>
      <c r="I36" s="14"/>
      <c r="J36" s="32">
        <f>IF(H$12=0,0,H36/H$12)</f>
        <v>0.25726141078838172</v>
      </c>
      <c r="K36" s="16"/>
      <c r="L36" s="30">
        <f>D36-H36</f>
        <v>101.35000000000002</v>
      </c>
      <c r="M36" s="16"/>
      <c r="N36" s="32">
        <f>IF(H36=0,0,L36/H36)</f>
        <v>0.40866935483870975</v>
      </c>
      <c r="O36" s="29"/>
      <c r="P36" s="30">
        <f>+P32-P34</f>
        <v>1708.1399999999999</v>
      </c>
      <c r="Q36" s="14"/>
      <c r="R36" s="32">
        <f>IF(P$12=0,0,P36/P$12)</f>
        <v>0.25020360333968067</v>
      </c>
      <c r="S36" s="14"/>
      <c r="T36" s="30">
        <f>+T32-T34</f>
        <v>1591</v>
      </c>
      <c r="U36" s="14"/>
      <c r="V36" s="32">
        <f>IF(T$12=0,0,T36/T$12)</f>
        <v>0.28733971464692071</v>
      </c>
      <c r="W36" s="16"/>
      <c r="X36" s="30">
        <f>P36-T36</f>
        <v>117.13999999999987</v>
      </c>
      <c r="Y36" s="16"/>
      <c r="Z36" s="32">
        <f>IF(T36=0,0,X36/T36)</f>
        <v>7.3626649905719599E-2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8" t="s">
        <v>5</v>
      </c>
      <c r="C39" s="28"/>
      <c r="D39" s="31">
        <f>SUM(D36:D38)</f>
        <v>349.35</v>
      </c>
      <c r="E39" s="14"/>
      <c r="F39" s="35">
        <f>IF(D$12=0,0,D39/D$12)</f>
        <v>0.22589718719689622</v>
      </c>
      <c r="G39" s="14"/>
      <c r="H39" s="31">
        <f>SUM(H36:H38)</f>
        <v>248</v>
      </c>
      <c r="I39" s="14"/>
      <c r="J39" s="35">
        <f>IF(H$12=0,0,H39/H$12)</f>
        <v>0.25726141078838172</v>
      </c>
      <c r="K39" s="16"/>
      <c r="L39" s="31">
        <f>+D39-H39</f>
        <v>101.35000000000002</v>
      </c>
      <c r="M39" s="16"/>
      <c r="N39" s="35">
        <f>IF(H39=0,0,L39/H39)</f>
        <v>0.40866935483870975</v>
      </c>
      <c r="O39" s="29"/>
      <c r="P39" s="31">
        <f>SUM(P36:P38)</f>
        <v>1708.1399999999999</v>
      </c>
      <c r="Q39" s="14"/>
      <c r="R39" s="35">
        <f>IF(P$12=0,0,P39/P$12)</f>
        <v>0.25020360333968067</v>
      </c>
      <c r="S39" s="14"/>
      <c r="T39" s="31">
        <f>SUM(T36:T38)</f>
        <v>1591</v>
      </c>
      <c r="U39" s="14"/>
      <c r="V39" s="35">
        <f>IF(T$12=0,0,T39/T$12)</f>
        <v>0.28733971464692071</v>
      </c>
      <c r="W39" s="16"/>
      <c r="X39" s="31">
        <f>+P39-T39</f>
        <v>117.13999999999987</v>
      </c>
      <c r="Y39" s="16"/>
      <c r="Z39" s="35">
        <f>IF(T39=0,0,X39/T39)</f>
        <v>7.3626649905719599E-2</v>
      </c>
    </row>
    <row r="40" spans="1:26" ht="15.75" thickTop="1" x14ac:dyDescent="0.25">
      <c r="A40" s="9"/>
      <c r="C40" s="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A41" s="9"/>
      <c r="B41" s="56">
        <v>43815.483906099536</v>
      </c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25">
      <c r="A42" s="9"/>
      <c r="B42" s="62" t="s">
        <v>314</v>
      </c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25">
      <c r="A43" s="9"/>
      <c r="B43" s="58"/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25"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4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310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1703095.97</v>
      </c>
      <c r="E12" s="4"/>
      <c r="F12" s="12"/>
      <c r="G12" s="4"/>
      <c r="H12" s="4">
        <f>SUM(OSRRefH13x_0)</f>
        <v>1626373</v>
      </c>
      <c r="I12" s="4"/>
      <c r="J12" s="12"/>
      <c r="K12" s="4"/>
      <c r="L12" s="4">
        <f t="shared" ref="L12:L24" si="0">+D12-H12</f>
        <v>76722.969999999972</v>
      </c>
      <c r="M12" s="4"/>
      <c r="N12" s="12">
        <f t="shared" ref="N12:N24" si="1">IF(H12=0,0,L12/H12)</f>
        <v>4.7174276749552511E-2</v>
      </c>
      <c r="O12" s="10"/>
      <c r="P12" s="4">
        <f>SUM(OSRRefP13x_0)</f>
        <v>7960069.3799999999</v>
      </c>
      <c r="Q12" s="4"/>
      <c r="R12" s="12"/>
      <c r="S12" s="4"/>
      <c r="T12" s="4">
        <f>SUM(OSRRefT13x_0)</f>
        <v>8257753</v>
      </c>
      <c r="U12" s="4"/>
      <c r="V12" s="12"/>
      <c r="W12" s="4"/>
      <c r="X12" s="4">
        <f t="shared" ref="X12:X24" si="2">+P12-T12</f>
        <v>-297683.62000000011</v>
      </c>
      <c r="Y12" s="4"/>
      <c r="Z12" s="12">
        <f t="shared" ref="Z12:Z24" si="3">IF(T12=0,0,X12/T12)</f>
        <v>-3.6048985722871602E-2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315750</v>
      </c>
      <c r="I13" s="2"/>
      <c r="J13" s="19"/>
      <c r="K13" s="2"/>
      <c r="L13" s="2">
        <f t="shared" si="0"/>
        <v>-315750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1554299</v>
      </c>
      <c r="U13" s="2"/>
      <c r="V13" s="19"/>
      <c r="W13" s="2"/>
      <c r="X13" s="2">
        <f t="shared" si="2"/>
        <v>-1554299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--57390.66</f>
        <v>57390.66</v>
      </c>
      <c r="E14" s="2"/>
      <c r="F14" s="19"/>
      <c r="G14" s="2"/>
      <c r="H14" s="2"/>
      <c r="I14" s="2"/>
      <c r="J14" s="19"/>
      <c r="K14" s="2"/>
      <c r="L14" s="2">
        <f t="shared" si="0"/>
        <v>57390.66</v>
      </c>
      <c r="M14" s="2"/>
      <c r="N14" s="19">
        <f t="shared" si="1"/>
        <v>0</v>
      </c>
      <c r="O14" s="11"/>
      <c r="P14" s="2">
        <f>--283007.33</f>
        <v>283007.33</v>
      </c>
      <c r="Q14" s="2"/>
      <c r="R14" s="19"/>
      <c r="S14" s="2"/>
      <c r="T14" s="2"/>
      <c r="U14" s="2"/>
      <c r="V14" s="19"/>
      <c r="W14" s="2"/>
      <c r="X14" s="2">
        <f t="shared" si="2"/>
        <v>283007.33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>--85023.13</f>
        <v>85023.13</v>
      </c>
      <c r="E15" s="2"/>
      <c r="F15" s="19"/>
      <c r="G15" s="2"/>
      <c r="H15" s="2"/>
      <c r="I15" s="2"/>
      <c r="J15" s="19"/>
      <c r="K15" s="2"/>
      <c r="L15" s="2">
        <f t="shared" si="0"/>
        <v>85023.13</v>
      </c>
      <c r="M15" s="2"/>
      <c r="N15" s="19">
        <f t="shared" si="1"/>
        <v>0</v>
      </c>
      <c r="O15" s="11"/>
      <c r="P15" s="2">
        <f>--453845.53</f>
        <v>453845.53</v>
      </c>
      <c r="Q15" s="2"/>
      <c r="R15" s="19"/>
      <c r="S15" s="2"/>
      <c r="T15" s="2"/>
      <c r="U15" s="2"/>
      <c r="V15" s="19"/>
      <c r="W15" s="2"/>
      <c r="X15" s="2">
        <f t="shared" si="2"/>
        <v>453845.53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--20292.53</f>
        <v>20292.53</v>
      </c>
      <c r="E16" s="2"/>
      <c r="F16" s="19"/>
      <c r="G16" s="2"/>
      <c r="H16" s="2"/>
      <c r="I16" s="2"/>
      <c r="J16" s="19"/>
      <c r="K16" s="2"/>
      <c r="L16" s="2">
        <f t="shared" si="0"/>
        <v>20292.53</v>
      </c>
      <c r="M16" s="2"/>
      <c r="N16" s="19">
        <f t="shared" si="1"/>
        <v>0</v>
      </c>
      <c r="O16" s="11"/>
      <c r="P16" s="2">
        <f>--90170.93</f>
        <v>90170.93</v>
      </c>
      <c r="Q16" s="2"/>
      <c r="R16" s="19"/>
      <c r="S16" s="2"/>
      <c r="T16" s="2"/>
      <c r="U16" s="2"/>
      <c r="V16" s="19"/>
      <c r="W16" s="2"/>
      <c r="X16" s="2">
        <f t="shared" si="2"/>
        <v>90170.93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"4055", " - ", "TAXABLE SALES-FOOD")</f>
        <v xml:space="preserve">          4055 - TAXABLE SALES-FOOD</v>
      </c>
      <c r="C17" s="11"/>
      <c r="D17" s="2">
        <f>--49269.15</f>
        <v>49269.15</v>
      </c>
      <c r="E17" s="2"/>
      <c r="F17" s="19"/>
      <c r="G17" s="2"/>
      <c r="H17" s="2"/>
      <c r="I17" s="2"/>
      <c r="J17" s="19"/>
      <c r="K17" s="2"/>
      <c r="L17" s="2">
        <f t="shared" si="0"/>
        <v>49269.15</v>
      </c>
      <c r="M17" s="2"/>
      <c r="N17" s="19">
        <f t="shared" si="1"/>
        <v>0</v>
      </c>
      <c r="O17" s="11"/>
      <c r="P17" s="2">
        <f>--235911.89</f>
        <v>235911.89</v>
      </c>
      <c r="Q17" s="2"/>
      <c r="R17" s="19"/>
      <c r="S17" s="2"/>
      <c r="T17" s="2"/>
      <c r="U17" s="2"/>
      <c r="V17" s="19"/>
      <c r="W17" s="2"/>
      <c r="X17" s="2">
        <f t="shared" si="2"/>
        <v>235911.89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--14656.48</f>
        <v>14656.48</v>
      </c>
      <c r="E18" s="2"/>
      <c r="F18" s="19"/>
      <c r="G18" s="2"/>
      <c r="H18" s="2"/>
      <c r="I18" s="2"/>
      <c r="J18" s="19"/>
      <c r="K18" s="2"/>
      <c r="L18" s="2">
        <f t="shared" si="0"/>
        <v>14656.48</v>
      </c>
      <c r="M18" s="2"/>
      <c r="N18" s="19">
        <f t="shared" si="1"/>
        <v>0</v>
      </c>
      <c r="O18" s="11"/>
      <c r="P18" s="2">
        <f>--78802.41</f>
        <v>78802.41</v>
      </c>
      <c r="Q18" s="2"/>
      <c r="R18" s="19"/>
      <c r="S18" s="2"/>
      <c r="T18" s="2"/>
      <c r="U18" s="2"/>
      <c r="V18" s="19"/>
      <c r="W18" s="2"/>
      <c r="X18" s="2">
        <f t="shared" si="2"/>
        <v>78802.41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1310623</v>
      </c>
      <c r="I19" s="2"/>
      <c r="J19" s="19"/>
      <c r="K19" s="2"/>
      <c r="L19" s="2">
        <f t="shared" si="0"/>
        <v>-1310623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6703454</v>
      </c>
      <c r="U19" s="2"/>
      <c r="V19" s="19"/>
      <c r="W19" s="2"/>
      <c r="X19" s="2">
        <f t="shared" si="2"/>
        <v>-6703454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>--1293579.41</f>
        <v>1293579.4099999999</v>
      </c>
      <c r="E20" s="2"/>
      <c r="F20" s="19"/>
      <c r="G20" s="2"/>
      <c r="H20" s="2"/>
      <c r="I20" s="2"/>
      <c r="J20" s="19"/>
      <c r="K20" s="2"/>
      <c r="L20" s="2">
        <f t="shared" si="0"/>
        <v>1293579.4099999999</v>
      </c>
      <c r="M20" s="2"/>
      <c r="N20" s="19">
        <f t="shared" si="1"/>
        <v>0</v>
      </c>
      <c r="O20" s="11"/>
      <c r="P20" s="2">
        <f>--5878609.42</f>
        <v>5878609.4199999999</v>
      </c>
      <c r="Q20" s="2"/>
      <c r="R20" s="19"/>
      <c r="S20" s="2"/>
      <c r="T20" s="2"/>
      <c r="U20" s="2"/>
      <c r="V20" s="19"/>
      <c r="W20" s="2"/>
      <c r="X20" s="2">
        <f t="shared" si="2"/>
        <v>5878609.4199999999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"4152", " - ", "NON-TAXABLE SALES-FOOD")</f>
        <v xml:space="preserve">          4152 - NON-TAXABLE SALES-FOOD</v>
      </c>
      <c r="C21" s="11"/>
      <c r="D21" s="2">
        <f>--5402.66</f>
        <v>5402.66</v>
      </c>
      <c r="E21" s="2"/>
      <c r="F21" s="19"/>
      <c r="G21" s="2"/>
      <c r="H21" s="2"/>
      <c r="I21" s="2"/>
      <c r="J21" s="19"/>
      <c r="K21" s="2"/>
      <c r="L21" s="2">
        <f t="shared" si="0"/>
        <v>5402.66</v>
      </c>
      <c r="M21" s="2"/>
      <c r="N21" s="19">
        <f t="shared" si="1"/>
        <v>0</v>
      </c>
      <c r="O21" s="11"/>
      <c r="P21" s="2">
        <f>--30341.45</f>
        <v>30341.45</v>
      </c>
      <c r="Q21" s="2"/>
      <c r="R21" s="19"/>
      <c r="S21" s="2"/>
      <c r="T21" s="2"/>
      <c r="U21" s="2"/>
      <c r="V21" s="19"/>
      <c r="W21" s="2"/>
      <c r="X21" s="2">
        <f t="shared" si="2"/>
        <v>30341.45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"4153", " - ", "NON-TAXABLE SALES-FOOD")</f>
        <v xml:space="preserve">          4153 - NON-TAXABLE SALES-FOOD</v>
      </c>
      <c r="C22" s="11"/>
      <c r="D22" s="2">
        <f>--22208.1</f>
        <v>22208.1</v>
      </c>
      <c r="E22" s="2"/>
      <c r="F22" s="19"/>
      <c r="G22" s="2"/>
      <c r="H22" s="2"/>
      <c r="I22" s="2"/>
      <c r="J22" s="19"/>
      <c r="K22" s="2"/>
      <c r="L22" s="2">
        <f t="shared" si="0"/>
        <v>22208.1</v>
      </c>
      <c r="M22" s="2"/>
      <c r="N22" s="19">
        <f t="shared" si="1"/>
        <v>0</v>
      </c>
      <c r="O22" s="11"/>
      <c r="P22" s="2">
        <f>--211996.16</f>
        <v>211996.16</v>
      </c>
      <c r="Q22" s="2"/>
      <c r="R22" s="19"/>
      <c r="S22" s="2"/>
      <c r="T22" s="2"/>
      <c r="U22" s="2"/>
      <c r="V22" s="19"/>
      <c r="W22" s="2"/>
      <c r="X22" s="2">
        <f t="shared" si="2"/>
        <v>211996.16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"4155", " - ", "NON-TAXABLE SALES-FOOD")</f>
        <v xml:space="preserve">          4155 - NON-TAXABLE SALES-FOOD</v>
      </c>
      <c r="C23" s="11"/>
      <c r="D23" s="2">
        <f>--90106.86</f>
        <v>90106.86</v>
      </c>
      <c r="E23" s="2"/>
      <c r="F23" s="19"/>
      <c r="G23" s="2"/>
      <c r="H23" s="2"/>
      <c r="I23" s="2"/>
      <c r="J23" s="19"/>
      <c r="K23" s="2"/>
      <c r="L23" s="2">
        <f t="shared" si="0"/>
        <v>90106.86</v>
      </c>
      <c r="M23" s="2"/>
      <c r="N23" s="19">
        <f t="shared" si="1"/>
        <v>0</v>
      </c>
      <c r="O23" s="11"/>
      <c r="P23" s="2">
        <f>--424497</f>
        <v>424497</v>
      </c>
      <c r="Q23" s="2"/>
      <c r="R23" s="19"/>
      <c r="S23" s="2"/>
      <c r="T23" s="2"/>
      <c r="U23" s="2"/>
      <c r="V23" s="19"/>
      <c r="W23" s="2"/>
      <c r="X23" s="2">
        <f t="shared" si="2"/>
        <v>424497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"4158", " - ", "NON-TAXABLE SALES-FOOD")</f>
        <v xml:space="preserve">          4158 - NON-TAXABLE SALES-FOOD</v>
      </c>
      <c r="C24" s="11"/>
      <c r="D24" s="2">
        <f>--65166.99</f>
        <v>65166.99</v>
      </c>
      <c r="E24" s="2"/>
      <c r="F24" s="19"/>
      <c r="G24" s="2"/>
      <c r="H24" s="2"/>
      <c r="I24" s="2"/>
      <c r="J24" s="19"/>
      <c r="K24" s="2"/>
      <c r="L24" s="2">
        <f t="shared" si="0"/>
        <v>65166.99</v>
      </c>
      <c r="M24" s="2"/>
      <c r="N24" s="19">
        <f t="shared" si="1"/>
        <v>0</v>
      </c>
      <c r="O24" s="11"/>
      <c r="P24" s="2">
        <f>--272887.26</f>
        <v>272887.26</v>
      </c>
      <c r="Q24" s="2"/>
      <c r="R24" s="19"/>
      <c r="S24" s="2"/>
      <c r="T24" s="2"/>
      <c r="U24" s="2"/>
      <c r="V24" s="19"/>
      <c r="W24" s="2"/>
      <c r="X24" s="2">
        <f t="shared" si="2"/>
        <v>272887.26</v>
      </c>
      <c r="Y24" s="2"/>
      <c r="Z24" s="19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9" t="s">
        <v>8</v>
      </c>
      <c r="C26" s="10"/>
      <c r="D26" s="4">
        <f>SUM(OSRRefD16x_0)</f>
        <v>450618.89</v>
      </c>
      <c r="E26" s="4"/>
      <c r="F26" s="12">
        <f t="shared" ref="F26:F29" si="4">IF(D$12=0,0,D26/D$12)</f>
        <v>0.26458807838057419</v>
      </c>
      <c r="G26" s="4"/>
      <c r="H26" s="4">
        <f>SUM(OSRRefH16x_0)</f>
        <v>458706.62</v>
      </c>
      <c r="I26" s="4"/>
      <c r="J26" s="12">
        <f t="shared" ref="J26:J29" si="5">IF(H$12=0,0,H26/H$12)</f>
        <v>0.28204269254346942</v>
      </c>
      <c r="K26" s="4"/>
      <c r="L26" s="4">
        <f t="shared" ref="L26:L29" si="6">+D26-H26</f>
        <v>-8087.7299999999814</v>
      </c>
      <c r="M26" s="4"/>
      <c r="N26" s="12">
        <f t="shared" ref="N26:N29" si="7">IF(H26=0,0,L26/H26)</f>
        <v>-1.7631596422131385E-2</v>
      </c>
      <c r="O26" s="10"/>
      <c r="P26" s="4">
        <f>SUM(OSRRefP16x_0)</f>
        <v>2146094.6399999997</v>
      </c>
      <c r="Q26" s="4"/>
      <c r="R26" s="12">
        <f t="shared" ref="R26:R29" si="8">IF(P$12=0,0,P26/P$12)</f>
        <v>0.26960752947608096</v>
      </c>
      <c r="S26" s="4"/>
      <c r="T26" s="4">
        <f>SUM(OSRRefT16x_0)</f>
        <v>2345165.21</v>
      </c>
      <c r="U26" s="4"/>
      <c r="V26" s="12">
        <f t="shared" ref="V26:V29" si="9">IF(T$12=0,0,T26/T$12)</f>
        <v>0.28399556271542631</v>
      </c>
      <c r="W26" s="4"/>
      <c r="X26" s="4">
        <f t="shared" ref="X26:X29" si="10">+P26-T26</f>
        <v>-199070.5700000003</v>
      </c>
      <c r="Y26" s="4"/>
      <c r="Z26" s="12">
        <f t="shared" ref="Z26:Z29" si="11">IF(T26=0,0,X26/T26)</f>
        <v>-8.4885520709221299E-2</v>
      </c>
    </row>
    <row r="27" spans="1:26" s="24" customFormat="1" hidden="1" outlineLevel="1" x14ac:dyDescent="0.25">
      <c r="A27" s="44"/>
      <c r="B27" s="11" t="str">
        <f>CONCATENATE("          ", "5000", " - ", "PURCHASES @ COST")</f>
        <v xml:space="preserve">          5000 - PURCHASES @ COST</v>
      </c>
      <c r="C27" s="11"/>
      <c r="D27" s="2"/>
      <c r="E27" s="2"/>
      <c r="F27" s="19">
        <f t="shared" si="4"/>
        <v>0</v>
      </c>
      <c r="G27" s="2"/>
      <c r="H27" s="2">
        <v>458706.62</v>
      </c>
      <c r="I27" s="2"/>
      <c r="J27" s="19">
        <f t="shared" si="5"/>
        <v>0.28204269254346942</v>
      </c>
      <c r="K27" s="2"/>
      <c r="L27" s="2">
        <f t="shared" si="6"/>
        <v>-458706.62</v>
      </c>
      <c r="M27" s="2"/>
      <c r="N27" s="19">
        <f t="shared" si="7"/>
        <v>-1</v>
      </c>
      <c r="O27" s="11"/>
      <c r="P27" s="2"/>
      <c r="Q27" s="2"/>
      <c r="R27" s="19">
        <f t="shared" si="8"/>
        <v>0</v>
      </c>
      <c r="S27" s="2"/>
      <c r="T27" s="2">
        <v>2345165.21</v>
      </c>
      <c r="U27" s="2"/>
      <c r="V27" s="19">
        <f t="shared" si="9"/>
        <v>0.28399556271542631</v>
      </c>
      <c r="W27" s="2"/>
      <c r="X27" s="2">
        <f t="shared" si="10"/>
        <v>-2345165.21</v>
      </c>
      <c r="Y27" s="2"/>
      <c r="Z27" s="19">
        <f t="shared" si="11"/>
        <v>-1</v>
      </c>
    </row>
    <row r="28" spans="1:26" s="24" customFormat="1" hidden="1" outlineLevel="1" x14ac:dyDescent="0.25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420297.18</v>
      </c>
      <c r="E28" s="2"/>
      <c r="F28" s="19">
        <f t="shared" si="4"/>
        <v>0.24678420206701562</v>
      </c>
      <c r="G28" s="2"/>
      <c r="H28" s="2"/>
      <c r="I28" s="2"/>
      <c r="J28" s="19">
        <f t="shared" si="5"/>
        <v>0</v>
      </c>
      <c r="K28" s="2"/>
      <c r="L28" s="2">
        <f t="shared" si="6"/>
        <v>420297.18</v>
      </c>
      <c r="M28" s="2"/>
      <c r="N28" s="19">
        <f t="shared" si="7"/>
        <v>0</v>
      </c>
      <c r="O28" s="11"/>
      <c r="P28" s="2">
        <v>2181713.59</v>
      </c>
      <c r="Q28" s="2"/>
      <c r="R28" s="19">
        <f t="shared" si="8"/>
        <v>0.27408223293651746</v>
      </c>
      <c r="S28" s="2"/>
      <c r="T28" s="2"/>
      <c r="U28" s="2"/>
      <c r="V28" s="19">
        <f t="shared" si="9"/>
        <v>0</v>
      </c>
      <c r="W28" s="2"/>
      <c r="X28" s="2">
        <f t="shared" si="10"/>
        <v>2181713.59</v>
      </c>
      <c r="Y28" s="2"/>
      <c r="Z28" s="19">
        <f t="shared" si="11"/>
        <v>0</v>
      </c>
    </row>
    <row r="29" spans="1:26" s="24" customFormat="1" hidden="1" outlineLevel="1" x14ac:dyDescent="0.25">
      <c r="A29" s="44"/>
      <c r="B29" s="11" t="str">
        <f>CONCATENATE("          ", "5059", " - ", "PURCHASES @ COST-FOOD")</f>
        <v xml:space="preserve">          5059 - PURCHASES @ COST-FOOD</v>
      </c>
      <c r="C29" s="11"/>
      <c r="D29" s="2">
        <v>30321.710000000003</v>
      </c>
      <c r="E29" s="2"/>
      <c r="F29" s="19">
        <f t="shared" si="4"/>
        <v>1.780387631355854E-2</v>
      </c>
      <c r="G29" s="2"/>
      <c r="H29" s="2"/>
      <c r="I29" s="2"/>
      <c r="J29" s="19">
        <f t="shared" si="5"/>
        <v>0</v>
      </c>
      <c r="K29" s="2"/>
      <c r="L29" s="2">
        <f t="shared" si="6"/>
        <v>30321.710000000003</v>
      </c>
      <c r="M29" s="2"/>
      <c r="N29" s="19">
        <f t="shared" si="7"/>
        <v>0</v>
      </c>
      <c r="O29" s="11"/>
      <c r="P29" s="2">
        <v>-35618.950000000004</v>
      </c>
      <c r="Q29" s="2"/>
      <c r="R29" s="19">
        <f t="shared" si="8"/>
        <v>-4.4747034604364225E-3</v>
      </c>
      <c r="S29" s="2"/>
      <c r="T29" s="2"/>
      <c r="U29" s="2"/>
      <c r="V29" s="19">
        <f t="shared" si="9"/>
        <v>0</v>
      </c>
      <c r="W29" s="2"/>
      <c r="X29" s="2">
        <f t="shared" si="10"/>
        <v>-35618.950000000004</v>
      </c>
      <c r="Y29" s="2"/>
      <c r="Z29" s="19">
        <f t="shared" si="11"/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8" t="s">
        <v>6</v>
      </c>
      <c r="C31" s="28"/>
      <c r="D31" s="20">
        <f>D12-D26</f>
        <v>1252477.08</v>
      </c>
      <c r="E31" s="14"/>
      <c r="F31" s="22">
        <f>IF(D$12=0,0,D31/D$12)</f>
        <v>0.73541192161942592</v>
      </c>
      <c r="G31" s="14"/>
      <c r="H31" s="20">
        <f>H12-H26</f>
        <v>1167666.3799999999</v>
      </c>
      <c r="I31" s="14"/>
      <c r="J31" s="22">
        <f>IF(H$12=0,0,H31/H$12)</f>
        <v>0.71795730745653052</v>
      </c>
      <c r="K31" s="16"/>
      <c r="L31" s="20">
        <f>+D31-H31</f>
        <v>84810.700000000186</v>
      </c>
      <c r="M31" s="16"/>
      <c r="N31" s="22">
        <f>IF(H31=0,0,L31/H31)</f>
        <v>7.2632647006587781E-2</v>
      </c>
      <c r="O31" s="29"/>
      <c r="P31" s="20">
        <f>P12-P26</f>
        <v>5813974.7400000002</v>
      </c>
      <c r="Q31" s="14"/>
      <c r="R31" s="22">
        <f>IF(P$12=0,0,P31/P$12)</f>
        <v>0.73039247052391898</v>
      </c>
      <c r="S31" s="14"/>
      <c r="T31" s="20">
        <f>T12-T26</f>
        <v>5912587.79</v>
      </c>
      <c r="U31" s="14"/>
      <c r="V31" s="22">
        <f>IF(T$12=0,0,T31/T$12)</f>
        <v>0.71600443728457364</v>
      </c>
      <c r="W31" s="16"/>
      <c r="X31" s="20">
        <f>+P31-T31</f>
        <v>-98613.049999999814</v>
      </c>
      <c r="Y31" s="16"/>
      <c r="Z31" s="22">
        <f>IF(T31=0,0,X31/T31)</f>
        <v>-1.6678492312077756E-2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9" t="s">
        <v>9</v>
      </c>
      <c r="C33" s="10"/>
      <c r="D33" s="21">
        <f>SUM(OSRRefD22x_0)</f>
        <v>972605.4</v>
      </c>
      <c r="E33" s="21"/>
      <c r="F33" s="33">
        <f t="shared" ref="F33:F44" si="12">IF(D$12=0,0,D33/D$12)</f>
        <v>0.57108079470119355</v>
      </c>
      <c r="G33" s="21"/>
      <c r="H33" s="21">
        <f>SUM(OSRRefH22x_0)</f>
        <v>923290.04664985789</v>
      </c>
      <c r="I33" s="21"/>
      <c r="J33" s="33">
        <f t="shared" ref="J33:J44" si="13">IF(H$12=0,0,H33/H$12)</f>
        <v>0.56769882840520469</v>
      </c>
      <c r="K33" s="4"/>
      <c r="L33" s="21">
        <f t="shared" ref="L33:L44" si="14">+D33-H33</f>
        <v>49315.353350142133</v>
      </c>
      <c r="M33" s="4"/>
      <c r="N33" s="33">
        <f t="shared" ref="N33:N44" si="15">IF(H33=0,0,L33/H33)</f>
        <v>5.3412634013636398E-2</v>
      </c>
      <c r="O33" s="10"/>
      <c r="P33" s="21">
        <f>SUM(OSRRefP22x_0)</f>
        <v>4917827.4699999988</v>
      </c>
      <c r="Q33" s="21"/>
      <c r="R33" s="33">
        <f t="shared" ref="R33:R44" si="16">IF(P$12=0,0,P33/P$12)</f>
        <v>0.6178121364565291</v>
      </c>
      <c r="S33" s="21"/>
      <c r="T33" s="21">
        <f>SUM(OSRRefT22x_0)</f>
        <v>4804938.2718436122</v>
      </c>
      <c r="U33" s="21"/>
      <c r="V33" s="33">
        <f t="shared" ref="V33:V44" si="17">IF(T$12=0,0,T33/T$12)</f>
        <v>0.58186994353592458</v>
      </c>
      <c r="W33" s="4"/>
      <c r="X33" s="21">
        <f t="shared" ref="X33:X44" si="18">+P33-T33</f>
        <v>112889.19815638661</v>
      </c>
      <c r="Y33" s="4"/>
      <c r="Z33" s="33">
        <f t="shared" ref="Z33:Z44" si="19">IF(T33=0,0,X33/T33)</f>
        <v>2.3494411742582499E-2</v>
      </c>
    </row>
    <row r="34" spans="1:26" s="26" customFormat="1" outlineLevel="1" collapsed="1" x14ac:dyDescent="0.25">
      <c r="A34" s="27"/>
      <c r="B34" s="13" t="str">
        <f>CONCATENATE("     ","*Benefits                                         ")</f>
        <v xml:space="preserve">     *Benefits                                         </v>
      </c>
      <c r="C34" s="13"/>
      <c r="D34" s="1">
        <f>SUM(OSRRefD22_0x_0)</f>
        <v>159393.44</v>
      </c>
      <c r="E34" s="1"/>
      <c r="F34" s="5">
        <f t="shared" si="12"/>
        <v>9.3590404068656222E-2</v>
      </c>
      <c r="G34" s="1"/>
      <c r="H34" s="1">
        <f>SUM(OSRRefH22_0x_0)</f>
        <v>143775.82247301171</v>
      </c>
      <c r="I34" s="1"/>
      <c r="J34" s="5">
        <f t="shared" si="13"/>
        <v>8.8402735702702712E-2</v>
      </c>
      <c r="K34" s="1"/>
      <c r="L34" s="1">
        <f t="shared" si="14"/>
        <v>15617.617526988295</v>
      </c>
      <c r="M34" s="1"/>
      <c r="N34" s="5">
        <f t="shared" si="15"/>
        <v>0.10862478307101942</v>
      </c>
      <c r="O34" s="13"/>
      <c r="P34" s="1">
        <f>SUM(OSRRefP22_0x_0)</f>
        <v>810611.16000000015</v>
      </c>
      <c r="Q34" s="1"/>
      <c r="R34" s="5">
        <f t="shared" si="16"/>
        <v>0.10183468526501714</v>
      </c>
      <c r="S34" s="1"/>
      <c r="T34" s="1">
        <f>SUM(OSRRefT22_0x_0)</f>
        <v>776921.70392645849</v>
      </c>
      <c r="U34" s="1"/>
      <c r="V34" s="5">
        <f t="shared" si="17"/>
        <v>9.4083911679903542E-2</v>
      </c>
      <c r="W34" s="1"/>
      <c r="X34" s="1">
        <f t="shared" si="18"/>
        <v>33689.45607354166</v>
      </c>
      <c r="Y34" s="1"/>
      <c r="Z34" s="5">
        <f t="shared" si="19"/>
        <v>4.3362742864924031E-2</v>
      </c>
    </row>
    <row r="35" spans="1:26" s="24" customFormat="1" hidden="1" outlineLevel="2" x14ac:dyDescent="0.25">
      <c r="A35" s="25"/>
      <c r="B35" s="11" t="str">
        <f>CONCATENATE("          ", "6111", " - ", "F.I.C.A.")</f>
        <v xml:space="preserve">          6111 - F.I.C.A.</v>
      </c>
      <c r="C35" s="11"/>
      <c r="D35" s="6">
        <v>23806.94</v>
      </c>
      <c r="E35" s="2"/>
      <c r="F35" s="7">
        <f t="shared" si="12"/>
        <v>1.3978625056578578E-2</v>
      </c>
      <c r="G35" s="2"/>
      <c r="H35" s="6">
        <v>21461.648684557851</v>
      </c>
      <c r="I35" s="2"/>
      <c r="J35" s="7">
        <f t="shared" si="13"/>
        <v>1.3196018800458353E-2</v>
      </c>
      <c r="K35" s="2"/>
      <c r="L35" s="6">
        <f t="shared" si="14"/>
        <v>2345.2913154421476</v>
      </c>
      <c r="M35" s="2"/>
      <c r="N35" s="7">
        <f t="shared" si="15"/>
        <v>0.10927824557717407</v>
      </c>
      <c r="O35" s="11"/>
      <c r="P35" s="6">
        <v>143273.09</v>
      </c>
      <c r="Q35" s="2"/>
      <c r="R35" s="7">
        <f t="shared" si="16"/>
        <v>1.799897502903423E-2</v>
      </c>
      <c r="S35" s="2"/>
      <c r="T35" s="6">
        <v>127042.93404478619</v>
      </c>
      <c r="U35" s="2"/>
      <c r="V35" s="7">
        <f t="shared" si="17"/>
        <v>1.5384685645693955E-2</v>
      </c>
      <c r="W35" s="2"/>
      <c r="X35" s="6">
        <f t="shared" si="18"/>
        <v>16230.155955213806</v>
      </c>
      <c r="Y35" s="2"/>
      <c r="Z35" s="7">
        <f t="shared" si="19"/>
        <v>0.12775331487142938</v>
      </c>
    </row>
    <row r="36" spans="1:26" s="24" customFormat="1" hidden="1" outlineLevel="2" x14ac:dyDescent="0.25">
      <c r="A36" s="25"/>
      <c r="B36" s="11" t="str">
        <f>CONCATENATE("          ", "6112", " - ", "COMPENSATION INSURANCE")</f>
        <v xml:space="preserve">          6112 - COMPENSATION INSURANCE</v>
      </c>
      <c r="C36" s="11"/>
      <c r="D36" s="6">
        <v>20424.14</v>
      </c>
      <c r="E36" s="2"/>
      <c r="F36" s="7">
        <f t="shared" si="12"/>
        <v>1.1992360007756933E-2</v>
      </c>
      <c r="G36" s="2"/>
      <c r="H36" s="6">
        <v>18286.584672015386</v>
      </c>
      <c r="I36" s="2"/>
      <c r="J36" s="7">
        <f t="shared" si="13"/>
        <v>1.1243782743574435E-2</v>
      </c>
      <c r="K36" s="2"/>
      <c r="L36" s="6">
        <f t="shared" si="14"/>
        <v>2137.5553279846135</v>
      </c>
      <c r="M36" s="2"/>
      <c r="N36" s="7">
        <f t="shared" si="15"/>
        <v>0.11689199302786106</v>
      </c>
      <c r="O36" s="11"/>
      <c r="P36" s="6">
        <v>61928.930000000008</v>
      </c>
      <c r="Q36" s="2"/>
      <c r="R36" s="7">
        <f t="shared" si="16"/>
        <v>7.7799485210014599E-3</v>
      </c>
      <c r="S36" s="2"/>
      <c r="T36" s="6">
        <v>94037.527999944621</v>
      </c>
      <c r="U36" s="2"/>
      <c r="V36" s="7">
        <f t="shared" si="17"/>
        <v>1.1387786483798271E-2</v>
      </c>
      <c r="W36" s="2"/>
      <c r="X36" s="6">
        <f t="shared" si="18"/>
        <v>-32108.597999944614</v>
      </c>
      <c r="Y36" s="2"/>
      <c r="Z36" s="7">
        <f t="shared" si="19"/>
        <v>-0.34144451351340843</v>
      </c>
    </row>
    <row r="37" spans="1:26" s="24" customFormat="1" hidden="1" outlineLevel="2" x14ac:dyDescent="0.25">
      <c r="A37" s="25"/>
      <c r="B37" s="11" t="str">
        <f>CONCATENATE("          ", "6113", " - ", "GROUP INSURANCE")</f>
        <v xml:space="preserve">          6113 - GROUP INSURANCE</v>
      </c>
      <c r="C37" s="11"/>
      <c r="D37" s="6">
        <v>70852.710000000006</v>
      </c>
      <c r="E37" s="2"/>
      <c r="F37" s="7">
        <f t="shared" si="12"/>
        <v>4.1602300309594421E-2</v>
      </c>
      <c r="G37" s="2"/>
      <c r="H37" s="6">
        <v>65970.107692307691</v>
      </c>
      <c r="I37" s="2"/>
      <c r="J37" s="7">
        <f t="shared" si="13"/>
        <v>4.0562716973478831E-2</v>
      </c>
      <c r="K37" s="2"/>
      <c r="L37" s="6">
        <f t="shared" si="14"/>
        <v>4882.6023076923157</v>
      </c>
      <c r="M37" s="2"/>
      <c r="N37" s="7">
        <f t="shared" si="15"/>
        <v>7.4012344052329648E-2</v>
      </c>
      <c r="O37" s="11"/>
      <c r="P37" s="6">
        <v>334195.65000000002</v>
      </c>
      <c r="Q37" s="2"/>
      <c r="R37" s="7">
        <f t="shared" si="16"/>
        <v>4.1984012204677547E-2</v>
      </c>
      <c r="S37" s="2"/>
      <c r="T37" s="6">
        <v>345863.1884615384</v>
      </c>
      <c r="U37" s="2"/>
      <c r="V37" s="7">
        <f t="shared" si="17"/>
        <v>4.1883450432767658E-2</v>
      </c>
      <c r="W37" s="2"/>
      <c r="X37" s="6">
        <f t="shared" si="18"/>
        <v>-11667.538461538381</v>
      </c>
      <c r="Y37" s="2"/>
      <c r="Z37" s="7">
        <f t="shared" si="19"/>
        <v>-3.3734548372834031E-2</v>
      </c>
    </row>
    <row r="38" spans="1:26" s="24" customFormat="1" hidden="1" outlineLevel="2" x14ac:dyDescent="0.25">
      <c r="A38" s="25"/>
      <c r="B38" s="11" t="str">
        <f>CONCATENATE("          ", "6114", " - ", "STATE UNEMPLOYMENT INSURANCE")</f>
        <v xml:space="preserve">          6114 - STATE UNEMPLOYMENT INSURANCE</v>
      </c>
      <c r="C38" s="11"/>
      <c r="D38" s="6">
        <v>1412.8</v>
      </c>
      <c r="E38" s="2"/>
      <c r="F38" s="7">
        <f t="shared" si="12"/>
        <v>8.2954808471539035E-4</v>
      </c>
      <c r="G38" s="2"/>
      <c r="H38" s="6">
        <v>1263.9224043000002</v>
      </c>
      <c r="I38" s="2"/>
      <c r="J38" s="7">
        <f t="shared" si="13"/>
        <v>7.7714177762419818E-4</v>
      </c>
      <c r="K38" s="2"/>
      <c r="L38" s="6">
        <f t="shared" si="14"/>
        <v>148.8775956999998</v>
      </c>
      <c r="M38" s="2"/>
      <c r="N38" s="7">
        <f t="shared" si="15"/>
        <v>0.11779013900972259</v>
      </c>
      <c r="O38" s="11"/>
      <c r="P38" s="6">
        <v>6213.17</v>
      </c>
      <c r="Q38" s="2"/>
      <c r="R38" s="7">
        <f t="shared" si="16"/>
        <v>7.8054219170637436E-4</v>
      </c>
      <c r="S38" s="2"/>
      <c r="T38" s="6">
        <v>6513.6721976200006</v>
      </c>
      <c r="U38" s="2"/>
      <c r="V38" s="7">
        <f t="shared" si="17"/>
        <v>7.8879474811368189E-4</v>
      </c>
      <c r="W38" s="2"/>
      <c r="X38" s="6">
        <f t="shared" si="18"/>
        <v>-300.50219762000052</v>
      </c>
      <c r="Y38" s="2"/>
      <c r="Z38" s="7">
        <f t="shared" si="19"/>
        <v>-4.6134068234167443E-2</v>
      </c>
    </row>
    <row r="39" spans="1:26" s="24" customFormat="1" hidden="1" outlineLevel="2" x14ac:dyDescent="0.25">
      <c r="A39" s="25"/>
      <c r="B39" s="11" t="str">
        <f>CONCATENATE("          ", "6115", " - ", "P.E.R.S.")</f>
        <v xml:space="preserve">          6115 - P.E.R.S.</v>
      </c>
      <c r="C39" s="11"/>
      <c r="D39" s="6">
        <v>10725.42</v>
      </c>
      <c r="E39" s="2"/>
      <c r="F39" s="7">
        <f t="shared" si="12"/>
        <v>6.2976016554134647E-3</v>
      </c>
      <c r="G39" s="2"/>
      <c r="H39" s="6">
        <v>10432.659806830779</v>
      </c>
      <c r="I39" s="2"/>
      <c r="J39" s="7">
        <f t="shared" si="13"/>
        <v>6.4146784328261595E-3</v>
      </c>
      <c r="K39" s="2"/>
      <c r="L39" s="6">
        <f t="shared" si="14"/>
        <v>292.76019316922066</v>
      </c>
      <c r="M39" s="2"/>
      <c r="N39" s="7">
        <f t="shared" si="15"/>
        <v>2.8061893955128876E-2</v>
      </c>
      <c r="O39" s="11"/>
      <c r="P39" s="6">
        <v>57459.13</v>
      </c>
      <c r="Q39" s="2"/>
      <c r="R39" s="7">
        <f t="shared" si="16"/>
        <v>7.2184207520060587E-3</v>
      </c>
      <c r="S39" s="2"/>
      <c r="T39" s="6">
        <v>57379.628937569272</v>
      </c>
      <c r="U39" s="2"/>
      <c r="V39" s="7">
        <f t="shared" si="17"/>
        <v>6.9485765604237948E-3</v>
      </c>
      <c r="W39" s="2"/>
      <c r="X39" s="6">
        <f t="shared" si="18"/>
        <v>79.501062430725142</v>
      </c>
      <c r="Y39" s="2"/>
      <c r="Z39" s="7">
        <f t="shared" si="19"/>
        <v>1.38552764984285E-3</v>
      </c>
    </row>
    <row r="40" spans="1:26" s="24" customFormat="1" hidden="1" outlineLevel="2" x14ac:dyDescent="0.25">
      <c r="A40" s="25"/>
      <c r="B40" s="11" t="str">
        <f>CONCATENATE("          ", "6116", " - ", "EDUCATIONAL BENEFITS")</f>
        <v xml:space="preserve">          6116 - EDUCATIONAL BENEFITS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8000</v>
      </c>
      <c r="U40" s="2"/>
      <c r="V40" s="7">
        <f t="shared" si="17"/>
        <v>9.6878654520182424E-4</v>
      </c>
      <c r="W40" s="2"/>
      <c r="X40" s="6">
        <f t="shared" si="18"/>
        <v>-8000</v>
      </c>
      <c r="Y40" s="2"/>
      <c r="Z40" s="7">
        <f t="shared" si="19"/>
        <v>-1</v>
      </c>
    </row>
    <row r="41" spans="1:26" s="24" customFormat="1" hidden="1" outlineLevel="2" x14ac:dyDescent="0.25">
      <c r="A41" s="25"/>
      <c r="B41" s="11" t="str">
        <f>CONCATENATE("          ", "6117", " - ", "RETIREMENT STAFF HOURLY")</f>
        <v xml:space="preserve">          6117 - RETIREMENT STAFF HOURLY</v>
      </c>
      <c r="C41" s="11"/>
      <c r="D41" s="6">
        <v>1827.39</v>
      </c>
      <c r="E41" s="2"/>
      <c r="F41" s="7">
        <f t="shared" si="12"/>
        <v>1.0729812248924529E-3</v>
      </c>
      <c r="G41" s="2"/>
      <c r="H41" s="6"/>
      <c r="I41" s="2"/>
      <c r="J41" s="7">
        <f t="shared" si="13"/>
        <v>0</v>
      </c>
      <c r="K41" s="2"/>
      <c r="L41" s="6">
        <f t="shared" si="14"/>
        <v>1827.39</v>
      </c>
      <c r="M41" s="2"/>
      <c r="N41" s="7">
        <f t="shared" si="15"/>
        <v>0</v>
      </c>
      <c r="O41" s="11"/>
      <c r="P41" s="6">
        <v>8572.41</v>
      </c>
      <c r="Q41" s="2"/>
      <c r="R41" s="7">
        <f t="shared" si="16"/>
        <v>1.0769265430699048E-3</v>
      </c>
      <c r="S41" s="2"/>
      <c r="T41" s="6"/>
      <c r="U41" s="2"/>
      <c r="V41" s="7">
        <f t="shared" si="17"/>
        <v>0</v>
      </c>
      <c r="W41" s="2"/>
      <c r="X41" s="6">
        <f t="shared" si="18"/>
        <v>8572.41</v>
      </c>
      <c r="Y41" s="2"/>
      <c r="Z41" s="7">
        <f t="shared" si="19"/>
        <v>0</v>
      </c>
    </row>
    <row r="42" spans="1:26" s="24" customFormat="1" hidden="1" outlineLevel="2" x14ac:dyDescent="0.25">
      <c r="A42" s="25"/>
      <c r="B42" s="11" t="str">
        <f>CONCATENATE("          ", "6118", " - ", "VACATION")</f>
        <v xml:space="preserve">          6118 - VACATION</v>
      </c>
      <c r="C42" s="11"/>
      <c r="D42" s="6">
        <v>13962.54</v>
      </c>
      <c r="E42" s="2"/>
      <c r="F42" s="7">
        <f t="shared" si="12"/>
        <v>8.1983283654884116E-3</v>
      </c>
      <c r="G42" s="2"/>
      <c r="H42" s="6">
        <v>8821.3311664615376</v>
      </c>
      <c r="I42" s="2"/>
      <c r="J42" s="7">
        <f t="shared" si="13"/>
        <v>5.4239286845401006E-3</v>
      </c>
      <c r="K42" s="2"/>
      <c r="L42" s="6">
        <f t="shared" si="14"/>
        <v>5141.2088335384633</v>
      </c>
      <c r="M42" s="2"/>
      <c r="N42" s="7">
        <f t="shared" si="15"/>
        <v>0.5828155339054949</v>
      </c>
      <c r="O42" s="11"/>
      <c r="P42" s="6">
        <v>84409.22</v>
      </c>
      <c r="Q42" s="2"/>
      <c r="R42" s="7">
        <f t="shared" si="16"/>
        <v>1.0604080940812102E-2</v>
      </c>
      <c r="S42" s="2"/>
      <c r="T42" s="6">
        <v>48445.208175538442</v>
      </c>
      <c r="U42" s="2"/>
      <c r="V42" s="7">
        <f t="shared" si="17"/>
        <v>5.8666332324953828E-3</v>
      </c>
      <c r="W42" s="2"/>
      <c r="X42" s="6">
        <f t="shared" si="18"/>
        <v>35964.011824461559</v>
      </c>
      <c r="Y42" s="2"/>
      <c r="Z42" s="7">
        <f t="shared" si="19"/>
        <v>0.74236468742477102</v>
      </c>
    </row>
    <row r="43" spans="1:26" s="24" customFormat="1" hidden="1" outlineLevel="2" x14ac:dyDescent="0.25">
      <c r="A43" s="25"/>
      <c r="B43" s="11" t="str">
        <f>CONCATENATE("          ", "6119", " - ", "SICK LEAVE")</f>
        <v xml:space="preserve">          6119 - SICK LEAVE</v>
      </c>
      <c r="C43" s="11"/>
      <c r="D43" s="6">
        <v>9960.64</v>
      </c>
      <c r="E43" s="2"/>
      <c r="F43" s="7">
        <f t="shared" si="12"/>
        <v>5.8485488636321531E-3</v>
      </c>
      <c r="G43" s="2"/>
      <c r="H43" s="6">
        <v>14314.568046538458</v>
      </c>
      <c r="I43" s="2"/>
      <c r="J43" s="7">
        <f t="shared" si="13"/>
        <v>8.8015283373115861E-3</v>
      </c>
      <c r="K43" s="2"/>
      <c r="L43" s="6">
        <f t="shared" si="14"/>
        <v>-4353.9280465384581</v>
      </c>
      <c r="M43" s="2"/>
      <c r="N43" s="7">
        <f t="shared" si="15"/>
        <v>-0.30416063079118361</v>
      </c>
      <c r="O43" s="11"/>
      <c r="P43" s="6">
        <v>83883.75</v>
      </c>
      <c r="Q43" s="2"/>
      <c r="R43" s="7">
        <f t="shared" si="16"/>
        <v>1.0538067697093364E-2</v>
      </c>
      <c r="S43" s="2"/>
      <c r="T43" s="6">
        <v>73514.544109461523</v>
      </c>
      <c r="U43" s="2"/>
      <c r="V43" s="7">
        <f t="shared" si="17"/>
        <v>8.9024876512365445E-3</v>
      </c>
      <c r="W43" s="2"/>
      <c r="X43" s="6">
        <f t="shared" si="18"/>
        <v>10369.205890538477</v>
      </c>
      <c r="Y43" s="2"/>
      <c r="Z43" s="7">
        <f t="shared" si="19"/>
        <v>0.14104972038048633</v>
      </c>
    </row>
    <row r="44" spans="1:26" s="24" customFormat="1" hidden="1" outlineLevel="2" x14ac:dyDescent="0.25">
      <c r="A44" s="25"/>
      <c r="B44" s="11" t="str">
        <f>CONCATENATE("          ", "6156", " - ", "EMPLOYEE MEALS")</f>
        <v xml:space="preserve">          6156 - EMPLOYEE MEALS</v>
      </c>
      <c r="C44" s="11"/>
      <c r="D44" s="6">
        <v>6420.86</v>
      </c>
      <c r="E44" s="2"/>
      <c r="F44" s="7">
        <f t="shared" si="12"/>
        <v>3.7701105005844148E-3</v>
      </c>
      <c r="G44" s="2"/>
      <c r="H44" s="6">
        <v>3225</v>
      </c>
      <c r="I44" s="2"/>
      <c r="J44" s="7">
        <f t="shared" si="13"/>
        <v>1.9829399528890359E-3</v>
      </c>
      <c r="K44" s="2"/>
      <c r="L44" s="6">
        <f t="shared" si="14"/>
        <v>3195.8599999999997</v>
      </c>
      <c r="M44" s="2"/>
      <c r="N44" s="7">
        <f t="shared" si="15"/>
        <v>0.99096434108527121</v>
      </c>
      <c r="O44" s="11"/>
      <c r="P44" s="6">
        <v>30675.809999999998</v>
      </c>
      <c r="Q44" s="2"/>
      <c r="R44" s="7">
        <f t="shared" si="16"/>
        <v>3.8537113856160887E-3</v>
      </c>
      <c r="S44" s="2"/>
      <c r="T44" s="6">
        <v>16125</v>
      </c>
      <c r="U44" s="2"/>
      <c r="V44" s="7">
        <f t="shared" si="17"/>
        <v>1.952710380172427E-3</v>
      </c>
      <c r="W44" s="2"/>
      <c r="X44" s="6">
        <f t="shared" si="18"/>
        <v>14550.809999999998</v>
      </c>
      <c r="Y44" s="2"/>
      <c r="Z44" s="7">
        <f t="shared" si="19"/>
        <v>0.9023758139534882</v>
      </c>
    </row>
    <row r="45" spans="1:26" s="26" customFormat="1" outlineLevel="1" collapsed="1" x14ac:dyDescent="0.25">
      <c r="A45" s="27"/>
      <c r="B45" s="13" t="str">
        <f>CONCATENATE("     ","*Payroll                                          ")</f>
        <v xml:space="preserve">     *Payroll                                          </v>
      </c>
      <c r="C45" s="13"/>
      <c r="D45" s="1">
        <f>SUM(OSRRefD22_1x_0)</f>
        <v>473078.6</v>
      </c>
      <c r="E45" s="1"/>
      <c r="F45" s="5">
        <f t="shared" ref="F45:F55" si="20">IF(D$12=0,0,D45/D$12)</f>
        <v>0.27777565582519698</v>
      </c>
      <c r="G45" s="1"/>
      <c r="H45" s="1">
        <f>SUM(OSRRefH22_1x_0)</f>
        <v>461461.98417684616</v>
      </c>
      <c r="I45" s="1"/>
      <c r="J45" s="5">
        <f t="shared" ref="J45:J55" si="21">IF(H$12=0,0,H45/H$12)</f>
        <v>0.28373686981820662</v>
      </c>
      <c r="K45" s="1"/>
      <c r="L45" s="1">
        <f t="shared" ref="L45:L55" si="22">+D45-H45</f>
        <v>11616.615823153814</v>
      </c>
      <c r="M45" s="1"/>
      <c r="N45" s="5">
        <f t="shared" ref="N45:N55" si="23">IF(H45=0,0,L45/H45)</f>
        <v>2.51735055572898E-2</v>
      </c>
      <c r="O45" s="13"/>
      <c r="P45" s="1">
        <f>SUM(OSRRefP22_1x_0)</f>
        <v>2411646.5</v>
      </c>
      <c r="Q45" s="1"/>
      <c r="R45" s="5">
        <f t="shared" ref="R45:R55" si="24">IF(P$12=0,0,P45/P$12)</f>
        <v>0.30296802513547944</v>
      </c>
      <c r="S45" s="1"/>
      <c r="T45" s="1">
        <f>SUM(OSRRefT22_1x_0)</f>
        <v>2374819.2279171539</v>
      </c>
      <c r="U45" s="1"/>
      <c r="V45" s="5">
        <f t="shared" ref="V45:V55" si="25">IF(T$12=0,0,T45/T$12)</f>
        <v>0.28758661441159039</v>
      </c>
      <c r="W45" s="1"/>
      <c r="X45" s="1">
        <f t="shared" ref="X45:X55" si="26">+P45-T45</f>
        <v>36827.272082846146</v>
      </c>
      <c r="Y45" s="1"/>
      <c r="Z45" s="5">
        <f t="shared" ref="Z45:Z55" si="27">IF(T45=0,0,X45/T45)</f>
        <v>1.5507400163315031E-2</v>
      </c>
    </row>
    <row r="46" spans="1:26" s="24" customFormat="1" hidden="1" outlineLevel="2" x14ac:dyDescent="0.25">
      <c r="A46" s="25"/>
      <c r="B46" s="11" t="str">
        <f>CONCATENATE("          ", "6001", " - ", "ADMINISTRATIVE SALARIES")</f>
        <v xml:space="preserve">          6001 - ADMINISTRATIVE SALARIES</v>
      </c>
      <c r="C46" s="11"/>
      <c r="D46" s="6">
        <v>24631.070000000003</v>
      </c>
      <c r="E46" s="2"/>
      <c r="F46" s="7">
        <f t="shared" si="20"/>
        <v>1.4462526148775986E-2</v>
      </c>
      <c r="G46" s="2"/>
      <c r="H46" s="6">
        <v>20213.021076923069</v>
      </c>
      <c r="I46" s="2"/>
      <c r="J46" s="7">
        <f t="shared" si="21"/>
        <v>1.2428281259540751E-2</v>
      </c>
      <c r="K46" s="2"/>
      <c r="L46" s="6">
        <f t="shared" si="22"/>
        <v>4418.0489230769344</v>
      </c>
      <c r="M46" s="2"/>
      <c r="N46" s="7">
        <f t="shared" si="23"/>
        <v>0.2185743984663906</v>
      </c>
      <c r="O46" s="11"/>
      <c r="P46" s="6">
        <v>125023.79</v>
      </c>
      <c r="Q46" s="2"/>
      <c r="R46" s="7">
        <f t="shared" si="24"/>
        <v>1.5706369383428665E-2</v>
      </c>
      <c r="S46" s="2"/>
      <c r="T46" s="6">
        <v>111171.61592307691</v>
      </c>
      <c r="U46" s="2"/>
      <c r="V46" s="7">
        <f t="shared" si="25"/>
        <v>1.3462695714327724E-2</v>
      </c>
      <c r="W46" s="2"/>
      <c r="X46" s="6">
        <f t="shared" si="26"/>
        <v>13852.174076923082</v>
      </c>
      <c r="Y46" s="2"/>
      <c r="Z46" s="7">
        <f t="shared" si="27"/>
        <v>0.12460171566191708</v>
      </c>
    </row>
    <row r="47" spans="1:26" s="24" customFormat="1" hidden="1" outlineLevel="2" x14ac:dyDescent="0.25">
      <c r="A47" s="25"/>
      <c r="B47" s="11" t="str">
        <f>CONCATENATE("          ", "6002", " - ", "STAFF SALARIES")</f>
        <v xml:space="preserve">          6002 - STAFF SALARIES</v>
      </c>
      <c r="C47" s="11"/>
      <c r="D47" s="6">
        <v>97163.4</v>
      </c>
      <c r="E47" s="2"/>
      <c r="F47" s="7">
        <f t="shared" si="20"/>
        <v>5.705104216763545E-2</v>
      </c>
      <c r="G47" s="2"/>
      <c r="H47" s="6">
        <v>91046.740620923098</v>
      </c>
      <c r="I47" s="2"/>
      <c r="J47" s="7">
        <f t="shared" si="21"/>
        <v>5.5981463428698766E-2</v>
      </c>
      <c r="K47" s="2"/>
      <c r="L47" s="6">
        <f t="shared" si="22"/>
        <v>6116.6593790768966</v>
      </c>
      <c r="M47" s="2"/>
      <c r="N47" s="7">
        <f t="shared" si="23"/>
        <v>6.7181530468442177E-2</v>
      </c>
      <c r="O47" s="11"/>
      <c r="P47" s="6">
        <v>501792.26</v>
      </c>
      <c r="Q47" s="2"/>
      <c r="R47" s="7">
        <f t="shared" si="24"/>
        <v>6.3038679193019795E-2</v>
      </c>
      <c r="S47" s="2"/>
      <c r="T47" s="6">
        <v>500757.07341507677</v>
      </c>
      <c r="U47" s="2"/>
      <c r="V47" s="7">
        <f t="shared" si="25"/>
        <v>6.0640839392396062E-2</v>
      </c>
      <c r="W47" s="2"/>
      <c r="X47" s="6">
        <f t="shared" si="26"/>
        <v>1035.1865849232418</v>
      </c>
      <c r="Y47" s="2"/>
      <c r="Z47" s="7">
        <f t="shared" si="27"/>
        <v>2.0672430603195439E-3</v>
      </c>
    </row>
    <row r="48" spans="1:26" s="24" customFormat="1" hidden="1" outlineLevel="2" x14ac:dyDescent="0.25">
      <c r="A48" s="25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25">
      <c r="A49" s="25"/>
      <c r="B49" s="11" t="str">
        <f>CONCATENATE("          ", "6004", " - ", "STAFF HOURLY")</f>
        <v xml:space="preserve">          6004 - STAFF HOURLY</v>
      </c>
      <c r="C49" s="11"/>
      <c r="D49" s="6">
        <v>82178.179999999993</v>
      </c>
      <c r="E49" s="2"/>
      <c r="F49" s="7">
        <f t="shared" si="20"/>
        <v>4.8252230906282979E-2</v>
      </c>
      <c r="G49" s="2"/>
      <c r="H49" s="6">
        <v>121893.28524000001</v>
      </c>
      <c r="I49" s="2"/>
      <c r="J49" s="7">
        <f t="shared" si="21"/>
        <v>7.4947927222107108E-2</v>
      </c>
      <c r="K49" s="2"/>
      <c r="L49" s="6">
        <f t="shared" si="22"/>
        <v>-39715.105240000019</v>
      </c>
      <c r="M49" s="2"/>
      <c r="N49" s="7">
        <f t="shared" si="23"/>
        <v>-0.32581864671055127</v>
      </c>
      <c r="O49" s="11"/>
      <c r="P49" s="6">
        <v>407808.54</v>
      </c>
      <c r="Q49" s="2"/>
      <c r="R49" s="7">
        <f t="shared" si="24"/>
        <v>5.1231782102884128E-2</v>
      </c>
      <c r="S49" s="2"/>
      <c r="T49" s="6">
        <v>671991.75045000005</v>
      </c>
      <c r="U49" s="2"/>
      <c r="V49" s="7">
        <f t="shared" si="25"/>
        <v>8.1377070790322747E-2</v>
      </c>
      <c r="W49" s="2"/>
      <c r="X49" s="6">
        <f t="shared" si="26"/>
        <v>-264183.21045000007</v>
      </c>
      <c r="Y49" s="2"/>
      <c r="Z49" s="7">
        <f t="shared" si="27"/>
        <v>-0.39313460362138297</v>
      </c>
    </row>
    <row r="50" spans="1:26" s="24" customFormat="1" hidden="1" outlineLevel="2" x14ac:dyDescent="0.25">
      <c r="A50" s="25"/>
      <c r="B50" s="11" t="str">
        <f>CONCATENATE("          ", "6005", " - ", "TEMPORARY WAGES-HOURLY")</f>
        <v xml:space="preserve">          6005 - TEMPORARY WAGES-HOURLY</v>
      </c>
      <c r="C50" s="11"/>
      <c r="D50" s="6">
        <v>90093.29</v>
      </c>
      <c r="E50" s="2"/>
      <c r="F50" s="7">
        <f t="shared" si="20"/>
        <v>5.2899714159971849E-2</v>
      </c>
      <c r="G50" s="2"/>
      <c r="H50" s="6">
        <v>54837.837239</v>
      </c>
      <c r="I50" s="2"/>
      <c r="J50" s="7">
        <f t="shared" si="21"/>
        <v>3.3717872369376518E-2</v>
      </c>
      <c r="K50" s="2"/>
      <c r="L50" s="6">
        <f t="shared" si="22"/>
        <v>35255.452760999993</v>
      </c>
      <c r="M50" s="2"/>
      <c r="N50" s="7">
        <f t="shared" si="23"/>
        <v>0.64290377841390767</v>
      </c>
      <c r="O50" s="11"/>
      <c r="P50" s="6">
        <v>476600.38999999996</v>
      </c>
      <c r="Q50" s="2"/>
      <c r="R50" s="7">
        <f t="shared" si="24"/>
        <v>5.9873898988553789E-2</v>
      </c>
      <c r="S50" s="2"/>
      <c r="T50" s="6">
        <v>267900.57812900003</v>
      </c>
      <c r="U50" s="2"/>
      <c r="V50" s="7">
        <f t="shared" si="25"/>
        <v>3.2442309442895667E-2</v>
      </c>
      <c r="W50" s="2"/>
      <c r="X50" s="6">
        <f t="shared" si="26"/>
        <v>208699.81187099993</v>
      </c>
      <c r="Y50" s="2"/>
      <c r="Z50" s="7">
        <f t="shared" si="27"/>
        <v>0.77901963978034561</v>
      </c>
    </row>
    <row r="51" spans="1:26" s="24" customFormat="1" hidden="1" outlineLevel="2" x14ac:dyDescent="0.25">
      <c r="A51" s="25"/>
      <c r="B51" s="11" t="str">
        <f>CONCATENATE("          ", "6006", " - ", "TEMPORARY PART TIME")</f>
        <v xml:space="preserve">          6006 - TEMPORARY PART TIME</v>
      </c>
      <c r="C51" s="11"/>
      <c r="D51" s="6">
        <v>4423</v>
      </c>
      <c r="E51" s="2"/>
      <c r="F51" s="7">
        <f t="shared" si="20"/>
        <v>2.5970350925086155E-3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4423</v>
      </c>
      <c r="M51" s="2"/>
      <c r="N51" s="7">
        <f t="shared" si="23"/>
        <v>0</v>
      </c>
      <c r="O51" s="11"/>
      <c r="P51" s="6">
        <v>37412.19</v>
      </c>
      <c r="Q51" s="2"/>
      <c r="R51" s="7">
        <f t="shared" si="24"/>
        <v>4.6999829039178556E-3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37412.19</v>
      </c>
      <c r="Y51" s="2"/>
      <c r="Z51" s="7">
        <f t="shared" si="27"/>
        <v>0</v>
      </c>
    </row>
    <row r="52" spans="1:26" s="24" customFormat="1" hidden="1" outlineLevel="2" x14ac:dyDescent="0.25">
      <c r="A52" s="25"/>
      <c r="B52" s="11" t="str">
        <f>CONCATENATE("          ", "6007", " - ", "STUDENT HOURLY")</f>
        <v xml:space="preserve">          6007 - STUDENT HOURLY</v>
      </c>
      <c r="C52" s="11"/>
      <c r="D52" s="6">
        <v>150160.37</v>
      </c>
      <c r="E52" s="2"/>
      <c r="F52" s="7">
        <f t="shared" si="20"/>
        <v>8.8169059551001114E-2</v>
      </c>
      <c r="G52" s="2"/>
      <c r="H52" s="6">
        <v>32058.6</v>
      </c>
      <c r="I52" s="2"/>
      <c r="J52" s="7">
        <f t="shared" si="21"/>
        <v>1.9711714348430526E-2</v>
      </c>
      <c r="K52" s="2"/>
      <c r="L52" s="6">
        <f t="shared" si="22"/>
        <v>118101.76999999999</v>
      </c>
      <c r="M52" s="2"/>
      <c r="N52" s="7">
        <f t="shared" si="23"/>
        <v>3.6839341081644239</v>
      </c>
      <c r="O52" s="11"/>
      <c r="P52" s="6">
        <v>744182.57000000007</v>
      </c>
      <c r="Q52" s="2"/>
      <c r="R52" s="7">
        <f t="shared" si="24"/>
        <v>9.3489457751434829E-2</v>
      </c>
      <c r="S52" s="2"/>
      <c r="T52" s="6">
        <v>282912.30499999999</v>
      </c>
      <c r="U52" s="2"/>
      <c r="V52" s="7">
        <f t="shared" si="25"/>
        <v>3.4260204319504349E-2</v>
      </c>
      <c r="W52" s="2"/>
      <c r="X52" s="6">
        <f t="shared" si="26"/>
        <v>461270.26500000007</v>
      </c>
      <c r="Y52" s="2"/>
      <c r="Z52" s="7">
        <f t="shared" si="27"/>
        <v>1.6304354983781992</v>
      </c>
    </row>
    <row r="53" spans="1:26" s="24" customFormat="1" hidden="1" outlineLevel="2" x14ac:dyDescent="0.25">
      <c r="A53" s="25"/>
      <c r="B53" s="11" t="str">
        <f>CONCATENATE("          ", "6008", " - ", "STUDENT HOURLY-FICA EXEMPT")</f>
        <v xml:space="preserve">          6008 - STUDENT HOURLY-FICA EXEMPT</v>
      </c>
      <c r="C53" s="11"/>
      <c r="D53" s="6">
        <v>24429.289999999997</v>
      </c>
      <c r="E53" s="2"/>
      <c r="F53" s="7">
        <f t="shared" si="20"/>
        <v>1.4344047799020978E-2</v>
      </c>
      <c r="G53" s="2"/>
      <c r="H53" s="6">
        <v>141412.5</v>
      </c>
      <c r="I53" s="2"/>
      <c r="J53" s="7">
        <f t="shared" si="21"/>
        <v>8.6949611190052956E-2</v>
      </c>
      <c r="K53" s="2"/>
      <c r="L53" s="6">
        <f t="shared" si="22"/>
        <v>-116983.21</v>
      </c>
      <c r="M53" s="2"/>
      <c r="N53" s="7">
        <f t="shared" si="23"/>
        <v>-0.82724801555732352</v>
      </c>
      <c r="O53" s="11"/>
      <c r="P53" s="6">
        <v>118826.76</v>
      </c>
      <c r="Q53" s="2"/>
      <c r="R53" s="7">
        <f t="shared" si="24"/>
        <v>1.4927854812240342E-2</v>
      </c>
      <c r="S53" s="2"/>
      <c r="T53" s="6">
        <v>540085.90500000003</v>
      </c>
      <c r="U53" s="2"/>
      <c r="V53" s="7">
        <f t="shared" si="25"/>
        <v>6.540349475214384E-2</v>
      </c>
      <c r="W53" s="2"/>
      <c r="X53" s="6">
        <f t="shared" si="26"/>
        <v>-421259.14500000002</v>
      </c>
      <c r="Y53" s="2"/>
      <c r="Z53" s="7">
        <f t="shared" si="27"/>
        <v>-0.77998544509322087</v>
      </c>
    </row>
    <row r="54" spans="1:26" s="24" customFormat="1" hidden="1" outlineLevel="2" x14ac:dyDescent="0.25">
      <c r="A54" s="25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4" customFormat="1" hidden="1" outlineLevel="2" x14ac:dyDescent="0.25">
      <c r="A55" s="25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20"/>
        <v>0</v>
      </c>
      <c r="G55" s="2"/>
      <c r="H55" s="6">
        <v>0</v>
      </c>
      <c r="I55" s="2"/>
      <c r="J55" s="7">
        <f t="shared" si="21"/>
        <v>0</v>
      </c>
      <c r="K55" s="2"/>
      <c r="L55" s="6">
        <f t="shared" si="22"/>
        <v>0</v>
      </c>
      <c r="M55" s="2"/>
      <c r="N55" s="7">
        <f t="shared" si="23"/>
        <v>0</v>
      </c>
      <c r="O55" s="11"/>
      <c r="P55" s="6"/>
      <c r="Q55" s="2"/>
      <c r="R55" s="7">
        <f t="shared" si="24"/>
        <v>0</v>
      </c>
      <c r="S55" s="2"/>
      <c r="T55" s="6">
        <v>0</v>
      </c>
      <c r="U55" s="2"/>
      <c r="V55" s="7">
        <f t="shared" si="25"/>
        <v>0</v>
      </c>
      <c r="W55" s="2"/>
      <c r="X55" s="6">
        <f t="shared" si="26"/>
        <v>0</v>
      </c>
      <c r="Y55" s="2"/>
      <c r="Z55" s="7">
        <f t="shared" si="27"/>
        <v>0</v>
      </c>
    </row>
    <row r="56" spans="1:26" s="26" customFormat="1" outlineLevel="1" collapsed="1" x14ac:dyDescent="0.25">
      <c r="A56" s="27"/>
      <c r="B56" s="13" t="str">
        <f>CONCATENATE("     ","Advertising/Promo                                 ")</f>
        <v xml:space="preserve">     Advertising/Promo                                 </v>
      </c>
      <c r="C56" s="13"/>
      <c r="D56" s="1">
        <f>SUM(OSRRefD22_2x_0)</f>
        <v>4535.22</v>
      </c>
      <c r="E56" s="1"/>
      <c r="F56" s="5">
        <f t="shared" ref="F56:F60" si="28">IF(D$12=0,0,D56/D$12)</f>
        <v>2.6629268578446581E-3</v>
      </c>
      <c r="G56" s="1"/>
      <c r="H56" s="1">
        <f>SUM(OSRRefH22_2x_0)</f>
        <v>2460</v>
      </c>
      <c r="I56" s="1"/>
      <c r="J56" s="5">
        <f t="shared" ref="J56:J60" si="29">IF(H$12=0,0,H56/H$12)</f>
        <v>1.5125681501107064E-3</v>
      </c>
      <c r="K56" s="1"/>
      <c r="L56" s="1">
        <f t="shared" ref="L56:L60" si="30">+D56-H56</f>
        <v>2075.2200000000003</v>
      </c>
      <c r="M56" s="1"/>
      <c r="N56" s="5">
        <f t="shared" ref="N56:N60" si="31">IF(H56=0,0,L56/H56)</f>
        <v>0.84358536585365862</v>
      </c>
      <c r="O56" s="13"/>
      <c r="P56" s="1">
        <f>SUM(OSRRefP22_2x_0)</f>
        <v>24865.8</v>
      </c>
      <c r="Q56" s="1"/>
      <c r="R56" s="5">
        <f t="shared" ref="R56:R60" si="32">IF(P$12=0,0,P56/P$12)</f>
        <v>3.1238169936654496E-3</v>
      </c>
      <c r="S56" s="1"/>
      <c r="T56" s="1">
        <f>SUM(OSRRefT22_2x_0)</f>
        <v>22890</v>
      </c>
      <c r="U56" s="1"/>
      <c r="V56" s="5">
        <f t="shared" ref="V56:V60" si="33">IF(T$12=0,0,T56/T$12)</f>
        <v>2.7719405024587197E-3</v>
      </c>
      <c r="W56" s="1"/>
      <c r="X56" s="1">
        <f t="shared" ref="X56:X60" si="34">+P56-T56</f>
        <v>1975.7999999999993</v>
      </c>
      <c r="Y56" s="1"/>
      <c r="Z56" s="5">
        <f t="shared" ref="Z56:Z60" si="35">IF(T56=0,0,X56/T56)</f>
        <v>8.6317169069462615E-2</v>
      </c>
    </row>
    <row r="57" spans="1:26" s="24" customFormat="1" hidden="1" outlineLevel="2" x14ac:dyDescent="0.25">
      <c r="A57" s="25"/>
      <c r="B57" s="11" t="str">
        <f>CONCATENATE("          ", "6362", " - ", "ADVERTISING EXPENSE")</f>
        <v xml:space="preserve">          6362 - ADVERTISING EXPENSE</v>
      </c>
      <c r="C57" s="11"/>
      <c r="D57" s="6">
        <v>4535.22</v>
      </c>
      <c r="E57" s="2"/>
      <c r="F57" s="7">
        <f t="shared" si="28"/>
        <v>2.6629268578446581E-3</v>
      </c>
      <c r="G57" s="2"/>
      <c r="H57" s="6">
        <v>2460</v>
      </c>
      <c r="I57" s="2"/>
      <c r="J57" s="7">
        <f t="shared" si="29"/>
        <v>1.5125681501107064E-3</v>
      </c>
      <c r="K57" s="2"/>
      <c r="L57" s="6">
        <f t="shared" si="30"/>
        <v>2075.2200000000003</v>
      </c>
      <c r="M57" s="2"/>
      <c r="N57" s="7">
        <f t="shared" si="31"/>
        <v>0.84358536585365862</v>
      </c>
      <c r="O57" s="11"/>
      <c r="P57" s="6">
        <v>24865.8</v>
      </c>
      <c r="Q57" s="2"/>
      <c r="R57" s="7">
        <f t="shared" si="32"/>
        <v>3.1238169936654496E-3</v>
      </c>
      <c r="S57" s="2"/>
      <c r="T57" s="6">
        <v>22890</v>
      </c>
      <c r="U57" s="2"/>
      <c r="V57" s="7">
        <f t="shared" si="33"/>
        <v>2.7719405024587197E-3</v>
      </c>
      <c r="W57" s="2"/>
      <c r="X57" s="6">
        <f t="shared" si="34"/>
        <v>1975.7999999999993</v>
      </c>
      <c r="Y57" s="2"/>
      <c r="Z57" s="7">
        <f t="shared" si="35"/>
        <v>8.6317169069462615E-2</v>
      </c>
    </row>
    <row r="58" spans="1:26" s="26" customFormat="1" outlineLevel="1" collapsed="1" x14ac:dyDescent="0.25">
      <c r="A58" s="27"/>
      <c r="B58" s="13" t="str">
        <f>CONCATENATE("     ","Bad Debts/Over/Short                              ")</f>
        <v xml:space="preserve">     Bad Debts/Over/Short                              </v>
      </c>
      <c r="C58" s="13"/>
      <c r="D58" s="1">
        <f>SUM(OSRRefD22_3x_0)</f>
        <v>8.52</v>
      </c>
      <c r="E58" s="1"/>
      <c r="F58" s="5">
        <f t="shared" si="28"/>
        <v>5.0026540782666519E-6</v>
      </c>
      <c r="G58" s="1"/>
      <c r="H58" s="1">
        <f>SUM(OSRRefH22_3x_0)</f>
        <v>257</v>
      </c>
      <c r="I58" s="1"/>
      <c r="J58" s="5">
        <f t="shared" si="29"/>
        <v>1.5802033112945186E-4</v>
      </c>
      <c r="K58" s="1"/>
      <c r="L58" s="1">
        <f t="shared" si="30"/>
        <v>-248.48</v>
      </c>
      <c r="M58" s="1"/>
      <c r="N58" s="5">
        <f t="shared" si="31"/>
        <v>-0.96684824902723732</v>
      </c>
      <c r="O58" s="13"/>
      <c r="P58" s="1">
        <f>SUM(OSRRefP22_3x_0)</f>
        <v>8.2799999999999994</v>
      </c>
      <c r="Q58" s="1"/>
      <c r="R58" s="5">
        <f t="shared" si="32"/>
        <v>1.040191938628555E-6</v>
      </c>
      <c r="S58" s="1"/>
      <c r="T58" s="1">
        <f>SUM(OSRRefT22_3x_0)</f>
        <v>1197</v>
      </c>
      <c r="U58" s="1"/>
      <c r="V58" s="5">
        <f t="shared" si="33"/>
        <v>1.4495468682582295E-4</v>
      </c>
      <c r="W58" s="1"/>
      <c r="X58" s="1">
        <f t="shared" si="34"/>
        <v>-1188.72</v>
      </c>
      <c r="Y58" s="1"/>
      <c r="Z58" s="5">
        <f t="shared" si="35"/>
        <v>-0.99308270676691734</v>
      </c>
    </row>
    <row r="59" spans="1:26" s="24" customFormat="1" hidden="1" outlineLevel="2" x14ac:dyDescent="0.25">
      <c r="A59" s="25"/>
      <c r="B59" s="11" t="str">
        <f>CONCATENATE("          ", "6272", " - ", "CASH (OVER/SHORT)")</f>
        <v xml:space="preserve">          6272 - CASH (OVER/SHORT)</v>
      </c>
      <c r="C59" s="11"/>
      <c r="D59" s="6">
        <v>8.52</v>
      </c>
      <c r="E59" s="2"/>
      <c r="F59" s="7">
        <f t="shared" si="28"/>
        <v>5.0026540782666519E-6</v>
      </c>
      <c r="G59" s="2"/>
      <c r="H59" s="6">
        <v>207</v>
      </c>
      <c r="I59" s="2"/>
      <c r="J59" s="7">
        <f t="shared" si="29"/>
        <v>1.2727707604590091E-4</v>
      </c>
      <c r="K59" s="2"/>
      <c r="L59" s="6">
        <f t="shared" si="30"/>
        <v>-198.48</v>
      </c>
      <c r="M59" s="2"/>
      <c r="N59" s="7">
        <f t="shared" si="31"/>
        <v>-0.95884057971014491</v>
      </c>
      <c r="O59" s="11"/>
      <c r="P59" s="6">
        <v>8.2799999999999994</v>
      </c>
      <c r="Q59" s="2"/>
      <c r="R59" s="7">
        <f t="shared" si="32"/>
        <v>1.040191938628555E-6</v>
      </c>
      <c r="S59" s="2"/>
      <c r="T59" s="6">
        <v>997</v>
      </c>
      <c r="U59" s="2"/>
      <c r="V59" s="7">
        <f t="shared" si="33"/>
        <v>1.2073502319577735E-4</v>
      </c>
      <c r="W59" s="2"/>
      <c r="X59" s="6">
        <f t="shared" si="34"/>
        <v>-988.72</v>
      </c>
      <c r="Y59" s="2"/>
      <c r="Z59" s="7">
        <f t="shared" si="35"/>
        <v>-0.99169508525576733</v>
      </c>
    </row>
    <row r="60" spans="1:26" s="24" customFormat="1" hidden="1" outlineLevel="2" x14ac:dyDescent="0.25">
      <c r="A60" s="25"/>
      <c r="B60" s="11" t="str">
        <f>CONCATENATE("          ", "6342", " - ", "BAD DEBT")</f>
        <v xml:space="preserve">          6342 - BAD DEBT</v>
      </c>
      <c r="C60" s="11"/>
      <c r="D60" s="6"/>
      <c r="E60" s="2"/>
      <c r="F60" s="7">
        <f t="shared" si="28"/>
        <v>0</v>
      </c>
      <c r="G60" s="2"/>
      <c r="H60" s="6">
        <v>50</v>
      </c>
      <c r="I60" s="2"/>
      <c r="J60" s="7">
        <f t="shared" si="29"/>
        <v>3.0743255083550941E-5</v>
      </c>
      <c r="K60" s="2"/>
      <c r="L60" s="6">
        <f t="shared" si="30"/>
        <v>-50</v>
      </c>
      <c r="M60" s="2"/>
      <c r="N60" s="7">
        <f t="shared" si="31"/>
        <v>-1</v>
      </c>
      <c r="O60" s="11"/>
      <c r="P60" s="6"/>
      <c r="Q60" s="2"/>
      <c r="R60" s="7">
        <f t="shared" si="32"/>
        <v>0</v>
      </c>
      <c r="S60" s="2"/>
      <c r="T60" s="6">
        <v>200</v>
      </c>
      <c r="U60" s="2"/>
      <c r="V60" s="7">
        <f t="shared" si="33"/>
        <v>2.4219663630045607E-5</v>
      </c>
      <c r="W60" s="2"/>
      <c r="X60" s="6">
        <f t="shared" si="34"/>
        <v>-200</v>
      </c>
      <c r="Y60" s="2"/>
      <c r="Z60" s="7">
        <f t="shared" si="35"/>
        <v>-1</v>
      </c>
    </row>
    <row r="61" spans="1:26" s="26" customFormat="1" outlineLevel="1" collapsed="1" x14ac:dyDescent="0.25">
      <c r="A61" s="27"/>
      <c r="B61" s="13" t="str">
        <f>CONCATENATE("     ","Bank/card Fees                                    ")</f>
        <v xml:space="preserve">     Bank/card Fees                                    </v>
      </c>
      <c r="C61" s="13"/>
      <c r="D61" s="1">
        <f>SUM(OSRRefD22_4x_0)</f>
        <v>16268.92</v>
      </c>
      <c r="E61" s="1"/>
      <c r="F61" s="5">
        <f t="shared" ref="F61:F67" si="36">IF(D$12=0,0,D61/D$12)</f>
        <v>9.5525562191307398E-3</v>
      </c>
      <c r="G61" s="1"/>
      <c r="H61" s="1">
        <f>SUM(OSRRefH22_4x_0)</f>
        <v>10054</v>
      </c>
      <c r="I61" s="1"/>
      <c r="J61" s="5">
        <f t="shared" ref="J61:J67" si="37">IF(H$12=0,0,H61/H$12)</f>
        <v>6.1818537322004237E-3</v>
      </c>
      <c r="K61" s="1"/>
      <c r="L61" s="1">
        <f t="shared" ref="L61:L67" si="38">+D61-H61</f>
        <v>6214.92</v>
      </c>
      <c r="M61" s="1"/>
      <c r="N61" s="5">
        <f t="shared" ref="N61:N67" si="39">IF(H61=0,0,L61/H61)</f>
        <v>0.61815396856972349</v>
      </c>
      <c r="O61" s="13"/>
      <c r="P61" s="1">
        <f>SUM(OSRRefP22_4x_0)</f>
        <v>80919.520000000004</v>
      </c>
      <c r="Q61" s="1"/>
      <c r="R61" s="5">
        <f t="shared" ref="R61:R67" si="40">IF(P$12=0,0,P61/P$12)</f>
        <v>1.0165680239334798E-2</v>
      </c>
      <c r="S61" s="1"/>
      <c r="T61" s="1">
        <f>SUM(OSRRefT22_4x_0)</f>
        <v>54365</v>
      </c>
      <c r="U61" s="1"/>
      <c r="V61" s="5">
        <f t="shared" ref="V61:V67" si="41">IF(T$12=0,0,T61/T$12)</f>
        <v>6.5835100662371467E-3</v>
      </c>
      <c r="W61" s="1"/>
      <c r="X61" s="1">
        <f t="shared" ref="X61:X67" si="42">+P61-T61</f>
        <v>26554.520000000004</v>
      </c>
      <c r="Y61" s="1"/>
      <c r="Z61" s="5">
        <f t="shared" ref="Z61:Z67" si="43">IF(T61=0,0,X61/T61)</f>
        <v>0.48844881817345726</v>
      </c>
    </row>
    <row r="62" spans="1:26" s="24" customFormat="1" hidden="1" outlineLevel="2" x14ac:dyDescent="0.25">
      <c r="A62" s="25"/>
      <c r="B62" s="11" t="str">
        <f>CONCATENATE("          ", "6381", " - ", "BANK/CREDIT CARD FEES")</f>
        <v xml:space="preserve">          6381 - BANK/CREDIT CARD FEES</v>
      </c>
      <c r="C62" s="11"/>
      <c r="D62" s="6">
        <v>16268.92</v>
      </c>
      <c r="E62" s="2"/>
      <c r="F62" s="7">
        <f t="shared" si="36"/>
        <v>9.5525562191307398E-3</v>
      </c>
      <c r="G62" s="2"/>
      <c r="H62" s="6">
        <v>10054</v>
      </c>
      <c r="I62" s="2"/>
      <c r="J62" s="7">
        <f t="shared" si="37"/>
        <v>6.1818537322004237E-3</v>
      </c>
      <c r="K62" s="2"/>
      <c r="L62" s="6">
        <f t="shared" si="38"/>
        <v>6214.92</v>
      </c>
      <c r="M62" s="2"/>
      <c r="N62" s="7">
        <f t="shared" si="39"/>
        <v>0.61815396856972349</v>
      </c>
      <c r="O62" s="11"/>
      <c r="P62" s="6">
        <v>80919.520000000004</v>
      </c>
      <c r="Q62" s="2"/>
      <c r="R62" s="7">
        <f t="shared" si="40"/>
        <v>1.0165680239334798E-2</v>
      </c>
      <c r="S62" s="2"/>
      <c r="T62" s="6">
        <v>54365</v>
      </c>
      <c r="U62" s="2"/>
      <c r="V62" s="7">
        <f t="shared" si="41"/>
        <v>6.5835100662371467E-3</v>
      </c>
      <c r="W62" s="2"/>
      <c r="X62" s="6">
        <f t="shared" si="42"/>
        <v>26554.520000000004</v>
      </c>
      <c r="Y62" s="2"/>
      <c r="Z62" s="7">
        <f t="shared" si="43"/>
        <v>0.48844881817345726</v>
      </c>
    </row>
    <row r="63" spans="1:26" s="26" customFormat="1" outlineLevel="1" collapsed="1" x14ac:dyDescent="0.25">
      <c r="A63" s="27"/>
      <c r="B63" s="13" t="str">
        <f>CONCATENATE("     ","Depreciation                                      ")</f>
        <v xml:space="preserve">     Depreciation                                      </v>
      </c>
      <c r="C63" s="13"/>
      <c r="D63" s="1">
        <f>SUM(OSRRefD22_5x_0)</f>
        <v>39571.050000000003</v>
      </c>
      <c r="E63" s="1"/>
      <c r="F63" s="5">
        <f t="shared" si="36"/>
        <v>2.3234774021572022E-2</v>
      </c>
      <c r="G63" s="1"/>
      <c r="H63" s="1">
        <f>SUM(OSRRefH22_5x_0)</f>
        <v>44088</v>
      </c>
      <c r="I63" s="1"/>
      <c r="J63" s="5">
        <f t="shared" si="37"/>
        <v>2.7108172602471881E-2</v>
      </c>
      <c r="K63" s="1"/>
      <c r="L63" s="1">
        <f t="shared" si="38"/>
        <v>-4516.9499999999971</v>
      </c>
      <c r="M63" s="1"/>
      <c r="N63" s="5">
        <f t="shared" si="39"/>
        <v>-0.10245304844855736</v>
      </c>
      <c r="O63" s="13"/>
      <c r="P63" s="1">
        <f>SUM(OSRRefP22_5x_0)</f>
        <v>197855.25</v>
      </c>
      <c r="Q63" s="1"/>
      <c r="R63" s="5">
        <f t="shared" si="40"/>
        <v>2.485597053929196E-2</v>
      </c>
      <c r="S63" s="1"/>
      <c r="T63" s="1">
        <f>SUM(OSRRefT22_5x_0)</f>
        <v>207638</v>
      </c>
      <c r="U63" s="1"/>
      <c r="V63" s="5">
        <f t="shared" si="41"/>
        <v>2.5144612584077047E-2</v>
      </c>
      <c r="W63" s="1"/>
      <c r="X63" s="1">
        <f t="shared" si="42"/>
        <v>-9782.75</v>
      </c>
      <c r="Y63" s="1"/>
      <c r="Z63" s="5">
        <f t="shared" si="43"/>
        <v>-4.7114449185601863E-2</v>
      </c>
    </row>
    <row r="64" spans="1:26" s="24" customFormat="1" hidden="1" outlineLevel="2" x14ac:dyDescent="0.25">
      <c r="A64" s="25"/>
      <c r="B64" s="11" t="str">
        <f>CONCATENATE("          ", "6321", " - ", "BUILDING DEPRECIATION")</f>
        <v xml:space="preserve">          6321 - BUILDING DEPRECIATION</v>
      </c>
      <c r="C64" s="11"/>
      <c r="D64" s="6">
        <v>24042.959999999999</v>
      </c>
      <c r="E64" s="2"/>
      <c r="F64" s="7">
        <f t="shared" si="36"/>
        <v>1.4117207969202111E-2</v>
      </c>
      <c r="G64" s="2"/>
      <c r="H64" s="6">
        <v>23037</v>
      </c>
      <c r="I64" s="2"/>
      <c r="J64" s="7">
        <f t="shared" si="37"/>
        <v>1.4164647347195263E-2</v>
      </c>
      <c r="K64" s="2"/>
      <c r="L64" s="6">
        <f t="shared" si="38"/>
        <v>1005.9599999999991</v>
      </c>
      <c r="M64" s="2"/>
      <c r="N64" s="7">
        <f t="shared" si="39"/>
        <v>4.3667144159395717E-2</v>
      </c>
      <c r="O64" s="11"/>
      <c r="P64" s="6">
        <v>120214.79999999999</v>
      </c>
      <c r="Q64" s="2"/>
      <c r="R64" s="7">
        <f t="shared" si="40"/>
        <v>1.5102230176792754E-2</v>
      </c>
      <c r="S64" s="2"/>
      <c r="T64" s="6">
        <v>115431</v>
      </c>
      <c r="U64" s="2"/>
      <c r="V64" s="7">
        <f t="shared" si="41"/>
        <v>1.3978499962398971E-2</v>
      </c>
      <c r="W64" s="2"/>
      <c r="X64" s="6">
        <f t="shared" si="42"/>
        <v>4783.7999999999884</v>
      </c>
      <c r="Y64" s="2"/>
      <c r="Z64" s="7">
        <f t="shared" si="43"/>
        <v>4.1442939938144768E-2</v>
      </c>
    </row>
    <row r="65" spans="1:26" s="24" customFormat="1" hidden="1" outlineLevel="2" x14ac:dyDescent="0.25">
      <c r="A65" s="25"/>
      <c r="B65" s="11" t="str">
        <f>CONCATENATE("          ", "6322", " - ", "EQUIPMENT DEPRECIATION EXPENSE")</f>
        <v xml:space="preserve">          6322 - EQUIPMENT DEPRECIATION EXPENSE</v>
      </c>
      <c r="C65" s="11"/>
      <c r="D65" s="6">
        <v>15103.84</v>
      </c>
      <c r="E65" s="2"/>
      <c r="F65" s="7">
        <f t="shared" si="36"/>
        <v>8.8684608889069236E-3</v>
      </c>
      <c r="G65" s="2"/>
      <c r="H65" s="6">
        <v>15301</v>
      </c>
      <c r="I65" s="2"/>
      <c r="J65" s="7">
        <f t="shared" si="37"/>
        <v>9.4080509206682598E-3</v>
      </c>
      <c r="K65" s="2"/>
      <c r="L65" s="6">
        <f t="shared" si="38"/>
        <v>-197.15999999999985</v>
      </c>
      <c r="M65" s="2"/>
      <c r="N65" s="7">
        <f t="shared" si="39"/>
        <v>-1.2885432324684651E-2</v>
      </c>
      <c r="O65" s="11"/>
      <c r="P65" s="6">
        <v>75519.199999999997</v>
      </c>
      <c r="Q65" s="2"/>
      <c r="R65" s="7">
        <f t="shared" si="40"/>
        <v>9.4872539917484986E-3</v>
      </c>
      <c r="S65" s="2"/>
      <c r="T65" s="6">
        <v>76505</v>
      </c>
      <c r="U65" s="2"/>
      <c r="V65" s="7">
        <f t="shared" si="41"/>
        <v>9.2646268300831964E-3</v>
      </c>
      <c r="W65" s="2"/>
      <c r="X65" s="6">
        <f t="shared" si="42"/>
        <v>-985.80000000000291</v>
      </c>
      <c r="Y65" s="2"/>
      <c r="Z65" s="7">
        <f t="shared" si="43"/>
        <v>-1.28854323246847E-2</v>
      </c>
    </row>
    <row r="66" spans="1:26" s="24" customFormat="1" hidden="1" outlineLevel="2" x14ac:dyDescent="0.25">
      <c r="A66" s="25"/>
      <c r="B66" s="11" t="str">
        <f>CONCATENATE("          ", "6324", " - ", "FURNITURE + FIXT DEPRECIATION")</f>
        <v xml:space="preserve">          6324 - FURNITURE + FIXT DEPRECIATION</v>
      </c>
      <c r="C66" s="11"/>
      <c r="D66" s="6"/>
      <c r="E66" s="2"/>
      <c r="F66" s="7">
        <f t="shared" si="36"/>
        <v>0</v>
      </c>
      <c r="G66" s="2"/>
      <c r="H66" s="6">
        <v>3576</v>
      </c>
      <c r="I66" s="2"/>
      <c r="J66" s="7">
        <f t="shared" si="37"/>
        <v>2.1987576035755636E-3</v>
      </c>
      <c r="K66" s="2"/>
      <c r="L66" s="6">
        <f t="shared" si="38"/>
        <v>-3576</v>
      </c>
      <c r="M66" s="2"/>
      <c r="N66" s="7">
        <f t="shared" si="39"/>
        <v>-1</v>
      </c>
      <c r="O66" s="11"/>
      <c r="P66" s="6"/>
      <c r="Q66" s="2"/>
      <c r="R66" s="7">
        <f t="shared" si="40"/>
        <v>0</v>
      </c>
      <c r="S66" s="2"/>
      <c r="T66" s="6">
        <v>10082</v>
      </c>
      <c r="U66" s="2"/>
      <c r="V66" s="7">
        <f t="shared" si="41"/>
        <v>1.220913243590599E-3</v>
      </c>
      <c r="W66" s="2"/>
      <c r="X66" s="6">
        <f t="shared" si="42"/>
        <v>-10082</v>
      </c>
      <c r="Y66" s="2"/>
      <c r="Z66" s="7">
        <f t="shared" si="43"/>
        <v>-1</v>
      </c>
    </row>
    <row r="67" spans="1:26" s="24" customFormat="1" hidden="1" outlineLevel="2" x14ac:dyDescent="0.25">
      <c r="A67" s="25"/>
      <c r="B67" s="11" t="str">
        <f>CONCATENATE("          ", "6326", " - ", "VEHICLES DEPRECIATION EXPENSE")</f>
        <v xml:space="preserve">          6326 - VEHICLES DEPRECIATION EXPENSE</v>
      </c>
      <c r="C67" s="11"/>
      <c r="D67" s="6">
        <v>424.25</v>
      </c>
      <c r="E67" s="2"/>
      <c r="F67" s="7">
        <f t="shared" si="36"/>
        <v>2.4910516346298442E-4</v>
      </c>
      <c r="G67" s="2"/>
      <c r="H67" s="6">
        <v>2174</v>
      </c>
      <c r="I67" s="2"/>
      <c r="J67" s="7">
        <f t="shared" si="37"/>
        <v>1.336716731032795E-3</v>
      </c>
      <c r="K67" s="2"/>
      <c r="L67" s="6">
        <f t="shared" si="38"/>
        <v>-1749.75</v>
      </c>
      <c r="M67" s="2"/>
      <c r="N67" s="7">
        <f t="shared" si="39"/>
        <v>-0.80485280588776453</v>
      </c>
      <c r="O67" s="11"/>
      <c r="P67" s="6">
        <v>2121.25</v>
      </c>
      <c r="Q67" s="2"/>
      <c r="R67" s="7">
        <f t="shared" si="40"/>
        <v>2.6648637075070316E-4</v>
      </c>
      <c r="S67" s="2"/>
      <c r="T67" s="6">
        <v>5620</v>
      </c>
      <c r="U67" s="2"/>
      <c r="V67" s="7">
        <f t="shared" si="41"/>
        <v>6.8057254800428155E-4</v>
      </c>
      <c r="W67" s="2"/>
      <c r="X67" s="6">
        <f t="shared" si="42"/>
        <v>-3498.75</v>
      </c>
      <c r="Y67" s="2"/>
      <c r="Z67" s="7">
        <f t="shared" si="43"/>
        <v>-0.62255338078291811</v>
      </c>
    </row>
    <row r="68" spans="1:26" s="26" customFormat="1" outlineLevel="1" collapsed="1" x14ac:dyDescent="0.25">
      <c r="A68" s="27"/>
      <c r="B68" s="13" t="str">
        <f>CONCATENATE("     ","Donations                                         ")</f>
        <v xml:space="preserve">     Donations                                         </v>
      </c>
      <c r="C68" s="13"/>
      <c r="D68" s="1">
        <f>SUM(OSRRefD22_6x_0)</f>
        <v>16127.990000000002</v>
      </c>
      <c r="E68" s="1"/>
      <c r="F68" s="5">
        <f t="shared" ref="F68:F70" si="44">IF(D$12=0,0,D68/D$12)</f>
        <v>9.4698069187492719E-3</v>
      </c>
      <c r="G68" s="1"/>
      <c r="H68" s="1">
        <f>SUM(OSRRefH22_6x_0)</f>
        <v>14816</v>
      </c>
      <c r="I68" s="1"/>
      <c r="J68" s="5">
        <f t="shared" ref="J68:J70" si="45">IF(H$12=0,0,H68/H$12)</f>
        <v>9.1098413463578162E-3</v>
      </c>
      <c r="K68" s="1"/>
      <c r="L68" s="1">
        <f t="shared" ref="L68:L70" si="46">+D68-H68</f>
        <v>1311.9900000000016</v>
      </c>
      <c r="M68" s="1"/>
      <c r="N68" s="5">
        <f t="shared" ref="N68:N70" si="47">IF(H68=0,0,L68/H68)</f>
        <v>8.8552240820734443E-2</v>
      </c>
      <c r="O68" s="13"/>
      <c r="P68" s="1">
        <f>SUM(OSRRefP22_6x_0)</f>
        <v>66407.42</v>
      </c>
      <c r="Q68" s="1"/>
      <c r="R68" s="5">
        <f t="shared" ref="R68:R70" si="48">IF(P$12=0,0,P68/P$12)</f>
        <v>8.3425679890242362E-3</v>
      </c>
      <c r="S68" s="1"/>
      <c r="T68" s="1">
        <f>SUM(OSRRefT22_6x_0)</f>
        <v>60390</v>
      </c>
      <c r="U68" s="1"/>
      <c r="V68" s="5">
        <f t="shared" ref="V68:V70" si="49">IF(T$12=0,0,T68/T$12)</f>
        <v>7.3131274330922712E-3</v>
      </c>
      <c r="W68" s="1"/>
      <c r="X68" s="1">
        <f t="shared" ref="X68:X70" si="50">+P68-T68</f>
        <v>6017.4199999999983</v>
      </c>
      <c r="Y68" s="1"/>
      <c r="Z68" s="5">
        <f t="shared" ref="Z68:Z70" si="51">IF(T68=0,0,X68/T68)</f>
        <v>9.9642656068885546E-2</v>
      </c>
    </row>
    <row r="69" spans="1:26" s="24" customFormat="1" hidden="1" outlineLevel="2" x14ac:dyDescent="0.25">
      <c r="A69" s="25"/>
      <c r="B69" s="11" t="str">
        <f>CONCATENATE("          ", "6396", " - ", "COUPONS-CHARTROOM")</f>
        <v xml:space="preserve">          6396 - COUPONS-CHARTROOM</v>
      </c>
      <c r="C69" s="11"/>
      <c r="D69" s="6"/>
      <c r="E69" s="2"/>
      <c r="F69" s="7">
        <f t="shared" si="44"/>
        <v>0</v>
      </c>
      <c r="G69" s="2"/>
      <c r="H69" s="6">
        <v>100</v>
      </c>
      <c r="I69" s="2"/>
      <c r="J69" s="7">
        <f t="shared" si="45"/>
        <v>6.1486510167101883E-5</v>
      </c>
      <c r="K69" s="2"/>
      <c r="L69" s="6">
        <f t="shared" si="46"/>
        <v>-100</v>
      </c>
      <c r="M69" s="2"/>
      <c r="N69" s="7">
        <f t="shared" si="47"/>
        <v>-1</v>
      </c>
      <c r="O69" s="11"/>
      <c r="P69" s="6"/>
      <c r="Q69" s="2"/>
      <c r="R69" s="7">
        <f t="shared" si="48"/>
        <v>0</v>
      </c>
      <c r="S69" s="2"/>
      <c r="T69" s="6">
        <v>500</v>
      </c>
      <c r="U69" s="2"/>
      <c r="V69" s="7">
        <f t="shared" si="49"/>
        <v>6.0549159075114015E-5</v>
      </c>
      <c r="W69" s="2"/>
      <c r="X69" s="6">
        <f t="shared" si="50"/>
        <v>-500</v>
      </c>
      <c r="Y69" s="2"/>
      <c r="Z69" s="7">
        <f t="shared" si="51"/>
        <v>-1</v>
      </c>
    </row>
    <row r="70" spans="1:26" s="24" customFormat="1" hidden="1" outlineLevel="2" x14ac:dyDescent="0.25">
      <c r="A70" s="25"/>
      <c r="B70" s="11" t="str">
        <f>CONCATENATE("          ", "6399", " - ", "DONATION-ON CAMPUS")</f>
        <v xml:space="preserve">          6399 - DONATION-ON CAMPUS</v>
      </c>
      <c r="C70" s="11"/>
      <c r="D70" s="6">
        <v>16127.990000000002</v>
      </c>
      <c r="E70" s="2"/>
      <c r="F70" s="7">
        <f t="shared" si="44"/>
        <v>9.4698069187492719E-3</v>
      </c>
      <c r="G70" s="2"/>
      <c r="H70" s="6">
        <v>14716</v>
      </c>
      <c r="I70" s="2"/>
      <c r="J70" s="7">
        <f t="shared" si="45"/>
        <v>9.0483548361907137E-3</v>
      </c>
      <c r="K70" s="2"/>
      <c r="L70" s="6">
        <f t="shared" si="46"/>
        <v>1411.9900000000016</v>
      </c>
      <c r="M70" s="2"/>
      <c r="N70" s="7">
        <f t="shared" si="47"/>
        <v>9.5949306876868826E-2</v>
      </c>
      <c r="O70" s="11"/>
      <c r="P70" s="6">
        <v>66407.42</v>
      </c>
      <c r="Q70" s="2"/>
      <c r="R70" s="7">
        <f t="shared" si="48"/>
        <v>8.3425679890242362E-3</v>
      </c>
      <c r="S70" s="2"/>
      <c r="T70" s="6">
        <v>59890</v>
      </c>
      <c r="U70" s="2"/>
      <c r="V70" s="7">
        <f t="shared" si="49"/>
        <v>7.252578274017157E-3</v>
      </c>
      <c r="W70" s="2"/>
      <c r="X70" s="6">
        <f t="shared" si="50"/>
        <v>6517.4199999999983</v>
      </c>
      <c r="Y70" s="2"/>
      <c r="Z70" s="7">
        <f t="shared" si="51"/>
        <v>0.10882317582234093</v>
      </c>
    </row>
    <row r="71" spans="1:26" s="26" customFormat="1" outlineLevel="1" collapsed="1" x14ac:dyDescent="0.25">
      <c r="A71" s="27"/>
      <c r="B71" s="13" t="str">
        <f>CONCATENATE("     ","Employees' Appreciation                           ")</f>
        <v xml:space="preserve">     Employees' Appreciation                           </v>
      </c>
      <c r="C71" s="13"/>
      <c r="D71" s="1">
        <f>SUM(OSRRefD22_7x_0)</f>
        <v>672.06</v>
      </c>
      <c r="E71" s="1"/>
      <c r="F71" s="5">
        <f t="shared" ref="F71:F79" si="52">IF(D$12=0,0,D71/D$12)</f>
        <v>3.9461076289200542E-4</v>
      </c>
      <c r="G71" s="1"/>
      <c r="H71" s="1">
        <f>SUM(OSRRefH22_7x_0)</f>
        <v>1130</v>
      </c>
      <c r="I71" s="1"/>
      <c r="J71" s="5">
        <f t="shared" ref="J71:J79" si="53">IF(H$12=0,0,H71/H$12)</f>
        <v>6.9479756488825134E-4</v>
      </c>
      <c r="K71" s="1"/>
      <c r="L71" s="1">
        <f t="shared" ref="L71:L79" si="54">+D71-H71</f>
        <v>-457.94000000000005</v>
      </c>
      <c r="M71" s="1"/>
      <c r="N71" s="5">
        <f t="shared" ref="N71:N79" si="55">IF(H71=0,0,L71/H71)</f>
        <v>-0.40525663716814164</v>
      </c>
      <c r="O71" s="13"/>
      <c r="P71" s="1">
        <f>SUM(OSRRefP22_7x_0)</f>
        <v>2007.56</v>
      </c>
      <c r="Q71" s="1"/>
      <c r="R71" s="5">
        <f t="shared" ref="R71:R79" si="56">IF(P$12=0,0,P71/P$12)</f>
        <v>2.5220383192187703E-4</v>
      </c>
      <c r="S71" s="1"/>
      <c r="T71" s="1">
        <f>SUM(OSRRefT22_7x_0)</f>
        <v>4695</v>
      </c>
      <c r="U71" s="1"/>
      <c r="V71" s="5">
        <f t="shared" ref="V71:V79" si="57">IF(T$12=0,0,T71/T$12)</f>
        <v>5.6855660371532058E-4</v>
      </c>
      <c r="W71" s="1"/>
      <c r="X71" s="1">
        <f t="shared" ref="X71:X79" si="58">+P71-T71</f>
        <v>-2687.44</v>
      </c>
      <c r="Y71" s="1"/>
      <c r="Z71" s="5">
        <f t="shared" ref="Z71:Z79" si="59">IF(T71=0,0,X71/T71)</f>
        <v>-0.5724046858359958</v>
      </c>
    </row>
    <row r="72" spans="1:26" s="24" customFormat="1" hidden="1" outlineLevel="2" x14ac:dyDescent="0.25">
      <c r="A72" s="25"/>
      <c r="B72" s="11" t="str">
        <f>CONCATENATE("          ", "6277", " - ", "EMPLOYEE APPRECIATION")</f>
        <v xml:space="preserve">          6277 - EMPLOYEE APPRECIATION</v>
      </c>
      <c r="C72" s="11"/>
      <c r="D72" s="6">
        <v>672.06</v>
      </c>
      <c r="E72" s="2"/>
      <c r="F72" s="7">
        <f t="shared" si="52"/>
        <v>3.9461076289200542E-4</v>
      </c>
      <c r="G72" s="2"/>
      <c r="H72" s="6">
        <v>1130</v>
      </c>
      <c r="I72" s="2"/>
      <c r="J72" s="7">
        <f t="shared" si="53"/>
        <v>6.9479756488825134E-4</v>
      </c>
      <c r="K72" s="2"/>
      <c r="L72" s="6">
        <f t="shared" si="54"/>
        <v>-457.94000000000005</v>
      </c>
      <c r="M72" s="2"/>
      <c r="N72" s="7">
        <f t="shared" si="55"/>
        <v>-0.40525663716814164</v>
      </c>
      <c r="O72" s="11"/>
      <c r="P72" s="6">
        <v>2007.56</v>
      </c>
      <c r="Q72" s="2"/>
      <c r="R72" s="7">
        <f t="shared" si="56"/>
        <v>2.5220383192187703E-4</v>
      </c>
      <c r="S72" s="2"/>
      <c r="T72" s="6">
        <v>4695</v>
      </c>
      <c r="U72" s="2"/>
      <c r="V72" s="7">
        <f t="shared" si="57"/>
        <v>5.6855660371532058E-4</v>
      </c>
      <c r="W72" s="2"/>
      <c r="X72" s="6">
        <f t="shared" si="58"/>
        <v>-2687.44</v>
      </c>
      <c r="Y72" s="2"/>
      <c r="Z72" s="7">
        <f t="shared" si="59"/>
        <v>-0.5724046858359958</v>
      </c>
    </row>
    <row r="73" spans="1:26" s="26" customFormat="1" outlineLevel="1" collapsed="1" x14ac:dyDescent="0.25">
      <c r="A73" s="27"/>
      <c r="B73" s="13" t="str">
        <f>CONCATENATE("     ","Equipment Rental                                  ")</f>
        <v xml:space="preserve">     Equipment Rental                                  </v>
      </c>
      <c r="C73" s="13"/>
      <c r="D73" s="1">
        <f>SUM(OSRRefD22_8x_0)</f>
        <v>-290.35000000000002</v>
      </c>
      <c r="E73" s="1"/>
      <c r="F73" s="5">
        <f t="shared" si="52"/>
        <v>-1.7048363986205665E-4</v>
      </c>
      <c r="G73" s="1"/>
      <c r="H73" s="1">
        <f>SUM(OSRRefH22_8x_0)</f>
        <v>2461</v>
      </c>
      <c r="I73" s="1"/>
      <c r="J73" s="5">
        <f t="shared" si="53"/>
        <v>1.5131830152123776E-3</v>
      </c>
      <c r="K73" s="1"/>
      <c r="L73" s="1">
        <f t="shared" si="54"/>
        <v>-2751.35</v>
      </c>
      <c r="M73" s="1"/>
      <c r="N73" s="5">
        <f t="shared" si="55"/>
        <v>-1.1179804957334416</v>
      </c>
      <c r="O73" s="13"/>
      <c r="P73" s="1">
        <f>SUM(OSRRefP22_8x_0)</f>
        <v>14762.68</v>
      </c>
      <c r="Q73" s="1"/>
      <c r="R73" s="5">
        <f t="shared" si="56"/>
        <v>1.854591875429106E-3</v>
      </c>
      <c r="S73" s="1"/>
      <c r="T73" s="1">
        <f>SUM(OSRRefT22_8x_0)</f>
        <v>11431</v>
      </c>
      <c r="U73" s="1"/>
      <c r="V73" s="5">
        <f t="shared" si="57"/>
        <v>1.3842748747752566E-3</v>
      </c>
      <c r="W73" s="1"/>
      <c r="X73" s="1">
        <f t="shared" si="58"/>
        <v>3331.6800000000003</v>
      </c>
      <c r="Y73" s="1"/>
      <c r="Z73" s="5">
        <f t="shared" si="59"/>
        <v>0.29146006473624358</v>
      </c>
    </row>
    <row r="74" spans="1:26" s="24" customFormat="1" hidden="1" outlineLevel="2" x14ac:dyDescent="0.25">
      <c r="A74" s="25"/>
      <c r="B74" s="11" t="str">
        <f>CONCATENATE("          ", "6351", " - ", "EQUIPMENT RENTAL")</f>
        <v xml:space="preserve">          6351 - EQUIPMENT RENTAL</v>
      </c>
      <c r="C74" s="11"/>
      <c r="D74" s="6">
        <v>-290.35000000000002</v>
      </c>
      <c r="E74" s="2"/>
      <c r="F74" s="7">
        <f t="shared" si="52"/>
        <v>-1.7048363986205665E-4</v>
      </c>
      <c r="G74" s="2"/>
      <c r="H74" s="6">
        <v>2461</v>
      </c>
      <c r="I74" s="2"/>
      <c r="J74" s="7">
        <f t="shared" si="53"/>
        <v>1.5131830152123776E-3</v>
      </c>
      <c r="K74" s="2"/>
      <c r="L74" s="6">
        <f t="shared" si="54"/>
        <v>-2751.35</v>
      </c>
      <c r="M74" s="2"/>
      <c r="N74" s="7">
        <f t="shared" si="55"/>
        <v>-1.1179804957334416</v>
      </c>
      <c r="O74" s="11"/>
      <c r="P74" s="6">
        <v>14762.68</v>
      </c>
      <c r="Q74" s="2"/>
      <c r="R74" s="7">
        <f t="shared" si="56"/>
        <v>1.854591875429106E-3</v>
      </c>
      <c r="S74" s="2"/>
      <c r="T74" s="6">
        <v>11431</v>
      </c>
      <c r="U74" s="2"/>
      <c r="V74" s="7">
        <f t="shared" si="57"/>
        <v>1.3842748747752566E-3</v>
      </c>
      <c r="W74" s="2"/>
      <c r="X74" s="6">
        <f t="shared" si="58"/>
        <v>3331.6800000000003</v>
      </c>
      <c r="Y74" s="2"/>
      <c r="Z74" s="7">
        <f t="shared" si="59"/>
        <v>0.29146006473624358</v>
      </c>
    </row>
    <row r="75" spans="1:26" s="26" customFormat="1" outlineLevel="1" collapsed="1" x14ac:dyDescent="0.25">
      <c r="A75" s="27"/>
      <c r="B75" s="13" t="str">
        <f>CONCATENATE("     ","Freight out/Postage                               ")</f>
        <v xml:space="preserve">     Freight out/Postage                               </v>
      </c>
      <c r="C75" s="13"/>
      <c r="D75" s="1">
        <f>SUM(OSRRefD22_9x_0)</f>
        <v>0</v>
      </c>
      <c r="E75" s="1"/>
      <c r="F75" s="5">
        <f t="shared" si="52"/>
        <v>0</v>
      </c>
      <c r="G75" s="1"/>
      <c r="H75" s="1">
        <f>SUM(OSRRefH22_9x_0)</f>
        <v>1</v>
      </c>
      <c r="I75" s="1"/>
      <c r="J75" s="5">
        <f t="shared" si="53"/>
        <v>6.1486510167101893E-7</v>
      </c>
      <c r="K75" s="1"/>
      <c r="L75" s="1">
        <f t="shared" si="54"/>
        <v>-1</v>
      </c>
      <c r="M75" s="1"/>
      <c r="N75" s="5">
        <f t="shared" si="55"/>
        <v>-1</v>
      </c>
      <c r="O75" s="13"/>
      <c r="P75" s="1">
        <f>SUM(OSRRefP22_9x_0)</f>
        <v>0</v>
      </c>
      <c r="Q75" s="1"/>
      <c r="R75" s="5">
        <f t="shared" si="56"/>
        <v>0</v>
      </c>
      <c r="S75" s="1"/>
      <c r="T75" s="1">
        <f>SUM(OSRRefT22_9x_0)</f>
        <v>5</v>
      </c>
      <c r="U75" s="1"/>
      <c r="V75" s="5">
        <f t="shared" si="57"/>
        <v>6.0549159075114019E-7</v>
      </c>
      <c r="W75" s="1"/>
      <c r="X75" s="1">
        <f t="shared" si="58"/>
        <v>-5</v>
      </c>
      <c r="Y75" s="1"/>
      <c r="Z75" s="5">
        <f t="shared" si="59"/>
        <v>-1</v>
      </c>
    </row>
    <row r="76" spans="1:26" s="24" customFormat="1" hidden="1" outlineLevel="2" x14ac:dyDescent="0.25">
      <c r="A76" s="25"/>
      <c r="B76" s="11" t="str">
        <f>CONCATENATE("          ", "6307", " - ", "POSTAGE")</f>
        <v xml:space="preserve">          6307 - POSTAGE</v>
      </c>
      <c r="C76" s="11"/>
      <c r="D76" s="6"/>
      <c r="E76" s="2"/>
      <c r="F76" s="7">
        <f t="shared" si="52"/>
        <v>0</v>
      </c>
      <c r="G76" s="2"/>
      <c r="H76" s="6">
        <v>1</v>
      </c>
      <c r="I76" s="2"/>
      <c r="J76" s="7">
        <f t="shared" si="53"/>
        <v>6.1486510167101893E-7</v>
      </c>
      <c r="K76" s="2"/>
      <c r="L76" s="6">
        <f t="shared" si="54"/>
        <v>-1</v>
      </c>
      <c r="M76" s="2"/>
      <c r="N76" s="7">
        <f t="shared" si="55"/>
        <v>-1</v>
      </c>
      <c r="O76" s="11"/>
      <c r="P76" s="6"/>
      <c r="Q76" s="2"/>
      <c r="R76" s="7">
        <f t="shared" si="56"/>
        <v>0</v>
      </c>
      <c r="S76" s="2"/>
      <c r="T76" s="6">
        <v>5</v>
      </c>
      <c r="U76" s="2"/>
      <c r="V76" s="7">
        <f t="shared" si="57"/>
        <v>6.0549159075114019E-7</v>
      </c>
      <c r="W76" s="2"/>
      <c r="X76" s="6">
        <f t="shared" si="58"/>
        <v>-5</v>
      </c>
      <c r="Y76" s="2"/>
      <c r="Z76" s="7">
        <f t="shared" si="59"/>
        <v>-1</v>
      </c>
    </row>
    <row r="77" spans="1:26" s="26" customFormat="1" outlineLevel="1" collapsed="1" x14ac:dyDescent="0.25">
      <c r="A77" s="27"/>
      <c r="B77" s="13" t="str">
        <f>CONCATENATE("     ","General                                           ")</f>
        <v xml:space="preserve">     General                                           </v>
      </c>
      <c r="C77" s="13"/>
      <c r="D77" s="1">
        <f>SUM(OSRRefD22_10x_0)</f>
        <v>22053.200000000001</v>
      </c>
      <c r="E77" s="1"/>
      <c r="F77" s="5">
        <f t="shared" si="52"/>
        <v>1.2948888605496495E-2</v>
      </c>
      <c r="G77" s="1"/>
      <c r="H77" s="1">
        <f>SUM(OSRRefH22_10x_0)</f>
        <v>4438</v>
      </c>
      <c r="I77" s="1"/>
      <c r="J77" s="5">
        <f t="shared" si="53"/>
        <v>2.7287713212159818E-3</v>
      </c>
      <c r="K77" s="1"/>
      <c r="L77" s="1">
        <f t="shared" si="54"/>
        <v>17615.2</v>
      </c>
      <c r="M77" s="1"/>
      <c r="N77" s="5">
        <f t="shared" si="55"/>
        <v>3.9691753041910771</v>
      </c>
      <c r="O77" s="13"/>
      <c r="P77" s="1">
        <f>SUM(OSRRefP22_10x_0)</f>
        <v>68002.070000000007</v>
      </c>
      <c r="Q77" s="1"/>
      <c r="R77" s="5">
        <f t="shared" si="56"/>
        <v>8.5428991574945309E-3</v>
      </c>
      <c r="S77" s="1"/>
      <c r="T77" s="1">
        <f>SUM(OSRRefT22_10x_0)</f>
        <v>35242</v>
      </c>
      <c r="U77" s="1"/>
      <c r="V77" s="5">
        <f t="shared" si="57"/>
        <v>4.2677469282503362E-3</v>
      </c>
      <c r="W77" s="1"/>
      <c r="X77" s="1">
        <f t="shared" si="58"/>
        <v>32760.070000000007</v>
      </c>
      <c r="Y77" s="1"/>
      <c r="Z77" s="5">
        <f t="shared" si="59"/>
        <v>0.92957465524090599</v>
      </c>
    </row>
    <row r="78" spans="1:26" s="24" customFormat="1" hidden="1" outlineLevel="2" x14ac:dyDescent="0.25">
      <c r="A78" s="25"/>
      <c r="B78" s="11" t="str">
        <f>CONCATENATE("          ", "6269", " - ", "ENTERTAINMENT")</f>
        <v xml:space="preserve">          6269 - ENTERTAINMENT</v>
      </c>
      <c r="C78" s="11"/>
      <c r="D78" s="6">
        <v>600</v>
      </c>
      <c r="E78" s="2"/>
      <c r="F78" s="7">
        <f t="shared" si="52"/>
        <v>3.5229958297652478E-4</v>
      </c>
      <c r="G78" s="2"/>
      <c r="H78" s="6">
        <v>600</v>
      </c>
      <c r="I78" s="2"/>
      <c r="J78" s="7">
        <f t="shared" si="53"/>
        <v>3.6891906100261132E-4</v>
      </c>
      <c r="K78" s="2"/>
      <c r="L78" s="6">
        <f t="shared" si="54"/>
        <v>0</v>
      </c>
      <c r="M78" s="2"/>
      <c r="N78" s="7">
        <f t="shared" si="55"/>
        <v>0</v>
      </c>
      <c r="O78" s="11"/>
      <c r="P78" s="6">
        <v>6100</v>
      </c>
      <c r="Q78" s="2"/>
      <c r="R78" s="7">
        <f t="shared" si="56"/>
        <v>7.6632497894132674E-4</v>
      </c>
      <c r="S78" s="2"/>
      <c r="T78" s="6">
        <v>3750</v>
      </c>
      <c r="U78" s="2"/>
      <c r="V78" s="7">
        <f t="shared" si="57"/>
        <v>4.5411869306335512E-4</v>
      </c>
      <c r="W78" s="2"/>
      <c r="X78" s="6">
        <f t="shared" si="58"/>
        <v>2350</v>
      </c>
      <c r="Y78" s="2"/>
      <c r="Z78" s="7">
        <f t="shared" si="59"/>
        <v>0.62666666666666671</v>
      </c>
    </row>
    <row r="79" spans="1:26" s="24" customFormat="1" hidden="1" outlineLevel="2" x14ac:dyDescent="0.25">
      <c r="A79" s="25"/>
      <c r="B79" s="11" t="str">
        <f>CONCATENATE("          ", "6279", " - ", "GENERAL EXPENSE")</f>
        <v xml:space="preserve">          6279 - GENERAL EXPENSE</v>
      </c>
      <c r="C79" s="11"/>
      <c r="D79" s="6">
        <v>21453.200000000001</v>
      </c>
      <c r="E79" s="2"/>
      <c r="F79" s="7">
        <f t="shared" si="52"/>
        <v>1.259658902251997E-2</v>
      </c>
      <c r="G79" s="2"/>
      <c r="H79" s="6">
        <v>3838</v>
      </c>
      <c r="I79" s="2"/>
      <c r="J79" s="7">
        <f t="shared" si="53"/>
        <v>2.3598522602133703E-3</v>
      </c>
      <c r="K79" s="2"/>
      <c r="L79" s="6">
        <f t="shared" si="54"/>
        <v>17615.2</v>
      </c>
      <c r="M79" s="2"/>
      <c r="N79" s="7">
        <f t="shared" si="55"/>
        <v>4.5896821261073475</v>
      </c>
      <c r="O79" s="11"/>
      <c r="P79" s="6">
        <v>61902.07</v>
      </c>
      <c r="Q79" s="2"/>
      <c r="R79" s="7">
        <f t="shared" si="56"/>
        <v>7.7765741785532022E-3</v>
      </c>
      <c r="S79" s="2"/>
      <c r="T79" s="6">
        <v>31492</v>
      </c>
      <c r="U79" s="2"/>
      <c r="V79" s="7">
        <f t="shared" si="57"/>
        <v>3.8136282351869813E-3</v>
      </c>
      <c r="W79" s="2"/>
      <c r="X79" s="6">
        <f t="shared" si="58"/>
        <v>30410.07</v>
      </c>
      <c r="Y79" s="2"/>
      <c r="Z79" s="7">
        <f t="shared" si="59"/>
        <v>0.96564429061348911</v>
      </c>
    </row>
    <row r="80" spans="1:26" s="26" customFormat="1" outlineLevel="1" collapsed="1" x14ac:dyDescent="0.25">
      <c r="A80" s="27"/>
      <c r="B80" s="13" t="str">
        <f>CONCATENATE("     ","Insurance                                         ")</f>
        <v xml:space="preserve">     Insurance                                         </v>
      </c>
      <c r="C80" s="13"/>
      <c r="D80" s="1">
        <f>SUM(OSRRefD22_11x_0)</f>
        <v>4246.03</v>
      </c>
      <c r="E80" s="1"/>
      <c r="F80" s="5">
        <f t="shared" ref="F80:F94" si="60">IF(D$12=0,0,D80/D$12)</f>
        <v>2.4931243305096893E-3</v>
      </c>
      <c r="G80" s="1"/>
      <c r="H80" s="1">
        <f>SUM(OSRRefH22_11x_0)</f>
        <v>4009</v>
      </c>
      <c r="I80" s="1"/>
      <c r="J80" s="5">
        <f t="shared" ref="J80:J94" si="61">IF(H$12=0,0,H80/H$12)</f>
        <v>2.4649941925991149E-3</v>
      </c>
      <c r="K80" s="1"/>
      <c r="L80" s="1">
        <f t="shared" ref="L80:L94" si="62">+D80-H80</f>
        <v>237.02999999999975</v>
      </c>
      <c r="M80" s="1"/>
      <c r="N80" s="5">
        <f t="shared" ref="N80:N94" si="63">IF(H80=0,0,L80/H80)</f>
        <v>5.9124469942629022E-2</v>
      </c>
      <c r="O80" s="13"/>
      <c r="P80" s="1">
        <f>SUM(OSRRefP22_11x_0)</f>
        <v>21230.15</v>
      </c>
      <c r="Q80" s="1"/>
      <c r="R80" s="5">
        <f t="shared" ref="R80:R94" si="64">IF(P$12=0,0,P80/P$12)</f>
        <v>2.6670810248641329E-3</v>
      </c>
      <c r="S80" s="1"/>
      <c r="T80" s="1">
        <f>SUM(OSRRefT22_11x_0)</f>
        <v>20045</v>
      </c>
      <c r="U80" s="1"/>
      <c r="V80" s="5">
        <f t="shared" ref="V80:V94" si="65">IF(T$12=0,0,T80/T$12)</f>
        <v>2.427415787321321E-3</v>
      </c>
      <c r="W80" s="1"/>
      <c r="X80" s="1">
        <f t="shared" ref="X80:X94" si="66">+P80-T80</f>
        <v>1185.1500000000015</v>
      </c>
      <c r="Y80" s="1"/>
      <c r="Z80" s="5">
        <f t="shared" ref="Z80:Z94" si="67">IF(T80=0,0,X80/T80)</f>
        <v>5.9124469942629154E-2</v>
      </c>
    </row>
    <row r="81" spans="1:26" s="24" customFormat="1" hidden="1" outlineLevel="2" x14ac:dyDescent="0.25">
      <c r="A81" s="25"/>
      <c r="B81" s="11" t="str">
        <f>CONCATENATE("          ", "6314", " - ", "LIABILITY INSURANCE")</f>
        <v xml:space="preserve">          6314 - LIABILITY INSURANCE</v>
      </c>
      <c r="C81" s="11"/>
      <c r="D81" s="6">
        <v>4246.03</v>
      </c>
      <c r="E81" s="2"/>
      <c r="F81" s="7">
        <f t="shared" si="60"/>
        <v>2.4931243305096893E-3</v>
      </c>
      <c r="G81" s="2"/>
      <c r="H81" s="6">
        <v>4009</v>
      </c>
      <c r="I81" s="2"/>
      <c r="J81" s="7">
        <f t="shared" si="61"/>
        <v>2.4649941925991149E-3</v>
      </c>
      <c r="K81" s="2"/>
      <c r="L81" s="6">
        <f t="shared" si="62"/>
        <v>237.02999999999975</v>
      </c>
      <c r="M81" s="2"/>
      <c r="N81" s="7">
        <f t="shared" si="63"/>
        <v>5.9124469942629022E-2</v>
      </c>
      <c r="O81" s="11"/>
      <c r="P81" s="6">
        <v>21230.15</v>
      </c>
      <c r="Q81" s="2"/>
      <c r="R81" s="7">
        <f t="shared" si="64"/>
        <v>2.6670810248641329E-3</v>
      </c>
      <c r="S81" s="2"/>
      <c r="T81" s="6">
        <v>20045</v>
      </c>
      <c r="U81" s="2"/>
      <c r="V81" s="7">
        <f t="shared" si="65"/>
        <v>2.427415787321321E-3</v>
      </c>
      <c r="W81" s="2"/>
      <c r="X81" s="6">
        <f t="shared" si="66"/>
        <v>1185.1500000000015</v>
      </c>
      <c r="Y81" s="2"/>
      <c r="Z81" s="7">
        <f t="shared" si="67"/>
        <v>5.9124469942629154E-2</v>
      </c>
    </row>
    <row r="82" spans="1:26" s="26" customFormat="1" outlineLevel="1" collapsed="1" x14ac:dyDescent="0.25">
      <c r="A82" s="27"/>
      <c r="B82" s="13" t="str">
        <f>CONCATENATE("     ","Interest                                          ")</f>
        <v xml:space="preserve">     Interest                                          </v>
      </c>
      <c r="C82" s="13"/>
      <c r="D82" s="1">
        <f>SUM(OSRRefD22_12x_0)</f>
        <v>7754</v>
      </c>
      <c r="E82" s="1"/>
      <c r="F82" s="5">
        <f t="shared" si="60"/>
        <v>4.5528849439999556E-3</v>
      </c>
      <c r="G82" s="1"/>
      <c r="H82" s="1">
        <f>SUM(OSRRefH22_12x_0)</f>
        <v>7754</v>
      </c>
      <c r="I82" s="1"/>
      <c r="J82" s="5">
        <f t="shared" si="61"/>
        <v>4.7676639983570803E-3</v>
      </c>
      <c r="K82" s="1"/>
      <c r="L82" s="1">
        <f t="shared" si="62"/>
        <v>0</v>
      </c>
      <c r="M82" s="1"/>
      <c r="N82" s="5">
        <f t="shared" si="63"/>
        <v>0</v>
      </c>
      <c r="O82" s="13"/>
      <c r="P82" s="1">
        <f>SUM(OSRRefP22_12x_0)</f>
        <v>38377.049999999996</v>
      </c>
      <c r="Q82" s="1"/>
      <c r="R82" s="5">
        <f t="shared" si="64"/>
        <v>4.8211954152590558E-3</v>
      </c>
      <c r="S82" s="1"/>
      <c r="T82" s="1">
        <f>SUM(OSRRefT22_12x_0)</f>
        <v>38770</v>
      </c>
      <c r="U82" s="1"/>
      <c r="V82" s="5">
        <f t="shared" si="65"/>
        <v>4.6949817946843409E-3</v>
      </c>
      <c r="W82" s="1"/>
      <c r="X82" s="1">
        <f t="shared" si="66"/>
        <v>-392.95000000000437</v>
      </c>
      <c r="Y82" s="1"/>
      <c r="Z82" s="5">
        <f t="shared" si="67"/>
        <v>-1.0135413979881464E-2</v>
      </c>
    </row>
    <row r="83" spans="1:26" s="24" customFormat="1" hidden="1" outlineLevel="2" x14ac:dyDescent="0.25">
      <c r="A83" s="25"/>
      <c r="B83" s="11" t="str">
        <f>CONCATENATE("          ", "6401", " - ", "INTEREST EXPENSE")</f>
        <v xml:space="preserve">          6401 - INTEREST EXPENSE</v>
      </c>
      <c r="C83" s="11"/>
      <c r="D83" s="6">
        <v>7754</v>
      </c>
      <c r="E83" s="2"/>
      <c r="F83" s="7">
        <f t="shared" si="60"/>
        <v>4.5528849439999556E-3</v>
      </c>
      <c r="G83" s="2"/>
      <c r="H83" s="6">
        <v>7754</v>
      </c>
      <c r="I83" s="2"/>
      <c r="J83" s="7">
        <f t="shared" si="61"/>
        <v>4.7676639983570803E-3</v>
      </c>
      <c r="K83" s="2"/>
      <c r="L83" s="6">
        <f t="shared" si="62"/>
        <v>0</v>
      </c>
      <c r="M83" s="2"/>
      <c r="N83" s="7">
        <f t="shared" si="63"/>
        <v>0</v>
      </c>
      <c r="O83" s="11"/>
      <c r="P83" s="6">
        <v>38377.049999999996</v>
      </c>
      <c r="Q83" s="2"/>
      <c r="R83" s="7">
        <f t="shared" si="64"/>
        <v>4.8211954152590558E-3</v>
      </c>
      <c r="S83" s="2"/>
      <c r="T83" s="6">
        <v>38770</v>
      </c>
      <c r="U83" s="2"/>
      <c r="V83" s="7">
        <f t="shared" si="65"/>
        <v>4.6949817946843409E-3</v>
      </c>
      <c r="W83" s="2"/>
      <c r="X83" s="6">
        <f t="shared" si="66"/>
        <v>-392.95000000000437</v>
      </c>
      <c r="Y83" s="2"/>
      <c r="Z83" s="7">
        <f t="shared" si="67"/>
        <v>-1.0135413979881464E-2</v>
      </c>
    </row>
    <row r="84" spans="1:26" s="26" customFormat="1" outlineLevel="1" collapsed="1" x14ac:dyDescent="0.25">
      <c r="A84" s="27"/>
      <c r="B84" s="13" t="str">
        <f>CONCATENATE("     ","Professional Services                             ")</f>
        <v xml:space="preserve">     Professional Services                             </v>
      </c>
      <c r="C84" s="13"/>
      <c r="D84" s="1">
        <f>SUM(OSRRefD22_13x_0)</f>
        <v>0</v>
      </c>
      <c r="E84" s="1"/>
      <c r="F84" s="5">
        <f t="shared" si="60"/>
        <v>0</v>
      </c>
      <c r="G84" s="1"/>
      <c r="H84" s="1">
        <f>SUM(OSRRefH22_13x_0)</f>
        <v>0</v>
      </c>
      <c r="I84" s="1"/>
      <c r="J84" s="5">
        <f t="shared" si="61"/>
        <v>0</v>
      </c>
      <c r="K84" s="1"/>
      <c r="L84" s="1">
        <f t="shared" si="62"/>
        <v>0</v>
      </c>
      <c r="M84" s="1"/>
      <c r="N84" s="5">
        <f t="shared" si="63"/>
        <v>0</v>
      </c>
      <c r="O84" s="13"/>
      <c r="P84" s="1">
        <f>SUM(OSRRefP22_13x_0)</f>
        <v>125</v>
      </c>
      <c r="Q84" s="1"/>
      <c r="R84" s="5">
        <f t="shared" si="64"/>
        <v>1.5703380716010796E-5</v>
      </c>
      <c r="S84" s="1"/>
      <c r="T84" s="1">
        <f>SUM(OSRRefT22_13x_0)</f>
        <v>0</v>
      </c>
      <c r="U84" s="1"/>
      <c r="V84" s="5">
        <f t="shared" si="65"/>
        <v>0</v>
      </c>
      <c r="W84" s="1"/>
      <c r="X84" s="1">
        <f t="shared" si="66"/>
        <v>125</v>
      </c>
      <c r="Y84" s="1"/>
      <c r="Z84" s="5">
        <f t="shared" si="67"/>
        <v>0</v>
      </c>
    </row>
    <row r="85" spans="1:26" s="24" customFormat="1" hidden="1" outlineLevel="2" x14ac:dyDescent="0.25">
      <c r="A85" s="25"/>
      <c r="B85" s="11" t="str">
        <f>CONCATENATE("          ", "6336", " - ", "PROFESSIONAL SERVICES")</f>
        <v xml:space="preserve">          6336 - PROFESSIONAL SERVICES</v>
      </c>
      <c r="C85" s="11"/>
      <c r="D85" s="6"/>
      <c r="E85" s="2"/>
      <c r="F85" s="7">
        <f t="shared" si="60"/>
        <v>0</v>
      </c>
      <c r="G85" s="2"/>
      <c r="H85" s="6"/>
      <c r="I85" s="2"/>
      <c r="J85" s="7">
        <f t="shared" si="61"/>
        <v>0</v>
      </c>
      <c r="K85" s="2"/>
      <c r="L85" s="6">
        <f t="shared" si="62"/>
        <v>0</v>
      </c>
      <c r="M85" s="2"/>
      <c r="N85" s="7">
        <f t="shared" si="63"/>
        <v>0</v>
      </c>
      <c r="O85" s="11"/>
      <c r="P85" s="6">
        <v>125</v>
      </c>
      <c r="Q85" s="2"/>
      <c r="R85" s="7">
        <f t="shared" si="64"/>
        <v>1.5703380716010796E-5</v>
      </c>
      <c r="S85" s="2"/>
      <c r="T85" s="6"/>
      <c r="U85" s="2"/>
      <c r="V85" s="7">
        <f t="shared" si="65"/>
        <v>0</v>
      </c>
      <c r="W85" s="2"/>
      <c r="X85" s="6">
        <f t="shared" si="66"/>
        <v>125</v>
      </c>
      <c r="Y85" s="2"/>
      <c r="Z85" s="7">
        <f t="shared" si="67"/>
        <v>0</v>
      </c>
    </row>
    <row r="86" spans="1:26" s="26" customFormat="1" outlineLevel="1" collapsed="1" x14ac:dyDescent="0.25">
      <c r="A86" s="27"/>
      <c r="B86" s="13" t="str">
        <f>CONCATENATE("     ","R/H Commissions                                   ")</f>
        <v xml:space="preserve">     R/H Commissions                                   </v>
      </c>
      <c r="C86" s="13"/>
      <c r="D86" s="1">
        <f>SUM(OSRRefD22_14x_0)</f>
        <v>88207.73000000001</v>
      </c>
      <c r="E86" s="1"/>
      <c r="F86" s="5">
        <f t="shared" si="60"/>
        <v>5.1792577490509834E-2</v>
      </c>
      <c r="G86" s="1"/>
      <c r="H86" s="1">
        <f>SUM(OSRRefH22_14x_0)</f>
        <v>82175</v>
      </c>
      <c r="I86" s="1"/>
      <c r="J86" s="5">
        <f t="shared" si="61"/>
        <v>5.0526539729815974E-2</v>
      </c>
      <c r="K86" s="1"/>
      <c r="L86" s="1">
        <f t="shared" si="62"/>
        <v>6032.7300000000105</v>
      </c>
      <c r="M86" s="1"/>
      <c r="N86" s="5">
        <f t="shared" si="63"/>
        <v>7.3413203529053978E-2</v>
      </c>
      <c r="O86" s="13"/>
      <c r="P86" s="1">
        <f>SUM(OSRRefP22_14x_0)</f>
        <v>406895.16</v>
      </c>
      <c r="Q86" s="1"/>
      <c r="R86" s="5">
        <f t="shared" si="64"/>
        <v>5.1117036871857015E-2</v>
      </c>
      <c r="S86" s="1"/>
      <c r="T86" s="1">
        <f>SUM(OSRRefT22_14x_0)</f>
        <v>415204</v>
      </c>
      <c r="U86" s="1"/>
      <c r="V86" s="5">
        <f t="shared" si="65"/>
        <v>5.0280506089247279E-2</v>
      </c>
      <c r="W86" s="1"/>
      <c r="X86" s="1">
        <f t="shared" si="66"/>
        <v>-8308.8400000000256</v>
      </c>
      <c r="Y86" s="1"/>
      <c r="Z86" s="5">
        <f t="shared" si="67"/>
        <v>-2.001146424408249E-2</v>
      </c>
    </row>
    <row r="87" spans="1:26" s="24" customFormat="1" hidden="1" outlineLevel="2" x14ac:dyDescent="0.25">
      <c r="A87" s="25"/>
      <c r="B87" s="11" t="str">
        <f>CONCATENATE("          ", "6387", " - ", "COMMISSION DUE HOUSING")</f>
        <v xml:space="preserve">          6387 - COMMISSION DUE HOUSING</v>
      </c>
      <c r="C87" s="11"/>
      <c r="D87" s="6">
        <v>88207.73000000001</v>
      </c>
      <c r="E87" s="2"/>
      <c r="F87" s="7">
        <f t="shared" si="60"/>
        <v>5.1792577490509834E-2</v>
      </c>
      <c r="G87" s="2"/>
      <c r="H87" s="6">
        <v>82175</v>
      </c>
      <c r="I87" s="2"/>
      <c r="J87" s="7">
        <f t="shared" si="61"/>
        <v>5.0526539729815974E-2</v>
      </c>
      <c r="K87" s="2"/>
      <c r="L87" s="6">
        <f t="shared" si="62"/>
        <v>6032.7300000000105</v>
      </c>
      <c r="M87" s="2"/>
      <c r="N87" s="7">
        <f t="shared" si="63"/>
        <v>7.3413203529053978E-2</v>
      </c>
      <c r="O87" s="11"/>
      <c r="P87" s="6">
        <v>406895.16</v>
      </c>
      <c r="Q87" s="2"/>
      <c r="R87" s="7">
        <f t="shared" si="64"/>
        <v>5.1117036871857015E-2</v>
      </c>
      <c r="S87" s="2"/>
      <c r="T87" s="6">
        <v>415204</v>
      </c>
      <c r="U87" s="2"/>
      <c r="V87" s="7">
        <f t="shared" si="65"/>
        <v>5.0280506089247279E-2</v>
      </c>
      <c r="W87" s="2"/>
      <c r="X87" s="6">
        <f t="shared" si="66"/>
        <v>-8308.8400000000256</v>
      </c>
      <c r="Y87" s="2"/>
      <c r="Z87" s="7">
        <f t="shared" si="67"/>
        <v>-2.001146424408249E-2</v>
      </c>
    </row>
    <row r="88" spans="1:26" s="26" customFormat="1" outlineLevel="1" collapsed="1" x14ac:dyDescent="0.25">
      <c r="A88" s="27"/>
      <c r="B88" s="13" t="str">
        <f>CONCATENATE("     ","Rent                                              ")</f>
        <v xml:space="preserve">     Rent                                              </v>
      </c>
      <c r="C88" s="13"/>
      <c r="D88" s="1">
        <f>SUM(OSRRefD22_15x_0)</f>
        <v>1850</v>
      </c>
      <c r="E88" s="1"/>
      <c r="F88" s="5">
        <f t="shared" si="60"/>
        <v>1.0862570475109515E-3</v>
      </c>
      <c r="G88" s="1"/>
      <c r="H88" s="1">
        <f>SUM(OSRRefH22_15x_0)</f>
        <v>1850</v>
      </c>
      <c r="I88" s="1"/>
      <c r="J88" s="5">
        <f t="shared" si="61"/>
        <v>1.1375004380913848E-3</v>
      </c>
      <c r="K88" s="1"/>
      <c r="L88" s="1">
        <f t="shared" si="62"/>
        <v>0</v>
      </c>
      <c r="M88" s="1"/>
      <c r="N88" s="5">
        <f t="shared" si="63"/>
        <v>0</v>
      </c>
      <c r="O88" s="13"/>
      <c r="P88" s="1">
        <f>SUM(OSRRefP22_15x_0)</f>
        <v>9250</v>
      </c>
      <c r="Q88" s="1"/>
      <c r="R88" s="5">
        <f t="shared" si="64"/>
        <v>1.1620501729847988E-3</v>
      </c>
      <c r="S88" s="1"/>
      <c r="T88" s="1">
        <f>SUM(OSRRefT22_15x_0)</f>
        <v>9250</v>
      </c>
      <c r="U88" s="1"/>
      <c r="V88" s="5">
        <f t="shared" si="65"/>
        <v>1.1201594428896092E-3</v>
      </c>
      <c r="W88" s="1"/>
      <c r="X88" s="1">
        <f t="shared" si="66"/>
        <v>0</v>
      </c>
      <c r="Y88" s="1"/>
      <c r="Z88" s="5">
        <f t="shared" si="67"/>
        <v>0</v>
      </c>
    </row>
    <row r="89" spans="1:26" s="24" customFormat="1" hidden="1" outlineLevel="2" x14ac:dyDescent="0.25">
      <c r="A89" s="25"/>
      <c r="B89" s="11" t="str">
        <f>CONCATENATE("          ", "6273", " - ", "RENT")</f>
        <v xml:space="preserve">          6273 - RENT</v>
      </c>
      <c r="C89" s="11"/>
      <c r="D89" s="6">
        <v>1850</v>
      </c>
      <c r="E89" s="2"/>
      <c r="F89" s="7">
        <f t="shared" si="60"/>
        <v>1.0862570475109515E-3</v>
      </c>
      <c r="G89" s="2"/>
      <c r="H89" s="6">
        <v>1850</v>
      </c>
      <c r="I89" s="2"/>
      <c r="J89" s="7">
        <f t="shared" si="61"/>
        <v>1.1375004380913848E-3</v>
      </c>
      <c r="K89" s="2"/>
      <c r="L89" s="6">
        <f t="shared" si="62"/>
        <v>0</v>
      </c>
      <c r="M89" s="2"/>
      <c r="N89" s="7">
        <f t="shared" si="63"/>
        <v>0</v>
      </c>
      <c r="O89" s="11"/>
      <c r="P89" s="6">
        <v>9250</v>
      </c>
      <c r="Q89" s="2"/>
      <c r="R89" s="7">
        <f t="shared" si="64"/>
        <v>1.1620501729847988E-3</v>
      </c>
      <c r="S89" s="2"/>
      <c r="T89" s="6">
        <v>9250</v>
      </c>
      <c r="U89" s="2"/>
      <c r="V89" s="7">
        <f t="shared" si="65"/>
        <v>1.1201594428896092E-3</v>
      </c>
      <c r="W89" s="2"/>
      <c r="X89" s="6">
        <f t="shared" si="66"/>
        <v>0</v>
      </c>
      <c r="Y89" s="2"/>
      <c r="Z89" s="7">
        <f t="shared" si="67"/>
        <v>0</v>
      </c>
    </row>
    <row r="90" spans="1:26" s="26" customFormat="1" outlineLevel="1" collapsed="1" x14ac:dyDescent="0.25">
      <c r="A90" s="27"/>
      <c r="B90" s="13" t="str">
        <f>CONCATENATE("     ","Repair and Maintenance                            ")</f>
        <v xml:space="preserve">     Repair and Maintenance                            </v>
      </c>
      <c r="C90" s="13"/>
      <c r="D90" s="1">
        <f>SUM(OSRRefD22_16x_0)</f>
        <v>29158.249999999996</v>
      </c>
      <c r="E90" s="1"/>
      <c r="F90" s="5">
        <f t="shared" si="60"/>
        <v>1.7120732192208755E-2</v>
      </c>
      <c r="G90" s="1"/>
      <c r="H90" s="1">
        <f>SUM(OSRRefH22_16x_0)</f>
        <v>20562</v>
      </c>
      <c r="I90" s="1"/>
      <c r="J90" s="5">
        <f t="shared" si="61"/>
        <v>1.264285622055949E-2</v>
      </c>
      <c r="K90" s="1"/>
      <c r="L90" s="1">
        <f t="shared" si="62"/>
        <v>8596.2499999999964</v>
      </c>
      <c r="M90" s="1"/>
      <c r="N90" s="5">
        <f t="shared" si="63"/>
        <v>0.41806487695749422</v>
      </c>
      <c r="O90" s="13"/>
      <c r="P90" s="1">
        <f>SUM(OSRRefP22_16x_0)</f>
        <v>142114.77000000002</v>
      </c>
      <c r="Q90" s="1"/>
      <c r="R90" s="5">
        <f t="shared" si="64"/>
        <v>1.7853458709426479E-2</v>
      </c>
      <c r="S90" s="1"/>
      <c r="T90" s="1">
        <f>SUM(OSRRefT22_16x_0)</f>
        <v>123578</v>
      </c>
      <c r="U90" s="1"/>
      <c r="V90" s="5">
        <f t="shared" si="65"/>
        <v>1.496508796036888E-2</v>
      </c>
      <c r="W90" s="1"/>
      <c r="X90" s="1">
        <f t="shared" si="66"/>
        <v>18536.770000000019</v>
      </c>
      <c r="Y90" s="1"/>
      <c r="Z90" s="5">
        <f t="shared" si="67"/>
        <v>0.15000056644386556</v>
      </c>
    </row>
    <row r="91" spans="1:26" s="24" customFormat="1" hidden="1" outlineLevel="2" x14ac:dyDescent="0.25">
      <c r="A91" s="25"/>
      <c r="B91" s="11" t="str">
        <f>CONCATENATE("          ", "6371", " - ", "COMPUTER SOFTWARE MAINTENANCE")</f>
        <v xml:space="preserve">          6371 - COMPUTER SOFTWARE MAINTENANCE</v>
      </c>
      <c r="C91" s="11"/>
      <c r="D91" s="6">
        <v>16477.5</v>
      </c>
      <c r="E91" s="2"/>
      <c r="F91" s="7">
        <f t="shared" si="60"/>
        <v>9.6750272974928126E-3</v>
      </c>
      <c r="G91" s="2"/>
      <c r="H91" s="6">
        <v>1547</v>
      </c>
      <c r="I91" s="2"/>
      <c r="J91" s="7">
        <f t="shared" si="61"/>
        <v>9.5119631228506626E-4</v>
      </c>
      <c r="K91" s="2"/>
      <c r="L91" s="6">
        <f t="shared" si="62"/>
        <v>14930.5</v>
      </c>
      <c r="M91" s="2"/>
      <c r="N91" s="7">
        <f t="shared" si="63"/>
        <v>9.6512605042016801</v>
      </c>
      <c r="O91" s="11"/>
      <c r="P91" s="6">
        <v>33750.620000000003</v>
      </c>
      <c r="Q91" s="2"/>
      <c r="R91" s="7">
        <f t="shared" si="64"/>
        <v>4.2399906820912662E-3</v>
      </c>
      <c r="S91" s="2"/>
      <c r="T91" s="6">
        <v>8735</v>
      </c>
      <c r="U91" s="2"/>
      <c r="V91" s="7">
        <f t="shared" si="65"/>
        <v>1.0577938090422419E-3</v>
      </c>
      <c r="W91" s="2"/>
      <c r="X91" s="6">
        <f t="shared" si="66"/>
        <v>25015.620000000003</v>
      </c>
      <c r="Y91" s="2"/>
      <c r="Z91" s="7">
        <f t="shared" si="67"/>
        <v>2.8638374356038927</v>
      </c>
    </row>
    <row r="92" spans="1:26" s="24" customFormat="1" hidden="1" outlineLevel="2" x14ac:dyDescent="0.25">
      <c r="A92" s="25"/>
      <c r="B92" s="11" t="str">
        <f>CONCATENATE("          ", "6372", " - ", "COMPUTER HARDWARE MAINTENANCE")</f>
        <v xml:space="preserve">          6372 - COMPUTER HARDWARE MAINTENANCE</v>
      </c>
      <c r="C92" s="11"/>
      <c r="D92" s="6"/>
      <c r="E92" s="2"/>
      <c r="F92" s="7">
        <f t="shared" si="60"/>
        <v>0</v>
      </c>
      <c r="G92" s="2"/>
      <c r="H92" s="6"/>
      <c r="I92" s="2"/>
      <c r="J92" s="7">
        <f t="shared" si="61"/>
        <v>0</v>
      </c>
      <c r="K92" s="2"/>
      <c r="L92" s="6">
        <f t="shared" si="62"/>
        <v>0</v>
      </c>
      <c r="M92" s="2"/>
      <c r="N92" s="7">
        <f t="shared" si="63"/>
        <v>0</v>
      </c>
      <c r="O92" s="11"/>
      <c r="P92" s="6"/>
      <c r="Q92" s="2"/>
      <c r="R92" s="7">
        <f t="shared" si="64"/>
        <v>0</v>
      </c>
      <c r="S92" s="2"/>
      <c r="T92" s="6">
        <v>270</v>
      </c>
      <c r="U92" s="2"/>
      <c r="V92" s="7">
        <f t="shared" si="65"/>
        <v>3.2696545900561571E-5</v>
      </c>
      <c r="W92" s="2"/>
      <c r="X92" s="6">
        <f t="shared" si="66"/>
        <v>-270</v>
      </c>
      <c r="Y92" s="2"/>
      <c r="Z92" s="7">
        <f t="shared" si="67"/>
        <v>-1</v>
      </c>
    </row>
    <row r="93" spans="1:26" s="24" customFormat="1" hidden="1" outlineLevel="2" x14ac:dyDescent="0.25">
      <c r="A93" s="25"/>
      <c r="B93" s="11" t="str">
        <f>CONCATENATE("          ", "6373", " - ", "MAINTENANCE CONTRACTS")</f>
        <v xml:space="preserve">          6373 - MAINTENANCE CONTRACTS</v>
      </c>
      <c r="C93" s="11"/>
      <c r="D93" s="6">
        <v>8630.8799999999992</v>
      </c>
      <c r="E93" s="2"/>
      <c r="F93" s="7">
        <f t="shared" si="60"/>
        <v>5.0677590412007137E-3</v>
      </c>
      <c r="G93" s="2"/>
      <c r="H93" s="6">
        <v>4055</v>
      </c>
      <c r="I93" s="2"/>
      <c r="J93" s="7">
        <f t="shared" si="61"/>
        <v>2.4932779872759818E-3</v>
      </c>
      <c r="K93" s="2"/>
      <c r="L93" s="6">
        <f t="shared" si="62"/>
        <v>4575.8799999999992</v>
      </c>
      <c r="M93" s="2"/>
      <c r="N93" s="7">
        <f t="shared" si="63"/>
        <v>1.1284537607891489</v>
      </c>
      <c r="O93" s="11"/>
      <c r="P93" s="6">
        <v>41326.92</v>
      </c>
      <c r="Q93" s="2"/>
      <c r="R93" s="7">
        <f t="shared" si="64"/>
        <v>5.1917788686409666E-3</v>
      </c>
      <c r="S93" s="2"/>
      <c r="T93" s="6">
        <v>15148</v>
      </c>
      <c r="U93" s="2"/>
      <c r="V93" s="7">
        <f t="shared" si="65"/>
        <v>1.8343973233396543E-3</v>
      </c>
      <c r="W93" s="2"/>
      <c r="X93" s="6">
        <f t="shared" si="66"/>
        <v>26178.92</v>
      </c>
      <c r="Y93" s="2"/>
      <c r="Z93" s="7">
        <f t="shared" si="67"/>
        <v>1.7282096646421969</v>
      </c>
    </row>
    <row r="94" spans="1:26" s="24" customFormat="1" hidden="1" outlineLevel="2" x14ac:dyDescent="0.25">
      <c r="A94" s="25"/>
      <c r="B94" s="11" t="str">
        <f>CONCATENATE("          ", "6375", " - ", "OUTSIDE REPAIRS &amp; MAINTENANCE")</f>
        <v xml:space="preserve">          6375 - OUTSIDE REPAIRS &amp; MAINTENANCE</v>
      </c>
      <c r="C94" s="11"/>
      <c r="D94" s="6">
        <v>4049.87</v>
      </c>
      <c r="E94" s="2"/>
      <c r="F94" s="7">
        <f t="shared" si="60"/>
        <v>2.3779458535152309E-3</v>
      </c>
      <c r="G94" s="2"/>
      <c r="H94" s="6">
        <v>14960</v>
      </c>
      <c r="I94" s="2"/>
      <c r="J94" s="7">
        <f t="shared" si="61"/>
        <v>9.1983819209984427E-3</v>
      </c>
      <c r="K94" s="2"/>
      <c r="L94" s="6">
        <f t="shared" si="62"/>
        <v>-10910.130000000001</v>
      </c>
      <c r="M94" s="2"/>
      <c r="N94" s="7">
        <f t="shared" si="63"/>
        <v>-0.72928676470588238</v>
      </c>
      <c r="O94" s="11"/>
      <c r="P94" s="6">
        <v>67037.23</v>
      </c>
      <c r="Q94" s="2"/>
      <c r="R94" s="7">
        <f t="shared" si="64"/>
        <v>8.4216891586942413E-3</v>
      </c>
      <c r="S94" s="2"/>
      <c r="T94" s="6">
        <v>99425</v>
      </c>
      <c r="U94" s="2"/>
      <c r="V94" s="7">
        <f t="shared" si="65"/>
        <v>1.2040200282086423E-2</v>
      </c>
      <c r="W94" s="2"/>
      <c r="X94" s="6">
        <f t="shared" si="66"/>
        <v>-32387.770000000004</v>
      </c>
      <c r="Y94" s="2"/>
      <c r="Z94" s="7">
        <f t="shared" si="67"/>
        <v>-0.32575076690973098</v>
      </c>
    </row>
    <row r="95" spans="1:26" s="26" customFormat="1" outlineLevel="1" collapsed="1" x14ac:dyDescent="0.25">
      <c r="A95" s="27"/>
      <c r="B95" s="13" t="str">
        <f>CONCATENATE("     ","Royalty &amp; Commissions                             ")</f>
        <v xml:space="preserve">     Royalty &amp; Commissions                             </v>
      </c>
      <c r="C95" s="13"/>
      <c r="D95" s="1">
        <f>SUM(OSRRefD22_17x_0)</f>
        <v>22370.73</v>
      </c>
      <c r="E95" s="1"/>
      <c r="F95" s="5">
        <f t="shared" ref="F95:F98" si="68">IF(D$12=0,0,D95/D$12)</f>
        <v>1.3135331416467388E-2</v>
      </c>
      <c r="G95" s="1"/>
      <c r="H95" s="1">
        <f>SUM(OSRRefH22_17x_0)</f>
        <v>24840</v>
      </c>
      <c r="I95" s="1"/>
      <c r="J95" s="5">
        <f t="shared" ref="J95:J98" si="69">IF(H$12=0,0,H95/H$12)</f>
        <v>1.527324912550811E-2</v>
      </c>
      <c r="K95" s="1"/>
      <c r="L95" s="1">
        <f t="shared" ref="L95:L98" si="70">+D95-H95</f>
        <v>-2469.2700000000004</v>
      </c>
      <c r="M95" s="1"/>
      <c r="N95" s="5">
        <f t="shared" ref="N95:N98" si="71">IF(H95=0,0,L95/H95)</f>
        <v>-9.9407004830917897E-2</v>
      </c>
      <c r="O95" s="13"/>
      <c r="P95" s="1">
        <f>SUM(OSRRefP22_17x_0)</f>
        <v>114719.6</v>
      </c>
      <c r="Q95" s="1"/>
      <c r="R95" s="5">
        <f t="shared" ref="R95:R98" si="72">IF(P$12=0,0,P95/P$12)</f>
        <v>1.4411884435107776E-2</v>
      </c>
      <c r="S95" s="1"/>
      <c r="T95" s="1">
        <f>SUM(OSRRefT22_17x_0)</f>
        <v>106141</v>
      </c>
      <c r="U95" s="1"/>
      <c r="V95" s="5">
        <f t="shared" ref="V95:V98" si="73">IF(T$12=0,0,T95/T$12)</f>
        <v>1.2853496586783354E-2</v>
      </c>
      <c r="W95" s="1"/>
      <c r="X95" s="1">
        <f t="shared" ref="X95:X98" si="74">+P95-T95</f>
        <v>8578.6000000000058</v>
      </c>
      <c r="Y95" s="1"/>
      <c r="Z95" s="5">
        <f t="shared" ref="Z95:Z98" si="75">IF(T95=0,0,X95/T95)</f>
        <v>8.0822679266259093E-2</v>
      </c>
    </row>
    <row r="96" spans="1:26" s="24" customFormat="1" hidden="1" outlineLevel="2" x14ac:dyDescent="0.25">
      <c r="A96" s="25"/>
      <c r="B96" s="11" t="str">
        <f>CONCATENATE("          ", "6253", " - ", "ROYALTY DUE ATHLETICS-LRG")</f>
        <v xml:space="preserve">          6253 - ROYALTY DUE ATHLETICS-LRG</v>
      </c>
      <c r="C96" s="11"/>
      <c r="D96" s="6"/>
      <c r="E96" s="2"/>
      <c r="F96" s="7">
        <f t="shared" si="68"/>
        <v>0</v>
      </c>
      <c r="G96" s="2"/>
      <c r="H96" s="6">
        <v>10000</v>
      </c>
      <c r="I96" s="2"/>
      <c r="J96" s="7">
        <f t="shared" si="69"/>
        <v>6.1486510167101886E-3</v>
      </c>
      <c r="K96" s="2"/>
      <c r="L96" s="6">
        <f t="shared" si="70"/>
        <v>-10000</v>
      </c>
      <c r="M96" s="2"/>
      <c r="N96" s="7">
        <f t="shared" si="71"/>
        <v>-1</v>
      </c>
      <c r="O96" s="11"/>
      <c r="P96" s="6"/>
      <c r="Q96" s="2"/>
      <c r="R96" s="7">
        <f t="shared" si="72"/>
        <v>0</v>
      </c>
      <c r="S96" s="2"/>
      <c r="T96" s="6">
        <v>27000</v>
      </c>
      <c r="U96" s="2"/>
      <c r="V96" s="7">
        <f t="shared" si="73"/>
        <v>3.269654590056157E-3</v>
      </c>
      <c r="W96" s="2"/>
      <c r="X96" s="6">
        <f t="shared" si="74"/>
        <v>-27000</v>
      </c>
      <c r="Y96" s="2"/>
      <c r="Z96" s="7">
        <f t="shared" si="75"/>
        <v>-1</v>
      </c>
    </row>
    <row r="97" spans="1:26" s="24" customFormat="1" hidden="1" outlineLevel="2" x14ac:dyDescent="0.25">
      <c r="A97" s="25"/>
      <c r="B97" s="11" t="str">
        <f>CONCATENATE("          ", "6254", " - ", "ROYALTY &amp; COMMISSIONS")</f>
        <v xml:space="preserve">          6254 - ROYALTY &amp; COMMISSIONS</v>
      </c>
      <c r="C97" s="11"/>
      <c r="D97" s="6">
        <v>8007.21</v>
      </c>
      <c r="E97" s="2"/>
      <c r="F97" s="7">
        <f t="shared" si="68"/>
        <v>4.7015612396757653E-3</v>
      </c>
      <c r="G97" s="2"/>
      <c r="H97" s="6">
        <v>1000</v>
      </c>
      <c r="I97" s="2"/>
      <c r="J97" s="7">
        <f t="shared" si="69"/>
        <v>6.1486510167101886E-4</v>
      </c>
      <c r="K97" s="2"/>
      <c r="L97" s="6">
        <f t="shared" si="70"/>
        <v>7007.21</v>
      </c>
      <c r="M97" s="2"/>
      <c r="N97" s="7">
        <f t="shared" si="71"/>
        <v>7.0072099999999997</v>
      </c>
      <c r="O97" s="11"/>
      <c r="P97" s="6">
        <v>52986.720000000001</v>
      </c>
      <c r="Q97" s="2"/>
      <c r="R97" s="7">
        <f t="shared" si="72"/>
        <v>6.6565650964213081E-3</v>
      </c>
      <c r="S97" s="2"/>
      <c r="T97" s="6">
        <v>5117</v>
      </c>
      <c r="U97" s="2"/>
      <c r="V97" s="7">
        <f t="shared" si="73"/>
        <v>6.1966009397471686E-4</v>
      </c>
      <c r="W97" s="2"/>
      <c r="X97" s="6">
        <f t="shared" si="74"/>
        <v>47869.72</v>
      </c>
      <c r="Y97" s="2"/>
      <c r="Z97" s="7">
        <f t="shared" si="75"/>
        <v>9.3550361539964833</v>
      </c>
    </row>
    <row r="98" spans="1:26" s="24" customFormat="1" hidden="1" outlineLevel="2" x14ac:dyDescent="0.25">
      <c r="A98" s="25"/>
      <c r="B98" s="11" t="str">
        <f>CONCATENATE("          ", "6259", " - ", "ROYALTY &amp; COMMISSIONS")</f>
        <v xml:space="preserve">          6259 - ROYALTY &amp; COMMISSIONS</v>
      </c>
      <c r="C98" s="11"/>
      <c r="D98" s="6">
        <v>14363.52</v>
      </c>
      <c r="E98" s="2"/>
      <c r="F98" s="7">
        <f t="shared" si="68"/>
        <v>8.4337701767916232E-3</v>
      </c>
      <c r="G98" s="2"/>
      <c r="H98" s="6">
        <v>13840</v>
      </c>
      <c r="I98" s="2"/>
      <c r="J98" s="7">
        <f t="shared" si="69"/>
        <v>8.5097330071269017E-3</v>
      </c>
      <c r="K98" s="2"/>
      <c r="L98" s="6">
        <f t="shared" si="70"/>
        <v>523.52000000000044</v>
      </c>
      <c r="M98" s="2"/>
      <c r="N98" s="7">
        <f t="shared" si="71"/>
        <v>3.7826589595375756E-2</v>
      </c>
      <c r="O98" s="11"/>
      <c r="P98" s="6">
        <v>61732.88</v>
      </c>
      <c r="Q98" s="2"/>
      <c r="R98" s="7">
        <f t="shared" si="72"/>
        <v>7.755319338686467E-3</v>
      </c>
      <c r="S98" s="2"/>
      <c r="T98" s="6">
        <v>74024</v>
      </c>
      <c r="U98" s="2"/>
      <c r="V98" s="7">
        <f t="shared" si="73"/>
        <v>8.9641819027524803E-3</v>
      </c>
      <c r="W98" s="2"/>
      <c r="X98" s="6">
        <f t="shared" si="74"/>
        <v>-12291.120000000003</v>
      </c>
      <c r="Y98" s="2"/>
      <c r="Z98" s="7">
        <f t="shared" si="75"/>
        <v>-0.16604236463849567</v>
      </c>
    </row>
    <row r="99" spans="1:26" s="26" customFormat="1" outlineLevel="1" collapsed="1" x14ac:dyDescent="0.25">
      <c r="A99" s="27"/>
      <c r="B99" s="13" t="str">
        <f>CONCATENATE("     ","Services                                          ")</f>
        <v xml:space="preserve">     Services                                          </v>
      </c>
      <c r="C99" s="13"/>
      <c r="D99" s="1">
        <f>SUM(OSRRefD22_18x_0)</f>
        <v>38464.04</v>
      </c>
      <c r="E99" s="1"/>
      <c r="F99" s="5">
        <f t="shared" ref="F99:F104" si="76">IF(D$12=0,0,D99/D$12)</f>
        <v>2.2584775419320618E-2</v>
      </c>
      <c r="G99" s="1"/>
      <c r="H99" s="1">
        <f>SUM(OSRRefH22_18x_0)</f>
        <v>41576</v>
      </c>
      <c r="I99" s="1"/>
      <c r="J99" s="5">
        <f t="shared" ref="J99:J104" si="77">IF(H$12=0,0,H99/H$12)</f>
        <v>2.5563631467074282E-2</v>
      </c>
      <c r="K99" s="1"/>
      <c r="L99" s="1">
        <f t="shared" ref="L99:L104" si="78">+D99-H99</f>
        <v>-3111.9599999999991</v>
      </c>
      <c r="M99" s="1"/>
      <c r="N99" s="5">
        <f t="shared" ref="N99:N104" si="79">IF(H99=0,0,L99/H99)</f>
        <v>-7.4849913411583591E-2</v>
      </c>
      <c r="O99" s="13"/>
      <c r="P99" s="1">
        <f>SUM(OSRRefP22_18x_0)</f>
        <v>198607.78999999998</v>
      </c>
      <c r="Q99" s="1"/>
      <c r="R99" s="5">
        <f t="shared" ref="R99:R104" si="80">IF(P$12=0,0,P99/P$12)</f>
        <v>2.4950509916284169E-2</v>
      </c>
      <c r="S99" s="1"/>
      <c r="T99" s="1">
        <f>SUM(OSRRefT22_18x_0)</f>
        <v>204531</v>
      </c>
      <c r="U99" s="1"/>
      <c r="V99" s="5">
        <f t="shared" ref="V99:V104" si="81">IF(T$12=0,0,T99/T$12)</f>
        <v>2.4768360109584289E-2</v>
      </c>
      <c r="W99" s="1"/>
      <c r="X99" s="1">
        <f t="shared" ref="X99:X104" si="82">+P99-T99</f>
        <v>-5923.210000000021</v>
      </c>
      <c r="Y99" s="1"/>
      <c r="Z99" s="5">
        <f t="shared" ref="Z99:Z104" si="83">IF(T99=0,0,X99/T99)</f>
        <v>-2.8959962059541201E-2</v>
      </c>
    </row>
    <row r="100" spans="1:26" s="24" customFormat="1" hidden="1" outlineLevel="2" x14ac:dyDescent="0.25">
      <c r="A100" s="25"/>
      <c r="B100" s="11" t="str">
        <f>CONCATENATE("          ", "6282", " - ", "JANITORIAL/EXTERMINATOR EXPENS")</f>
        <v xml:space="preserve">          6282 - JANITORIAL/EXTERMINATOR EXPENS</v>
      </c>
      <c r="C100" s="11"/>
      <c r="D100" s="6">
        <v>2785.87</v>
      </c>
      <c r="E100" s="2"/>
      <c r="F100" s="7">
        <f t="shared" si="76"/>
        <v>1.6357680653780187E-3</v>
      </c>
      <c r="G100" s="2"/>
      <c r="H100" s="6">
        <v>2985</v>
      </c>
      <c r="I100" s="2"/>
      <c r="J100" s="7">
        <f t="shared" si="77"/>
        <v>1.8353723284879914E-3</v>
      </c>
      <c r="K100" s="2"/>
      <c r="L100" s="6">
        <f t="shared" si="78"/>
        <v>-199.13000000000011</v>
      </c>
      <c r="M100" s="2"/>
      <c r="N100" s="7">
        <f t="shared" si="79"/>
        <v>-6.6710217755443918E-2</v>
      </c>
      <c r="O100" s="11"/>
      <c r="P100" s="6">
        <v>14199.35</v>
      </c>
      <c r="Q100" s="2"/>
      <c r="R100" s="7">
        <f t="shared" si="80"/>
        <v>1.783822391759103E-3</v>
      </c>
      <c r="S100" s="2"/>
      <c r="T100" s="6">
        <v>14710</v>
      </c>
      <c r="U100" s="2"/>
      <c r="V100" s="7">
        <f t="shared" si="81"/>
        <v>1.7813562599898543E-3</v>
      </c>
      <c r="W100" s="2"/>
      <c r="X100" s="6">
        <f t="shared" si="82"/>
        <v>-510.64999999999964</v>
      </c>
      <c r="Y100" s="2"/>
      <c r="Z100" s="7">
        <f t="shared" si="83"/>
        <v>-3.4714479945615204E-2</v>
      </c>
    </row>
    <row r="101" spans="1:26" s="24" customFormat="1" hidden="1" outlineLevel="2" x14ac:dyDescent="0.25">
      <c r="A101" s="25"/>
      <c r="B101" s="11" t="str">
        <f>CONCATENATE("          ", "6283", " - ", "PLANT SERVICE")</f>
        <v xml:space="preserve">          6283 - PLANT SERVICE</v>
      </c>
      <c r="C101" s="11"/>
      <c r="D101" s="6">
        <v>199.78</v>
      </c>
      <c r="E101" s="2"/>
      <c r="F101" s="7">
        <f t="shared" si="76"/>
        <v>1.1730401781175022E-4</v>
      </c>
      <c r="G101" s="2"/>
      <c r="H101" s="6">
        <v>185</v>
      </c>
      <c r="I101" s="2"/>
      <c r="J101" s="7">
        <f t="shared" si="77"/>
        <v>1.137500438091385E-4</v>
      </c>
      <c r="K101" s="2"/>
      <c r="L101" s="6">
        <f t="shared" si="78"/>
        <v>14.780000000000001</v>
      </c>
      <c r="M101" s="2"/>
      <c r="N101" s="7">
        <f t="shared" si="79"/>
        <v>7.98918918918919E-2</v>
      </c>
      <c r="O101" s="11"/>
      <c r="P101" s="6">
        <v>799.12</v>
      </c>
      <c r="Q101" s="2"/>
      <c r="R101" s="7">
        <f t="shared" si="80"/>
        <v>1.0039108478222837E-4</v>
      </c>
      <c r="S101" s="2"/>
      <c r="T101" s="6">
        <v>890</v>
      </c>
      <c r="U101" s="2"/>
      <c r="V101" s="7">
        <f t="shared" si="81"/>
        <v>1.0777750315370296E-4</v>
      </c>
      <c r="W101" s="2"/>
      <c r="X101" s="6">
        <f t="shared" si="82"/>
        <v>-90.88</v>
      </c>
      <c r="Y101" s="2"/>
      <c r="Z101" s="7">
        <f t="shared" si="83"/>
        <v>-0.10211235955056179</v>
      </c>
    </row>
    <row r="102" spans="1:26" s="24" customFormat="1" hidden="1" outlineLevel="2" x14ac:dyDescent="0.25">
      <c r="A102" s="25"/>
      <c r="B102" s="11" t="str">
        <f>CONCATENATE("          ", "6284", " - ", "TRASH REMOVAL EXPENSE")</f>
        <v xml:space="preserve">          6284 - TRASH REMOVAL EXPENSE</v>
      </c>
      <c r="C102" s="11"/>
      <c r="D102" s="6">
        <v>4199</v>
      </c>
      <c r="E102" s="2"/>
      <c r="F102" s="7">
        <f t="shared" si="76"/>
        <v>2.4655099148640463E-3</v>
      </c>
      <c r="G102" s="2"/>
      <c r="H102" s="6">
        <v>4065</v>
      </c>
      <c r="I102" s="2"/>
      <c r="J102" s="7">
        <f t="shared" si="77"/>
        <v>2.4994266382926916E-3</v>
      </c>
      <c r="K102" s="2"/>
      <c r="L102" s="6">
        <f t="shared" si="78"/>
        <v>134</v>
      </c>
      <c r="M102" s="2"/>
      <c r="N102" s="7">
        <f t="shared" si="79"/>
        <v>3.2964329643296431E-2</v>
      </c>
      <c r="O102" s="11"/>
      <c r="P102" s="6">
        <v>13220</v>
      </c>
      <c r="Q102" s="2"/>
      <c r="R102" s="7">
        <f t="shared" si="80"/>
        <v>1.6607895445253016E-3</v>
      </c>
      <c r="S102" s="2"/>
      <c r="T102" s="6">
        <v>20275</v>
      </c>
      <c r="U102" s="2"/>
      <c r="V102" s="7">
        <f t="shared" si="81"/>
        <v>2.4552684004958735E-3</v>
      </c>
      <c r="W102" s="2"/>
      <c r="X102" s="6">
        <f t="shared" si="82"/>
        <v>-7055</v>
      </c>
      <c r="Y102" s="2"/>
      <c r="Z102" s="7">
        <f t="shared" si="83"/>
        <v>-0.34796547472256473</v>
      </c>
    </row>
    <row r="103" spans="1:26" s="24" customFormat="1" hidden="1" outlineLevel="2" x14ac:dyDescent="0.25">
      <c r="A103" s="25"/>
      <c r="B103" s="11" t="str">
        <f>CONCATENATE("          ", "6285", " - ", "JANITORIAL SERVICES")</f>
        <v xml:space="preserve">          6285 - JANITORIAL SERVICES</v>
      </c>
      <c r="C103" s="11"/>
      <c r="D103" s="6">
        <v>24757.47</v>
      </c>
      <c r="E103" s="2"/>
      <c r="F103" s="7">
        <f t="shared" si="76"/>
        <v>1.4536743927589708E-2</v>
      </c>
      <c r="G103" s="2"/>
      <c r="H103" s="6">
        <v>24953</v>
      </c>
      <c r="I103" s="2"/>
      <c r="J103" s="7">
        <f t="shared" si="77"/>
        <v>1.5342728881996934E-2</v>
      </c>
      <c r="K103" s="2"/>
      <c r="L103" s="6">
        <f t="shared" si="78"/>
        <v>-195.52999999999884</v>
      </c>
      <c r="M103" s="2"/>
      <c r="N103" s="7">
        <f t="shared" si="79"/>
        <v>-7.8359315513164291E-3</v>
      </c>
      <c r="O103" s="11"/>
      <c r="P103" s="6">
        <v>128974.31</v>
      </c>
      <c r="Q103" s="2"/>
      <c r="R103" s="7">
        <f t="shared" si="80"/>
        <v>1.6202661540118384E-2</v>
      </c>
      <c r="S103" s="2"/>
      <c r="T103" s="6">
        <v>125667</v>
      </c>
      <c r="U103" s="2"/>
      <c r="V103" s="7">
        <f t="shared" si="81"/>
        <v>1.5218062346984706E-2</v>
      </c>
      <c r="W103" s="2"/>
      <c r="X103" s="6">
        <f t="shared" si="82"/>
        <v>3307.3099999999977</v>
      </c>
      <c r="Y103" s="2"/>
      <c r="Z103" s="7">
        <f t="shared" si="83"/>
        <v>2.6318046901732339E-2</v>
      </c>
    </row>
    <row r="104" spans="1:26" s="24" customFormat="1" hidden="1" outlineLevel="2" x14ac:dyDescent="0.25">
      <c r="A104" s="25"/>
      <c r="B104" s="11" t="str">
        <f>CONCATENATE("          ", "6286", " - ", "LAUNDRY EXPENSE")</f>
        <v xml:space="preserve">          6286 - LAUNDRY EXPENSE</v>
      </c>
      <c r="C104" s="11"/>
      <c r="D104" s="6">
        <v>6521.92</v>
      </c>
      <c r="E104" s="2"/>
      <c r="F104" s="7">
        <f t="shared" si="76"/>
        <v>3.8294494936770944E-3</v>
      </c>
      <c r="G104" s="2"/>
      <c r="H104" s="6">
        <v>9388</v>
      </c>
      <c r="I104" s="2"/>
      <c r="J104" s="7">
        <f t="shared" si="77"/>
        <v>5.7723535744875253E-3</v>
      </c>
      <c r="K104" s="2"/>
      <c r="L104" s="6">
        <f t="shared" si="78"/>
        <v>-2866.08</v>
      </c>
      <c r="M104" s="2"/>
      <c r="N104" s="7">
        <f t="shared" si="79"/>
        <v>-0.30529186195142732</v>
      </c>
      <c r="O104" s="11"/>
      <c r="P104" s="6">
        <v>41415.009999999995</v>
      </c>
      <c r="Q104" s="2"/>
      <c r="R104" s="7">
        <f t="shared" si="80"/>
        <v>5.2028453550991534E-3</v>
      </c>
      <c r="S104" s="2"/>
      <c r="T104" s="6">
        <v>42989</v>
      </c>
      <c r="U104" s="2"/>
      <c r="V104" s="7">
        <f t="shared" si="81"/>
        <v>5.2058955989601526E-3</v>
      </c>
      <c r="W104" s="2"/>
      <c r="X104" s="6">
        <f t="shared" si="82"/>
        <v>-1573.9900000000052</v>
      </c>
      <c r="Y104" s="2"/>
      <c r="Z104" s="7">
        <f t="shared" si="83"/>
        <v>-3.6613784921724284E-2</v>
      </c>
    </row>
    <row r="105" spans="1:26" s="26" customFormat="1" outlineLevel="1" collapsed="1" x14ac:dyDescent="0.25">
      <c r="A105" s="27"/>
      <c r="B105" s="13" t="str">
        <f>CONCATENATE("     ","Subscriptions &amp; Dues                              ")</f>
        <v xml:space="preserve">     Subscriptions &amp; Dues                              </v>
      </c>
      <c r="C105" s="13"/>
      <c r="D105" s="1">
        <f>SUM(OSRRefD22_19x_0)</f>
        <v>454.78</v>
      </c>
      <c r="E105" s="1"/>
      <c r="F105" s="5">
        <f t="shared" ref="F105:F117" si="84">IF(D$12=0,0,D105/D$12)</f>
        <v>2.6703134057677326E-4</v>
      </c>
      <c r="G105" s="1"/>
      <c r="H105" s="1">
        <f>SUM(OSRRefH22_19x_0)</f>
        <v>219</v>
      </c>
      <c r="I105" s="1"/>
      <c r="J105" s="5">
        <f t="shared" ref="J105:J117" si="85">IF(H$12=0,0,H105/H$12)</f>
        <v>1.3465545726595315E-4</v>
      </c>
      <c r="K105" s="1"/>
      <c r="L105" s="1">
        <f t="shared" ref="L105:L117" si="86">+D105-H105</f>
        <v>235.77999999999997</v>
      </c>
      <c r="M105" s="1"/>
      <c r="N105" s="5">
        <f t="shared" ref="N105:N117" si="87">IF(H105=0,0,L105/H105)</f>
        <v>1.0766210045662099</v>
      </c>
      <c r="O105" s="13"/>
      <c r="P105" s="1">
        <f>SUM(OSRRefP22_19x_0)</f>
        <v>2151.1799999999998</v>
      </c>
      <c r="Q105" s="1"/>
      <c r="R105" s="5">
        <f t="shared" ref="R105:R117" si="88">IF(P$12=0,0,P105/P$12)</f>
        <v>2.702463882293448E-4</v>
      </c>
      <c r="S105" s="1"/>
      <c r="T105" s="1">
        <f>SUM(OSRRefT22_19x_0)</f>
        <v>1795</v>
      </c>
      <c r="U105" s="1"/>
      <c r="V105" s="5">
        <f t="shared" ref="V105:V117" si="89">IF(T$12=0,0,T105/T$12)</f>
        <v>2.1737148107965932E-4</v>
      </c>
      <c r="W105" s="1"/>
      <c r="X105" s="1">
        <f t="shared" ref="X105:X117" si="90">+P105-T105</f>
        <v>356.17999999999984</v>
      </c>
      <c r="Y105" s="1"/>
      <c r="Z105" s="5">
        <f t="shared" ref="Z105:Z117" si="91">IF(T105=0,0,X105/T105)</f>
        <v>0.19842896935933138</v>
      </c>
    </row>
    <row r="106" spans="1:26" s="24" customFormat="1" hidden="1" outlineLevel="2" x14ac:dyDescent="0.25">
      <c r="A106" s="25"/>
      <c r="B106" s="11" t="str">
        <f>CONCATENATE("          ", "6275", " - ", "SUBSCRIPTIONS")</f>
        <v xml:space="preserve">          6275 - SUBSCRIPTIONS</v>
      </c>
      <c r="C106" s="11"/>
      <c r="D106" s="6">
        <v>454.78</v>
      </c>
      <c r="E106" s="2"/>
      <c r="F106" s="7">
        <f t="shared" si="84"/>
        <v>2.6703134057677326E-4</v>
      </c>
      <c r="G106" s="2"/>
      <c r="H106" s="6">
        <v>219</v>
      </c>
      <c r="I106" s="2"/>
      <c r="J106" s="7">
        <f t="shared" si="85"/>
        <v>1.3465545726595315E-4</v>
      </c>
      <c r="K106" s="2"/>
      <c r="L106" s="6">
        <f t="shared" si="86"/>
        <v>235.77999999999997</v>
      </c>
      <c r="M106" s="2"/>
      <c r="N106" s="7">
        <f t="shared" si="87"/>
        <v>1.0766210045662099</v>
      </c>
      <c r="O106" s="11"/>
      <c r="P106" s="6">
        <v>2151.1799999999998</v>
      </c>
      <c r="Q106" s="2"/>
      <c r="R106" s="7">
        <f t="shared" si="88"/>
        <v>2.702463882293448E-4</v>
      </c>
      <c r="S106" s="2"/>
      <c r="T106" s="6">
        <v>1795</v>
      </c>
      <c r="U106" s="2"/>
      <c r="V106" s="7">
        <f t="shared" si="89"/>
        <v>2.1737148107965932E-4</v>
      </c>
      <c r="W106" s="2"/>
      <c r="X106" s="6">
        <f t="shared" si="90"/>
        <v>356.17999999999984</v>
      </c>
      <c r="Y106" s="2"/>
      <c r="Z106" s="7">
        <f t="shared" si="91"/>
        <v>0.19842896935933138</v>
      </c>
    </row>
    <row r="107" spans="1:26" s="26" customFormat="1" outlineLevel="1" collapsed="1" x14ac:dyDescent="0.25">
      <c r="A107" s="27"/>
      <c r="B107" s="13" t="str">
        <f>CONCATENATE("     ","Supplies                                          ")</f>
        <v xml:space="preserve">     Supplies                                          </v>
      </c>
      <c r="C107" s="13"/>
      <c r="D107" s="1">
        <f>SUM(OSRRefD22_20x_0)</f>
        <v>31866.7</v>
      </c>
      <c r="E107" s="1"/>
      <c r="F107" s="5">
        <f t="shared" si="84"/>
        <v>1.8711041868063372E-2</v>
      </c>
      <c r="G107" s="1"/>
      <c r="H107" s="1">
        <f>SUM(OSRRefH22_20x_0)</f>
        <v>33198.240000000005</v>
      </c>
      <c r="I107" s="1"/>
      <c r="J107" s="5">
        <f t="shared" si="85"/>
        <v>2.041243921289889E-2</v>
      </c>
      <c r="K107" s="1"/>
      <c r="L107" s="1">
        <f t="shared" si="86"/>
        <v>-1331.5400000000045</v>
      </c>
      <c r="M107" s="1"/>
      <c r="N107" s="5">
        <f t="shared" si="87"/>
        <v>-4.0108752753158131E-2</v>
      </c>
      <c r="O107" s="13"/>
      <c r="P107" s="1">
        <f>SUM(OSRRefP22_20x_0)</f>
        <v>228073.06000000003</v>
      </c>
      <c r="Q107" s="1"/>
      <c r="R107" s="5">
        <f t="shared" si="88"/>
        <v>2.8652144737964586E-2</v>
      </c>
      <c r="S107" s="1"/>
      <c r="T107" s="1">
        <f>SUM(OSRRefT22_20x_0)</f>
        <v>202691.33999999997</v>
      </c>
      <c r="U107" s="1"/>
      <c r="V107" s="5">
        <f t="shared" si="89"/>
        <v>2.4545580377616037E-2</v>
      </c>
      <c r="W107" s="1"/>
      <c r="X107" s="1">
        <f t="shared" si="90"/>
        <v>25381.720000000059</v>
      </c>
      <c r="Y107" s="1"/>
      <c r="Z107" s="5">
        <f t="shared" si="91"/>
        <v>0.12522350486212219</v>
      </c>
    </row>
    <row r="108" spans="1:26" s="24" customFormat="1" hidden="1" outlineLevel="2" x14ac:dyDescent="0.25">
      <c r="A108" s="25"/>
      <c r="B108" s="11" t="str">
        <f>CONCATENATE("          ", "6234", " - ", "EXPENDABLE SUPPLIES &amp; EQUIPMEN")</f>
        <v xml:space="preserve">          6234 - EXPENDABLE SUPPLIES &amp; EQUIPMEN</v>
      </c>
      <c r="C108" s="11"/>
      <c r="D108" s="6">
        <v>555.83000000000004</v>
      </c>
      <c r="E108" s="2"/>
      <c r="F108" s="7">
        <f t="shared" si="84"/>
        <v>3.2636446200973634E-4</v>
      </c>
      <c r="G108" s="2"/>
      <c r="H108" s="6">
        <v>900</v>
      </c>
      <c r="I108" s="2"/>
      <c r="J108" s="7">
        <f t="shared" si="85"/>
        <v>5.5337859150391701E-4</v>
      </c>
      <c r="K108" s="2"/>
      <c r="L108" s="6">
        <f t="shared" si="86"/>
        <v>-344.16999999999996</v>
      </c>
      <c r="M108" s="2"/>
      <c r="N108" s="7">
        <f t="shared" si="87"/>
        <v>-0.38241111111111109</v>
      </c>
      <c r="O108" s="11"/>
      <c r="P108" s="6">
        <v>12302.72</v>
      </c>
      <c r="Q108" s="2"/>
      <c r="R108" s="7">
        <f t="shared" si="88"/>
        <v>1.5455543680198424E-3</v>
      </c>
      <c r="S108" s="2"/>
      <c r="T108" s="6">
        <v>4250</v>
      </c>
      <c r="U108" s="2"/>
      <c r="V108" s="7">
        <f t="shared" si="89"/>
        <v>5.1466785213846917E-4</v>
      </c>
      <c r="W108" s="2"/>
      <c r="X108" s="6">
        <f t="shared" si="90"/>
        <v>8052.7199999999993</v>
      </c>
      <c r="Y108" s="2"/>
      <c r="Z108" s="7">
        <f t="shared" si="91"/>
        <v>1.8947576470588234</v>
      </c>
    </row>
    <row r="109" spans="1:26" s="24" customFormat="1" hidden="1" outlineLevel="2" x14ac:dyDescent="0.25">
      <c r="A109" s="25"/>
      <c r="B109" s="11" t="str">
        <f>CONCATENATE("          ", "6237", " - ", "JANITORIAL SUPPLIES")</f>
        <v xml:space="preserve">          6237 - JANITORIAL SUPPLIES</v>
      </c>
      <c r="C109" s="11"/>
      <c r="D109" s="6">
        <v>13258.98</v>
      </c>
      <c r="E109" s="2"/>
      <c r="F109" s="7">
        <f t="shared" si="84"/>
        <v>7.7852218744901376E-3</v>
      </c>
      <c r="G109" s="2"/>
      <c r="H109" s="6">
        <v>13416</v>
      </c>
      <c r="I109" s="2"/>
      <c r="J109" s="7">
        <f t="shared" si="85"/>
        <v>8.2490302040183899E-3</v>
      </c>
      <c r="K109" s="2"/>
      <c r="L109" s="6">
        <f t="shared" si="86"/>
        <v>-157.02000000000044</v>
      </c>
      <c r="M109" s="2"/>
      <c r="N109" s="7">
        <f t="shared" si="87"/>
        <v>-1.170393559928447E-2</v>
      </c>
      <c r="O109" s="11"/>
      <c r="P109" s="6">
        <v>69601.48</v>
      </c>
      <c r="Q109" s="2"/>
      <c r="R109" s="7">
        <f t="shared" si="88"/>
        <v>8.7438283107024867E-3</v>
      </c>
      <c r="S109" s="2"/>
      <c r="T109" s="6">
        <v>69405</v>
      </c>
      <c r="U109" s="2"/>
      <c r="V109" s="7">
        <f t="shared" si="89"/>
        <v>8.4048287712165763E-3</v>
      </c>
      <c r="W109" s="2"/>
      <c r="X109" s="6">
        <f t="shared" si="90"/>
        <v>196.47999999999593</v>
      </c>
      <c r="Y109" s="2"/>
      <c r="Z109" s="7">
        <f t="shared" si="91"/>
        <v>2.8309199625386632E-3</v>
      </c>
    </row>
    <row r="110" spans="1:26" s="24" customFormat="1" hidden="1" outlineLevel="2" x14ac:dyDescent="0.25">
      <c r="A110" s="25"/>
      <c r="B110" s="11" t="str">
        <f>CONCATENATE("          ", "6239", " - ", "KITCHEN SUPPLIES")</f>
        <v xml:space="preserve">          6239 - KITCHEN SUPPLIES</v>
      </c>
      <c r="C110" s="11"/>
      <c r="D110" s="6">
        <v>4934.26</v>
      </c>
      <c r="E110" s="2"/>
      <c r="F110" s="7">
        <f t="shared" si="84"/>
        <v>2.8972295671629124E-3</v>
      </c>
      <c r="G110" s="2"/>
      <c r="H110" s="6">
        <v>4042.95</v>
      </c>
      <c r="I110" s="2"/>
      <c r="J110" s="7">
        <f t="shared" si="85"/>
        <v>2.4858688628008455E-3</v>
      </c>
      <c r="K110" s="2"/>
      <c r="L110" s="6">
        <f t="shared" si="86"/>
        <v>891.3100000000004</v>
      </c>
      <c r="M110" s="2"/>
      <c r="N110" s="7">
        <f t="shared" si="87"/>
        <v>0.22046030744876896</v>
      </c>
      <c r="O110" s="11"/>
      <c r="P110" s="6">
        <v>51806.23</v>
      </c>
      <c r="Q110" s="2"/>
      <c r="R110" s="7">
        <f t="shared" si="88"/>
        <v>6.5082636252097601E-3</v>
      </c>
      <c r="S110" s="2"/>
      <c r="T110" s="6">
        <v>40327.71</v>
      </c>
      <c r="U110" s="2"/>
      <c r="V110" s="7">
        <f t="shared" si="89"/>
        <v>4.8836178558501328E-3</v>
      </c>
      <c r="W110" s="2"/>
      <c r="X110" s="6">
        <f t="shared" si="90"/>
        <v>11478.520000000004</v>
      </c>
      <c r="Y110" s="2"/>
      <c r="Z110" s="7">
        <f t="shared" si="91"/>
        <v>0.28463108864847531</v>
      </c>
    </row>
    <row r="111" spans="1:26" s="24" customFormat="1" hidden="1" outlineLevel="2" x14ac:dyDescent="0.25">
      <c r="A111" s="25"/>
      <c r="B111" s="11" t="str">
        <f>CONCATENATE("          ", "6241", " - ", "OFFICE EXPENSE")</f>
        <v xml:space="preserve">          6241 - OFFICE EXPENSE</v>
      </c>
      <c r="C111" s="11"/>
      <c r="D111" s="6">
        <v>3675.98</v>
      </c>
      <c r="E111" s="2"/>
      <c r="F111" s="7">
        <f t="shared" si="84"/>
        <v>2.1584103683834096E-3</v>
      </c>
      <c r="G111" s="2"/>
      <c r="H111" s="6">
        <v>2094</v>
      </c>
      <c r="I111" s="2"/>
      <c r="J111" s="7">
        <f t="shared" si="85"/>
        <v>1.2875275228991134E-3</v>
      </c>
      <c r="K111" s="2"/>
      <c r="L111" s="6">
        <f t="shared" si="86"/>
        <v>1581.98</v>
      </c>
      <c r="M111" s="2"/>
      <c r="N111" s="7">
        <f t="shared" si="87"/>
        <v>0.75548233046800384</v>
      </c>
      <c r="O111" s="11"/>
      <c r="P111" s="6">
        <v>39246.33</v>
      </c>
      <c r="Q111" s="2"/>
      <c r="R111" s="7">
        <f t="shared" si="88"/>
        <v>4.9304004935695677E-3</v>
      </c>
      <c r="S111" s="2"/>
      <c r="T111" s="6">
        <v>11267.25</v>
      </c>
      <c r="U111" s="2"/>
      <c r="V111" s="7">
        <f t="shared" si="89"/>
        <v>1.3644450251781568E-3</v>
      </c>
      <c r="W111" s="2"/>
      <c r="X111" s="6">
        <f t="shared" si="90"/>
        <v>27979.08</v>
      </c>
      <c r="Y111" s="2"/>
      <c r="Z111" s="7">
        <f t="shared" si="91"/>
        <v>2.4832217266857488</v>
      </c>
    </row>
    <row r="112" spans="1:26" s="24" customFormat="1" hidden="1" outlineLevel="2" x14ac:dyDescent="0.25">
      <c r="A112" s="25"/>
      <c r="B112" s="11" t="str">
        <f>CONCATENATE("          ", "6243", " - ", "PAPER SUPPLIES")</f>
        <v xml:space="preserve">          6243 - PAPER SUPPLIES</v>
      </c>
      <c r="C112" s="11"/>
      <c r="D112" s="6">
        <v>7359.61</v>
      </c>
      <c r="E112" s="2"/>
      <c r="F112" s="7">
        <f t="shared" si="84"/>
        <v>4.3213125564497698E-3</v>
      </c>
      <c r="G112" s="2"/>
      <c r="H112" s="6">
        <v>10488.52</v>
      </c>
      <c r="I112" s="2"/>
      <c r="J112" s="7">
        <f t="shared" si="85"/>
        <v>6.4490249161785152E-3</v>
      </c>
      <c r="K112" s="2"/>
      <c r="L112" s="6">
        <f t="shared" si="86"/>
        <v>-3128.9100000000008</v>
      </c>
      <c r="M112" s="2"/>
      <c r="N112" s="7">
        <f t="shared" si="87"/>
        <v>-0.29831758913555018</v>
      </c>
      <c r="O112" s="11"/>
      <c r="P112" s="6">
        <v>50085.89</v>
      </c>
      <c r="Q112" s="2"/>
      <c r="R112" s="7">
        <f t="shared" si="88"/>
        <v>6.2921423933619035E-3</v>
      </c>
      <c r="S112" s="2"/>
      <c r="T112" s="6">
        <v>52675.519999999997</v>
      </c>
      <c r="U112" s="2"/>
      <c r="V112" s="7">
        <f t="shared" si="89"/>
        <v>6.3789168796886996E-3</v>
      </c>
      <c r="W112" s="2"/>
      <c r="X112" s="6">
        <f t="shared" si="90"/>
        <v>-2589.6299999999974</v>
      </c>
      <c r="Y112" s="2"/>
      <c r="Z112" s="7">
        <f t="shared" si="91"/>
        <v>-4.9161925691478654E-2</v>
      </c>
    </row>
    <row r="113" spans="1:26" s="24" customFormat="1" hidden="1" outlineLevel="2" x14ac:dyDescent="0.25">
      <c r="A113" s="25"/>
      <c r="B113" s="11" t="str">
        <f>CONCATENATE("          ", "6244", " - ", "SAFETY SUPPLY EXPENSE")</f>
        <v xml:space="preserve">          6244 - SAFETY SUPPLY EXPENSE</v>
      </c>
      <c r="C113" s="11"/>
      <c r="D113" s="6"/>
      <c r="E113" s="2"/>
      <c r="F113" s="7">
        <f t="shared" si="84"/>
        <v>0</v>
      </c>
      <c r="G113" s="2"/>
      <c r="H113" s="6">
        <v>235</v>
      </c>
      <c r="I113" s="2"/>
      <c r="J113" s="7">
        <f t="shared" si="85"/>
        <v>1.4449329889268945E-4</v>
      </c>
      <c r="K113" s="2"/>
      <c r="L113" s="6">
        <f t="shared" si="86"/>
        <v>-235</v>
      </c>
      <c r="M113" s="2"/>
      <c r="N113" s="7">
        <f t="shared" si="87"/>
        <v>-1</v>
      </c>
      <c r="O113" s="11"/>
      <c r="P113" s="6"/>
      <c r="Q113" s="2"/>
      <c r="R113" s="7">
        <f t="shared" si="88"/>
        <v>0</v>
      </c>
      <c r="S113" s="2"/>
      <c r="T113" s="6">
        <v>1175</v>
      </c>
      <c r="U113" s="2"/>
      <c r="V113" s="7">
        <f t="shared" si="89"/>
        <v>1.4229052382651794E-4</v>
      </c>
      <c r="W113" s="2"/>
      <c r="X113" s="6">
        <f t="shared" si="90"/>
        <v>-1175</v>
      </c>
      <c r="Y113" s="2"/>
      <c r="Z113" s="7">
        <f t="shared" si="91"/>
        <v>-1</v>
      </c>
    </row>
    <row r="114" spans="1:26" s="24" customFormat="1" hidden="1" outlineLevel="2" x14ac:dyDescent="0.25">
      <c r="A114" s="25"/>
      <c r="B114" s="11" t="str">
        <f>CONCATENATE("          ", "6245", " - ", "PRINTING")</f>
        <v xml:space="preserve">          6245 - PRINTING</v>
      </c>
      <c r="C114" s="11"/>
      <c r="D114" s="6">
        <v>15.99</v>
      </c>
      <c r="E114" s="2"/>
      <c r="F114" s="7">
        <f t="shared" si="84"/>
        <v>9.3887838863243857E-6</v>
      </c>
      <c r="G114" s="2"/>
      <c r="H114" s="6">
        <v>710</v>
      </c>
      <c r="I114" s="2"/>
      <c r="J114" s="7">
        <f t="shared" si="85"/>
        <v>4.3655422218642342E-4</v>
      </c>
      <c r="K114" s="2"/>
      <c r="L114" s="6">
        <f t="shared" si="86"/>
        <v>-694.01</v>
      </c>
      <c r="M114" s="2"/>
      <c r="N114" s="7">
        <f t="shared" si="87"/>
        <v>-0.97747887323943661</v>
      </c>
      <c r="O114" s="11"/>
      <c r="P114" s="6">
        <v>1622.34</v>
      </c>
      <c r="Q114" s="2"/>
      <c r="R114" s="7">
        <f t="shared" si="88"/>
        <v>2.0380978136650362E-4</v>
      </c>
      <c r="S114" s="2"/>
      <c r="T114" s="6">
        <v>2090</v>
      </c>
      <c r="U114" s="2"/>
      <c r="V114" s="7">
        <f t="shared" si="89"/>
        <v>2.530954849339766E-4</v>
      </c>
      <c r="W114" s="2"/>
      <c r="X114" s="6">
        <f t="shared" si="90"/>
        <v>-467.66000000000008</v>
      </c>
      <c r="Y114" s="2"/>
      <c r="Z114" s="7">
        <f t="shared" si="91"/>
        <v>-0.22376076555023927</v>
      </c>
    </row>
    <row r="115" spans="1:26" s="24" customFormat="1" hidden="1" outlineLevel="2" x14ac:dyDescent="0.25">
      <c r="A115" s="25"/>
      <c r="B115" s="11" t="str">
        <f>CONCATENATE("          ", "6246", " - ", "REPLACEMENTS")</f>
        <v xml:space="preserve">          6246 - REPLACEMENTS</v>
      </c>
      <c r="C115" s="11"/>
      <c r="D115" s="6"/>
      <c r="E115" s="2"/>
      <c r="F115" s="7">
        <f t="shared" si="84"/>
        <v>0</v>
      </c>
      <c r="G115" s="2"/>
      <c r="H115" s="6"/>
      <c r="I115" s="2"/>
      <c r="J115" s="7">
        <f t="shared" si="85"/>
        <v>0</v>
      </c>
      <c r="K115" s="2"/>
      <c r="L115" s="6">
        <f t="shared" si="86"/>
        <v>0</v>
      </c>
      <c r="M115" s="2"/>
      <c r="N115" s="7">
        <f t="shared" si="87"/>
        <v>0</v>
      </c>
      <c r="O115" s="11"/>
      <c r="P115" s="6"/>
      <c r="Q115" s="2"/>
      <c r="R115" s="7">
        <f t="shared" si="88"/>
        <v>0</v>
      </c>
      <c r="S115" s="2"/>
      <c r="T115" s="6">
        <v>2400</v>
      </c>
      <c r="U115" s="2"/>
      <c r="V115" s="7">
        <f t="shared" si="89"/>
        <v>2.9063596356054729E-4</v>
      </c>
      <c r="W115" s="2"/>
      <c r="X115" s="6">
        <f t="shared" si="90"/>
        <v>-2400</v>
      </c>
      <c r="Y115" s="2"/>
      <c r="Z115" s="7">
        <f t="shared" si="91"/>
        <v>-1</v>
      </c>
    </row>
    <row r="116" spans="1:26" s="24" customFormat="1" hidden="1" outlineLevel="2" x14ac:dyDescent="0.25">
      <c r="A116" s="25"/>
      <c r="B116" s="11" t="str">
        <f>CONCATENATE("          ", "6247", " - ", "STORE SUPPLIES")</f>
        <v xml:space="preserve">          6247 - STORE SUPPLIES</v>
      </c>
      <c r="C116" s="11"/>
      <c r="D116" s="6">
        <v>1245.1400000000001</v>
      </c>
      <c r="E116" s="2"/>
      <c r="F116" s="7">
        <f t="shared" si="84"/>
        <v>7.3110383791231688E-4</v>
      </c>
      <c r="G116" s="2"/>
      <c r="H116" s="6">
        <v>186.77</v>
      </c>
      <c r="I116" s="2"/>
      <c r="J116" s="7">
        <f t="shared" si="85"/>
        <v>1.148383550390962E-4</v>
      </c>
      <c r="K116" s="2"/>
      <c r="L116" s="6">
        <f t="shared" si="86"/>
        <v>1058.3700000000001</v>
      </c>
      <c r="M116" s="2"/>
      <c r="N116" s="7">
        <f t="shared" si="87"/>
        <v>5.666702361192911</v>
      </c>
      <c r="O116" s="11"/>
      <c r="P116" s="6">
        <v>3559.67</v>
      </c>
      <c r="Q116" s="2"/>
      <c r="R116" s="7">
        <f t="shared" si="88"/>
        <v>4.4719082586689715E-4</v>
      </c>
      <c r="S116" s="2"/>
      <c r="T116" s="6">
        <v>3375.86</v>
      </c>
      <c r="U116" s="2"/>
      <c r="V116" s="7">
        <f t="shared" si="89"/>
        <v>4.0881096831062885E-4</v>
      </c>
      <c r="W116" s="2"/>
      <c r="X116" s="6">
        <f t="shared" si="90"/>
        <v>183.80999999999995</v>
      </c>
      <c r="Y116" s="2"/>
      <c r="Z116" s="7">
        <f t="shared" si="91"/>
        <v>5.4448347976515599E-2</v>
      </c>
    </row>
    <row r="117" spans="1:26" s="24" customFormat="1" hidden="1" outlineLevel="2" x14ac:dyDescent="0.25">
      <c r="A117" s="25"/>
      <c r="B117" s="11" t="str">
        <f>CONCATENATE("          ", "6248", " - ", "UNIFORMS")</f>
        <v xml:space="preserve">          6248 - UNIFORMS</v>
      </c>
      <c r="C117" s="11"/>
      <c r="D117" s="6">
        <v>820.91</v>
      </c>
      <c r="E117" s="2"/>
      <c r="F117" s="7">
        <f t="shared" si="84"/>
        <v>4.8201041776876495E-4</v>
      </c>
      <c r="G117" s="2"/>
      <c r="H117" s="6">
        <v>1125</v>
      </c>
      <c r="I117" s="2"/>
      <c r="J117" s="7">
        <f t="shared" si="85"/>
        <v>6.9172323937989621E-4</v>
      </c>
      <c r="K117" s="2"/>
      <c r="L117" s="6">
        <f t="shared" si="86"/>
        <v>-304.09000000000003</v>
      </c>
      <c r="M117" s="2"/>
      <c r="N117" s="7">
        <f t="shared" si="87"/>
        <v>-0.27030222222222228</v>
      </c>
      <c r="O117" s="11"/>
      <c r="P117" s="6">
        <v>-151.6</v>
      </c>
      <c r="Q117" s="2"/>
      <c r="R117" s="7">
        <f t="shared" si="88"/>
        <v>-1.9045060132377893E-5</v>
      </c>
      <c r="S117" s="2"/>
      <c r="T117" s="6">
        <v>15725</v>
      </c>
      <c r="U117" s="2"/>
      <c r="V117" s="7">
        <f t="shared" si="89"/>
        <v>1.9042710529123359E-3</v>
      </c>
      <c r="W117" s="2"/>
      <c r="X117" s="6">
        <f t="shared" si="90"/>
        <v>-15876.6</v>
      </c>
      <c r="Y117" s="2"/>
      <c r="Z117" s="7">
        <f t="shared" si="91"/>
        <v>-1.0096406995230525</v>
      </c>
    </row>
    <row r="118" spans="1:26" s="26" customFormat="1" outlineLevel="1" collapsed="1" x14ac:dyDescent="0.25">
      <c r="A118" s="27"/>
      <c r="B118" s="13" t="str">
        <f>CONCATENATE("     ","Telephone/Data Lines                              ")</f>
        <v xml:space="preserve">     Telephone/Data Lines                              </v>
      </c>
      <c r="C118" s="13"/>
      <c r="D118" s="1">
        <f>SUM(OSRRefD22_21x_0)</f>
        <v>2184.87</v>
      </c>
      <c r="E118" s="1"/>
      <c r="F118" s="5">
        <f t="shared" ref="F118:F120" si="92">IF(D$12=0,0,D118/D$12)</f>
        <v>1.2828813164298663E-3</v>
      </c>
      <c r="G118" s="1"/>
      <c r="H118" s="1">
        <f>SUM(OSRRefH22_21x_0)</f>
        <v>2804</v>
      </c>
      <c r="I118" s="1"/>
      <c r="J118" s="5">
        <f t="shared" ref="J118:J120" si="93">IF(H$12=0,0,H118/H$12)</f>
        <v>1.724081745085537E-3</v>
      </c>
      <c r="K118" s="1"/>
      <c r="L118" s="1">
        <f t="shared" ref="L118:L120" si="94">+D118-H118</f>
        <v>-619.13000000000011</v>
      </c>
      <c r="M118" s="1"/>
      <c r="N118" s="5">
        <f t="shared" ref="N118:N120" si="95">IF(H118=0,0,L118/H118)</f>
        <v>-0.22080242510699005</v>
      </c>
      <c r="O118" s="13"/>
      <c r="P118" s="1">
        <f>SUM(OSRRefP22_21x_0)</f>
        <v>11538.23</v>
      </c>
      <c r="Q118" s="1"/>
      <c r="R118" s="5">
        <f t="shared" ref="R118:R120" si="96">IF(P$12=0,0,P118/P$12)</f>
        <v>1.4495137478311778E-3</v>
      </c>
      <c r="S118" s="1"/>
      <c r="T118" s="1">
        <f>SUM(OSRRefT22_21x_0)</f>
        <v>13001</v>
      </c>
      <c r="U118" s="1"/>
      <c r="V118" s="5">
        <f t="shared" ref="V118:V120" si="97">IF(T$12=0,0,T118/T$12)</f>
        <v>1.5743992342711146E-3</v>
      </c>
      <c r="W118" s="1"/>
      <c r="X118" s="1">
        <f t="shared" ref="X118:X120" si="98">+P118-T118</f>
        <v>-1462.7700000000004</v>
      </c>
      <c r="Y118" s="1"/>
      <c r="Z118" s="5">
        <f t="shared" ref="Z118:Z120" si="99">IF(T118=0,0,X118/T118)</f>
        <v>-0.11251211445273444</v>
      </c>
    </row>
    <row r="119" spans="1:26" s="24" customFormat="1" hidden="1" outlineLevel="2" x14ac:dyDescent="0.25">
      <c r="A119" s="25"/>
      <c r="B119" s="11" t="str">
        <f>CONCATENATE("          ", "6303", " - ", "DATA PHONE LINES")</f>
        <v xml:space="preserve">          6303 - DATA PHONE LINES</v>
      </c>
      <c r="C119" s="11"/>
      <c r="D119" s="6"/>
      <c r="E119" s="2"/>
      <c r="F119" s="7">
        <f t="shared" si="92"/>
        <v>0</v>
      </c>
      <c r="G119" s="2"/>
      <c r="H119" s="6">
        <v>696</v>
      </c>
      <c r="I119" s="2"/>
      <c r="J119" s="7">
        <f t="shared" si="93"/>
        <v>4.2794611076302913E-4</v>
      </c>
      <c r="K119" s="2"/>
      <c r="L119" s="6">
        <f t="shared" si="94"/>
        <v>-696</v>
      </c>
      <c r="M119" s="2"/>
      <c r="N119" s="7">
        <f t="shared" si="95"/>
        <v>-1</v>
      </c>
      <c r="O119" s="11"/>
      <c r="P119" s="6"/>
      <c r="Q119" s="2"/>
      <c r="R119" s="7">
        <f t="shared" si="96"/>
        <v>0</v>
      </c>
      <c r="S119" s="2"/>
      <c r="T119" s="6">
        <v>2686</v>
      </c>
      <c r="U119" s="2"/>
      <c r="V119" s="7">
        <f t="shared" si="97"/>
        <v>3.2527008255151251E-4</v>
      </c>
      <c r="W119" s="2"/>
      <c r="X119" s="6">
        <f t="shared" si="98"/>
        <v>-2686</v>
      </c>
      <c r="Y119" s="2"/>
      <c r="Z119" s="7">
        <f t="shared" si="99"/>
        <v>-1</v>
      </c>
    </row>
    <row r="120" spans="1:26" s="24" customFormat="1" hidden="1" outlineLevel="2" x14ac:dyDescent="0.25">
      <c r="A120" s="25"/>
      <c r="B120" s="11" t="str">
        <f>CONCATENATE("          ", "6309", " - ", "TELEPHONE")</f>
        <v xml:space="preserve">          6309 - TELEPHONE</v>
      </c>
      <c r="C120" s="11"/>
      <c r="D120" s="6">
        <v>2184.87</v>
      </c>
      <c r="E120" s="2"/>
      <c r="F120" s="7">
        <f t="shared" si="92"/>
        <v>1.2828813164298663E-3</v>
      </c>
      <c r="G120" s="2"/>
      <c r="H120" s="6">
        <v>2108</v>
      </c>
      <c r="I120" s="2"/>
      <c r="J120" s="7">
        <f t="shared" si="93"/>
        <v>1.2961356343225078E-3</v>
      </c>
      <c r="K120" s="2"/>
      <c r="L120" s="6">
        <f t="shared" si="94"/>
        <v>76.869999999999891</v>
      </c>
      <c r="M120" s="2"/>
      <c r="N120" s="7">
        <f t="shared" si="95"/>
        <v>3.6465844402276987E-2</v>
      </c>
      <c r="O120" s="11"/>
      <c r="P120" s="6">
        <v>11538.23</v>
      </c>
      <c r="Q120" s="2"/>
      <c r="R120" s="7">
        <f t="shared" si="96"/>
        <v>1.4495137478311778E-3</v>
      </c>
      <c r="S120" s="2"/>
      <c r="T120" s="6">
        <v>10315</v>
      </c>
      <c r="U120" s="2"/>
      <c r="V120" s="7">
        <f t="shared" si="97"/>
        <v>1.2491291517196022E-3</v>
      </c>
      <c r="W120" s="2"/>
      <c r="X120" s="6">
        <f t="shared" si="98"/>
        <v>1223.2299999999996</v>
      </c>
      <c r="Y120" s="2"/>
      <c r="Z120" s="7">
        <f t="shared" si="99"/>
        <v>0.11858749394086278</v>
      </c>
    </row>
    <row r="121" spans="1:26" s="26" customFormat="1" outlineLevel="1" collapsed="1" x14ac:dyDescent="0.25">
      <c r="A121" s="27"/>
      <c r="B121" s="13" t="str">
        <f>CONCATENATE("     ","Training                                          ")</f>
        <v xml:space="preserve">     Training                                          </v>
      </c>
      <c r="C121" s="13"/>
      <c r="D121" s="1">
        <f>SUM(OSRRefD22_22x_0)</f>
        <v>610</v>
      </c>
      <c r="E121" s="1"/>
      <c r="F121" s="5">
        <f t="shared" ref="F121:F126" si="100">IF(D$12=0,0,D121/D$12)</f>
        <v>3.5817124269280022E-4</v>
      </c>
      <c r="G121" s="1"/>
      <c r="H121" s="1">
        <f>SUM(OSRRefH22_22x_0)</f>
        <v>1500</v>
      </c>
      <c r="I121" s="1"/>
      <c r="J121" s="5">
        <f t="shared" ref="J121:J126" si="101">IF(H$12=0,0,H121/H$12)</f>
        <v>9.2229765250652828E-4</v>
      </c>
      <c r="K121" s="1"/>
      <c r="L121" s="1">
        <f t="shared" ref="L121:L126" si="102">+D121-H121</f>
        <v>-890</v>
      </c>
      <c r="M121" s="1"/>
      <c r="N121" s="5">
        <f t="shared" ref="N121:N126" si="103">IF(H121=0,0,L121/H121)</f>
        <v>-0.59333333333333338</v>
      </c>
      <c r="O121" s="13"/>
      <c r="P121" s="1">
        <f>SUM(OSRRefP22_22x_0)</f>
        <v>5909.77</v>
      </c>
      <c r="Q121" s="1"/>
      <c r="R121" s="5">
        <f t="shared" ref="R121:R126" si="104">IF(P$12=0,0,P121/P$12)</f>
        <v>7.4242694603247298E-4</v>
      </c>
      <c r="S121" s="1"/>
      <c r="T121" s="1">
        <f>SUM(OSRRefT22_22x_0)</f>
        <v>13338</v>
      </c>
      <c r="U121" s="1"/>
      <c r="V121" s="5">
        <f t="shared" ref="V121:V126" si="105">IF(T$12=0,0,T121/T$12)</f>
        <v>1.6152093674877415E-3</v>
      </c>
      <c r="W121" s="1"/>
      <c r="X121" s="1">
        <f t="shared" ref="X121:X126" si="106">+P121-T121</f>
        <v>-7428.23</v>
      </c>
      <c r="Y121" s="1"/>
      <c r="Z121" s="5">
        <f t="shared" ref="Z121:Z126" si="107">IF(T121=0,0,X121/T121)</f>
        <v>-0.55692232718548507</v>
      </c>
    </row>
    <row r="122" spans="1:26" s="24" customFormat="1" hidden="1" outlineLevel="2" x14ac:dyDescent="0.25">
      <c r="A122" s="25"/>
      <c r="B122" s="11" t="str">
        <f>CONCATENATE("          ", "6376", " - ", "TRAINING")</f>
        <v xml:space="preserve">          6376 - TRAINING</v>
      </c>
      <c r="C122" s="11"/>
      <c r="D122" s="6">
        <v>610</v>
      </c>
      <c r="E122" s="2"/>
      <c r="F122" s="7">
        <f t="shared" si="100"/>
        <v>3.5817124269280022E-4</v>
      </c>
      <c r="G122" s="2"/>
      <c r="H122" s="6">
        <v>1500</v>
      </c>
      <c r="I122" s="2"/>
      <c r="J122" s="7">
        <f t="shared" si="101"/>
        <v>9.2229765250652828E-4</v>
      </c>
      <c r="K122" s="2"/>
      <c r="L122" s="6">
        <f t="shared" si="102"/>
        <v>-890</v>
      </c>
      <c r="M122" s="2"/>
      <c r="N122" s="7">
        <f t="shared" si="103"/>
        <v>-0.59333333333333338</v>
      </c>
      <c r="O122" s="11"/>
      <c r="P122" s="6">
        <v>5909.77</v>
      </c>
      <c r="Q122" s="2"/>
      <c r="R122" s="7">
        <f t="shared" si="104"/>
        <v>7.4242694603247298E-4</v>
      </c>
      <c r="S122" s="2"/>
      <c r="T122" s="6">
        <v>13338</v>
      </c>
      <c r="U122" s="2"/>
      <c r="V122" s="7">
        <f t="shared" si="105"/>
        <v>1.6152093674877415E-3</v>
      </c>
      <c r="W122" s="2"/>
      <c r="X122" s="6">
        <f t="shared" si="106"/>
        <v>-7428.23</v>
      </c>
      <c r="Y122" s="2"/>
      <c r="Z122" s="7">
        <f t="shared" si="107"/>
        <v>-0.55692232718548507</v>
      </c>
    </row>
    <row r="123" spans="1:26" s="26" customFormat="1" outlineLevel="1" collapsed="1" x14ac:dyDescent="0.25">
      <c r="A123" s="27"/>
      <c r="B123" s="13" t="str">
        <f>CONCATENATE("     ","Travel                                            ")</f>
        <v xml:space="preserve">     Travel                                            </v>
      </c>
      <c r="C123" s="13"/>
      <c r="D123" s="1">
        <f>SUM(OSRRefD22_23x_0)</f>
        <v>328.62</v>
      </c>
      <c r="E123" s="1"/>
      <c r="F123" s="5">
        <f t="shared" si="100"/>
        <v>1.9295448159624263E-4</v>
      </c>
      <c r="G123" s="1"/>
      <c r="H123" s="1">
        <f>SUM(OSRRefH22_23x_0)</f>
        <v>410</v>
      </c>
      <c r="I123" s="1"/>
      <c r="J123" s="5">
        <f t="shared" si="101"/>
        <v>2.5209469168511773E-4</v>
      </c>
      <c r="K123" s="1"/>
      <c r="L123" s="1">
        <f t="shared" si="102"/>
        <v>-81.38</v>
      </c>
      <c r="M123" s="1"/>
      <c r="N123" s="5">
        <f t="shared" si="103"/>
        <v>-0.19848780487804876</v>
      </c>
      <c r="O123" s="13"/>
      <c r="P123" s="1">
        <f>SUM(OSRRefP22_23x_0)</f>
        <v>3409.4699999999993</v>
      </c>
      <c r="Q123" s="1"/>
      <c r="R123" s="5">
        <f t="shared" si="104"/>
        <v>4.2832164359853851E-4</v>
      </c>
      <c r="S123" s="1"/>
      <c r="T123" s="1">
        <f>SUM(OSRRefT22_23x_0)</f>
        <v>9750</v>
      </c>
      <c r="U123" s="1"/>
      <c r="V123" s="5">
        <f t="shared" si="105"/>
        <v>1.1807086019647234E-3</v>
      </c>
      <c r="W123" s="1"/>
      <c r="X123" s="1">
        <f t="shared" si="106"/>
        <v>-6340.5300000000007</v>
      </c>
      <c r="Y123" s="1"/>
      <c r="Z123" s="5">
        <f t="shared" si="107"/>
        <v>-0.65031076923076925</v>
      </c>
    </row>
    <row r="124" spans="1:26" s="24" customFormat="1" hidden="1" outlineLevel="2" x14ac:dyDescent="0.25">
      <c r="A124" s="25"/>
      <c r="B124" s="11" t="str">
        <f>CONCATENATE("          ", "6292", " - ", "TRAVEL/CONFERENCE")</f>
        <v xml:space="preserve">          6292 - TRAVEL/CONFERENCE</v>
      </c>
      <c r="C124" s="11"/>
      <c r="D124" s="6">
        <v>180.57</v>
      </c>
      <c r="E124" s="2"/>
      <c r="F124" s="7">
        <f t="shared" si="100"/>
        <v>1.0602455949678514E-4</v>
      </c>
      <c r="G124" s="2"/>
      <c r="H124" s="6">
        <v>300</v>
      </c>
      <c r="I124" s="2"/>
      <c r="J124" s="7">
        <f t="shared" si="101"/>
        <v>1.8445953050130566E-4</v>
      </c>
      <c r="K124" s="2"/>
      <c r="L124" s="6">
        <f t="shared" si="102"/>
        <v>-119.43</v>
      </c>
      <c r="M124" s="2"/>
      <c r="N124" s="7">
        <f t="shared" si="103"/>
        <v>-0.39810000000000001</v>
      </c>
      <c r="O124" s="11"/>
      <c r="P124" s="6">
        <v>2705.93</v>
      </c>
      <c r="Q124" s="2"/>
      <c r="R124" s="7">
        <f t="shared" si="104"/>
        <v>3.399379918470007E-4</v>
      </c>
      <c r="S124" s="2"/>
      <c r="T124" s="6">
        <v>9200</v>
      </c>
      <c r="U124" s="2"/>
      <c r="V124" s="7">
        <f t="shared" si="105"/>
        <v>1.1141045269820978E-3</v>
      </c>
      <c r="W124" s="2"/>
      <c r="X124" s="6">
        <f t="shared" si="106"/>
        <v>-6494.07</v>
      </c>
      <c r="Y124" s="2"/>
      <c r="Z124" s="7">
        <f t="shared" si="107"/>
        <v>-0.7058771739130435</v>
      </c>
    </row>
    <row r="125" spans="1:26" s="24" customFormat="1" hidden="1" outlineLevel="2" x14ac:dyDescent="0.25">
      <c r="A125" s="25"/>
      <c r="B125" s="11" t="str">
        <f>CONCATENATE("          ", "6294", " - ", "TRAVEL OPERATIONAL")</f>
        <v xml:space="preserve">          6294 - TRAVEL OPERATIONAL</v>
      </c>
      <c r="C125" s="11"/>
      <c r="D125" s="6"/>
      <c r="E125" s="2"/>
      <c r="F125" s="7">
        <f t="shared" si="100"/>
        <v>0</v>
      </c>
      <c r="G125" s="2"/>
      <c r="H125" s="6"/>
      <c r="I125" s="2"/>
      <c r="J125" s="7">
        <f t="shared" si="101"/>
        <v>0</v>
      </c>
      <c r="K125" s="2"/>
      <c r="L125" s="6">
        <f t="shared" si="102"/>
        <v>0</v>
      </c>
      <c r="M125" s="2"/>
      <c r="N125" s="7">
        <f t="shared" si="103"/>
        <v>0</v>
      </c>
      <c r="O125" s="11"/>
      <c r="P125" s="6">
        <v>45.49</v>
      </c>
      <c r="Q125" s="2"/>
      <c r="R125" s="7">
        <f t="shared" si="104"/>
        <v>5.7147743101706484E-6</v>
      </c>
      <c r="S125" s="2"/>
      <c r="T125" s="6"/>
      <c r="U125" s="2"/>
      <c r="V125" s="7">
        <f t="shared" si="105"/>
        <v>0</v>
      </c>
      <c r="W125" s="2"/>
      <c r="X125" s="6">
        <f t="shared" si="106"/>
        <v>45.49</v>
      </c>
      <c r="Y125" s="2"/>
      <c r="Z125" s="7">
        <f t="shared" si="107"/>
        <v>0</v>
      </c>
    </row>
    <row r="126" spans="1:26" s="24" customFormat="1" hidden="1" outlineLevel="2" x14ac:dyDescent="0.25">
      <c r="A126" s="25"/>
      <c r="B126" s="11" t="str">
        <f>CONCATENATE("          ", "6298", " - ", "VEHICLE MILEAGE")</f>
        <v xml:space="preserve">          6298 - VEHICLE MILEAGE</v>
      </c>
      <c r="C126" s="11"/>
      <c r="D126" s="6">
        <v>148.05000000000001</v>
      </c>
      <c r="E126" s="2"/>
      <c r="F126" s="7">
        <f t="shared" si="100"/>
        <v>8.6929922099457507E-5</v>
      </c>
      <c r="G126" s="2"/>
      <c r="H126" s="6">
        <v>110</v>
      </c>
      <c r="I126" s="2"/>
      <c r="J126" s="7">
        <f t="shared" si="101"/>
        <v>6.7635161183812078E-5</v>
      </c>
      <c r="K126" s="2"/>
      <c r="L126" s="6">
        <f t="shared" si="102"/>
        <v>38.050000000000011</v>
      </c>
      <c r="M126" s="2"/>
      <c r="N126" s="7">
        <f t="shared" si="103"/>
        <v>0.345909090909091</v>
      </c>
      <c r="O126" s="11"/>
      <c r="P126" s="6">
        <v>658.05</v>
      </c>
      <c r="Q126" s="2"/>
      <c r="R126" s="7">
        <f t="shared" si="104"/>
        <v>8.266887744136722E-5</v>
      </c>
      <c r="S126" s="2"/>
      <c r="T126" s="6">
        <v>550</v>
      </c>
      <c r="U126" s="2"/>
      <c r="V126" s="7">
        <f t="shared" si="105"/>
        <v>6.6604074982625416E-5</v>
      </c>
      <c r="W126" s="2"/>
      <c r="X126" s="6">
        <f t="shared" si="106"/>
        <v>108.04999999999995</v>
      </c>
      <c r="Y126" s="2"/>
      <c r="Z126" s="7">
        <f t="shared" si="107"/>
        <v>0.19645454545454538</v>
      </c>
    </row>
    <row r="127" spans="1:26" s="26" customFormat="1" outlineLevel="1" collapsed="1" x14ac:dyDescent="0.25">
      <c r="A127" s="27"/>
      <c r="B127" s="13" t="str">
        <f>CONCATENATE("     ","Utilities                                         ")</f>
        <v xml:space="preserve">     Utilities                                         </v>
      </c>
      <c r="C127" s="13"/>
      <c r="D127" s="1">
        <f>SUM(OSRRefD22_24x_0)</f>
        <v>13691</v>
      </c>
      <c r="E127" s="1"/>
      <c r="F127" s="5">
        <f t="shared" ref="F127:F128" si="108">IF(D$12=0,0,D127/D$12)</f>
        <v>8.0388893175526686E-3</v>
      </c>
      <c r="G127" s="1"/>
      <c r="H127" s="1">
        <f>SUM(OSRRefH22_24x_0)</f>
        <v>17450</v>
      </c>
      <c r="I127" s="1"/>
      <c r="J127" s="5">
        <f t="shared" ref="J127:J128" si="109">IF(H$12=0,0,H127/H$12)</f>
        <v>1.0729396024159279E-2</v>
      </c>
      <c r="K127" s="1"/>
      <c r="L127" s="1">
        <f t="shared" ref="L127:L128" si="110">+D127-H127</f>
        <v>-3759</v>
      </c>
      <c r="M127" s="1"/>
      <c r="N127" s="5">
        <f t="shared" ref="N127:N128" si="111">IF(H127=0,0,L127/H127)</f>
        <v>-0.21541547277936962</v>
      </c>
      <c r="O127" s="13"/>
      <c r="P127" s="1">
        <f>SUM(OSRRefP22_24x_0)</f>
        <v>58340</v>
      </c>
      <c r="Q127" s="1"/>
      <c r="R127" s="5">
        <f t="shared" ref="R127:R128" si="112">IF(P$12=0,0,P127/P$12)</f>
        <v>7.3290818477765585E-3</v>
      </c>
      <c r="S127" s="1"/>
      <c r="T127" s="1">
        <f>SUM(OSRRefT22_24x_0)</f>
        <v>97250</v>
      </c>
      <c r="U127" s="1"/>
      <c r="V127" s="5">
        <f t="shared" ref="V127:V128" si="113">IF(T$12=0,0,T127/T$12)</f>
        <v>1.1776811440109676E-2</v>
      </c>
      <c r="W127" s="1"/>
      <c r="X127" s="1">
        <f t="shared" ref="X127:X128" si="114">+P127-T127</f>
        <v>-38910</v>
      </c>
      <c r="Y127" s="1"/>
      <c r="Z127" s="5">
        <f t="shared" ref="Z127:Z128" si="115">IF(T127=0,0,X127/T127)</f>
        <v>-0.40010282776349615</v>
      </c>
    </row>
    <row r="128" spans="1:26" s="24" customFormat="1" hidden="1" outlineLevel="2" x14ac:dyDescent="0.25">
      <c r="A128" s="25"/>
      <c r="B128" s="11" t="str">
        <f>CONCATENATE("          ", "6274", " - ", "UTILITIES")</f>
        <v xml:space="preserve">          6274 - UTILITIES</v>
      </c>
      <c r="C128" s="11"/>
      <c r="D128" s="6">
        <v>13691</v>
      </c>
      <c r="E128" s="2"/>
      <c r="F128" s="7">
        <f t="shared" si="108"/>
        <v>8.0388893175526686E-3</v>
      </c>
      <c r="G128" s="2"/>
      <c r="H128" s="6">
        <v>17450</v>
      </c>
      <c r="I128" s="2"/>
      <c r="J128" s="7">
        <f t="shared" si="109"/>
        <v>1.0729396024159279E-2</v>
      </c>
      <c r="K128" s="2"/>
      <c r="L128" s="6">
        <f t="shared" si="110"/>
        <v>-3759</v>
      </c>
      <c r="M128" s="2"/>
      <c r="N128" s="7">
        <f t="shared" si="111"/>
        <v>-0.21541547277936962</v>
      </c>
      <c r="O128" s="11"/>
      <c r="P128" s="6">
        <v>58340</v>
      </c>
      <c r="Q128" s="2"/>
      <c r="R128" s="7">
        <f t="shared" si="112"/>
        <v>7.3290818477765585E-3</v>
      </c>
      <c r="S128" s="2"/>
      <c r="T128" s="6">
        <v>97250</v>
      </c>
      <c r="U128" s="2"/>
      <c r="V128" s="7">
        <f t="shared" si="113"/>
        <v>1.1776811440109676E-2</v>
      </c>
      <c r="W128" s="2"/>
      <c r="X128" s="6">
        <f t="shared" si="114"/>
        <v>-38910</v>
      </c>
      <c r="Y128" s="2"/>
      <c r="Z128" s="7">
        <f t="shared" si="115"/>
        <v>-0.40010282776349615</v>
      </c>
    </row>
    <row r="129" spans="1:26" s="59" customFormat="1" x14ac:dyDescent="0.25">
      <c r="A129" s="36"/>
      <c r="B129" s="36"/>
      <c r="C129" s="36"/>
      <c r="D129" s="1"/>
      <c r="E129" s="1"/>
      <c r="F129" s="5"/>
      <c r="G129" s="1"/>
      <c r="H129" s="1"/>
      <c r="I129" s="1"/>
      <c r="J129" s="5"/>
      <c r="K129" s="1"/>
      <c r="L129" s="1"/>
      <c r="M129" s="1"/>
      <c r="N129" s="5"/>
      <c r="O129" s="36"/>
      <c r="P129" s="1"/>
      <c r="Q129" s="1"/>
      <c r="R129" s="5"/>
      <c r="S129" s="1"/>
      <c r="T129" s="1"/>
      <c r="U129" s="1"/>
      <c r="V129" s="5"/>
      <c r="W129" s="1"/>
      <c r="X129" s="1"/>
      <c r="Y129" s="1"/>
      <c r="Z129" s="5"/>
    </row>
    <row r="130" spans="1:26" s="23" customFormat="1" collapsed="1" x14ac:dyDescent="0.25">
      <c r="A130" s="10"/>
      <c r="B130" s="29" t="s">
        <v>0</v>
      </c>
      <c r="C130" s="10"/>
      <c r="D130" s="4">
        <f>SUM(OSRRefD25x_0)</f>
        <v>66542.63</v>
      </c>
      <c r="E130" s="4"/>
      <c r="F130" s="12">
        <f t="shared" ref="F130:F134" si="116">IF(D$12=0,0,D130/D$12)</f>
        <v>3.9071567998601987E-2</v>
      </c>
      <c r="G130" s="4"/>
      <c r="H130" s="4">
        <f>SUM(OSRRefH25x_0)</f>
        <v>97938</v>
      </c>
      <c r="I130" s="4"/>
      <c r="J130" s="12">
        <f t="shared" ref="J130:J134" si="117">IF(H$12=0,0,H130/H$12)</f>
        <v>6.0218658327456251E-2</v>
      </c>
      <c r="K130" s="4"/>
      <c r="L130" s="4">
        <f t="shared" ref="L130:L134" si="118">+D130-H130</f>
        <v>-31395.369999999995</v>
      </c>
      <c r="M130" s="4"/>
      <c r="N130" s="12">
        <f t="shared" ref="N130:N134" si="119">IF(H130=0,0,L130/H130)</f>
        <v>-0.32056372398864585</v>
      </c>
      <c r="O130" s="10"/>
      <c r="P130" s="4">
        <f>SUM(OSRRefP25x_0)</f>
        <v>493067.26</v>
      </c>
      <c r="Q130" s="4"/>
      <c r="R130" s="12">
        <f t="shared" ref="R130:R134" si="120">IF(P$12=0,0,P130/P$12)</f>
        <v>6.1942583219042245E-2</v>
      </c>
      <c r="S130" s="4"/>
      <c r="T130" s="4">
        <f>SUM(OSRRefT25x_0)</f>
        <v>415674</v>
      </c>
      <c r="U130" s="4"/>
      <c r="V130" s="12">
        <f t="shared" ref="V130:V134" si="121">IF(T$12=0,0,T130/T$12)</f>
        <v>5.0337422298777891E-2</v>
      </c>
      <c r="W130" s="4"/>
      <c r="X130" s="4">
        <f t="shared" ref="X130:X134" si="122">+P130-T130</f>
        <v>77393.260000000009</v>
      </c>
      <c r="Y130" s="4"/>
      <c r="Z130" s="12">
        <f t="shared" ref="Z130:Z134" si="123">IF(T130=0,0,X130/T130)</f>
        <v>0.18618739685426564</v>
      </c>
    </row>
    <row r="131" spans="1:26" s="24" customFormat="1" hidden="1" outlineLevel="1" x14ac:dyDescent="0.25">
      <c r="A131" s="44"/>
      <c r="B131" s="11" t="str">
        <f>CONCATENATE("          ", "9150", " - ", "MISC. INCOME")</f>
        <v xml:space="preserve">          9150 - MISC. INCOME</v>
      </c>
      <c r="C131" s="11"/>
      <c r="D131" s="2">
        <f>--48346.26</f>
        <v>48346.26</v>
      </c>
      <c r="E131" s="2"/>
      <c r="F131" s="19">
        <f t="shared" si="116"/>
        <v>2.8387278727457738E-2</v>
      </c>
      <c r="G131" s="2"/>
      <c r="H131" s="2">
        <v>76238</v>
      </c>
      <c r="I131" s="2"/>
      <c r="J131" s="19">
        <f t="shared" si="117"/>
        <v>4.6876085621195135E-2</v>
      </c>
      <c r="K131" s="2"/>
      <c r="L131" s="2">
        <f t="shared" si="118"/>
        <v>-27891.739999999998</v>
      </c>
      <c r="M131" s="2"/>
      <c r="N131" s="19">
        <f t="shared" si="119"/>
        <v>-0.3658508880086046</v>
      </c>
      <c r="O131" s="11"/>
      <c r="P131" s="2">
        <f>--165642.94</f>
        <v>165642.94</v>
      </c>
      <c r="Q131" s="2"/>
      <c r="R131" s="19">
        <f t="shared" si="120"/>
        <v>2.0809233197914664E-2</v>
      </c>
      <c r="S131" s="2"/>
      <c r="T131" s="2">
        <v>157857</v>
      </c>
      <c r="U131" s="2"/>
      <c r="V131" s="19">
        <f t="shared" si="121"/>
        <v>1.9116217208240548E-2</v>
      </c>
      <c r="W131" s="2"/>
      <c r="X131" s="2">
        <f t="shared" si="122"/>
        <v>7785.9400000000023</v>
      </c>
      <c r="Y131" s="2"/>
      <c r="Z131" s="19">
        <f t="shared" si="123"/>
        <v>4.9322741468544332E-2</v>
      </c>
    </row>
    <row r="132" spans="1:26" s="24" customFormat="1" hidden="1" outlineLevel="1" x14ac:dyDescent="0.25">
      <c r="A132" s="44"/>
      <c r="B132" s="11" t="str">
        <f>CONCATENATE("          ", "9151", " - ", "MISC. INCOME")</f>
        <v xml:space="preserve">          9151 - MISC. INCOME</v>
      </c>
      <c r="C132" s="11"/>
      <c r="D132" s="2">
        <f>0</f>
        <v>0</v>
      </c>
      <c r="E132" s="2"/>
      <c r="F132" s="19">
        <f t="shared" si="116"/>
        <v>0</v>
      </c>
      <c r="G132" s="2"/>
      <c r="H132" s="2">
        <v>21700</v>
      </c>
      <c r="I132" s="2"/>
      <c r="J132" s="19">
        <f t="shared" si="117"/>
        <v>1.3342572706261109E-2</v>
      </c>
      <c r="K132" s="2"/>
      <c r="L132" s="2">
        <f t="shared" si="118"/>
        <v>-21700</v>
      </c>
      <c r="M132" s="2"/>
      <c r="N132" s="19">
        <f t="shared" si="119"/>
        <v>-1</v>
      </c>
      <c r="O132" s="11"/>
      <c r="P132" s="2">
        <f>0</f>
        <v>0</v>
      </c>
      <c r="Q132" s="2"/>
      <c r="R132" s="19">
        <f t="shared" si="120"/>
        <v>0</v>
      </c>
      <c r="S132" s="2"/>
      <c r="T132" s="2">
        <v>257817</v>
      </c>
      <c r="U132" s="2"/>
      <c r="V132" s="19">
        <f t="shared" si="121"/>
        <v>3.122120509053734E-2</v>
      </c>
      <c r="W132" s="2"/>
      <c r="X132" s="2">
        <f t="shared" si="122"/>
        <v>-257817</v>
      </c>
      <c r="Y132" s="2"/>
      <c r="Z132" s="19">
        <f t="shared" si="123"/>
        <v>-1</v>
      </c>
    </row>
    <row r="133" spans="1:26" s="24" customFormat="1" hidden="1" outlineLevel="1" x14ac:dyDescent="0.25">
      <c r="A133" s="44"/>
      <c r="B133" s="11" t="str">
        <f>CONCATENATE("          ", "9160", " - ", "MISC. INCOME")</f>
        <v xml:space="preserve">          9160 - MISC. INCOME</v>
      </c>
      <c r="C133" s="11"/>
      <c r="D133" s="2">
        <f>--7692.32</f>
        <v>7692.32</v>
      </c>
      <c r="E133" s="2"/>
      <c r="F133" s="19">
        <f t="shared" si="116"/>
        <v>4.5166685468699683E-3</v>
      </c>
      <c r="G133" s="2"/>
      <c r="H133" s="2"/>
      <c r="I133" s="2"/>
      <c r="J133" s="19">
        <f t="shared" si="117"/>
        <v>0</v>
      </c>
      <c r="K133" s="2"/>
      <c r="L133" s="2">
        <f t="shared" si="118"/>
        <v>7692.32</v>
      </c>
      <c r="M133" s="2"/>
      <c r="N133" s="19">
        <f t="shared" si="119"/>
        <v>0</v>
      </c>
      <c r="O133" s="11"/>
      <c r="P133" s="2">
        <f>--104050.2</f>
        <v>104050.2</v>
      </c>
      <c r="Q133" s="2"/>
      <c r="R133" s="19">
        <f t="shared" si="120"/>
        <v>1.3071519233416531E-2</v>
      </c>
      <c r="S133" s="2"/>
      <c r="T133" s="2"/>
      <c r="U133" s="2"/>
      <c r="V133" s="19">
        <f t="shared" si="121"/>
        <v>0</v>
      </c>
      <c r="W133" s="2"/>
      <c r="X133" s="2">
        <f t="shared" si="122"/>
        <v>104050.2</v>
      </c>
      <c r="Y133" s="2"/>
      <c r="Z133" s="19">
        <f t="shared" si="123"/>
        <v>0</v>
      </c>
    </row>
    <row r="134" spans="1:26" s="24" customFormat="1" hidden="1" outlineLevel="1" x14ac:dyDescent="0.25">
      <c r="A134" s="44"/>
      <c r="B134" s="11" t="str">
        <f>CONCATENATE("          ", "9165", " - ", "OTHER INCOME")</f>
        <v xml:space="preserve">          9165 - OTHER INCOME</v>
      </c>
      <c r="C134" s="11"/>
      <c r="D134" s="2">
        <f>--10504.05</f>
        <v>10504.05</v>
      </c>
      <c r="E134" s="2"/>
      <c r="F134" s="19">
        <f t="shared" si="116"/>
        <v>6.1676207242742755E-3</v>
      </c>
      <c r="G134" s="2"/>
      <c r="H134" s="2"/>
      <c r="I134" s="2"/>
      <c r="J134" s="19">
        <f t="shared" si="117"/>
        <v>0</v>
      </c>
      <c r="K134" s="2"/>
      <c r="L134" s="2">
        <f t="shared" si="118"/>
        <v>10504.05</v>
      </c>
      <c r="M134" s="2"/>
      <c r="N134" s="19">
        <f t="shared" si="119"/>
        <v>0</v>
      </c>
      <c r="O134" s="11"/>
      <c r="P134" s="2">
        <f>--223374.12</f>
        <v>223374.12</v>
      </c>
      <c r="Q134" s="2"/>
      <c r="R134" s="19">
        <f t="shared" si="120"/>
        <v>2.8061830787711049E-2</v>
      </c>
      <c r="S134" s="2"/>
      <c r="T134" s="2"/>
      <c r="U134" s="2"/>
      <c r="V134" s="19">
        <f t="shared" si="121"/>
        <v>0</v>
      </c>
      <c r="W134" s="2"/>
      <c r="X134" s="2">
        <f t="shared" si="122"/>
        <v>223374.12</v>
      </c>
      <c r="Y134" s="2"/>
      <c r="Z134" s="19">
        <f t="shared" si="123"/>
        <v>0</v>
      </c>
    </row>
    <row r="135" spans="1:26" x14ac:dyDescent="0.25">
      <c r="A135" s="9"/>
      <c r="B135" s="10"/>
      <c r="C135" s="10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0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x14ac:dyDescent="0.25">
      <c r="A136" s="10"/>
      <c r="B136" s="28" t="s">
        <v>3</v>
      </c>
      <c r="C136" s="28"/>
      <c r="D136" s="20">
        <f>+D31-D33+D130</f>
        <v>346414.31000000006</v>
      </c>
      <c r="E136" s="14"/>
      <c r="F136" s="22">
        <f>IF(D$12=0,0,D136/D$12)</f>
        <v>0.20340269491683435</v>
      </c>
      <c r="G136" s="14"/>
      <c r="H136" s="20">
        <f>+H31-H33+H130</f>
        <v>342314.333350142</v>
      </c>
      <c r="I136" s="14"/>
      <c r="J136" s="22">
        <f>IF(H$12=0,0,H136/H$12)</f>
        <v>0.2104771373787821</v>
      </c>
      <c r="K136" s="16"/>
      <c r="L136" s="20">
        <f>+D136-H136</f>
        <v>4099.9766498580575</v>
      </c>
      <c r="M136" s="16"/>
      <c r="N136" s="22">
        <f>IF(H136=0,0,L136/H136)</f>
        <v>1.1977227508216335E-2</v>
      </c>
      <c r="O136" s="29"/>
      <c r="P136" s="20">
        <f>+P31-P33+P130</f>
        <v>1389214.5300000014</v>
      </c>
      <c r="Q136" s="14"/>
      <c r="R136" s="22">
        <f>IF(P$12=0,0,P136/P$12)</f>
        <v>0.17452291728643218</v>
      </c>
      <c r="S136" s="14"/>
      <c r="T136" s="20">
        <f>+T31-T33+T130</f>
        <v>1523323.5181563878</v>
      </c>
      <c r="U136" s="14"/>
      <c r="V136" s="22">
        <f>IF(T$12=0,0,T136/T$12)</f>
        <v>0.18447191604742694</v>
      </c>
      <c r="W136" s="16"/>
      <c r="X136" s="20">
        <f>+P136-T136</f>
        <v>-134108.98815638642</v>
      </c>
      <c r="Y136" s="16"/>
      <c r="Z136" s="22">
        <f>IF(T136=0,0,X136/T136)</f>
        <v>-8.8037102137497811E-2</v>
      </c>
    </row>
    <row r="137" spans="1:26" x14ac:dyDescent="0.25">
      <c r="A137" s="9"/>
      <c r="B137" s="10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x14ac:dyDescent="0.25">
      <c r="A138" s="52"/>
      <c r="B138" s="10" t="s">
        <v>14</v>
      </c>
      <c r="C138" s="10"/>
      <c r="D138" s="4">
        <v>213074.57</v>
      </c>
      <c r="E138" s="4"/>
      <c r="F138" s="12">
        <f>IF(D$12=0,0,D138/D$12)</f>
        <v>0.12511013692317058</v>
      </c>
      <c r="G138" s="4"/>
      <c r="H138" s="4">
        <v>247946</v>
      </c>
      <c r="I138" s="4"/>
      <c r="J138" s="12">
        <f>IF(H$12=0,0,H138/H$12)</f>
        <v>0.15245334249892245</v>
      </c>
      <c r="K138" s="4"/>
      <c r="L138" s="4">
        <f>+D138-H138</f>
        <v>-34871.429999999993</v>
      </c>
      <c r="M138" s="4"/>
      <c r="N138" s="12">
        <f>IF(H138=0,0,L138/H138)</f>
        <v>-0.14064122833197548</v>
      </c>
      <c r="O138" s="10"/>
      <c r="P138" s="4">
        <v>842917.49</v>
      </c>
      <c r="Q138" s="4"/>
      <c r="R138" s="12">
        <f>IF(P$12=0,0,P138/P$12)</f>
        <v>0.10589323406123377</v>
      </c>
      <c r="S138" s="4"/>
      <c r="T138" s="4">
        <v>1046523</v>
      </c>
      <c r="U138" s="4"/>
      <c r="V138" s="12">
        <f>IF(T$12=0,0,T138/T$12)</f>
        <v>0.12673217520553109</v>
      </c>
      <c r="W138" s="4"/>
      <c r="X138" s="4">
        <f>+P138-T138</f>
        <v>-203605.51</v>
      </c>
      <c r="Y138" s="4"/>
      <c r="Z138" s="12">
        <f>IF(T138=0,0,X138/T138)</f>
        <v>-0.19455426206590778</v>
      </c>
    </row>
    <row r="139" spans="1:26" x14ac:dyDescent="0.25">
      <c r="A139" s="9"/>
      <c r="B139" s="10"/>
      <c r="C139" s="10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O139" s="10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3" customFormat="1" ht="15.75" thickBot="1" x14ac:dyDescent="0.3">
      <c r="A140" s="10"/>
      <c r="B140" s="28" t="s">
        <v>4</v>
      </c>
      <c r="C140" s="28"/>
      <c r="D140" s="30">
        <f>+D136-D138</f>
        <v>133339.74000000005</v>
      </c>
      <c r="E140" s="14"/>
      <c r="F140" s="32">
        <f>IF(D$12=0,0,D140/D$12)</f>
        <v>7.8292557993663775E-2</v>
      </c>
      <c r="G140" s="14"/>
      <c r="H140" s="30">
        <f>+H136-H138</f>
        <v>94368.333350141998</v>
      </c>
      <c r="I140" s="14"/>
      <c r="J140" s="32">
        <f>IF(H$12=0,0,H140/H$12)</f>
        <v>5.8023794879859661E-2</v>
      </c>
      <c r="K140" s="16"/>
      <c r="L140" s="30">
        <f>D140-H140</f>
        <v>38971.406649858051</v>
      </c>
      <c r="M140" s="16"/>
      <c r="N140" s="32">
        <f>IF(H140=0,0,L140/H140)</f>
        <v>0.41297122950406973</v>
      </c>
      <c r="O140" s="29"/>
      <c r="P140" s="30">
        <f>+P136-P138</f>
        <v>546297.04000000143</v>
      </c>
      <c r="Q140" s="14"/>
      <c r="R140" s="32">
        <f>IF(P$12=0,0,P140/P$12)</f>
        <v>6.8629683225198398E-2</v>
      </c>
      <c r="S140" s="14"/>
      <c r="T140" s="30">
        <f>+T136-T138</f>
        <v>476800.51815638784</v>
      </c>
      <c r="U140" s="14"/>
      <c r="V140" s="32">
        <f>IF(T$12=0,0,T140/T$12)</f>
        <v>5.7739740841895835E-2</v>
      </c>
      <c r="W140" s="16"/>
      <c r="X140" s="30">
        <f>P140-T140</f>
        <v>69496.521843613591</v>
      </c>
      <c r="Y140" s="16"/>
      <c r="Z140" s="32">
        <f>IF(T140=0,0,X140/T140)</f>
        <v>0.14575596962925097</v>
      </c>
    </row>
    <row r="141" spans="1:26" ht="15.75" thickTop="1" x14ac:dyDescent="0.25">
      <c r="A141" s="9"/>
      <c r="B141" s="9"/>
      <c r="C141" s="9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x14ac:dyDescent="0.25">
      <c r="A142" s="9"/>
      <c r="B142" s="9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ht="15.75" thickBot="1" x14ac:dyDescent="0.3">
      <c r="A143" s="10"/>
      <c r="B143" s="28" t="s">
        <v>5</v>
      </c>
      <c r="C143" s="28"/>
      <c r="D143" s="31">
        <f>SUM(D140:D142)</f>
        <v>133339.74000000005</v>
      </c>
      <c r="E143" s="14"/>
      <c r="F143" s="35">
        <f>IF(D$12=0,0,D143/D$12)</f>
        <v>7.8292557993663775E-2</v>
      </c>
      <c r="G143" s="14"/>
      <c r="H143" s="31">
        <f>SUM(H140:H142)</f>
        <v>94368.333350141998</v>
      </c>
      <c r="I143" s="14"/>
      <c r="J143" s="35">
        <f>IF(H$12=0,0,H143/H$12)</f>
        <v>5.8023794879859661E-2</v>
      </c>
      <c r="K143" s="16"/>
      <c r="L143" s="31">
        <f>+D143-H143</f>
        <v>38971.406649858051</v>
      </c>
      <c r="M143" s="16"/>
      <c r="N143" s="35">
        <f>IF(H143=0,0,L143/H143)</f>
        <v>0.41297122950406973</v>
      </c>
      <c r="O143" s="29"/>
      <c r="P143" s="31">
        <f>SUM(P140:P142)</f>
        <v>546297.04000000143</v>
      </c>
      <c r="Q143" s="14"/>
      <c r="R143" s="35">
        <f>IF(P$12=0,0,P143/P$12)</f>
        <v>6.8629683225198398E-2</v>
      </c>
      <c r="S143" s="14"/>
      <c r="T143" s="31">
        <f>SUM(T140:T142)</f>
        <v>476800.51815638784</v>
      </c>
      <c r="U143" s="14"/>
      <c r="V143" s="35">
        <f>IF(T$12=0,0,T143/T$12)</f>
        <v>5.7739740841895835E-2</v>
      </c>
      <c r="W143" s="16"/>
      <c r="X143" s="31">
        <f>+P143-T143</f>
        <v>69496.521843613591</v>
      </c>
      <c r="Y143" s="16"/>
      <c r="Z143" s="35">
        <f>IF(T143=0,0,X143/T143)</f>
        <v>0.14575596962925097</v>
      </c>
    </row>
    <row r="144" spans="1:26" ht="15.75" thickTop="1" x14ac:dyDescent="0.25">
      <c r="A144" s="9"/>
      <c r="C144" s="9"/>
      <c r="D144" s="17"/>
      <c r="E144" s="17"/>
      <c r="G144" s="17"/>
      <c r="H144" s="17"/>
      <c r="I144" s="17"/>
      <c r="J144" s="43"/>
      <c r="K144" s="17"/>
      <c r="L144" s="17"/>
      <c r="M144" s="17"/>
      <c r="P144" s="17"/>
      <c r="Q144" s="17"/>
      <c r="R144" s="43"/>
      <c r="S144" s="17"/>
      <c r="T144" s="17"/>
      <c r="U144" s="17"/>
      <c r="V144" s="43"/>
      <c r="W144" s="17"/>
      <c r="X144" s="17"/>
    </row>
    <row r="145" spans="1:24" x14ac:dyDescent="0.25">
      <c r="A145" s="9"/>
      <c r="B145" s="56">
        <v>43815.483313807868</v>
      </c>
      <c r="D145" s="17"/>
      <c r="E145" s="17"/>
      <c r="G145" s="17"/>
      <c r="H145" s="17"/>
      <c r="I145" s="17"/>
      <c r="J145" s="43"/>
      <c r="K145" s="17"/>
      <c r="L145" s="17"/>
      <c r="M145" s="17"/>
      <c r="P145" s="17"/>
      <c r="Q145" s="17"/>
      <c r="R145" s="43"/>
      <c r="S145" s="17"/>
      <c r="T145" s="17"/>
      <c r="U145" s="17"/>
      <c r="V145" s="43"/>
      <c r="W145" s="17"/>
      <c r="X145" s="17"/>
    </row>
    <row r="146" spans="1:24" x14ac:dyDescent="0.25">
      <c r="A146" s="9"/>
      <c r="B146" s="62" t="s">
        <v>314</v>
      </c>
      <c r="D146" s="17"/>
      <c r="E146" s="17"/>
      <c r="G146" s="17"/>
      <c r="H146" s="17"/>
      <c r="I146" s="17"/>
      <c r="J146" s="43"/>
      <c r="K146" s="17"/>
      <c r="L146" s="17"/>
      <c r="M146" s="17"/>
      <c r="P146" s="17"/>
      <c r="Q146" s="17"/>
      <c r="R146" s="43"/>
      <c r="S146" s="17"/>
      <c r="T146" s="17"/>
      <c r="U146" s="17"/>
      <c r="V146" s="43"/>
      <c r="W146" s="17"/>
      <c r="X146" s="17"/>
    </row>
    <row r="147" spans="1:24" x14ac:dyDescent="0.25">
      <c r="A147" s="9"/>
      <c r="B147" s="58"/>
      <c r="D147" s="17"/>
      <c r="E147" s="17"/>
      <c r="G147" s="17"/>
      <c r="H147" s="17"/>
      <c r="I147" s="17"/>
      <c r="J147" s="43"/>
      <c r="K147" s="17"/>
      <c r="L147" s="17"/>
      <c r="M147" s="17"/>
      <c r="P147" s="17"/>
      <c r="Q147" s="17"/>
      <c r="R147" s="43"/>
      <c r="S147" s="17"/>
      <c r="T147" s="17"/>
      <c r="U147" s="17"/>
      <c r="V147" s="43"/>
      <c r="W147" s="17"/>
      <c r="X147" s="17"/>
    </row>
    <row r="148" spans="1:24" x14ac:dyDescent="0.25">
      <c r="D148" s="17"/>
      <c r="E148" s="17"/>
      <c r="G148" s="17"/>
      <c r="H148" s="17"/>
      <c r="I148" s="17"/>
      <c r="J148" s="43"/>
      <c r="K148" s="17"/>
      <c r="L148" s="17"/>
      <c r="M148" s="17"/>
      <c r="P148" s="17"/>
      <c r="Q148" s="17"/>
      <c r="R148" s="43"/>
      <c r="S148" s="17"/>
      <c r="T148" s="17"/>
      <c r="U148" s="17"/>
      <c r="V148" s="43"/>
      <c r="W148" s="17"/>
      <c r="X148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5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313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860114.22000000009</v>
      </c>
      <c r="E12" s="4"/>
      <c r="F12" s="12"/>
      <c r="G12" s="4"/>
      <c r="H12" s="4">
        <f>SUM(OSRRefH13x_0)</f>
        <v>866363</v>
      </c>
      <c r="I12" s="4"/>
      <c r="J12" s="12"/>
      <c r="K12" s="4"/>
      <c r="L12" s="4">
        <f t="shared" ref="L12:L29" si="0">+D12-H12</f>
        <v>-6248.7799999999115</v>
      </c>
      <c r="M12" s="4"/>
      <c r="N12" s="12">
        <f t="shared" ref="N12:N29" si="1">IF(H12=0,0,L12/H12)</f>
        <v>-7.2126579736206554E-3</v>
      </c>
      <c r="O12" s="10"/>
      <c r="P12" s="4">
        <f>SUM(OSRRefP13x_0)</f>
        <v>4089195.04</v>
      </c>
      <c r="Q12" s="4"/>
      <c r="R12" s="12"/>
      <c r="S12" s="4"/>
      <c r="T12" s="4">
        <f>SUM(OSRRefT13x_0)</f>
        <v>4452877.2</v>
      </c>
      <c r="U12" s="4"/>
      <c r="V12" s="12"/>
      <c r="W12" s="4"/>
      <c r="X12" s="4">
        <f t="shared" ref="X12:X29" si="2">+P12-T12</f>
        <v>-363682.16000000015</v>
      </c>
      <c r="Y12" s="4"/>
      <c r="Z12" s="12">
        <f t="shared" ref="Z12:Z29" si="3">IF(T12=0,0,X12/T12)</f>
        <v>-8.1673521111249175E-2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378009</v>
      </c>
      <c r="I13" s="2"/>
      <c r="J13" s="19"/>
      <c r="K13" s="2"/>
      <c r="L13" s="2">
        <f t="shared" si="0"/>
        <v>-378009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1880722.2</v>
      </c>
      <c r="U13" s="2"/>
      <c r="V13" s="19"/>
      <c r="W13" s="2"/>
      <c r="X13" s="2">
        <f t="shared" si="2"/>
        <v>-1880722.2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>--29698.86</f>
        <v>29698.86</v>
      </c>
      <c r="E14" s="2"/>
      <c r="F14" s="19"/>
      <c r="G14" s="2"/>
      <c r="H14" s="2"/>
      <c r="I14" s="2"/>
      <c r="J14" s="19"/>
      <c r="K14" s="2"/>
      <c r="L14" s="2">
        <f t="shared" si="0"/>
        <v>29698.86</v>
      </c>
      <c r="M14" s="2"/>
      <c r="N14" s="19">
        <f t="shared" si="1"/>
        <v>0</v>
      </c>
      <c r="O14" s="11"/>
      <c r="P14" s="2">
        <f>--161513.73</f>
        <v>161513.73000000001</v>
      </c>
      <c r="Q14" s="2"/>
      <c r="R14" s="19"/>
      <c r="S14" s="2"/>
      <c r="T14" s="2"/>
      <c r="U14" s="2"/>
      <c r="V14" s="19"/>
      <c r="W14" s="2"/>
      <c r="X14" s="2">
        <f t="shared" si="2"/>
        <v>161513.73000000001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>--237.09</f>
        <v>237.09</v>
      </c>
      <c r="E15" s="2"/>
      <c r="F15" s="19"/>
      <c r="G15" s="2"/>
      <c r="H15" s="2"/>
      <c r="I15" s="2"/>
      <c r="J15" s="19"/>
      <c r="K15" s="2"/>
      <c r="L15" s="2">
        <f t="shared" si="0"/>
        <v>237.09</v>
      </c>
      <c r="M15" s="2"/>
      <c r="N15" s="19">
        <f t="shared" si="1"/>
        <v>0</v>
      </c>
      <c r="O15" s="11"/>
      <c r="P15" s="2">
        <f>--1919.17</f>
        <v>1919.17</v>
      </c>
      <c r="Q15" s="2"/>
      <c r="R15" s="19"/>
      <c r="S15" s="2"/>
      <c r="T15" s="2"/>
      <c r="U15" s="2"/>
      <c r="V15" s="19"/>
      <c r="W15" s="2"/>
      <c r="X15" s="2">
        <f t="shared" si="2"/>
        <v>1919.17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--74968.58</f>
        <v>74968.58</v>
      </c>
      <c r="E16" s="2"/>
      <c r="F16" s="19"/>
      <c r="G16" s="2"/>
      <c r="H16" s="2"/>
      <c r="I16" s="2"/>
      <c r="J16" s="19"/>
      <c r="K16" s="2"/>
      <c r="L16" s="2">
        <f t="shared" si="0"/>
        <v>74968.58</v>
      </c>
      <c r="M16" s="2"/>
      <c r="N16" s="19">
        <f t="shared" si="1"/>
        <v>0</v>
      </c>
      <c r="O16" s="11"/>
      <c r="P16" s="2">
        <f>--375004.52</f>
        <v>375004.52</v>
      </c>
      <c r="Q16" s="2"/>
      <c r="R16" s="19"/>
      <c r="S16" s="2"/>
      <c r="T16" s="2"/>
      <c r="U16" s="2"/>
      <c r="V16" s="19"/>
      <c r="W16" s="2"/>
      <c r="X16" s="2">
        <f t="shared" si="2"/>
        <v>375004.52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>--85023.13</f>
        <v>85023.13</v>
      </c>
      <c r="E17" s="2"/>
      <c r="F17" s="19"/>
      <c r="G17" s="2"/>
      <c r="H17" s="2"/>
      <c r="I17" s="2"/>
      <c r="J17" s="19"/>
      <c r="K17" s="2"/>
      <c r="L17" s="2">
        <f t="shared" si="0"/>
        <v>85023.13</v>
      </c>
      <c r="M17" s="2"/>
      <c r="N17" s="19">
        <f t="shared" si="1"/>
        <v>0</v>
      </c>
      <c r="O17" s="11"/>
      <c r="P17" s="2">
        <f>--453845.53</f>
        <v>453845.53</v>
      </c>
      <c r="Q17" s="2"/>
      <c r="R17" s="19"/>
      <c r="S17" s="2"/>
      <c r="T17" s="2"/>
      <c r="U17" s="2"/>
      <c r="V17" s="19"/>
      <c r="W17" s="2"/>
      <c r="X17" s="2">
        <f t="shared" si="2"/>
        <v>453845.53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"4053", " - ", "TAXABLE SALES-FOOD")</f>
        <v xml:space="preserve">          4053 - TAXABLE SALES-FOOD</v>
      </c>
      <c r="C18" s="11"/>
      <c r="D18" s="2">
        <f>--10014.68</f>
        <v>10014.68</v>
      </c>
      <c r="E18" s="2"/>
      <c r="F18" s="19"/>
      <c r="G18" s="2"/>
      <c r="H18" s="2"/>
      <c r="I18" s="2"/>
      <c r="J18" s="19"/>
      <c r="K18" s="2"/>
      <c r="L18" s="2">
        <f t="shared" si="0"/>
        <v>10014.68</v>
      </c>
      <c r="M18" s="2"/>
      <c r="N18" s="19">
        <f t="shared" si="1"/>
        <v>0</v>
      </c>
      <c r="O18" s="11"/>
      <c r="P18" s="2">
        <f>--70515.29</f>
        <v>70515.289999999994</v>
      </c>
      <c r="Q18" s="2"/>
      <c r="R18" s="19"/>
      <c r="S18" s="2"/>
      <c r="T18" s="2"/>
      <c r="U18" s="2"/>
      <c r="V18" s="19"/>
      <c r="W18" s="2"/>
      <c r="X18" s="2">
        <f t="shared" si="2"/>
        <v>70515.289999999994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"4055", " - ", "TAXABLE SALES-FOOD")</f>
        <v xml:space="preserve">          4055 - TAXABLE SALES-FOOD</v>
      </c>
      <c r="C19" s="11"/>
      <c r="D19" s="2">
        <f>--49116.37</f>
        <v>49116.37</v>
      </c>
      <c r="E19" s="2"/>
      <c r="F19" s="19"/>
      <c r="G19" s="2"/>
      <c r="H19" s="2"/>
      <c r="I19" s="2"/>
      <c r="J19" s="19"/>
      <c r="K19" s="2"/>
      <c r="L19" s="2">
        <f t="shared" si="0"/>
        <v>49116.37</v>
      </c>
      <c r="M19" s="2"/>
      <c r="N19" s="19">
        <f t="shared" si="1"/>
        <v>0</v>
      </c>
      <c r="O19" s="11"/>
      <c r="P19" s="2">
        <f>--235107.97</f>
        <v>235107.97</v>
      </c>
      <c r="Q19" s="2"/>
      <c r="R19" s="19"/>
      <c r="S19" s="2"/>
      <c r="T19" s="2"/>
      <c r="U19" s="2"/>
      <c r="V19" s="19"/>
      <c r="W19" s="2"/>
      <c r="X19" s="2">
        <f t="shared" si="2"/>
        <v>235107.97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"4058", " - ", "TAXABLE SALES-FOOD")</f>
        <v xml:space="preserve">          4058 - TAXABLE SALES-FOOD</v>
      </c>
      <c r="C20" s="11"/>
      <c r="D20" s="2">
        <f>--14656.48</f>
        <v>14656.48</v>
      </c>
      <c r="E20" s="2"/>
      <c r="F20" s="19"/>
      <c r="G20" s="2"/>
      <c r="H20" s="2"/>
      <c r="I20" s="2"/>
      <c r="J20" s="19"/>
      <c r="K20" s="2"/>
      <c r="L20" s="2">
        <f t="shared" si="0"/>
        <v>14656.48</v>
      </c>
      <c r="M20" s="2"/>
      <c r="N20" s="19">
        <f t="shared" si="1"/>
        <v>0</v>
      </c>
      <c r="O20" s="11"/>
      <c r="P20" s="2">
        <f>--78802.41</f>
        <v>78802.41</v>
      </c>
      <c r="Q20" s="2"/>
      <c r="R20" s="19"/>
      <c r="S20" s="2"/>
      <c r="T20" s="2"/>
      <c r="U20" s="2"/>
      <c r="V20" s="19"/>
      <c r="W20" s="2"/>
      <c r="X20" s="2">
        <f t="shared" si="2"/>
        <v>78802.41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19"/>
      <c r="G21" s="2"/>
      <c r="H21" s="2">
        <v>488354</v>
      </c>
      <c r="I21" s="2"/>
      <c r="J21" s="19"/>
      <c r="K21" s="2"/>
      <c r="L21" s="2">
        <f t="shared" si="0"/>
        <v>-488354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v>2572155</v>
      </c>
      <c r="U21" s="2"/>
      <c r="V21" s="19"/>
      <c r="W21" s="2"/>
      <c r="X21" s="2">
        <f t="shared" si="2"/>
        <v>-2572155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"4132", " - ", "NON-TAXABLE SALES-JUICE")</f>
        <v xml:space="preserve">          4132 - NON-TAXABLE SALES-JUICE</v>
      </c>
      <c r="C22" s="11"/>
      <c r="D22" s="2">
        <f>--139966.75</f>
        <v>139966.75</v>
      </c>
      <c r="E22" s="2"/>
      <c r="F22" s="19"/>
      <c r="G22" s="2"/>
      <c r="H22" s="2"/>
      <c r="I22" s="2"/>
      <c r="J22" s="19"/>
      <c r="K22" s="2"/>
      <c r="L22" s="2">
        <f t="shared" si="0"/>
        <v>139966.75</v>
      </c>
      <c r="M22" s="2"/>
      <c r="N22" s="19">
        <f t="shared" si="1"/>
        <v>0</v>
      </c>
      <c r="O22" s="11"/>
      <c r="P22" s="2">
        <f>--655070.4</f>
        <v>655070.4</v>
      </c>
      <c r="Q22" s="2"/>
      <c r="R22" s="19"/>
      <c r="S22" s="2"/>
      <c r="T22" s="2"/>
      <c r="U22" s="2"/>
      <c r="V22" s="19"/>
      <c r="W22" s="2"/>
      <c r="X22" s="2">
        <f t="shared" si="2"/>
        <v>655070.4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"4134", " - ", "NON-TAXABLE SALES-SODA")</f>
        <v xml:space="preserve">          4134 - NON-TAXABLE SALES-SODA</v>
      </c>
      <c r="C23" s="11"/>
      <c r="D23" s="2">
        <f>0</f>
        <v>0</v>
      </c>
      <c r="E23" s="2"/>
      <c r="F23" s="19"/>
      <c r="G23" s="2"/>
      <c r="H23" s="2"/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>--0.39</f>
        <v>0.39</v>
      </c>
      <c r="Q23" s="2"/>
      <c r="R23" s="19"/>
      <c r="S23" s="2"/>
      <c r="T23" s="2"/>
      <c r="U23" s="2"/>
      <c r="V23" s="19"/>
      <c r="W23" s="2"/>
      <c r="X23" s="2">
        <f t="shared" si="2"/>
        <v>0.39</v>
      </c>
      <c r="Y23" s="2"/>
      <c r="Z23" s="19">
        <f t="shared" si="3"/>
        <v>0</v>
      </c>
    </row>
    <row r="24" spans="1:26" s="24" customFormat="1" hidden="1" outlineLevel="1" x14ac:dyDescent="0.25">
      <c r="A24" s="44"/>
      <c r="B24" s="11" t="str">
        <f>CONCATENATE("          ", "4137", " - ", "NON-TAXABLE SALES-WATER")</f>
        <v xml:space="preserve">          4137 - NON-TAXABLE SALES-WATER</v>
      </c>
      <c r="C24" s="11"/>
      <c r="D24" s="2">
        <f>--175.69</f>
        <v>175.69</v>
      </c>
      <c r="E24" s="2"/>
      <c r="F24" s="19"/>
      <c r="G24" s="2"/>
      <c r="H24" s="2"/>
      <c r="I24" s="2"/>
      <c r="J24" s="19"/>
      <c r="K24" s="2"/>
      <c r="L24" s="2">
        <f t="shared" si="0"/>
        <v>175.69</v>
      </c>
      <c r="M24" s="2"/>
      <c r="N24" s="19">
        <f t="shared" si="1"/>
        <v>0</v>
      </c>
      <c r="O24" s="11"/>
      <c r="P24" s="2">
        <f>--1024.54</f>
        <v>1024.54</v>
      </c>
      <c r="Q24" s="2"/>
      <c r="R24" s="19"/>
      <c r="S24" s="2"/>
      <c r="T24" s="2"/>
      <c r="U24" s="2"/>
      <c r="V24" s="19"/>
      <c r="W24" s="2"/>
      <c r="X24" s="2">
        <f t="shared" si="2"/>
        <v>1024.54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"4151", " - ", "NON-TAXABLE SALES-FOOD")</f>
        <v xml:space="preserve">          4151 - NON-TAXABLE SALES-FOOD</v>
      </c>
      <c r="C25" s="11"/>
      <c r="D25" s="2">
        <f>--294922.28</f>
        <v>294922.28000000003</v>
      </c>
      <c r="E25" s="2"/>
      <c r="F25" s="19"/>
      <c r="G25" s="2"/>
      <c r="H25" s="2"/>
      <c r="I25" s="2"/>
      <c r="J25" s="19"/>
      <c r="K25" s="2"/>
      <c r="L25" s="2">
        <f t="shared" si="0"/>
        <v>294922.28000000003</v>
      </c>
      <c r="M25" s="2"/>
      <c r="N25" s="19">
        <f t="shared" si="1"/>
        <v>0</v>
      </c>
      <c r="O25" s="11"/>
      <c r="P25" s="2">
        <f>--1324870.19</f>
        <v>1324870.19</v>
      </c>
      <c r="Q25" s="2"/>
      <c r="R25" s="19"/>
      <c r="S25" s="2"/>
      <c r="T25" s="2"/>
      <c r="U25" s="2"/>
      <c r="V25" s="19"/>
      <c r="W25" s="2"/>
      <c r="X25" s="2">
        <f t="shared" si="2"/>
        <v>1324870.19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"4152", " - ", "NON-TAXABLE SALES-FOOD")</f>
        <v xml:space="preserve">          4152 - NON-TAXABLE SALES-FOOD</v>
      </c>
      <c r="C26" s="11"/>
      <c r="D26" s="2">
        <f>--5402.66</f>
        <v>5402.66</v>
      </c>
      <c r="E26" s="2"/>
      <c r="F26" s="19"/>
      <c r="G26" s="2"/>
      <c r="H26" s="2"/>
      <c r="I26" s="2"/>
      <c r="J26" s="19"/>
      <c r="K26" s="2"/>
      <c r="L26" s="2">
        <f t="shared" si="0"/>
        <v>5402.66</v>
      </c>
      <c r="M26" s="2"/>
      <c r="N26" s="19">
        <f t="shared" si="1"/>
        <v>0</v>
      </c>
      <c r="O26" s="11"/>
      <c r="P26" s="2">
        <f>--30341.45</f>
        <v>30341.45</v>
      </c>
      <c r="Q26" s="2"/>
      <c r="R26" s="19"/>
      <c r="S26" s="2"/>
      <c r="T26" s="2"/>
      <c r="U26" s="2"/>
      <c r="V26" s="19"/>
      <c r="W26" s="2"/>
      <c r="X26" s="2">
        <f t="shared" si="2"/>
        <v>30341.45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"4153", " - ", "NON-TAXABLE SALES-FOOD")</f>
        <v xml:space="preserve">          4153 - NON-TAXABLE SALES-FOOD</v>
      </c>
      <c r="C27" s="11"/>
      <c r="D27" s="2">
        <f>--1546.5</f>
        <v>1546.5</v>
      </c>
      <c r="E27" s="2"/>
      <c r="F27" s="19"/>
      <c r="G27" s="2"/>
      <c r="H27" s="2"/>
      <c r="I27" s="2"/>
      <c r="J27" s="19"/>
      <c r="K27" s="2"/>
      <c r="L27" s="2">
        <f t="shared" si="0"/>
        <v>1546.5</v>
      </c>
      <c r="M27" s="2"/>
      <c r="N27" s="19">
        <f t="shared" si="1"/>
        <v>0</v>
      </c>
      <c r="O27" s="11"/>
      <c r="P27" s="2">
        <f>--6827</f>
        <v>6827</v>
      </c>
      <c r="Q27" s="2"/>
      <c r="R27" s="19"/>
      <c r="S27" s="2"/>
      <c r="T27" s="2"/>
      <c r="U27" s="2"/>
      <c r="V27" s="19"/>
      <c r="W27" s="2"/>
      <c r="X27" s="2">
        <f t="shared" si="2"/>
        <v>6827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"4155", " - ", "NON-TAXABLE SALES-FOOD")</f>
        <v xml:space="preserve">          4155 - NON-TAXABLE SALES-FOOD</v>
      </c>
      <c r="C28" s="11"/>
      <c r="D28" s="2">
        <f>--89218.16</f>
        <v>89218.16</v>
      </c>
      <c r="E28" s="2"/>
      <c r="F28" s="19"/>
      <c r="G28" s="2"/>
      <c r="H28" s="2"/>
      <c r="I28" s="2"/>
      <c r="J28" s="19"/>
      <c r="K28" s="2"/>
      <c r="L28" s="2">
        <f t="shared" si="0"/>
        <v>89218.16</v>
      </c>
      <c r="M28" s="2"/>
      <c r="N28" s="19">
        <f t="shared" si="1"/>
        <v>0</v>
      </c>
      <c r="O28" s="11"/>
      <c r="P28" s="2">
        <f>--421465.19</f>
        <v>421465.19</v>
      </c>
      <c r="Q28" s="2"/>
      <c r="R28" s="19"/>
      <c r="S28" s="2"/>
      <c r="T28" s="2"/>
      <c r="U28" s="2"/>
      <c r="V28" s="19"/>
      <c r="W28" s="2"/>
      <c r="X28" s="2">
        <f t="shared" si="2"/>
        <v>421465.19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"4158", " - ", "NON-TAXABLE SALES-FOOD")</f>
        <v xml:space="preserve">          4158 - NON-TAXABLE SALES-FOOD</v>
      </c>
      <c r="C29" s="11"/>
      <c r="D29" s="2">
        <f>--65166.99</f>
        <v>65166.99</v>
      </c>
      <c r="E29" s="2"/>
      <c r="F29" s="19"/>
      <c r="G29" s="2"/>
      <c r="H29" s="2"/>
      <c r="I29" s="2"/>
      <c r="J29" s="19"/>
      <c r="K29" s="2"/>
      <c r="L29" s="2">
        <f t="shared" si="0"/>
        <v>65166.99</v>
      </c>
      <c r="M29" s="2"/>
      <c r="N29" s="19">
        <f t="shared" si="1"/>
        <v>0</v>
      </c>
      <c r="O29" s="11"/>
      <c r="P29" s="2">
        <f>--272887.26</f>
        <v>272887.26</v>
      </c>
      <c r="Q29" s="2"/>
      <c r="R29" s="19"/>
      <c r="S29" s="2"/>
      <c r="T29" s="2"/>
      <c r="U29" s="2"/>
      <c r="V29" s="19"/>
      <c r="W29" s="2"/>
      <c r="X29" s="2">
        <f t="shared" si="2"/>
        <v>272887.26</v>
      </c>
      <c r="Y29" s="2"/>
      <c r="Z29" s="19">
        <f t="shared" si="3"/>
        <v>0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collapsed="1" x14ac:dyDescent="0.25">
      <c r="A31" s="10"/>
      <c r="B31" s="29" t="s">
        <v>8</v>
      </c>
      <c r="C31" s="10"/>
      <c r="D31" s="4">
        <f>SUM(OSRRefD16x_0)</f>
        <v>334582.78000000003</v>
      </c>
      <c r="E31" s="4"/>
      <c r="F31" s="12">
        <f t="shared" ref="F31:F34" si="4">IF(D$12=0,0,D31/D$12)</f>
        <v>0.38899807981316714</v>
      </c>
      <c r="G31" s="4"/>
      <c r="H31" s="4">
        <f>SUM(OSRRefH16x_0)</f>
        <v>325347</v>
      </c>
      <c r="I31" s="4"/>
      <c r="J31" s="12">
        <f t="shared" ref="J31:J34" si="5">IF(H$12=0,0,H31/H$12)</f>
        <v>0.37553196523858939</v>
      </c>
      <c r="K31" s="4"/>
      <c r="L31" s="4">
        <f t="shared" ref="L31:L34" si="6">+D31-H31</f>
        <v>9235.7800000000279</v>
      </c>
      <c r="M31" s="4"/>
      <c r="N31" s="12">
        <f t="shared" ref="N31:N34" si="7">IF(H31=0,0,L31/H31)</f>
        <v>2.8387475526130648E-2</v>
      </c>
      <c r="O31" s="10"/>
      <c r="P31" s="4">
        <f>SUM(OSRRefP16x_0)</f>
        <v>1553526.17</v>
      </c>
      <c r="Q31" s="4"/>
      <c r="R31" s="12">
        <f t="shared" ref="R31:R34" si="8">IF(P$12=0,0,P31/P$12)</f>
        <v>0.37991002013931818</v>
      </c>
      <c r="S31" s="4"/>
      <c r="T31" s="4">
        <f>SUM(OSRRefT16x_0)</f>
        <v>1630747</v>
      </c>
      <c r="U31" s="4"/>
      <c r="V31" s="12">
        <f t="shared" ref="V31:V34" si="9">IF(T$12=0,0,T31/T$12)</f>
        <v>0.36622321406033831</v>
      </c>
      <c r="W31" s="4"/>
      <c r="X31" s="4">
        <f t="shared" ref="X31:X34" si="10">+P31-T31</f>
        <v>-77220.830000000075</v>
      </c>
      <c r="Y31" s="4"/>
      <c r="Z31" s="12">
        <f t="shared" ref="Z31:Z34" si="11">IF(T31=0,0,X31/T31)</f>
        <v>-4.7353041274949499E-2</v>
      </c>
    </row>
    <row r="32" spans="1:26" s="24" customFormat="1" hidden="1" outlineLevel="1" x14ac:dyDescent="0.25">
      <c r="A32" s="44"/>
      <c r="B32" s="11" t="str">
        <f>CONCATENATE("          ", "5000", " - ", "PURCHASES @ COST")</f>
        <v xml:space="preserve">          5000 - PURCHASES @ COST</v>
      </c>
      <c r="C32" s="11"/>
      <c r="D32" s="2"/>
      <c r="E32" s="2"/>
      <c r="F32" s="19">
        <f t="shared" si="4"/>
        <v>0</v>
      </c>
      <c r="G32" s="2"/>
      <c r="H32" s="2">
        <v>325347</v>
      </c>
      <c r="I32" s="2"/>
      <c r="J32" s="19">
        <f t="shared" si="5"/>
        <v>0.37553196523858939</v>
      </c>
      <c r="K32" s="2"/>
      <c r="L32" s="2">
        <f t="shared" si="6"/>
        <v>-325347</v>
      </c>
      <c r="M32" s="2"/>
      <c r="N32" s="19">
        <f t="shared" si="7"/>
        <v>-1</v>
      </c>
      <c r="O32" s="11"/>
      <c r="P32" s="2"/>
      <c r="Q32" s="2"/>
      <c r="R32" s="19">
        <f t="shared" si="8"/>
        <v>0</v>
      </c>
      <c r="S32" s="2"/>
      <c r="T32" s="2">
        <v>1630747</v>
      </c>
      <c r="U32" s="2"/>
      <c r="V32" s="19">
        <f t="shared" si="9"/>
        <v>0.36622321406033831</v>
      </c>
      <c r="W32" s="2"/>
      <c r="X32" s="2">
        <f t="shared" si="10"/>
        <v>-1630747</v>
      </c>
      <c r="Y32" s="2"/>
      <c r="Z32" s="19">
        <f t="shared" si="11"/>
        <v>-1</v>
      </c>
    </row>
    <row r="33" spans="1:26" s="24" customFormat="1" hidden="1" outlineLevel="1" x14ac:dyDescent="0.25">
      <c r="A33" s="44"/>
      <c r="B33" s="11" t="str">
        <f>CONCATENATE("          ", "5053", " - ", "PURCHASES @ COST-FOOD")</f>
        <v xml:space="preserve">          5053 - PURCHASES @ COST-FOOD</v>
      </c>
      <c r="C33" s="11"/>
      <c r="D33" s="2">
        <v>317301.56</v>
      </c>
      <c r="E33" s="2"/>
      <c r="F33" s="19">
        <f t="shared" si="4"/>
        <v>0.36890630642055883</v>
      </c>
      <c r="G33" s="2"/>
      <c r="H33" s="2"/>
      <c r="I33" s="2"/>
      <c r="J33" s="19">
        <f t="shared" si="5"/>
        <v>0</v>
      </c>
      <c r="K33" s="2"/>
      <c r="L33" s="2">
        <f t="shared" si="6"/>
        <v>317301.56</v>
      </c>
      <c r="M33" s="2"/>
      <c r="N33" s="19">
        <f t="shared" si="7"/>
        <v>0</v>
      </c>
      <c r="O33" s="11"/>
      <c r="P33" s="2">
        <v>1619543.0699999998</v>
      </c>
      <c r="Q33" s="2"/>
      <c r="R33" s="19">
        <f t="shared" si="8"/>
        <v>0.39605424885774093</v>
      </c>
      <c r="S33" s="2"/>
      <c r="T33" s="2"/>
      <c r="U33" s="2"/>
      <c r="V33" s="19">
        <f t="shared" si="9"/>
        <v>0</v>
      </c>
      <c r="W33" s="2"/>
      <c r="X33" s="2">
        <f t="shared" si="10"/>
        <v>1619543.0699999998</v>
      </c>
      <c r="Y33" s="2"/>
      <c r="Z33" s="19">
        <f t="shared" si="11"/>
        <v>0</v>
      </c>
    </row>
    <row r="34" spans="1:26" s="24" customFormat="1" hidden="1" outlineLevel="1" x14ac:dyDescent="0.25">
      <c r="A34" s="44"/>
      <c r="B34" s="11" t="str">
        <f>CONCATENATE("          ", "5059", " - ", "PURCHASES @ COST-FOOD")</f>
        <v xml:space="preserve">          5059 - PURCHASES @ COST-FOOD</v>
      </c>
      <c r="C34" s="11"/>
      <c r="D34" s="2">
        <v>17281.22</v>
      </c>
      <c r="E34" s="2"/>
      <c r="F34" s="19">
        <f t="shared" si="4"/>
        <v>2.0091773392608252E-2</v>
      </c>
      <c r="G34" s="2"/>
      <c r="H34" s="2"/>
      <c r="I34" s="2"/>
      <c r="J34" s="19">
        <f t="shared" si="5"/>
        <v>0</v>
      </c>
      <c r="K34" s="2"/>
      <c r="L34" s="2">
        <f t="shared" si="6"/>
        <v>17281.22</v>
      </c>
      <c r="M34" s="2"/>
      <c r="N34" s="19">
        <f t="shared" si="7"/>
        <v>0</v>
      </c>
      <c r="O34" s="11"/>
      <c r="P34" s="2">
        <v>-66016.899999999994</v>
      </c>
      <c r="Q34" s="2"/>
      <c r="R34" s="19">
        <f t="shared" si="8"/>
        <v>-1.614422871842278E-2</v>
      </c>
      <c r="S34" s="2"/>
      <c r="T34" s="2"/>
      <c r="U34" s="2"/>
      <c r="V34" s="19">
        <f t="shared" si="9"/>
        <v>0</v>
      </c>
      <c r="W34" s="2"/>
      <c r="X34" s="2">
        <f t="shared" si="10"/>
        <v>-66016.899999999994</v>
      </c>
      <c r="Y34" s="2"/>
      <c r="Z34" s="19">
        <f t="shared" si="11"/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25">
      <c r="A36" s="10"/>
      <c r="B36" s="28" t="s">
        <v>6</v>
      </c>
      <c r="C36" s="28"/>
      <c r="D36" s="20">
        <f>D12-D31</f>
        <v>525531.44000000006</v>
      </c>
      <c r="E36" s="14"/>
      <c r="F36" s="22">
        <f>IF(D$12=0,0,D36/D$12)</f>
        <v>0.61100192018683286</v>
      </c>
      <c r="G36" s="14"/>
      <c r="H36" s="20">
        <f>H12-H31</f>
        <v>541016</v>
      </c>
      <c r="I36" s="14"/>
      <c r="J36" s="22">
        <f>IF(H$12=0,0,H36/H$12)</f>
        <v>0.62446803476141066</v>
      </c>
      <c r="K36" s="16"/>
      <c r="L36" s="20">
        <f>+D36-H36</f>
        <v>-15484.559999999939</v>
      </c>
      <c r="M36" s="16"/>
      <c r="N36" s="22">
        <f>IF(H36=0,0,L36/H36)</f>
        <v>-2.8621260739053817E-2</v>
      </c>
      <c r="O36" s="29"/>
      <c r="P36" s="20">
        <f>P12-P31</f>
        <v>2535668.87</v>
      </c>
      <c r="Q36" s="14"/>
      <c r="R36" s="22">
        <f>IF(P$12=0,0,P36/P$12)</f>
        <v>0.62008997986068182</v>
      </c>
      <c r="S36" s="14"/>
      <c r="T36" s="20">
        <f>T12-T31</f>
        <v>2822130.2</v>
      </c>
      <c r="U36" s="14"/>
      <c r="V36" s="22">
        <f>IF(T$12=0,0,T36/T$12)</f>
        <v>0.63377678593966169</v>
      </c>
      <c r="W36" s="16"/>
      <c r="X36" s="20">
        <f>+P36-T36</f>
        <v>-286461.33000000007</v>
      </c>
      <c r="Y36" s="16"/>
      <c r="Z36" s="22">
        <f>IF(T36=0,0,X36/T36)</f>
        <v>-0.10150535577699429</v>
      </c>
    </row>
    <row r="37" spans="1:26" x14ac:dyDescent="0.25">
      <c r="A37" s="9"/>
      <c r="B37" s="10"/>
      <c r="C37" s="9"/>
      <c r="D37" s="1"/>
      <c r="E37" s="1"/>
      <c r="F37" s="5"/>
      <c r="G37" s="1"/>
      <c r="H37" s="1"/>
      <c r="I37" s="1"/>
      <c r="J37" s="5"/>
      <c r="K37" s="1"/>
      <c r="L37" s="1"/>
      <c r="M37" s="1"/>
      <c r="N37" s="5"/>
      <c r="O37" s="36"/>
      <c r="P37" s="1"/>
      <c r="Q37" s="1"/>
      <c r="R37" s="5"/>
      <c r="S37" s="1"/>
      <c r="T37" s="1"/>
      <c r="U37" s="1"/>
      <c r="V37" s="5"/>
      <c r="W37" s="1"/>
      <c r="X37" s="1"/>
      <c r="Y37" s="1"/>
      <c r="Z37" s="5"/>
    </row>
    <row r="38" spans="1:26" s="23" customFormat="1" x14ac:dyDescent="0.25">
      <c r="A38" s="10"/>
      <c r="B38" s="29" t="s">
        <v>9</v>
      </c>
      <c r="C38" s="10"/>
      <c r="D38" s="21">
        <f>SUM(OSRRefD22x_0)</f>
        <v>565074.01000000059</v>
      </c>
      <c r="E38" s="21"/>
      <c r="F38" s="33">
        <f t="shared" ref="F38:F49" si="12">IF(D$12=0,0,D38/D$12)</f>
        <v>0.65697554680586556</v>
      </c>
      <c r="G38" s="21"/>
      <c r="H38" s="21">
        <f>SUM(OSRRefH22x_0)</f>
        <v>542089.09082711604</v>
      </c>
      <c r="I38" s="21"/>
      <c r="J38" s="33">
        <f t="shared" ref="J38:J49" si="13">IF(H$12=0,0,H38/H$12)</f>
        <v>0.62570665047689711</v>
      </c>
      <c r="K38" s="4"/>
      <c r="L38" s="21">
        <f t="shared" ref="L38:L49" si="14">+D38-H38</f>
        <v>22984.919172884547</v>
      </c>
      <c r="M38" s="4"/>
      <c r="N38" s="33">
        <f t="shared" ref="N38:N49" si="15">IF(H38=0,0,L38/H38)</f>
        <v>4.2400630379435061E-2</v>
      </c>
      <c r="O38" s="10"/>
      <c r="P38" s="21">
        <f>SUM(OSRRefP22x_0)</f>
        <v>2932089.3600000013</v>
      </c>
      <c r="Q38" s="21"/>
      <c r="R38" s="33">
        <f t="shared" ref="R38:R49" si="16">IF(P$12=0,0,P38/P$12)</f>
        <v>0.7170333846438397</v>
      </c>
      <c r="S38" s="21"/>
      <c r="T38" s="21">
        <f>SUM(OSRRefT22x_0)</f>
        <v>2856205.0057598241</v>
      </c>
      <c r="U38" s="21"/>
      <c r="V38" s="33">
        <f t="shared" ref="V38:V49" si="17">IF(T$12=0,0,T38/T$12)</f>
        <v>0.64142909796834824</v>
      </c>
      <c r="W38" s="4"/>
      <c r="X38" s="21">
        <f t="shared" ref="X38:X49" si="18">+P38-T38</f>
        <v>75884.354240177199</v>
      </c>
      <c r="Y38" s="4"/>
      <c r="Z38" s="33">
        <f t="shared" ref="Z38:Z49" si="19">IF(T38=0,0,X38/T38)</f>
        <v>2.6568244956909178E-2</v>
      </c>
    </row>
    <row r="39" spans="1:26" s="26" customFormat="1" outlineLevel="1" collapsed="1" x14ac:dyDescent="0.25">
      <c r="A39" s="27"/>
      <c r="B39" s="13" t="str">
        <f>CONCATENATE("     ","*Benefits                                         ")</f>
        <v xml:space="preserve">     *Benefits                                         </v>
      </c>
      <c r="C39" s="13"/>
      <c r="D39" s="1">
        <f>SUM(OSRRefD22_0x_0)</f>
        <v>78983.090000000011</v>
      </c>
      <c r="E39" s="1"/>
      <c r="F39" s="5">
        <f t="shared" si="12"/>
        <v>9.182860620534794E-2</v>
      </c>
      <c r="G39" s="1"/>
      <c r="H39" s="1">
        <f>SUM(OSRRefH22_0x_0)</f>
        <v>73433.024442500624</v>
      </c>
      <c r="I39" s="1"/>
      <c r="J39" s="5">
        <f t="shared" si="13"/>
        <v>8.4760111457322887E-2</v>
      </c>
      <c r="K39" s="1"/>
      <c r="L39" s="1">
        <f t="shared" si="14"/>
        <v>5550.0655574993871</v>
      </c>
      <c r="M39" s="1"/>
      <c r="N39" s="5">
        <f t="shared" si="15"/>
        <v>7.5579966910462579E-2</v>
      </c>
      <c r="O39" s="13"/>
      <c r="P39" s="1">
        <f>SUM(OSRRefP22_0x_0)</f>
        <v>413555.78</v>
      </c>
      <c r="Q39" s="1"/>
      <c r="R39" s="5">
        <f t="shared" si="16"/>
        <v>0.10113378695676008</v>
      </c>
      <c r="S39" s="1"/>
      <c r="T39" s="1">
        <f>SUM(OSRRefT22_0x_0)</f>
        <v>399032.96954443987</v>
      </c>
      <c r="U39" s="1"/>
      <c r="V39" s="5">
        <f t="shared" si="17"/>
        <v>8.9612390286540985E-2</v>
      </c>
      <c r="W39" s="1"/>
      <c r="X39" s="1">
        <f t="shared" si="18"/>
        <v>14522.81045556016</v>
      </c>
      <c r="Y39" s="1"/>
      <c r="Z39" s="5">
        <f t="shared" si="19"/>
        <v>3.6395013855973553E-2</v>
      </c>
    </row>
    <row r="40" spans="1:26" s="24" customFormat="1" hidden="1" outlineLevel="2" x14ac:dyDescent="0.25">
      <c r="A40" s="25"/>
      <c r="B40" s="11" t="str">
        <f>CONCATENATE("          ", "6111", " - ", "F.I.C.A.")</f>
        <v xml:space="preserve">          6111 - F.I.C.A.</v>
      </c>
      <c r="C40" s="11"/>
      <c r="D40" s="6">
        <v>13176.04</v>
      </c>
      <c r="E40" s="2"/>
      <c r="F40" s="7">
        <f t="shared" si="12"/>
        <v>1.5318942174912536E-2</v>
      </c>
      <c r="G40" s="2"/>
      <c r="H40" s="6">
        <v>11241.960155436003</v>
      </c>
      <c r="I40" s="2"/>
      <c r="J40" s="7">
        <f t="shared" si="13"/>
        <v>1.2976039091507836E-2</v>
      </c>
      <c r="K40" s="2"/>
      <c r="L40" s="6">
        <f t="shared" si="14"/>
        <v>1934.0798445639975</v>
      </c>
      <c r="M40" s="2"/>
      <c r="N40" s="7">
        <f t="shared" si="15"/>
        <v>0.17204115810967194</v>
      </c>
      <c r="O40" s="11"/>
      <c r="P40" s="6">
        <v>82019.820000000007</v>
      </c>
      <c r="Q40" s="2"/>
      <c r="R40" s="7">
        <f t="shared" si="16"/>
        <v>2.0057693310710854E-2</v>
      </c>
      <c r="S40" s="2"/>
      <c r="T40" s="6">
        <v>67115.416404006013</v>
      </c>
      <c r="U40" s="2"/>
      <c r="V40" s="7">
        <f t="shared" si="17"/>
        <v>1.5072370826665961E-2</v>
      </c>
      <c r="W40" s="2"/>
      <c r="X40" s="6">
        <f t="shared" si="18"/>
        <v>14904.403595993994</v>
      </c>
      <c r="Y40" s="2"/>
      <c r="Z40" s="7">
        <f t="shared" si="19"/>
        <v>0.22207123779544</v>
      </c>
    </row>
    <row r="41" spans="1:26" s="24" customFormat="1" hidden="1" outlineLevel="2" x14ac:dyDescent="0.25">
      <c r="A41" s="25"/>
      <c r="B41" s="11" t="str">
        <f>CONCATENATE("          ", "6112", " - ", "COMPENSATION INSURANCE")</f>
        <v xml:space="preserve">          6112 - COMPENSATION INSURANCE</v>
      </c>
      <c r="C41" s="11"/>
      <c r="D41" s="6">
        <v>10253.219999999999</v>
      </c>
      <c r="E41" s="2"/>
      <c r="F41" s="7">
        <f t="shared" si="12"/>
        <v>1.192076559320226E-2</v>
      </c>
      <c r="G41" s="2"/>
      <c r="H41" s="6">
        <v>9297.6809759446114</v>
      </c>
      <c r="I41" s="2"/>
      <c r="J41" s="7">
        <f t="shared" si="13"/>
        <v>1.0731853710216862E-2</v>
      </c>
      <c r="K41" s="2"/>
      <c r="L41" s="6">
        <f t="shared" si="14"/>
        <v>955.53902405538793</v>
      </c>
      <c r="M41" s="2"/>
      <c r="N41" s="7">
        <f t="shared" si="15"/>
        <v>0.1027717585199581</v>
      </c>
      <c r="O41" s="11"/>
      <c r="P41" s="6">
        <v>31238.53</v>
      </c>
      <c r="Q41" s="2"/>
      <c r="R41" s="7">
        <f t="shared" si="16"/>
        <v>7.6392858972068002E-3</v>
      </c>
      <c r="S41" s="2"/>
      <c r="T41" s="6">
        <v>48112.304598375376</v>
      </c>
      <c r="U41" s="2"/>
      <c r="V41" s="7">
        <f t="shared" si="17"/>
        <v>1.0804767892178876E-2</v>
      </c>
      <c r="W41" s="2"/>
      <c r="X41" s="6">
        <f t="shared" si="18"/>
        <v>-16873.774598375378</v>
      </c>
      <c r="Y41" s="2"/>
      <c r="Z41" s="7">
        <f t="shared" si="19"/>
        <v>-0.35071640694063033</v>
      </c>
    </row>
    <row r="42" spans="1:26" s="24" customFormat="1" hidden="1" outlineLevel="2" x14ac:dyDescent="0.25">
      <c r="A42" s="25"/>
      <c r="B42" s="11" t="str">
        <f>CONCATENATE("          ", "6113", " - ", "GROUP INSURANCE")</f>
        <v xml:space="preserve">          6113 - GROUP INSURANCE</v>
      </c>
      <c r="C42" s="11"/>
      <c r="D42" s="6">
        <v>29592.670000000002</v>
      </c>
      <c r="E42" s="2"/>
      <c r="F42" s="7">
        <f t="shared" si="12"/>
        <v>3.4405511863296483E-2</v>
      </c>
      <c r="G42" s="2"/>
      <c r="H42" s="6">
        <v>27566.415384615389</v>
      </c>
      <c r="I42" s="2"/>
      <c r="J42" s="7">
        <f t="shared" si="13"/>
        <v>3.1818551097652359E-2</v>
      </c>
      <c r="K42" s="2"/>
      <c r="L42" s="6">
        <f t="shared" si="14"/>
        <v>2026.2546153846124</v>
      </c>
      <c r="M42" s="2"/>
      <c r="N42" s="7">
        <f t="shared" si="15"/>
        <v>7.3504465020702334E-2</v>
      </c>
      <c r="O42" s="11"/>
      <c r="P42" s="6">
        <v>138134.1</v>
      </c>
      <c r="Q42" s="2"/>
      <c r="R42" s="7">
        <f t="shared" si="16"/>
        <v>3.3780266934883105E-2</v>
      </c>
      <c r="S42" s="2"/>
      <c r="T42" s="6">
        <v>140271.57307692312</v>
      </c>
      <c r="U42" s="2"/>
      <c r="V42" s="7">
        <f t="shared" si="17"/>
        <v>3.1501334255730901E-2</v>
      </c>
      <c r="W42" s="2"/>
      <c r="X42" s="6">
        <f t="shared" si="18"/>
        <v>-2137.4730769231101</v>
      </c>
      <c r="Y42" s="2"/>
      <c r="Z42" s="7">
        <f t="shared" si="19"/>
        <v>-1.5238105840239971E-2</v>
      </c>
    </row>
    <row r="43" spans="1:26" s="24" customFormat="1" hidden="1" outlineLevel="2" x14ac:dyDescent="0.25">
      <c r="A43" s="25"/>
      <c r="B43" s="11" t="str">
        <f>CONCATENATE("          ", "6114", " - ", "STATE UNEMPLOYMENT INSURANCE")</f>
        <v xml:space="preserve">          6114 - STATE UNEMPLOYMENT INSURANCE</v>
      </c>
      <c r="C43" s="11"/>
      <c r="D43" s="6">
        <v>809.34</v>
      </c>
      <c r="E43" s="2"/>
      <c r="F43" s="7">
        <f t="shared" si="12"/>
        <v>9.4096804956904443E-4</v>
      </c>
      <c r="G43" s="2"/>
      <c r="H43" s="6">
        <v>733.03443512000001</v>
      </c>
      <c r="I43" s="2"/>
      <c r="J43" s="7">
        <f t="shared" si="13"/>
        <v>8.4610542592423728E-4</v>
      </c>
      <c r="K43" s="2"/>
      <c r="L43" s="6">
        <f t="shared" si="14"/>
        <v>76.30556488000002</v>
      </c>
      <c r="M43" s="2"/>
      <c r="N43" s="7">
        <f t="shared" si="15"/>
        <v>0.10409547113227847</v>
      </c>
      <c r="O43" s="11"/>
      <c r="P43" s="6">
        <v>3591.65</v>
      </c>
      <c r="Q43" s="2"/>
      <c r="R43" s="7">
        <f t="shared" si="16"/>
        <v>8.783268992715985E-4</v>
      </c>
      <c r="S43" s="2"/>
      <c r="T43" s="6">
        <v>3802.47215452</v>
      </c>
      <c r="U43" s="2"/>
      <c r="V43" s="7">
        <f t="shared" si="17"/>
        <v>8.5393600221447829E-4</v>
      </c>
      <c r="W43" s="2"/>
      <c r="X43" s="6">
        <f t="shared" si="18"/>
        <v>-210.82215451999991</v>
      </c>
      <c r="Y43" s="2"/>
      <c r="Z43" s="7">
        <f t="shared" si="19"/>
        <v>-5.5443444673065008E-2</v>
      </c>
    </row>
    <row r="44" spans="1:26" s="24" customFormat="1" hidden="1" outlineLevel="2" x14ac:dyDescent="0.25">
      <c r="A44" s="25"/>
      <c r="B44" s="11" t="str">
        <f>CONCATENATE("          ", "6115", " - ", "P.E.R.S.")</f>
        <v xml:space="preserve">          6115 - P.E.R.S.</v>
      </c>
      <c r="C44" s="11"/>
      <c r="D44" s="6">
        <v>8260.7800000000007</v>
      </c>
      <c r="E44" s="2"/>
      <c r="F44" s="7">
        <f t="shared" si="12"/>
        <v>9.6042825567980959E-3</v>
      </c>
      <c r="G44" s="2"/>
      <c r="H44" s="6">
        <v>8289.5649400000057</v>
      </c>
      <c r="I44" s="2"/>
      <c r="J44" s="7">
        <f t="shared" si="13"/>
        <v>9.5682351854823045E-3</v>
      </c>
      <c r="K44" s="2"/>
      <c r="L44" s="6">
        <f t="shared" si="14"/>
        <v>-28.784940000005008</v>
      </c>
      <c r="M44" s="2"/>
      <c r="N44" s="7">
        <f t="shared" si="15"/>
        <v>-3.4724307256594083E-3</v>
      </c>
      <c r="O44" s="11"/>
      <c r="P44" s="6">
        <v>43833.88</v>
      </c>
      <c r="Q44" s="2"/>
      <c r="R44" s="7">
        <f t="shared" si="16"/>
        <v>1.0719439784902017E-2</v>
      </c>
      <c r="S44" s="2"/>
      <c r="T44" s="6">
        <v>45592.607170000018</v>
      </c>
      <c r="U44" s="2"/>
      <c r="V44" s="7">
        <f t="shared" si="17"/>
        <v>1.0238909613316985E-2</v>
      </c>
      <c r="W44" s="2"/>
      <c r="X44" s="6">
        <f t="shared" si="18"/>
        <v>-1758.7271700000201</v>
      </c>
      <c r="Y44" s="2"/>
      <c r="Z44" s="7">
        <f t="shared" si="19"/>
        <v>-3.8574832174924717E-2</v>
      </c>
    </row>
    <row r="45" spans="1:26" s="24" customFormat="1" hidden="1" outlineLevel="2" x14ac:dyDescent="0.25">
      <c r="A45" s="25"/>
      <c r="B45" s="11" t="str">
        <f>CONCATENATE("          ", "6116", " - ", "EDUCATIONAL BENEFITS")</f>
        <v xml:space="preserve">          6116 - EDUCATIONAL BENEFITS</v>
      </c>
      <c r="C45" s="11"/>
      <c r="D45" s="6"/>
      <c r="E45" s="2"/>
      <c r="F45" s="7">
        <f t="shared" si="12"/>
        <v>0</v>
      </c>
      <c r="G45" s="2"/>
      <c r="H45" s="6">
        <v>0</v>
      </c>
      <c r="I45" s="2"/>
      <c r="J45" s="7">
        <f t="shared" si="13"/>
        <v>0</v>
      </c>
      <c r="K45" s="2"/>
      <c r="L45" s="6">
        <f t="shared" si="14"/>
        <v>0</v>
      </c>
      <c r="M45" s="2"/>
      <c r="N45" s="7">
        <f t="shared" si="15"/>
        <v>0</v>
      </c>
      <c r="O45" s="11"/>
      <c r="P45" s="6"/>
      <c r="Q45" s="2"/>
      <c r="R45" s="7">
        <f t="shared" si="16"/>
        <v>0</v>
      </c>
      <c r="S45" s="2"/>
      <c r="T45" s="6">
        <v>8000</v>
      </c>
      <c r="U45" s="2"/>
      <c r="V45" s="7">
        <f t="shared" si="17"/>
        <v>1.7965912017515325E-3</v>
      </c>
      <c r="W45" s="2"/>
      <c r="X45" s="6">
        <f t="shared" si="18"/>
        <v>-8000</v>
      </c>
      <c r="Y45" s="2"/>
      <c r="Z45" s="7">
        <f t="shared" si="19"/>
        <v>-1</v>
      </c>
    </row>
    <row r="46" spans="1:26" s="24" customFormat="1" hidden="1" outlineLevel="2" x14ac:dyDescent="0.25">
      <c r="A46" s="25"/>
      <c r="B46" s="11" t="str">
        <f>CONCATENATE("          ", "6117", " - ", "RETIREMENT STAFF HOURLY")</f>
        <v xml:space="preserve">          6117 - RETIREMENT STAFF HOURLY</v>
      </c>
      <c r="C46" s="11"/>
      <c r="D46" s="6">
        <v>56</v>
      </c>
      <c r="E46" s="2"/>
      <c r="F46" s="7">
        <f t="shared" si="12"/>
        <v>6.5107631867776809E-5</v>
      </c>
      <c r="G46" s="2"/>
      <c r="H46" s="6"/>
      <c r="I46" s="2"/>
      <c r="J46" s="7">
        <f t="shared" si="13"/>
        <v>0</v>
      </c>
      <c r="K46" s="2"/>
      <c r="L46" s="6">
        <f t="shared" si="14"/>
        <v>56</v>
      </c>
      <c r="M46" s="2"/>
      <c r="N46" s="7">
        <f t="shared" si="15"/>
        <v>0</v>
      </c>
      <c r="O46" s="11"/>
      <c r="P46" s="6">
        <v>308</v>
      </c>
      <c r="Q46" s="2"/>
      <c r="R46" s="7">
        <f t="shared" si="16"/>
        <v>7.532044741989122E-5</v>
      </c>
      <c r="S46" s="2"/>
      <c r="T46" s="6"/>
      <c r="U46" s="2"/>
      <c r="V46" s="7">
        <f t="shared" si="17"/>
        <v>0</v>
      </c>
      <c r="W46" s="2"/>
      <c r="X46" s="6">
        <f t="shared" si="18"/>
        <v>308</v>
      </c>
      <c r="Y46" s="2"/>
      <c r="Z46" s="7">
        <f t="shared" si="19"/>
        <v>0</v>
      </c>
    </row>
    <row r="47" spans="1:26" s="24" customFormat="1" hidden="1" outlineLevel="2" x14ac:dyDescent="0.25">
      <c r="A47" s="25"/>
      <c r="B47" s="11" t="str">
        <f>CONCATENATE("          ", "6118", " - ", "VACATION")</f>
        <v xml:space="preserve">          6118 - VACATION</v>
      </c>
      <c r="C47" s="11"/>
      <c r="D47" s="6">
        <v>7994.02</v>
      </c>
      <c r="E47" s="2"/>
      <c r="F47" s="7">
        <f t="shared" si="12"/>
        <v>9.2941377018508076E-3</v>
      </c>
      <c r="G47" s="2"/>
      <c r="H47" s="6">
        <v>5843.8556999999973</v>
      </c>
      <c r="I47" s="2"/>
      <c r="J47" s="7">
        <f t="shared" si="13"/>
        <v>6.7452738632651638E-3</v>
      </c>
      <c r="K47" s="2"/>
      <c r="L47" s="6">
        <f t="shared" si="14"/>
        <v>2150.1643000000031</v>
      </c>
      <c r="M47" s="2"/>
      <c r="N47" s="7">
        <f t="shared" si="15"/>
        <v>0.36793589889634065</v>
      </c>
      <c r="O47" s="11"/>
      <c r="P47" s="6">
        <v>45801.16</v>
      </c>
      <c r="Q47" s="2"/>
      <c r="R47" s="7">
        <f t="shared" si="16"/>
        <v>1.120053202451307E-2</v>
      </c>
      <c r="S47" s="2"/>
      <c r="T47" s="6">
        <v>32091.328749999979</v>
      </c>
      <c r="U47" s="2"/>
      <c r="V47" s="7">
        <f t="shared" si="17"/>
        <v>7.206874860595746E-3</v>
      </c>
      <c r="W47" s="2"/>
      <c r="X47" s="6">
        <f t="shared" si="18"/>
        <v>13709.831250000025</v>
      </c>
      <c r="Y47" s="2"/>
      <c r="Z47" s="7">
        <f t="shared" si="19"/>
        <v>0.42721295078814814</v>
      </c>
    </row>
    <row r="48" spans="1:26" s="24" customFormat="1" hidden="1" outlineLevel="2" x14ac:dyDescent="0.25">
      <c r="A48" s="25"/>
      <c r="B48" s="11" t="str">
        <f>CONCATENATE("          ", "6119", " - ", "SICK LEAVE")</f>
        <v xml:space="preserve">          6119 - SICK LEAVE</v>
      </c>
      <c r="C48" s="11"/>
      <c r="D48" s="6">
        <v>5490.24</v>
      </c>
      <c r="E48" s="2"/>
      <c r="F48" s="7">
        <f t="shared" si="12"/>
        <v>6.3831522283168381E-3</v>
      </c>
      <c r="G48" s="2"/>
      <c r="H48" s="6">
        <v>8735.5128513846139</v>
      </c>
      <c r="I48" s="2"/>
      <c r="J48" s="7">
        <f t="shared" si="13"/>
        <v>1.008297082329764E-2</v>
      </c>
      <c r="K48" s="2"/>
      <c r="L48" s="6">
        <f t="shared" si="14"/>
        <v>-3245.2728513846141</v>
      </c>
      <c r="M48" s="2"/>
      <c r="N48" s="7">
        <f t="shared" si="15"/>
        <v>-0.37150341446412333</v>
      </c>
      <c r="O48" s="11"/>
      <c r="P48" s="6">
        <v>52653.2</v>
      </c>
      <c r="Q48" s="2"/>
      <c r="R48" s="7">
        <f t="shared" si="16"/>
        <v>1.2876177214574729E-2</v>
      </c>
      <c r="S48" s="2"/>
      <c r="T48" s="6">
        <v>45297.26739061538</v>
      </c>
      <c r="U48" s="2"/>
      <c r="V48" s="7">
        <f t="shared" si="17"/>
        <v>1.0172584007170775E-2</v>
      </c>
      <c r="W48" s="2"/>
      <c r="X48" s="6">
        <f t="shared" si="18"/>
        <v>7355.9326093846175</v>
      </c>
      <c r="Y48" s="2"/>
      <c r="Z48" s="7">
        <f t="shared" si="19"/>
        <v>0.16239241422560091</v>
      </c>
    </row>
    <row r="49" spans="1:26" s="24" customFormat="1" hidden="1" outlineLevel="2" x14ac:dyDescent="0.25">
      <c r="A49" s="25"/>
      <c r="B49" s="11" t="str">
        <f>CONCATENATE("          ", "6156", " - ", "EMPLOYEE MEALS")</f>
        <v xml:space="preserve">          6156 - EMPLOYEE MEALS</v>
      </c>
      <c r="C49" s="11"/>
      <c r="D49" s="6">
        <v>3350.78</v>
      </c>
      <c r="E49" s="2"/>
      <c r="F49" s="7">
        <f t="shared" si="12"/>
        <v>3.8957384055340926E-3</v>
      </c>
      <c r="G49" s="2"/>
      <c r="H49" s="6">
        <v>1725</v>
      </c>
      <c r="I49" s="2"/>
      <c r="J49" s="7">
        <f t="shared" si="13"/>
        <v>1.9910822599764765E-3</v>
      </c>
      <c r="K49" s="2"/>
      <c r="L49" s="6">
        <f t="shared" si="14"/>
        <v>1625.7800000000002</v>
      </c>
      <c r="M49" s="2"/>
      <c r="N49" s="7">
        <f t="shared" si="15"/>
        <v>0.94248115942028998</v>
      </c>
      <c r="O49" s="11"/>
      <c r="P49" s="6">
        <v>15975.44</v>
      </c>
      <c r="Q49" s="2"/>
      <c r="R49" s="7">
        <f t="shared" si="16"/>
        <v>3.90674444327801E-3</v>
      </c>
      <c r="S49" s="2"/>
      <c r="T49" s="6">
        <v>8750</v>
      </c>
      <c r="U49" s="2"/>
      <c r="V49" s="7">
        <f t="shared" si="17"/>
        <v>1.9650216269157389E-3</v>
      </c>
      <c r="W49" s="2"/>
      <c r="X49" s="6">
        <f t="shared" si="18"/>
        <v>7225.4400000000005</v>
      </c>
      <c r="Y49" s="2"/>
      <c r="Z49" s="7">
        <f t="shared" si="19"/>
        <v>0.82576457142857151</v>
      </c>
    </row>
    <row r="50" spans="1:26" s="26" customFormat="1" outlineLevel="1" collapsed="1" x14ac:dyDescent="0.25">
      <c r="A50" s="27"/>
      <c r="B50" s="13" t="str">
        <f>CONCATENATE("     ","*Payroll                                          ")</f>
        <v xml:space="preserve">     *Payroll                                          </v>
      </c>
      <c r="C50" s="13"/>
      <c r="D50" s="1">
        <f>SUM(OSRRefD22_1x_0)</f>
        <v>267013.11</v>
      </c>
      <c r="E50" s="1"/>
      <c r="F50" s="5">
        <f t="shared" ref="F50:F60" si="20">IF(D$12=0,0,D50/D$12)</f>
        <v>0.31043912981696775</v>
      </c>
      <c r="G50" s="1"/>
      <c r="H50" s="1">
        <f>SUM(OSRRefH22_1x_0)</f>
        <v>264869.82638461544</v>
      </c>
      <c r="I50" s="1"/>
      <c r="J50" s="5">
        <f t="shared" ref="J50:J60" si="21">IF(H$12=0,0,H50/H$12)</f>
        <v>0.3057261521840331</v>
      </c>
      <c r="K50" s="1"/>
      <c r="L50" s="1">
        <f t="shared" ref="L50:L60" si="22">+D50-H50</f>
        <v>2143.2836153845419</v>
      </c>
      <c r="M50" s="1"/>
      <c r="N50" s="5">
        <f t="shared" ref="N50:N60" si="23">IF(H50=0,0,L50/H50)</f>
        <v>8.0918375816515092E-3</v>
      </c>
      <c r="O50" s="13"/>
      <c r="P50" s="1">
        <f>SUM(OSRRefP22_1x_0)</f>
        <v>1376030.42</v>
      </c>
      <c r="Q50" s="1"/>
      <c r="R50" s="5">
        <f t="shared" ref="R50:R60" si="24">IF(P$12=0,0,P50/P$12)</f>
        <v>0.33650398343435334</v>
      </c>
      <c r="S50" s="1"/>
      <c r="T50" s="1">
        <f>SUM(OSRRefT22_1x_0)</f>
        <v>1372352.6962153846</v>
      </c>
      <c r="U50" s="1"/>
      <c r="V50" s="5">
        <f t="shared" ref="V50:V60" si="25">IF(T$12=0,0,T50/T$12)</f>
        <v>0.30819459746506922</v>
      </c>
      <c r="W50" s="1"/>
      <c r="X50" s="1">
        <f t="shared" ref="X50:X60" si="26">+P50-T50</f>
        <v>3677.7237846152857</v>
      </c>
      <c r="Y50" s="1"/>
      <c r="Z50" s="5">
        <f t="shared" ref="Z50:Z60" si="27">IF(T50=0,0,X50/T50)</f>
        <v>2.6798677881841558E-3</v>
      </c>
    </row>
    <row r="51" spans="1:26" s="24" customFormat="1" hidden="1" outlineLevel="2" x14ac:dyDescent="0.25">
      <c r="A51" s="25"/>
      <c r="B51" s="11" t="str">
        <f>CONCATENATE("          ", "6001", " - ", "ADMINISTRATIVE SALARIES")</f>
        <v xml:space="preserve">          6001 - ADMINISTRATIVE SALARIES</v>
      </c>
      <c r="C51" s="11"/>
      <c r="D51" s="6">
        <v>16486.030000000002</v>
      </c>
      <c r="E51" s="2"/>
      <c r="F51" s="7">
        <f t="shared" si="20"/>
        <v>1.9167256646448656E-2</v>
      </c>
      <c r="G51" s="2"/>
      <c r="H51" s="6">
        <v>33015.773538461544</v>
      </c>
      <c r="I51" s="2"/>
      <c r="J51" s="7">
        <f t="shared" si="21"/>
        <v>3.8108475937293655E-2</v>
      </c>
      <c r="K51" s="2"/>
      <c r="L51" s="6">
        <f t="shared" si="22"/>
        <v>-16529.743538461542</v>
      </c>
      <c r="M51" s="2"/>
      <c r="N51" s="7">
        <f t="shared" si="23"/>
        <v>-0.50066200990884879</v>
      </c>
      <c r="O51" s="11"/>
      <c r="P51" s="6">
        <v>86742.09</v>
      </c>
      <c r="Q51" s="2"/>
      <c r="R51" s="7">
        <f t="shared" si="24"/>
        <v>2.1212509834209324E-2</v>
      </c>
      <c r="S51" s="2"/>
      <c r="T51" s="6">
        <v>181586.75446153848</v>
      </c>
      <c r="U51" s="2"/>
      <c r="V51" s="7">
        <f t="shared" si="25"/>
        <v>4.0779645677526989E-2</v>
      </c>
      <c r="W51" s="2"/>
      <c r="X51" s="6">
        <f t="shared" si="26"/>
        <v>-94844.664461538487</v>
      </c>
      <c r="Y51" s="2"/>
      <c r="Z51" s="7">
        <f t="shared" si="27"/>
        <v>-0.52231047767103156</v>
      </c>
    </row>
    <row r="52" spans="1:26" s="24" customFormat="1" hidden="1" outlineLevel="2" x14ac:dyDescent="0.25">
      <c r="A52" s="25"/>
      <c r="B52" s="11" t="str">
        <f>CONCATENATE("          ", "6002", " - ", "STAFF SALARIES")</f>
        <v xml:space="preserve">          6002 - STAFF SALARIES</v>
      </c>
      <c r="C52" s="11"/>
      <c r="D52" s="6">
        <v>75475.849999999991</v>
      </c>
      <c r="E52" s="2"/>
      <c r="F52" s="7">
        <f t="shared" si="20"/>
        <v>8.7750961726920387E-2</v>
      </c>
      <c r="G52" s="2"/>
      <c r="H52" s="6">
        <v>54927.481646153872</v>
      </c>
      <c r="I52" s="2"/>
      <c r="J52" s="7">
        <f t="shared" si="21"/>
        <v>6.3400077849762593E-2</v>
      </c>
      <c r="K52" s="2"/>
      <c r="L52" s="6">
        <f t="shared" si="22"/>
        <v>20548.368353846119</v>
      </c>
      <c r="M52" s="2"/>
      <c r="N52" s="7">
        <f t="shared" si="23"/>
        <v>0.37409995393963152</v>
      </c>
      <c r="O52" s="11"/>
      <c r="P52" s="6">
        <v>387032.91000000003</v>
      </c>
      <c r="Q52" s="2"/>
      <c r="R52" s="7">
        <f t="shared" si="24"/>
        <v>9.4647701127995115E-2</v>
      </c>
      <c r="S52" s="2"/>
      <c r="T52" s="6">
        <v>302101.14905384619</v>
      </c>
      <c r="U52" s="2"/>
      <c r="V52" s="7">
        <f t="shared" si="25"/>
        <v>6.7844033303646051E-2</v>
      </c>
      <c r="W52" s="2"/>
      <c r="X52" s="6">
        <f t="shared" si="26"/>
        <v>84931.760946153838</v>
      </c>
      <c r="Y52" s="2"/>
      <c r="Z52" s="7">
        <f t="shared" si="27"/>
        <v>0.2811368351697851</v>
      </c>
    </row>
    <row r="53" spans="1:26" s="24" customFormat="1" hidden="1" outlineLevel="2" x14ac:dyDescent="0.25">
      <c r="A53" s="25"/>
      <c r="B53" s="11" t="str">
        <f>CONCATENATE("          ", "6003", " - ", "STAFF HOURLY-9 MONTH")</f>
        <v xml:space="preserve">          6003 - STAFF HOURLY-9 MONTH</v>
      </c>
      <c r="C53" s="11"/>
      <c r="D53" s="6"/>
      <c r="E53" s="2"/>
      <c r="F53" s="7">
        <f t="shared" si="20"/>
        <v>0</v>
      </c>
      <c r="G53" s="2"/>
      <c r="H53" s="6">
        <v>0</v>
      </c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/>
      <c r="Q53" s="2"/>
      <c r="R53" s="7">
        <f t="shared" si="24"/>
        <v>0</v>
      </c>
      <c r="S53" s="2"/>
      <c r="T53" s="6">
        <v>0</v>
      </c>
      <c r="U53" s="2"/>
      <c r="V53" s="7">
        <f t="shared" si="25"/>
        <v>0</v>
      </c>
      <c r="W53" s="2"/>
      <c r="X53" s="6">
        <f t="shared" si="26"/>
        <v>0</v>
      </c>
      <c r="Y53" s="2"/>
      <c r="Z53" s="7">
        <f t="shared" si="27"/>
        <v>0</v>
      </c>
    </row>
    <row r="54" spans="1:26" s="24" customFormat="1" hidden="1" outlineLevel="2" x14ac:dyDescent="0.25">
      <c r="A54" s="25"/>
      <c r="B54" s="11" t="str">
        <f>CONCATENATE("          ", "6004", " - ", "STAFF HOURLY")</f>
        <v xml:space="preserve">          6004 - STAFF HOURLY</v>
      </c>
      <c r="C54" s="11"/>
      <c r="D54" s="6">
        <v>20555.48</v>
      </c>
      <c r="E54" s="2"/>
      <c r="F54" s="7">
        <f t="shared" si="20"/>
        <v>2.3898546869740158E-2</v>
      </c>
      <c r="G54" s="2"/>
      <c r="H54" s="6">
        <v>48782.682199999996</v>
      </c>
      <c r="I54" s="2"/>
      <c r="J54" s="7">
        <f t="shared" si="21"/>
        <v>5.6307439491298676E-2</v>
      </c>
      <c r="K54" s="2"/>
      <c r="L54" s="6">
        <f t="shared" si="22"/>
        <v>-28227.202199999996</v>
      </c>
      <c r="M54" s="2"/>
      <c r="N54" s="7">
        <f t="shared" si="23"/>
        <v>-0.5786316152989226</v>
      </c>
      <c r="O54" s="11"/>
      <c r="P54" s="6">
        <v>103645.39</v>
      </c>
      <c r="Q54" s="2"/>
      <c r="R54" s="7">
        <f t="shared" si="24"/>
        <v>2.5346159570808831E-2</v>
      </c>
      <c r="S54" s="2"/>
      <c r="T54" s="6">
        <v>271408.47645000002</v>
      </c>
      <c r="U54" s="2"/>
      <c r="V54" s="7">
        <f t="shared" si="25"/>
        <v>6.0951260108857257E-2</v>
      </c>
      <c r="W54" s="2"/>
      <c r="X54" s="6">
        <f t="shared" si="26"/>
        <v>-167763.08645</v>
      </c>
      <c r="Y54" s="2"/>
      <c r="Z54" s="7">
        <f t="shared" si="27"/>
        <v>-0.61812029102527311</v>
      </c>
    </row>
    <row r="55" spans="1:26" s="24" customFormat="1" hidden="1" outlineLevel="2" x14ac:dyDescent="0.25">
      <c r="A55" s="25"/>
      <c r="B55" s="11" t="str">
        <f>CONCATENATE("          ", "6005", " - ", "TEMPORARY WAGES-HOURLY")</f>
        <v xml:space="preserve">          6005 - TEMPORARY WAGES-HOURLY</v>
      </c>
      <c r="C55" s="11"/>
      <c r="D55" s="6">
        <v>51530.409999999996</v>
      </c>
      <c r="E55" s="2"/>
      <c r="F55" s="7">
        <f t="shared" si="20"/>
        <v>5.9911124362064368E-2</v>
      </c>
      <c r="G55" s="2"/>
      <c r="H55" s="6">
        <v>30765.494000000002</v>
      </c>
      <c r="I55" s="2"/>
      <c r="J55" s="7">
        <f t="shared" si="21"/>
        <v>3.5511089462500131E-2</v>
      </c>
      <c r="K55" s="2"/>
      <c r="L55" s="6">
        <f t="shared" si="22"/>
        <v>20764.915999999994</v>
      </c>
      <c r="M55" s="2"/>
      <c r="N55" s="7">
        <f t="shared" si="23"/>
        <v>0.67494173829940751</v>
      </c>
      <c r="O55" s="11"/>
      <c r="P55" s="6">
        <v>269178.27999999997</v>
      </c>
      <c r="Q55" s="2"/>
      <c r="R55" s="7">
        <f t="shared" si="24"/>
        <v>6.5826715861418042E-2</v>
      </c>
      <c r="S55" s="2"/>
      <c r="T55" s="6">
        <v>150675.02499999999</v>
      </c>
      <c r="U55" s="2"/>
      <c r="V55" s="7">
        <f t="shared" si="25"/>
        <v>3.3837678029836525E-2</v>
      </c>
      <c r="W55" s="2"/>
      <c r="X55" s="6">
        <f t="shared" si="26"/>
        <v>118503.25499999998</v>
      </c>
      <c r="Y55" s="2"/>
      <c r="Z55" s="7">
        <f t="shared" si="27"/>
        <v>0.78648239812802412</v>
      </c>
    </row>
    <row r="56" spans="1:26" s="24" customFormat="1" hidden="1" outlineLevel="2" x14ac:dyDescent="0.25">
      <c r="A56" s="25"/>
      <c r="B56" s="11" t="str">
        <f>CONCATENATE("          ", "6006", " - ", "TEMPORARY PART TIME")</f>
        <v xml:space="preserve">          6006 - TEMPORARY PART TIME</v>
      </c>
      <c r="C56" s="11"/>
      <c r="D56" s="6">
        <v>2403.23</v>
      </c>
      <c r="E56" s="2"/>
      <c r="F56" s="7">
        <f t="shared" si="20"/>
        <v>2.7940823952428083E-3</v>
      </c>
      <c r="G56" s="2"/>
      <c r="H56" s="6">
        <v>0</v>
      </c>
      <c r="I56" s="2"/>
      <c r="J56" s="7">
        <f t="shared" si="21"/>
        <v>0</v>
      </c>
      <c r="K56" s="2"/>
      <c r="L56" s="6">
        <f t="shared" si="22"/>
        <v>2403.23</v>
      </c>
      <c r="M56" s="2"/>
      <c r="N56" s="7">
        <f t="shared" si="23"/>
        <v>0</v>
      </c>
      <c r="O56" s="11"/>
      <c r="P56" s="6">
        <v>18555.2</v>
      </c>
      <c r="Q56" s="2"/>
      <c r="R56" s="7">
        <f t="shared" si="24"/>
        <v>4.5376167726154729E-3</v>
      </c>
      <c r="S56" s="2"/>
      <c r="T56" s="6">
        <v>0</v>
      </c>
      <c r="U56" s="2"/>
      <c r="V56" s="7">
        <f t="shared" si="25"/>
        <v>0</v>
      </c>
      <c r="W56" s="2"/>
      <c r="X56" s="6">
        <f t="shared" si="26"/>
        <v>18555.2</v>
      </c>
      <c r="Y56" s="2"/>
      <c r="Z56" s="7">
        <f t="shared" si="27"/>
        <v>0</v>
      </c>
    </row>
    <row r="57" spans="1:26" s="24" customFormat="1" hidden="1" outlineLevel="2" x14ac:dyDescent="0.25">
      <c r="A57" s="25"/>
      <c r="B57" s="11" t="str">
        <f>CONCATENATE("          ", "6007", " - ", "STUDENT HOURLY")</f>
        <v xml:space="preserve">          6007 - STUDENT HOURLY</v>
      </c>
      <c r="C57" s="11"/>
      <c r="D57" s="6">
        <v>95881.82</v>
      </c>
      <c r="E57" s="2"/>
      <c r="F57" s="7">
        <f t="shared" si="20"/>
        <v>0.11147568284593644</v>
      </c>
      <c r="G57" s="2"/>
      <c r="H57" s="6">
        <v>892.5</v>
      </c>
      <c r="I57" s="2"/>
      <c r="J57" s="7">
        <f t="shared" si="21"/>
        <v>1.0301686475530465E-3</v>
      </c>
      <c r="K57" s="2"/>
      <c r="L57" s="6">
        <f t="shared" si="22"/>
        <v>94989.32</v>
      </c>
      <c r="M57" s="2"/>
      <c r="N57" s="7">
        <f t="shared" si="23"/>
        <v>106.43061064425771</v>
      </c>
      <c r="O57" s="11"/>
      <c r="P57" s="6">
        <v>485001.50000000006</v>
      </c>
      <c r="Q57" s="2"/>
      <c r="R57" s="7">
        <f t="shared" si="24"/>
        <v>0.11860561681596876</v>
      </c>
      <c r="S57" s="2"/>
      <c r="T57" s="6">
        <v>61633.943749999999</v>
      </c>
      <c r="U57" s="2"/>
      <c r="V57" s="7">
        <f t="shared" si="25"/>
        <v>1.3841375133812358E-2</v>
      </c>
      <c r="W57" s="2"/>
      <c r="X57" s="6">
        <f t="shared" si="26"/>
        <v>423367.55625000008</v>
      </c>
      <c r="Y57" s="2"/>
      <c r="Z57" s="7">
        <f t="shared" si="27"/>
        <v>6.8690648446457736</v>
      </c>
    </row>
    <row r="58" spans="1:26" s="24" customFormat="1" hidden="1" outlineLevel="2" x14ac:dyDescent="0.25">
      <c r="A58" s="25"/>
      <c r="B58" s="11" t="str">
        <f>CONCATENATE("          ", "6008", " - ", "STUDENT HOURLY-FICA EXEMPT")</f>
        <v xml:space="preserve">          6008 - STUDENT HOURLY-FICA EXEMPT</v>
      </c>
      <c r="C58" s="11"/>
      <c r="D58" s="6">
        <v>4680.29</v>
      </c>
      <c r="E58" s="2"/>
      <c r="F58" s="7">
        <f t="shared" si="20"/>
        <v>5.4414749706149486E-3</v>
      </c>
      <c r="G58" s="2"/>
      <c r="H58" s="6">
        <v>96485.895000000004</v>
      </c>
      <c r="I58" s="2"/>
      <c r="J58" s="7">
        <f t="shared" si="21"/>
        <v>0.11136890079562493</v>
      </c>
      <c r="K58" s="2"/>
      <c r="L58" s="6">
        <f t="shared" si="22"/>
        <v>-91805.60500000001</v>
      </c>
      <c r="M58" s="2"/>
      <c r="N58" s="7">
        <f t="shared" si="23"/>
        <v>-0.95149249535385461</v>
      </c>
      <c r="O58" s="11"/>
      <c r="P58" s="6">
        <v>25875.05</v>
      </c>
      <c r="Q58" s="2"/>
      <c r="R58" s="7">
        <f t="shared" si="24"/>
        <v>6.3276634513378454E-3</v>
      </c>
      <c r="S58" s="2"/>
      <c r="T58" s="6">
        <v>404947.34749999997</v>
      </c>
      <c r="U58" s="2"/>
      <c r="V58" s="7">
        <f t="shared" si="25"/>
        <v>9.0940605211390052E-2</v>
      </c>
      <c r="W58" s="2"/>
      <c r="X58" s="6">
        <f t="shared" si="26"/>
        <v>-379072.29749999999</v>
      </c>
      <c r="Y58" s="2"/>
      <c r="Z58" s="7">
        <f t="shared" si="27"/>
        <v>-0.93610268060837221</v>
      </c>
    </row>
    <row r="59" spans="1:26" s="24" customFormat="1" hidden="1" outlineLevel="2" x14ac:dyDescent="0.25">
      <c r="A59" s="25"/>
      <c r="B59" s="11" t="str">
        <f>CONCATENATE("          ", "6009", " - ", "TEMPORARY-SEASONAL")</f>
        <v xml:space="preserve">          6009 - TEMPORARY-SEASONAL</v>
      </c>
      <c r="C59" s="11"/>
      <c r="D59" s="6"/>
      <c r="E59" s="2"/>
      <c r="F59" s="7">
        <f t="shared" si="20"/>
        <v>0</v>
      </c>
      <c r="G59" s="2"/>
      <c r="H59" s="6">
        <v>0</v>
      </c>
      <c r="I59" s="2"/>
      <c r="J59" s="7">
        <f t="shared" si="21"/>
        <v>0</v>
      </c>
      <c r="K59" s="2"/>
      <c r="L59" s="6">
        <f t="shared" si="22"/>
        <v>0</v>
      </c>
      <c r="M59" s="2"/>
      <c r="N59" s="7">
        <f t="shared" si="23"/>
        <v>0</v>
      </c>
      <c r="O59" s="11"/>
      <c r="P59" s="6"/>
      <c r="Q59" s="2"/>
      <c r="R59" s="7">
        <f t="shared" si="24"/>
        <v>0</v>
      </c>
      <c r="S59" s="2"/>
      <c r="T59" s="6">
        <v>0</v>
      </c>
      <c r="U59" s="2"/>
      <c r="V59" s="7">
        <f t="shared" si="25"/>
        <v>0</v>
      </c>
      <c r="W59" s="2"/>
      <c r="X59" s="6">
        <f t="shared" si="26"/>
        <v>0</v>
      </c>
      <c r="Y59" s="2"/>
      <c r="Z59" s="7">
        <f t="shared" si="27"/>
        <v>0</v>
      </c>
    </row>
    <row r="60" spans="1:26" s="24" customFormat="1" hidden="1" outlineLevel="2" x14ac:dyDescent="0.25">
      <c r="A60" s="25"/>
      <c r="B60" s="11" t="str">
        <f>CONCATENATE("          ", "6010", " - ", "GRATUITY")</f>
        <v xml:space="preserve">          6010 - GRATUITY</v>
      </c>
      <c r="C60" s="11"/>
      <c r="D60" s="6"/>
      <c r="E60" s="2"/>
      <c r="F60" s="7">
        <f t="shared" si="20"/>
        <v>0</v>
      </c>
      <c r="G60" s="2"/>
      <c r="H60" s="6">
        <v>0</v>
      </c>
      <c r="I60" s="2"/>
      <c r="J60" s="7">
        <f t="shared" si="21"/>
        <v>0</v>
      </c>
      <c r="K60" s="2"/>
      <c r="L60" s="6">
        <f t="shared" si="22"/>
        <v>0</v>
      </c>
      <c r="M60" s="2"/>
      <c r="N60" s="7">
        <f t="shared" si="23"/>
        <v>0</v>
      </c>
      <c r="O60" s="11"/>
      <c r="P60" s="6"/>
      <c r="Q60" s="2"/>
      <c r="R60" s="7">
        <f t="shared" si="24"/>
        <v>0</v>
      </c>
      <c r="S60" s="2"/>
      <c r="T60" s="6">
        <v>0</v>
      </c>
      <c r="U60" s="2"/>
      <c r="V60" s="7">
        <f t="shared" si="25"/>
        <v>0</v>
      </c>
      <c r="W60" s="2"/>
      <c r="X60" s="6">
        <f t="shared" si="26"/>
        <v>0</v>
      </c>
      <c r="Y60" s="2"/>
      <c r="Z60" s="7">
        <f t="shared" si="27"/>
        <v>0</v>
      </c>
    </row>
    <row r="61" spans="1:26" s="26" customFormat="1" outlineLevel="1" collapsed="1" x14ac:dyDescent="0.25">
      <c r="A61" s="27"/>
      <c r="B61" s="13" t="str">
        <f>CONCATENATE("     ","Advertising/Promo                                 ")</f>
        <v xml:space="preserve">     Advertising/Promo                                 </v>
      </c>
      <c r="C61" s="13"/>
      <c r="D61" s="1">
        <f>SUM(OSRRefD22_2x_0)</f>
        <v>5029.05</v>
      </c>
      <c r="E61" s="1"/>
      <c r="F61" s="5">
        <f t="shared" ref="F61:F71" si="28">IF(D$12=0,0,D61/D$12)</f>
        <v>5.846956000797196E-3</v>
      </c>
      <c r="G61" s="1"/>
      <c r="H61" s="1">
        <f>SUM(OSRRefH22_2x_0)</f>
        <v>1960</v>
      </c>
      <c r="I61" s="1"/>
      <c r="J61" s="5">
        <f t="shared" ref="J61:J71" si="29">IF(H$12=0,0,H61/H$12)</f>
        <v>2.2623311475674745E-3</v>
      </c>
      <c r="K61" s="1"/>
      <c r="L61" s="1">
        <f t="shared" ref="L61:L71" si="30">+D61-H61</f>
        <v>3069.05</v>
      </c>
      <c r="M61" s="1"/>
      <c r="N61" s="5">
        <f t="shared" ref="N61:N71" si="31">IF(H61=0,0,L61/H61)</f>
        <v>1.565841836734694</v>
      </c>
      <c r="O61" s="13"/>
      <c r="P61" s="1">
        <f>SUM(OSRRefP22_2x_0)</f>
        <v>18751.099999999999</v>
      </c>
      <c r="Q61" s="1"/>
      <c r="R61" s="5">
        <f t="shared" ref="R61:R71" si="32">IF(P$12=0,0,P61/P$12)</f>
        <v>4.5855235117374096E-3</v>
      </c>
      <c r="S61" s="1"/>
      <c r="T61" s="1">
        <f>SUM(OSRRefT22_2x_0)</f>
        <v>12890</v>
      </c>
      <c r="U61" s="1"/>
      <c r="V61" s="5">
        <f t="shared" ref="V61:V71" si="33">IF(T$12=0,0,T61/T$12)</f>
        <v>2.8947575738221569E-3</v>
      </c>
      <c r="W61" s="1"/>
      <c r="X61" s="1">
        <f t="shared" ref="X61:X71" si="34">+P61-T61</f>
        <v>5861.0999999999985</v>
      </c>
      <c r="Y61" s="1"/>
      <c r="Z61" s="5">
        <f t="shared" ref="Z61:Z71" si="35">IF(T61=0,0,X61/T61)</f>
        <v>0.45470131885182302</v>
      </c>
    </row>
    <row r="62" spans="1:26" s="24" customFormat="1" hidden="1" outlineLevel="2" x14ac:dyDescent="0.25">
      <c r="A62" s="25"/>
      <c r="B62" s="11" t="str">
        <f>CONCATENATE("          ", "6362", " - ", "ADVERTISING EXPENSE")</f>
        <v xml:space="preserve">          6362 - ADVERTISING EXPENSE</v>
      </c>
      <c r="C62" s="11"/>
      <c r="D62" s="6">
        <v>5029.05</v>
      </c>
      <c r="E62" s="2"/>
      <c r="F62" s="7">
        <f t="shared" si="28"/>
        <v>5.846956000797196E-3</v>
      </c>
      <c r="G62" s="2"/>
      <c r="H62" s="6">
        <v>1960</v>
      </c>
      <c r="I62" s="2"/>
      <c r="J62" s="7">
        <f t="shared" si="29"/>
        <v>2.2623311475674745E-3</v>
      </c>
      <c r="K62" s="2"/>
      <c r="L62" s="6">
        <f t="shared" si="30"/>
        <v>3069.05</v>
      </c>
      <c r="M62" s="2"/>
      <c r="N62" s="7">
        <f t="shared" si="31"/>
        <v>1.565841836734694</v>
      </c>
      <c r="O62" s="11"/>
      <c r="P62" s="6">
        <v>18751.099999999999</v>
      </c>
      <c r="Q62" s="2"/>
      <c r="R62" s="7">
        <f t="shared" si="32"/>
        <v>4.5855235117374096E-3</v>
      </c>
      <c r="S62" s="2"/>
      <c r="T62" s="6">
        <v>12890</v>
      </c>
      <c r="U62" s="2"/>
      <c r="V62" s="7">
        <f t="shared" si="33"/>
        <v>2.8947575738221569E-3</v>
      </c>
      <c r="W62" s="2"/>
      <c r="X62" s="6">
        <f t="shared" si="34"/>
        <v>5861.0999999999985</v>
      </c>
      <c r="Y62" s="2"/>
      <c r="Z62" s="7">
        <f t="shared" si="35"/>
        <v>0.45470131885182302</v>
      </c>
    </row>
    <row r="63" spans="1:26" s="26" customFormat="1" outlineLevel="1" collapsed="1" x14ac:dyDescent="0.25">
      <c r="A63" s="27"/>
      <c r="B63" s="13" t="str">
        <f>CONCATENATE("     ","Bad Debts/Over/Short                              ")</f>
        <v xml:space="preserve">     Bad Debts/Over/Short                              </v>
      </c>
      <c r="C63" s="13"/>
      <c r="D63" s="1">
        <f>SUM(OSRRefD22_3x_0)</f>
        <v>-55.42</v>
      </c>
      <c r="E63" s="1"/>
      <c r="F63" s="5">
        <f t="shared" si="28"/>
        <v>-6.4433302823431977E-5</v>
      </c>
      <c r="G63" s="1"/>
      <c r="H63" s="1">
        <f>SUM(OSRRefH22_3x_0)</f>
        <v>154</v>
      </c>
      <c r="I63" s="1"/>
      <c r="J63" s="5">
        <f t="shared" si="29"/>
        <v>1.7775459016601585E-4</v>
      </c>
      <c r="K63" s="1"/>
      <c r="L63" s="1">
        <f t="shared" si="30"/>
        <v>-209.42000000000002</v>
      </c>
      <c r="M63" s="1"/>
      <c r="N63" s="5">
        <f t="shared" si="31"/>
        <v>-1.3598701298701299</v>
      </c>
      <c r="O63" s="13"/>
      <c r="P63" s="1">
        <f>SUM(OSRRefP22_3x_0)</f>
        <v>-276.32</v>
      </c>
      <c r="Q63" s="1"/>
      <c r="R63" s="5">
        <f t="shared" si="32"/>
        <v>-6.7573201399559558E-5</v>
      </c>
      <c r="S63" s="1"/>
      <c r="T63" s="1">
        <f>SUM(OSRRefT22_3x_0)</f>
        <v>750</v>
      </c>
      <c r="U63" s="1"/>
      <c r="V63" s="5">
        <f t="shared" si="33"/>
        <v>1.6843042516420618E-4</v>
      </c>
      <c r="W63" s="1"/>
      <c r="X63" s="1">
        <f t="shared" si="34"/>
        <v>-1026.32</v>
      </c>
      <c r="Y63" s="1"/>
      <c r="Z63" s="5">
        <f t="shared" si="35"/>
        <v>-1.3684266666666667</v>
      </c>
    </row>
    <row r="64" spans="1:26" s="24" customFormat="1" hidden="1" outlineLevel="2" x14ac:dyDescent="0.25">
      <c r="A64" s="25"/>
      <c r="B64" s="11" t="str">
        <f>CONCATENATE("          ", "6272", " - ", "CASH (OVER/SHORT)")</f>
        <v xml:space="preserve">          6272 - CASH (OVER/SHORT)</v>
      </c>
      <c r="C64" s="11"/>
      <c r="D64" s="6">
        <v>-55.42</v>
      </c>
      <c r="E64" s="2"/>
      <c r="F64" s="7">
        <f t="shared" si="28"/>
        <v>-6.4433302823431977E-5</v>
      </c>
      <c r="G64" s="2"/>
      <c r="H64" s="6">
        <v>154</v>
      </c>
      <c r="I64" s="2"/>
      <c r="J64" s="7">
        <f t="shared" si="29"/>
        <v>1.7775459016601585E-4</v>
      </c>
      <c r="K64" s="2"/>
      <c r="L64" s="6">
        <f t="shared" si="30"/>
        <v>-209.42000000000002</v>
      </c>
      <c r="M64" s="2"/>
      <c r="N64" s="7">
        <f t="shared" si="31"/>
        <v>-1.3598701298701299</v>
      </c>
      <c r="O64" s="11"/>
      <c r="P64" s="6">
        <v>-276.32</v>
      </c>
      <c r="Q64" s="2"/>
      <c r="R64" s="7">
        <f t="shared" si="32"/>
        <v>-6.7573201399559558E-5</v>
      </c>
      <c r="S64" s="2"/>
      <c r="T64" s="6">
        <v>750</v>
      </c>
      <c r="U64" s="2"/>
      <c r="V64" s="7">
        <f t="shared" si="33"/>
        <v>1.6843042516420618E-4</v>
      </c>
      <c r="W64" s="2"/>
      <c r="X64" s="6">
        <f t="shared" si="34"/>
        <v>-1026.32</v>
      </c>
      <c r="Y64" s="2"/>
      <c r="Z64" s="7">
        <f t="shared" si="35"/>
        <v>-1.3684266666666667</v>
      </c>
    </row>
    <row r="65" spans="1:26" s="26" customFormat="1" outlineLevel="1" collapsed="1" x14ac:dyDescent="0.25">
      <c r="A65" s="27"/>
      <c r="B65" s="13" t="str">
        <f>CONCATENATE("     ","Bank/card Fees                                    ")</f>
        <v xml:space="preserve">     Bank/card Fees                                    </v>
      </c>
      <c r="C65" s="13"/>
      <c r="D65" s="1">
        <f>SUM(OSRRefD22_4x_0)</f>
        <v>27354.48</v>
      </c>
      <c r="E65" s="1"/>
      <c r="F65" s="5">
        <f t="shared" si="28"/>
        <v>3.1803310960258277E-2</v>
      </c>
      <c r="G65" s="1"/>
      <c r="H65" s="1">
        <f>SUM(OSRRefH22_4x_0)</f>
        <v>18419</v>
      </c>
      <c r="I65" s="1"/>
      <c r="J65" s="5">
        <f t="shared" si="29"/>
        <v>2.1260141534206793E-2</v>
      </c>
      <c r="K65" s="1"/>
      <c r="L65" s="1">
        <f t="shared" si="30"/>
        <v>8935.48</v>
      </c>
      <c r="M65" s="1"/>
      <c r="N65" s="5">
        <f t="shared" si="31"/>
        <v>0.48512297084532274</v>
      </c>
      <c r="O65" s="13"/>
      <c r="P65" s="1">
        <f>SUM(OSRRefP22_4x_0)</f>
        <v>128020.3</v>
      </c>
      <c r="Q65" s="1"/>
      <c r="R65" s="5">
        <f t="shared" si="32"/>
        <v>3.130696842476851E-2</v>
      </c>
      <c r="S65" s="1"/>
      <c r="T65" s="1">
        <f>SUM(OSRRefT22_4x_0)</f>
        <v>96469</v>
      </c>
      <c r="U65" s="1"/>
      <c r="V65" s="5">
        <f t="shared" si="33"/>
        <v>2.1664419580221073E-2</v>
      </c>
      <c r="W65" s="1"/>
      <c r="X65" s="1">
        <f t="shared" si="34"/>
        <v>31551.300000000003</v>
      </c>
      <c r="Y65" s="1"/>
      <c r="Z65" s="5">
        <f t="shared" si="35"/>
        <v>0.32706154308638014</v>
      </c>
    </row>
    <row r="66" spans="1:26" s="24" customFormat="1" hidden="1" outlineLevel="2" x14ac:dyDescent="0.25">
      <c r="A66" s="25"/>
      <c r="B66" s="11" t="str">
        <f>CONCATENATE("          ", "6381", " - ", "BANK/CREDIT CARD FEES")</f>
        <v xml:space="preserve">          6381 - BANK/CREDIT CARD FEES</v>
      </c>
      <c r="C66" s="11"/>
      <c r="D66" s="6">
        <v>27354.48</v>
      </c>
      <c r="E66" s="2"/>
      <c r="F66" s="7">
        <f t="shared" si="28"/>
        <v>3.1803310960258277E-2</v>
      </c>
      <c r="G66" s="2"/>
      <c r="H66" s="6">
        <v>18419</v>
      </c>
      <c r="I66" s="2"/>
      <c r="J66" s="7">
        <f t="shared" si="29"/>
        <v>2.1260141534206793E-2</v>
      </c>
      <c r="K66" s="2"/>
      <c r="L66" s="6">
        <f t="shared" si="30"/>
        <v>8935.48</v>
      </c>
      <c r="M66" s="2"/>
      <c r="N66" s="7">
        <f t="shared" si="31"/>
        <v>0.48512297084532274</v>
      </c>
      <c r="O66" s="11"/>
      <c r="P66" s="6">
        <v>128020.3</v>
      </c>
      <c r="Q66" s="2"/>
      <c r="R66" s="7">
        <f t="shared" si="32"/>
        <v>3.130696842476851E-2</v>
      </c>
      <c r="S66" s="2"/>
      <c r="T66" s="6">
        <v>96469</v>
      </c>
      <c r="U66" s="2"/>
      <c r="V66" s="7">
        <f t="shared" si="33"/>
        <v>2.1664419580221073E-2</v>
      </c>
      <c r="W66" s="2"/>
      <c r="X66" s="6">
        <f t="shared" si="34"/>
        <v>31551.300000000003</v>
      </c>
      <c r="Y66" s="2"/>
      <c r="Z66" s="7">
        <f t="shared" si="35"/>
        <v>0.32706154308638014</v>
      </c>
    </row>
    <row r="67" spans="1:26" s="26" customFormat="1" outlineLevel="1" collapsed="1" x14ac:dyDescent="0.25">
      <c r="A67" s="27"/>
      <c r="B67" s="13" t="str">
        <f>CONCATENATE("     ","Depreciation                                      ")</f>
        <v xml:space="preserve">     Depreciation                                      </v>
      </c>
      <c r="C67" s="13"/>
      <c r="D67" s="1">
        <f>SUM(OSRRefD22_5x_0)</f>
        <v>47974.53</v>
      </c>
      <c r="E67" s="1"/>
      <c r="F67" s="5">
        <f t="shared" si="28"/>
        <v>5.5776929254814547E-2</v>
      </c>
      <c r="G67" s="1"/>
      <c r="H67" s="1">
        <f>SUM(OSRRefH22_5x_0)</f>
        <v>53322</v>
      </c>
      <c r="I67" s="1"/>
      <c r="J67" s="5">
        <f t="shared" si="29"/>
        <v>6.1546949719690248E-2</v>
      </c>
      <c r="K67" s="1"/>
      <c r="L67" s="1">
        <f t="shared" si="30"/>
        <v>-5347.4700000000012</v>
      </c>
      <c r="M67" s="1"/>
      <c r="N67" s="5">
        <f t="shared" si="31"/>
        <v>-0.10028637335433782</v>
      </c>
      <c r="O67" s="13"/>
      <c r="P67" s="1">
        <f>SUM(OSRRefP22_5x_0)</f>
        <v>239872.65000000002</v>
      </c>
      <c r="Q67" s="1"/>
      <c r="R67" s="5">
        <f t="shared" si="32"/>
        <v>5.8660114681152509E-2</v>
      </c>
      <c r="S67" s="1"/>
      <c r="T67" s="1">
        <f>SUM(OSRRefT22_5x_0)</f>
        <v>251054</v>
      </c>
      <c r="U67" s="1"/>
      <c r="V67" s="5">
        <f t="shared" si="33"/>
        <v>5.6380175945566158E-2</v>
      </c>
      <c r="W67" s="1"/>
      <c r="X67" s="1">
        <f t="shared" si="34"/>
        <v>-11181.349999999977</v>
      </c>
      <c r="Y67" s="1"/>
      <c r="Z67" s="5">
        <f t="shared" si="35"/>
        <v>-4.4537629354640743E-2</v>
      </c>
    </row>
    <row r="68" spans="1:26" s="24" customFormat="1" hidden="1" outlineLevel="2" x14ac:dyDescent="0.25">
      <c r="A68" s="25"/>
      <c r="B68" s="11" t="str">
        <f>CONCATENATE("          ", "6321", " - ", "BUILDING DEPRECIATION")</f>
        <v xml:space="preserve">          6321 - BUILDING DEPRECIATION</v>
      </c>
      <c r="C68" s="11"/>
      <c r="D68" s="6">
        <v>29123.47</v>
      </c>
      <c r="E68" s="2"/>
      <c r="F68" s="7">
        <f t="shared" si="28"/>
        <v>3.3860002919147175E-2</v>
      </c>
      <c r="G68" s="2"/>
      <c r="H68" s="6">
        <v>28118</v>
      </c>
      <c r="I68" s="2"/>
      <c r="J68" s="7">
        <f t="shared" si="29"/>
        <v>3.2455217962909309E-2</v>
      </c>
      <c r="K68" s="2"/>
      <c r="L68" s="6">
        <f t="shared" si="30"/>
        <v>1005.4700000000012</v>
      </c>
      <c r="M68" s="2"/>
      <c r="N68" s="7">
        <f t="shared" si="31"/>
        <v>3.5758944448396085E-2</v>
      </c>
      <c r="O68" s="11"/>
      <c r="P68" s="6">
        <v>145617.35</v>
      </c>
      <c r="Q68" s="2"/>
      <c r="R68" s="7">
        <f t="shared" si="32"/>
        <v>3.5610272578243174E-2</v>
      </c>
      <c r="S68" s="2"/>
      <c r="T68" s="6">
        <v>140836</v>
      </c>
      <c r="U68" s="2"/>
      <c r="V68" s="7">
        <f t="shared" si="33"/>
        <v>3.1628089811234855E-2</v>
      </c>
      <c r="W68" s="2"/>
      <c r="X68" s="6">
        <f t="shared" si="34"/>
        <v>4781.3500000000058</v>
      </c>
      <c r="Y68" s="2"/>
      <c r="Z68" s="7">
        <f t="shared" si="35"/>
        <v>3.3949771365275966E-2</v>
      </c>
    </row>
    <row r="69" spans="1:26" s="24" customFormat="1" hidden="1" outlineLevel="2" x14ac:dyDescent="0.25">
      <c r="A69" s="25"/>
      <c r="B69" s="11" t="str">
        <f>CONCATENATE("          ", "6322", " - ", "EQUIPMENT DEPRECIATION EXPENSE")</f>
        <v xml:space="preserve">          6322 - EQUIPMENT DEPRECIATION EXPENSE</v>
      </c>
      <c r="C69" s="11"/>
      <c r="D69" s="6">
        <v>18426.809999999998</v>
      </c>
      <c r="E69" s="2"/>
      <c r="F69" s="7">
        <f t="shared" si="28"/>
        <v>2.1423677892454789E-2</v>
      </c>
      <c r="G69" s="2"/>
      <c r="H69" s="6">
        <v>18476</v>
      </c>
      <c r="I69" s="2"/>
      <c r="J69" s="7">
        <f t="shared" si="29"/>
        <v>2.1325933817579929E-2</v>
      </c>
      <c r="K69" s="2"/>
      <c r="L69" s="6">
        <f t="shared" si="30"/>
        <v>-49.190000000002328</v>
      </c>
      <c r="M69" s="2"/>
      <c r="N69" s="7">
        <f t="shared" si="31"/>
        <v>-2.6623728079672184E-3</v>
      </c>
      <c r="O69" s="11"/>
      <c r="P69" s="6">
        <v>92134.05</v>
      </c>
      <c r="Q69" s="2"/>
      <c r="R69" s="7">
        <f t="shared" si="32"/>
        <v>2.2531096975995549E-2</v>
      </c>
      <c r="S69" s="2"/>
      <c r="T69" s="6">
        <v>92380</v>
      </c>
      <c r="U69" s="2"/>
      <c r="V69" s="7">
        <f t="shared" si="33"/>
        <v>2.0746136902225824E-2</v>
      </c>
      <c r="W69" s="2"/>
      <c r="X69" s="6">
        <f t="shared" si="34"/>
        <v>-245.94999999999709</v>
      </c>
      <c r="Y69" s="2"/>
      <c r="Z69" s="7">
        <f t="shared" si="35"/>
        <v>-2.662372807967061E-3</v>
      </c>
    </row>
    <row r="70" spans="1:26" s="24" customFormat="1" hidden="1" outlineLevel="2" x14ac:dyDescent="0.25">
      <c r="A70" s="25"/>
      <c r="B70" s="11" t="str">
        <f>CONCATENATE("          ", "6324", " - ", "FURNITURE + FIXT DEPRECIATION")</f>
        <v xml:space="preserve">          6324 - FURNITURE + FIXT DEPRECIATION</v>
      </c>
      <c r="C70" s="11"/>
      <c r="D70" s="6"/>
      <c r="E70" s="2"/>
      <c r="F70" s="7">
        <f t="shared" si="28"/>
        <v>0</v>
      </c>
      <c r="G70" s="2"/>
      <c r="H70" s="6">
        <v>4554</v>
      </c>
      <c r="I70" s="2"/>
      <c r="J70" s="7">
        <f t="shared" si="29"/>
        <v>5.2564571663378974E-3</v>
      </c>
      <c r="K70" s="2"/>
      <c r="L70" s="6">
        <f t="shared" si="30"/>
        <v>-4554</v>
      </c>
      <c r="M70" s="2"/>
      <c r="N70" s="7">
        <f t="shared" si="31"/>
        <v>-1</v>
      </c>
      <c r="O70" s="11"/>
      <c r="P70" s="6"/>
      <c r="Q70" s="2"/>
      <c r="R70" s="7">
        <f t="shared" si="32"/>
        <v>0</v>
      </c>
      <c r="S70" s="2"/>
      <c r="T70" s="6">
        <v>12218</v>
      </c>
      <c r="U70" s="2"/>
      <c r="V70" s="7">
        <f t="shared" si="33"/>
        <v>2.7438439128750283E-3</v>
      </c>
      <c r="W70" s="2"/>
      <c r="X70" s="6">
        <f t="shared" si="34"/>
        <v>-12218</v>
      </c>
      <c r="Y70" s="2"/>
      <c r="Z70" s="7">
        <f t="shared" si="35"/>
        <v>-1</v>
      </c>
    </row>
    <row r="71" spans="1:26" s="24" customFormat="1" hidden="1" outlineLevel="2" x14ac:dyDescent="0.25">
      <c r="A71" s="25"/>
      <c r="B71" s="11" t="str">
        <f>CONCATENATE("          ", "6326", " - ", "VEHICLES DEPRECIATION EXPENSE")</f>
        <v xml:space="preserve">          6326 - VEHICLES DEPRECIATION EXPENSE</v>
      </c>
      <c r="C71" s="11"/>
      <c r="D71" s="6">
        <v>424.25</v>
      </c>
      <c r="E71" s="2"/>
      <c r="F71" s="7">
        <f t="shared" si="28"/>
        <v>4.9324844321257694E-4</v>
      </c>
      <c r="G71" s="2"/>
      <c r="H71" s="6">
        <v>2174</v>
      </c>
      <c r="I71" s="2"/>
      <c r="J71" s="7">
        <f t="shared" si="29"/>
        <v>2.5093407728631069E-3</v>
      </c>
      <c r="K71" s="2"/>
      <c r="L71" s="6">
        <f t="shared" si="30"/>
        <v>-1749.75</v>
      </c>
      <c r="M71" s="2"/>
      <c r="N71" s="7">
        <f t="shared" si="31"/>
        <v>-0.80485280588776453</v>
      </c>
      <c r="O71" s="11"/>
      <c r="P71" s="6">
        <v>2121.25</v>
      </c>
      <c r="Q71" s="2"/>
      <c r="R71" s="7">
        <f t="shared" si="32"/>
        <v>5.1874512691378008E-4</v>
      </c>
      <c r="S71" s="2"/>
      <c r="T71" s="6">
        <v>5620</v>
      </c>
      <c r="U71" s="2"/>
      <c r="V71" s="7">
        <f t="shared" si="33"/>
        <v>1.2621053192304517E-3</v>
      </c>
      <c r="W71" s="2"/>
      <c r="X71" s="6">
        <f t="shared" si="34"/>
        <v>-3498.75</v>
      </c>
      <c r="Y71" s="2"/>
      <c r="Z71" s="7">
        <f t="shared" si="35"/>
        <v>-0.62255338078291811</v>
      </c>
    </row>
    <row r="72" spans="1:26" s="26" customFormat="1" outlineLevel="1" collapsed="1" x14ac:dyDescent="0.25">
      <c r="A72" s="27"/>
      <c r="B72" s="13" t="str">
        <f>CONCATENATE("     ","Discounts and Markdowns                           ")</f>
        <v xml:space="preserve">     Discounts and Markdowns                           </v>
      </c>
      <c r="C72" s="13"/>
      <c r="D72" s="1">
        <f>SUM(OSRRefD22_6x_0)</f>
        <v>10.59</v>
      </c>
      <c r="E72" s="1"/>
      <c r="F72" s="5">
        <f t="shared" ref="F72:F84" si="36">IF(D$12=0,0,D72/D$12)</f>
        <v>1.2312318240709936E-5</v>
      </c>
      <c r="G72" s="1"/>
      <c r="H72" s="1">
        <f>SUM(OSRRefH22_6x_0)</f>
        <v>0</v>
      </c>
      <c r="I72" s="1"/>
      <c r="J72" s="5">
        <f t="shared" ref="J72:J84" si="37">IF(H$12=0,0,H72/H$12)</f>
        <v>0</v>
      </c>
      <c r="K72" s="1"/>
      <c r="L72" s="1">
        <f t="shared" ref="L72:L84" si="38">+D72-H72</f>
        <v>10.59</v>
      </c>
      <c r="M72" s="1"/>
      <c r="N72" s="5">
        <f t="shared" ref="N72:N84" si="39">IF(H72=0,0,L72/H72)</f>
        <v>0</v>
      </c>
      <c r="O72" s="13"/>
      <c r="P72" s="1">
        <f>SUM(OSRRefP22_6x_0)</f>
        <v>59.75</v>
      </c>
      <c r="Q72" s="1"/>
      <c r="R72" s="5">
        <f t="shared" ref="R72:R84" si="40">IF(P$12=0,0,P72/P$12)</f>
        <v>1.4611677705644483E-5</v>
      </c>
      <c r="S72" s="1"/>
      <c r="T72" s="1">
        <f>SUM(OSRRefT22_6x_0)</f>
        <v>0</v>
      </c>
      <c r="U72" s="1"/>
      <c r="V72" s="5">
        <f t="shared" ref="V72:V84" si="41">IF(T$12=0,0,T72/T$12)</f>
        <v>0</v>
      </c>
      <c r="W72" s="1"/>
      <c r="X72" s="1">
        <f t="shared" ref="X72:X84" si="42">+P72-T72</f>
        <v>59.75</v>
      </c>
      <c r="Y72" s="1"/>
      <c r="Z72" s="5">
        <f t="shared" ref="Z72:Z84" si="43">IF(T72=0,0,X72/T72)</f>
        <v>0</v>
      </c>
    </row>
    <row r="73" spans="1:26" s="24" customFormat="1" hidden="1" outlineLevel="2" x14ac:dyDescent="0.25">
      <c r="A73" s="25"/>
      <c r="B73" s="11" t="str">
        <f>CONCATENATE("          ", "6382", " - ", "DISCOUNTS/MARK DOWNS")</f>
        <v xml:space="preserve">          6382 - DISCOUNTS/MARK DOWNS</v>
      </c>
      <c r="C73" s="11"/>
      <c r="D73" s="6">
        <v>10.59</v>
      </c>
      <c r="E73" s="2"/>
      <c r="F73" s="7">
        <f t="shared" si="36"/>
        <v>1.2312318240709936E-5</v>
      </c>
      <c r="G73" s="2"/>
      <c r="H73" s="6"/>
      <c r="I73" s="2"/>
      <c r="J73" s="7">
        <f t="shared" si="37"/>
        <v>0</v>
      </c>
      <c r="K73" s="2"/>
      <c r="L73" s="6">
        <f t="shared" si="38"/>
        <v>10.59</v>
      </c>
      <c r="M73" s="2"/>
      <c r="N73" s="7">
        <f t="shared" si="39"/>
        <v>0</v>
      </c>
      <c r="O73" s="11"/>
      <c r="P73" s="6">
        <v>59.75</v>
      </c>
      <c r="Q73" s="2"/>
      <c r="R73" s="7">
        <f t="shared" si="40"/>
        <v>1.4611677705644483E-5</v>
      </c>
      <c r="S73" s="2"/>
      <c r="T73" s="6"/>
      <c r="U73" s="2"/>
      <c r="V73" s="7">
        <f t="shared" si="41"/>
        <v>0</v>
      </c>
      <c r="W73" s="2"/>
      <c r="X73" s="6">
        <f t="shared" si="42"/>
        <v>59.75</v>
      </c>
      <c r="Y73" s="2"/>
      <c r="Z73" s="7">
        <f t="shared" si="43"/>
        <v>0</v>
      </c>
    </row>
    <row r="74" spans="1:26" s="26" customFormat="1" outlineLevel="1" collapsed="1" x14ac:dyDescent="0.25">
      <c r="A74" s="27"/>
      <c r="B74" s="13" t="str">
        <f>CONCATENATE("     ","Donations                                         ")</f>
        <v xml:space="preserve">     Donations                                         </v>
      </c>
      <c r="C74" s="13"/>
      <c r="D74" s="1">
        <f>SUM(OSRRefD22_7x_0)</f>
        <v>0</v>
      </c>
      <c r="E74" s="1"/>
      <c r="F74" s="5">
        <f t="shared" si="36"/>
        <v>0</v>
      </c>
      <c r="G74" s="1"/>
      <c r="H74" s="1">
        <f>SUM(OSRRefH22_7x_0)</f>
        <v>200</v>
      </c>
      <c r="I74" s="1"/>
      <c r="J74" s="5">
        <f t="shared" si="37"/>
        <v>2.3085011709872189E-4</v>
      </c>
      <c r="K74" s="1"/>
      <c r="L74" s="1">
        <f t="shared" si="38"/>
        <v>-200</v>
      </c>
      <c r="M74" s="1"/>
      <c r="N74" s="5">
        <f t="shared" si="39"/>
        <v>-1</v>
      </c>
      <c r="O74" s="13"/>
      <c r="P74" s="1">
        <f>SUM(OSRRefP22_7x_0)</f>
        <v>163.68</v>
      </c>
      <c r="Q74" s="1"/>
      <c r="R74" s="5">
        <f t="shared" si="40"/>
        <v>4.0027437771713622E-5</v>
      </c>
      <c r="S74" s="1"/>
      <c r="T74" s="1">
        <f>SUM(OSRRefT22_7x_0)</f>
        <v>1000</v>
      </c>
      <c r="U74" s="1"/>
      <c r="V74" s="5">
        <f t="shared" si="41"/>
        <v>2.2457390021894157E-4</v>
      </c>
      <c r="W74" s="1"/>
      <c r="X74" s="1">
        <f t="shared" si="42"/>
        <v>-836.31999999999994</v>
      </c>
      <c r="Y74" s="1"/>
      <c r="Z74" s="5">
        <f t="shared" si="43"/>
        <v>-0.83631999999999995</v>
      </c>
    </row>
    <row r="75" spans="1:26" s="24" customFormat="1" hidden="1" outlineLevel="2" x14ac:dyDescent="0.25">
      <c r="A75" s="25"/>
      <c r="B75" s="11" t="str">
        <f>CONCATENATE("          ", "6399", " - ", "DONATION-ON CAMPUS")</f>
        <v xml:space="preserve">          6399 - DONATION-ON CAMPUS</v>
      </c>
      <c r="C75" s="11"/>
      <c r="D75" s="6"/>
      <c r="E75" s="2"/>
      <c r="F75" s="7">
        <f t="shared" si="36"/>
        <v>0</v>
      </c>
      <c r="G75" s="2"/>
      <c r="H75" s="6">
        <v>200</v>
      </c>
      <c r="I75" s="2"/>
      <c r="J75" s="7">
        <f t="shared" si="37"/>
        <v>2.3085011709872189E-4</v>
      </c>
      <c r="K75" s="2"/>
      <c r="L75" s="6">
        <f t="shared" si="38"/>
        <v>-200</v>
      </c>
      <c r="M75" s="2"/>
      <c r="N75" s="7">
        <f t="shared" si="39"/>
        <v>-1</v>
      </c>
      <c r="O75" s="11"/>
      <c r="P75" s="6">
        <v>163.68</v>
      </c>
      <c r="Q75" s="2"/>
      <c r="R75" s="7">
        <f t="shared" si="40"/>
        <v>4.0027437771713622E-5</v>
      </c>
      <c r="S75" s="2"/>
      <c r="T75" s="6">
        <v>1000</v>
      </c>
      <c r="U75" s="2"/>
      <c r="V75" s="7">
        <f t="shared" si="41"/>
        <v>2.2457390021894157E-4</v>
      </c>
      <c r="W75" s="2"/>
      <c r="X75" s="6">
        <f t="shared" si="42"/>
        <v>-836.31999999999994</v>
      </c>
      <c r="Y75" s="2"/>
      <c r="Z75" s="7">
        <f t="shared" si="43"/>
        <v>-0.83631999999999995</v>
      </c>
    </row>
    <row r="76" spans="1:26" s="26" customFormat="1" outlineLevel="1" collapsed="1" x14ac:dyDescent="0.25">
      <c r="A76" s="27"/>
      <c r="B76" s="13" t="str">
        <f>CONCATENATE("     ","Employees' Appreciation                           ")</f>
        <v xml:space="preserve">     Employees' Appreciation                           </v>
      </c>
      <c r="C76" s="13"/>
      <c r="D76" s="1">
        <f>SUM(OSRRefD22_8x_0)</f>
        <v>528.53</v>
      </c>
      <c r="E76" s="1"/>
      <c r="F76" s="5">
        <f t="shared" si="36"/>
        <v>6.1448815484064416E-4</v>
      </c>
      <c r="G76" s="1"/>
      <c r="H76" s="1">
        <f>SUM(OSRRefH22_8x_0)</f>
        <v>350</v>
      </c>
      <c r="I76" s="1"/>
      <c r="J76" s="5">
        <f t="shared" si="37"/>
        <v>4.039877049227633E-4</v>
      </c>
      <c r="K76" s="1"/>
      <c r="L76" s="1">
        <f t="shared" si="38"/>
        <v>178.52999999999997</v>
      </c>
      <c r="M76" s="1"/>
      <c r="N76" s="5">
        <f t="shared" si="39"/>
        <v>0.51008571428571425</v>
      </c>
      <c r="O76" s="13"/>
      <c r="P76" s="1">
        <f>SUM(OSRRefP22_8x_0)</f>
        <v>1014.65</v>
      </c>
      <c r="Q76" s="1"/>
      <c r="R76" s="5">
        <f t="shared" si="40"/>
        <v>2.4812951939802804E-4</v>
      </c>
      <c r="S76" s="1"/>
      <c r="T76" s="1">
        <f>SUM(OSRRefT22_8x_0)</f>
        <v>1615</v>
      </c>
      <c r="U76" s="1"/>
      <c r="V76" s="5">
        <f t="shared" si="41"/>
        <v>3.6268684885359064E-4</v>
      </c>
      <c r="W76" s="1"/>
      <c r="X76" s="1">
        <f t="shared" si="42"/>
        <v>-600.35</v>
      </c>
      <c r="Y76" s="1"/>
      <c r="Z76" s="5">
        <f t="shared" si="43"/>
        <v>-0.37173374613003096</v>
      </c>
    </row>
    <row r="77" spans="1:26" s="24" customFormat="1" hidden="1" outlineLevel="2" x14ac:dyDescent="0.25">
      <c r="A77" s="25"/>
      <c r="B77" s="11" t="str">
        <f>CONCATENATE("          ", "6277", " - ", "EMPLOYEE APPRECIATION")</f>
        <v xml:space="preserve">          6277 - EMPLOYEE APPRECIATION</v>
      </c>
      <c r="C77" s="11"/>
      <c r="D77" s="6">
        <v>528.53</v>
      </c>
      <c r="E77" s="2"/>
      <c r="F77" s="7">
        <f t="shared" si="36"/>
        <v>6.1448815484064416E-4</v>
      </c>
      <c r="G77" s="2"/>
      <c r="H77" s="6">
        <v>350</v>
      </c>
      <c r="I77" s="2"/>
      <c r="J77" s="7">
        <f t="shared" si="37"/>
        <v>4.039877049227633E-4</v>
      </c>
      <c r="K77" s="2"/>
      <c r="L77" s="6">
        <f t="shared" si="38"/>
        <v>178.52999999999997</v>
      </c>
      <c r="M77" s="2"/>
      <c r="N77" s="7">
        <f t="shared" si="39"/>
        <v>0.51008571428571425</v>
      </c>
      <c r="O77" s="11"/>
      <c r="P77" s="6">
        <v>1014.65</v>
      </c>
      <c r="Q77" s="2"/>
      <c r="R77" s="7">
        <f t="shared" si="40"/>
        <v>2.4812951939802804E-4</v>
      </c>
      <c r="S77" s="2"/>
      <c r="T77" s="6">
        <v>1615</v>
      </c>
      <c r="U77" s="2"/>
      <c r="V77" s="7">
        <f t="shared" si="41"/>
        <v>3.6268684885359064E-4</v>
      </c>
      <c r="W77" s="2"/>
      <c r="X77" s="6">
        <f t="shared" si="42"/>
        <v>-600.35</v>
      </c>
      <c r="Y77" s="2"/>
      <c r="Z77" s="7">
        <f t="shared" si="43"/>
        <v>-0.37173374613003096</v>
      </c>
    </row>
    <row r="78" spans="1:26" s="26" customFormat="1" outlineLevel="1" collapsed="1" x14ac:dyDescent="0.25">
      <c r="A78" s="27"/>
      <c r="B78" s="13" t="str">
        <f>CONCATENATE("     ","Equipment Rental                                  ")</f>
        <v xml:space="preserve">     Equipment Rental                                  </v>
      </c>
      <c r="C78" s="13"/>
      <c r="D78" s="1">
        <f>SUM(OSRRefD22_9x_0)</f>
        <v>2060.33</v>
      </c>
      <c r="E78" s="1"/>
      <c r="F78" s="5">
        <f t="shared" si="36"/>
        <v>2.3954144136810107E-3</v>
      </c>
      <c r="G78" s="1"/>
      <c r="H78" s="1">
        <f>SUM(OSRRefH22_9x_0)</f>
        <v>1871</v>
      </c>
      <c r="I78" s="1"/>
      <c r="J78" s="5">
        <f t="shared" si="37"/>
        <v>2.1596028454585435E-3</v>
      </c>
      <c r="K78" s="1"/>
      <c r="L78" s="1">
        <f t="shared" si="38"/>
        <v>189.32999999999993</v>
      </c>
      <c r="M78" s="1"/>
      <c r="N78" s="5">
        <f t="shared" si="39"/>
        <v>0.10119187600213786</v>
      </c>
      <c r="O78" s="13"/>
      <c r="P78" s="1">
        <f>SUM(OSRRefP22_9x_0)</f>
        <v>12747.43</v>
      </c>
      <c r="Q78" s="1"/>
      <c r="R78" s="5">
        <f t="shared" si="40"/>
        <v>3.1173445813433248E-3</v>
      </c>
      <c r="S78" s="1"/>
      <c r="T78" s="1">
        <f>SUM(OSRRefT22_9x_0)</f>
        <v>8281</v>
      </c>
      <c r="U78" s="1"/>
      <c r="V78" s="5">
        <f t="shared" si="41"/>
        <v>1.8596964677130552E-3</v>
      </c>
      <c r="W78" s="1"/>
      <c r="X78" s="1">
        <f t="shared" si="42"/>
        <v>4466.43</v>
      </c>
      <c r="Y78" s="1"/>
      <c r="Z78" s="5">
        <f t="shared" si="43"/>
        <v>0.53935877309503688</v>
      </c>
    </row>
    <row r="79" spans="1:26" s="24" customFormat="1" hidden="1" outlineLevel="2" x14ac:dyDescent="0.25">
      <c r="A79" s="25"/>
      <c r="B79" s="11" t="str">
        <f>CONCATENATE("          ", "6351", " - ", "EQUIPMENT RENTAL")</f>
        <v xml:space="preserve">          6351 - EQUIPMENT RENTAL</v>
      </c>
      <c r="C79" s="11"/>
      <c r="D79" s="6">
        <v>2060.33</v>
      </c>
      <c r="E79" s="2"/>
      <c r="F79" s="7">
        <f t="shared" si="36"/>
        <v>2.3954144136810107E-3</v>
      </c>
      <c r="G79" s="2"/>
      <c r="H79" s="6">
        <v>1871</v>
      </c>
      <c r="I79" s="2"/>
      <c r="J79" s="7">
        <f t="shared" si="37"/>
        <v>2.1596028454585435E-3</v>
      </c>
      <c r="K79" s="2"/>
      <c r="L79" s="6">
        <f t="shared" si="38"/>
        <v>189.32999999999993</v>
      </c>
      <c r="M79" s="2"/>
      <c r="N79" s="7">
        <f t="shared" si="39"/>
        <v>0.10119187600213786</v>
      </c>
      <c r="O79" s="11"/>
      <c r="P79" s="6">
        <v>12747.43</v>
      </c>
      <c r="Q79" s="2"/>
      <c r="R79" s="7">
        <f t="shared" si="40"/>
        <v>3.1173445813433248E-3</v>
      </c>
      <c r="S79" s="2"/>
      <c r="T79" s="6">
        <v>8281</v>
      </c>
      <c r="U79" s="2"/>
      <c r="V79" s="7">
        <f t="shared" si="41"/>
        <v>1.8596964677130552E-3</v>
      </c>
      <c r="W79" s="2"/>
      <c r="X79" s="6">
        <f t="shared" si="42"/>
        <v>4466.43</v>
      </c>
      <c r="Y79" s="2"/>
      <c r="Z79" s="7">
        <f t="shared" si="43"/>
        <v>0.53935877309503688</v>
      </c>
    </row>
    <row r="80" spans="1:26" s="26" customFormat="1" outlineLevel="1" collapsed="1" x14ac:dyDescent="0.25">
      <c r="A80" s="27"/>
      <c r="B80" s="13" t="str">
        <f>CONCATENATE("     ","Freight out/Postage                               ")</f>
        <v xml:space="preserve">     Freight out/Postage                               </v>
      </c>
      <c r="C80" s="13"/>
      <c r="D80" s="1">
        <f>SUM(OSRRefD22_10x_0)</f>
        <v>17.329999999999998</v>
      </c>
      <c r="E80" s="1"/>
      <c r="F80" s="5">
        <f t="shared" si="36"/>
        <v>2.0148486790510215E-5</v>
      </c>
      <c r="G80" s="1"/>
      <c r="H80" s="1">
        <f>SUM(OSRRefH22_10x_0)</f>
        <v>0</v>
      </c>
      <c r="I80" s="1"/>
      <c r="J80" s="5">
        <f t="shared" si="37"/>
        <v>0</v>
      </c>
      <c r="K80" s="1"/>
      <c r="L80" s="1">
        <f t="shared" si="38"/>
        <v>17.329999999999998</v>
      </c>
      <c r="M80" s="1"/>
      <c r="N80" s="5">
        <f t="shared" si="39"/>
        <v>0</v>
      </c>
      <c r="O80" s="13"/>
      <c r="P80" s="1">
        <f>SUM(OSRRefP22_10x_0)</f>
        <v>188.61</v>
      </c>
      <c r="Q80" s="1"/>
      <c r="R80" s="5">
        <f t="shared" si="40"/>
        <v>4.6123992168395082E-5</v>
      </c>
      <c r="S80" s="1"/>
      <c r="T80" s="1">
        <f>SUM(OSRRefT22_10x_0)</f>
        <v>0</v>
      </c>
      <c r="U80" s="1"/>
      <c r="V80" s="5">
        <f t="shared" si="41"/>
        <v>0</v>
      </c>
      <c r="W80" s="1"/>
      <c r="X80" s="1">
        <f t="shared" si="42"/>
        <v>188.61</v>
      </c>
      <c r="Y80" s="1"/>
      <c r="Z80" s="5">
        <f t="shared" si="43"/>
        <v>0</v>
      </c>
    </row>
    <row r="81" spans="1:26" s="24" customFormat="1" hidden="1" outlineLevel="2" x14ac:dyDescent="0.25">
      <c r="A81" s="25"/>
      <c r="B81" s="11" t="str">
        <f>CONCATENATE("          ", "6305", " - ", "FREIGHT OUT")</f>
        <v xml:space="preserve">          6305 - FREIGHT OUT</v>
      </c>
      <c r="C81" s="11"/>
      <c r="D81" s="6">
        <v>17.329999999999998</v>
      </c>
      <c r="E81" s="2"/>
      <c r="F81" s="7">
        <f t="shared" si="36"/>
        <v>2.0148486790510215E-5</v>
      </c>
      <c r="G81" s="2"/>
      <c r="H81" s="6"/>
      <c r="I81" s="2"/>
      <c r="J81" s="7">
        <f t="shared" si="37"/>
        <v>0</v>
      </c>
      <c r="K81" s="2"/>
      <c r="L81" s="6">
        <f t="shared" si="38"/>
        <v>17.329999999999998</v>
      </c>
      <c r="M81" s="2"/>
      <c r="N81" s="7">
        <f t="shared" si="39"/>
        <v>0</v>
      </c>
      <c r="O81" s="11"/>
      <c r="P81" s="6">
        <v>188.61</v>
      </c>
      <c r="Q81" s="2"/>
      <c r="R81" s="7">
        <f t="shared" si="40"/>
        <v>4.6123992168395082E-5</v>
      </c>
      <c r="S81" s="2"/>
      <c r="T81" s="6"/>
      <c r="U81" s="2"/>
      <c r="V81" s="7">
        <f t="shared" si="41"/>
        <v>0</v>
      </c>
      <c r="W81" s="2"/>
      <c r="X81" s="6">
        <f t="shared" si="42"/>
        <v>188.61</v>
      </c>
      <c r="Y81" s="2"/>
      <c r="Z81" s="7">
        <f t="shared" si="43"/>
        <v>0</v>
      </c>
    </row>
    <row r="82" spans="1:26" s="26" customFormat="1" outlineLevel="1" collapsed="1" x14ac:dyDescent="0.25">
      <c r="A82" s="27"/>
      <c r="B82" s="13" t="str">
        <f>CONCATENATE("     ","General                                           ")</f>
        <v xml:space="preserve">     General                                           </v>
      </c>
      <c r="C82" s="13"/>
      <c r="D82" s="1">
        <f>SUM(OSRRefD22_11x_0)</f>
        <v>22508.030000000002</v>
      </c>
      <c r="E82" s="1"/>
      <c r="F82" s="5">
        <f t="shared" si="36"/>
        <v>2.6168652344801369E-2</v>
      </c>
      <c r="G82" s="1"/>
      <c r="H82" s="1">
        <f>SUM(OSRRefH22_11x_0)</f>
        <v>4289</v>
      </c>
      <c r="I82" s="1"/>
      <c r="J82" s="5">
        <f t="shared" si="37"/>
        <v>4.9505807611820909E-3</v>
      </c>
      <c r="K82" s="1"/>
      <c r="L82" s="1">
        <f t="shared" si="38"/>
        <v>18219.030000000002</v>
      </c>
      <c r="M82" s="1"/>
      <c r="N82" s="5">
        <f t="shared" si="39"/>
        <v>4.2478503147586855</v>
      </c>
      <c r="O82" s="13"/>
      <c r="P82" s="1">
        <f>SUM(OSRRefP22_11x_0)</f>
        <v>67040.38</v>
      </c>
      <c r="Q82" s="1"/>
      <c r="R82" s="5">
        <f t="shared" si="40"/>
        <v>1.6394517587011454E-2</v>
      </c>
      <c r="S82" s="1"/>
      <c r="T82" s="1">
        <f>SUM(OSRRefT22_11x_0)</f>
        <v>32718</v>
      </c>
      <c r="U82" s="1"/>
      <c r="V82" s="5">
        <f t="shared" si="41"/>
        <v>7.3476088673633307E-3</v>
      </c>
      <c r="W82" s="1"/>
      <c r="X82" s="1">
        <f t="shared" si="42"/>
        <v>34322.380000000005</v>
      </c>
      <c r="Y82" s="1"/>
      <c r="Z82" s="5">
        <f t="shared" si="43"/>
        <v>1.0490366159300692</v>
      </c>
    </row>
    <row r="83" spans="1:26" s="24" customFormat="1" hidden="1" outlineLevel="2" x14ac:dyDescent="0.25">
      <c r="A83" s="25"/>
      <c r="B83" s="11" t="str">
        <f>CONCATENATE("          ", "6269", " - ", "ENTERTAINMENT")</f>
        <v xml:space="preserve">          6269 - ENTERTAINMENT</v>
      </c>
      <c r="C83" s="11"/>
      <c r="D83" s="6">
        <v>600</v>
      </c>
      <c r="E83" s="2"/>
      <c r="F83" s="7">
        <f t="shared" si="36"/>
        <v>6.9758177001189438E-4</v>
      </c>
      <c r="G83" s="2"/>
      <c r="H83" s="6">
        <v>600</v>
      </c>
      <c r="I83" s="2"/>
      <c r="J83" s="7">
        <f t="shared" si="37"/>
        <v>6.9255035129616566E-4</v>
      </c>
      <c r="K83" s="2"/>
      <c r="L83" s="6">
        <f t="shared" si="38"/>
        <v>0</v>
      </c>
      <c r="M83" s="2"/>
      <c r="N83" s="7">
        <f t="shared" si="39"/>
        <v>0</v>
      </c>
      <c r="O83" s="11"/>
      <c r="P83" s="6">
        <v>6100</v>
      </c>
      <c r="Q83" s="2"/>
      <c r="R83" s="7">
        <f t="shared" si="40"/>
        <v>1.4917361339653781E-3</v>
      </c>
      <c r="S83" s="2"/>
      <c r="T83" s="6">
        <v>3750</v>
      </c>
      <c r="U83" s="2"/>
      <c r="V83" s="7">
        <f t="shared" si="41"/>
        <v>8.4215212582103088E-4</v>
      </c>
      <c r="W83" s="2"/>
      <c r="X83" s="6">
        <f t="shared" si="42"/>
        <v>2350</v>
      </c>
      <c r="Y83" s="2"/>
      <c r="Z83" s="7">
        <f t="shared" si="43"/>
        <v>0.62666666666666671</v>
      </c>
    </row>
    <row r="84" spans="1:26" s="24" customFormat="1" hidden="1" outlineLevel="2" x14ac:dyDescent="0.25">
      <c r="A84" s="25"/>
      <c r="B84" s="11" t="str">
        <f>CONCATENATE("          ", "6279", " - ", "GENERAL EXPENSE")</f>
        <v xml:space="preserve">          6279 - GENERAL EXPENSE</v>
      </c>
      <c r="C84" s="11"/>
      <c r="D84" s="6">
        <v>21908.030000000002</v>
      </c>
      <c r="E84" s="2"/>
      <c r="F84" s="7">
        <f t="shared" si="36"/>
        <v>2.5471070574789475E-2</v>
      </c>
      <c r="G84" s="2"/>
      <c r="H84" s="6">
        <v>3689</v>
      </c>
      <c r="I84" s="2"/>
      <c r="J84" s="7">
        <f t="shared" si="37"/>
        <v>4.258030409885925E-3</v>
      </c>
      <c r="K84" s="2"/>
      <c r="L84" s="6">
        <f t="shared" si="38"/>
        <v>18219.030000000002</v>
      </c>
      <c r="M84" s="2"/>
      <c r="N84" s="7">
        <f t="shared" si="39"/>
        <v>4.9387449173217677</v>
      </c>
      <c r="O84" s="11"/>
      <c r="P84" s="6">
        <v>60940.380000000005</v>
      </c>
      <c r="Q84" s="2"/>
      <c r="R84" s="7">
        <f t="shared" si="40"/>
        <v>1.4902781453046075E-2</v>
      </c>
      <c r="S84" s="2"/>
      <c r="T84" s="6">
        <v>28968</v>
      </c>
      <c r="U84" s="2"/>
      <c r="V84" s="7">
        <f t="shared" si="41"/>
        <v>6.5054567415422995E-3</v>
      </c>
      <c r="W84" s="2"/>
      <c r="X84" s="6">
        <f t="shared" si="42"/>
        <v>31972.380000000005</v>
      </c>
      <c r="Y84" s="2"/>
      <c r="Z84" s="7">
        <f t="shared" si="43"/>
        <v>1.1037137531068768</v>
      </c>
    </row>
    <row r="85" spans="1:26" s="26" customFormat="1" outlineLevel="1" collapsed="1" x14ac:dyDescent="0.25">
      <c r="A85" s="27"/>
      <c r="B85" s="13" t="str">
        <f>CONCATENATE("     ","Insurance                                         ")</f>
        <v xml:space="preserve">     Insurance                                         </v>
      </c>
      <c r="C85" s="13"/>
      <c r="D85" s="1">
        <f>SUM(OSRRefD22_12x_0)</f>
        <v>4483.67</v>
      </c>
      <c r="E85" s="1"/>
      <c r="F85" s="5">
        <f t="shared" ref="F85:F99" si="44">IF(D$12=0,0,D85/D$12)</f>
        <v>5.2128774245820513E-3</v>
      </c>
      <c r="G85" s="1"/>
      <c r="H85" s="1">
        <f>SUM(OSRRefH22_12x_0)</f>
        <v>4234</v>
      </c>
      <c r="I85" s="1"/>
      <c r="J85" s="5">
        <f t="shared" ref="J85:J99" si="45">IF(H$12=0,0,H85/H$12)</f>
        <v>4.8870969789799427E-3</v>
      </c>
      <c r="K85" s="1"/>
      <c r="L85" s="1">
        <f t="shared" ref="L85:L99" si="46">+D85-H85</f>
        <v>249.67000000000007</v>
      </c>
      <c r="M85" s="1"/>
      <c r="N85" s="5">
        <f t="shared" ref="N85:N99" si="47">IF(H85=0,0,L85/H85)</f>
        <v>5.8967879074161567E-2</v>
      </c>
      <c r="O85" s="13"/>
      <c r="P85" s="1">
        <f>SUM(OSRRefP22_12x_0)</f>
        <v>22418.350000000002</v>
      </c>
      <c r="Q85" s="1"/>
      <c r="R85" s="5">
        <f t="shared" ref="R85:R99" si="48">IF(P$12=0,0,P85/P$12)</f>
        <v>5.4823381571938914E-3</v>
      </c>
      <c r="S85" s="1"/>
      <c r="T85" s="1">
        <f>SUM(OSRRefT22_12x_0)</f>
        <v>21170</v>
      </c>
      <c r="U85" s="1"/>
      <c r="V85" s="5">
        <f t="shared" ref="V85:V99" si="49">IF(T$12=0,0,T85/T$12)</f>
        <v>4.7542294676349928E-3</v>
      </c>
      <c r="W85" s="1"/>
      <c r="X85" s="1">
        <f t="shared" ref="X85:X99" si="50">+P85-T85</f>
        <v>1248.3500000000022</v>
      </c>
      <c r="Y85" s="1"/>
      <c r="Z85" s="5">
        <f t="shared" ref="Z85:Z99" si="51">IF(T85=0,0,X85/T85)</f>
        <v>5.896787907416165E-2</v>
      </c>
    </row>
    <row r="86" spans="1:26" s="24" customFormat="1" hidden="1" outlineLevel="2" x14ac:dyDescent="0.25">
      <c r="A86" s="25"/>
      <c r="B86" s="11" t="str">
        <f>CONCATENATE("          ", "6314", " - ", "LIABILITY INSURANCE")</f>
        <v xml:space="preserve">          6314 - LIABILITY INSURANCE</v>
      </c>
      <c r="C86" s="11"/>
      <c r="D86" s="6">
        <v>4483.67</v>
      </c>
      <c r="E86" s="2"/>
      <c r="F86" s="7">
        <f t="shared" si="44"/>
        <v>5.2128774245820513E-3</v>
      </c>
      <c r="G86" s="2"/>
      <c r="H86" s="6">
        <v>4234</v>
      </c>
      <c r="I86" s="2"/>
      <c r="J86" s="7">
        <f t="shared" si="45"/>
        <v>4.8870969789799427E-3</v>
      </c>
      <c r="K86" s="2"/>
      <c r="L86" s="6">
        <f t="shared" si="46"/>
        <v>249.67000000000007</v>
      </c>
      <c r="M86" s="2"/>
      <c r="N86" s="7">
        <f t="shared" si="47"/>
        <v>5.8967879074161567E-2</v>
      </c>
      <c r="O86" s="11"/>
      <c r="P86" s="6">
        <v>22418.350000000002</v>
      </c>
      <c r="Q86" s="2"/>
      <c r="R86" s="7">
        <f t="shared" si="48"/>
        <v>5.4823381571938914E-3</v>
      </c>
      <c r="S86" s="2"/>
      <c r="T86" s="6">
        <v>21170</v>
      </c>
      <c r="U86" s="2"/>
      <c r="V86" s="7">
        <f t="shared" si="49"/>
        <v>4.7542294676349928E-3</v>
      </c>
      <c r="W86" s="2"/>
      <c r="X86" s="6">
        <f t="shared" si="50"/>
        <v>1248.3500000000022</v>
      </c>
      <c r="Y86" s="2"/>
      <c r="Z86" s="7">
        <f t="shared" si="51"/>
        <v>5.896787907416165E-2</v>
      </c>
    </row>
    <row r="87" spans="1:26" s="26" customFormat="1" outlineLevel="1" collapsed="1" x14ac:dyDescent="0.25">
      <c r="A87" s="27"/>
      <c r="B87" s="13" t="str">
        <f>CONCATENATE("     ","Interest                                          ")</f>
        <v xml:space="preserve">     Interest                                          </v>
      </c>
      <c r="C87" s="13"/>
      <c r="D87" s="1">
        <f>SUM(OSRRefD22_13x_0)</f>
        <v>11929</v>
      </c>
      <c r="E87" s="1"/>
      <c r="F87" s="5">
        <f t="shared" si="44"/>
        <v>1.3869088224119813E-2</v>
      </c>
      <c r="G87" s="1"/>
      <c r="H87" s="1">
        <f>SUM(OSRRefH22_13x_0)</f>
        <v>11929</v>
      </c>
      <c r="I87" s="1"/>
      <c r="J87" s="5">
        <f t="shared" si="45"/>
        <v>1.3769055234353268E-2</v>
      </c>
      <c r="K87" s="1"/>
      <c r="L87" s="1">
        <f t="shared" si="46"/>
        <v>0</v>
      </c>
      <c r="M87" s="1"/>
      <c r="N87" s="5">
        <f t="shared" si="47"/>
        <v>0</v>
      </c>
      <c r="O87" s="13"/>
      <c r="P87" s="1">
        <f>SUM(OSRRefP22_13x_0)</f>
        <v>59046</v>
      </c>
      <c r="Q87" s="1"/>
      <c r="R87" s="5">
        <f t="shared" si="48"/>
        <v>1.4439516682970445E-2</v>
      </c>
      <c r="S87" s="1"/>
      <c r="T87" s="1">
        <f>SUM(OSRRefT22_13x_0)</f>
        <v>59644.999999999993</v>
      </c>
      <c r="U87" s="1"/>
      <c r="V87" s="5">
        <f t="shared" si="49"/>
        <v>1.3394710278558769E-2</v>
      </c>
      <c r="W87" s="1"/>
      <c r="X87" s="1">
        <f t="shared" si="50"/>
        <v>-598.99999999999272</v>
      </c>
      <c r="Y87" s="1"/>
      <c r="Z87" s="5">
        <f t="shared" si="51"/>
        <v>-1.0042752954983532E-2</v>
      </c>
    </row>
    <row r="88" spans="1:26" s="24" customFormat="1" hidden="1" outlineLevel="2" x14ac:dyDescent="0.25">
      <c r="A88" s="25"/>
      <c r="B88" s="11" t="str">
        <f>CONCATENATE("          ", "6401", " - ", "INTEREST EXPENSE")</f>
        <v xml:space="preserve">          6401 - INTEREST EXPENSE</v>
      </c>
      <c r="C88" s="11"/>
      <c r="D88" s="6">
        <v>11929</v>
      </c>
      <c r="E88" s="2"/>
      <c r="F88" s="7">
        <f t="shared" si="44"/>
        <v>1.3869088224119813E-2</v>
      </c>
      <c r="G88" s="2"/>
      <c r="H88" s="6">
        <v>11929</v>
      </c>
      <c r="I88" s="2"/>
      <c r="J88" s="7">
        <f t="shared" si="45"/>
        <v>1.3769055234353268E-2</v>
      </c>
      <c r="K88" s="2"/>
      <c r="L88" s="6">
        <f t="shared" si="46"/>
        <v>0</v>
      </c>
      <c r="M88" s="2"/>
      <c r="N88" s="7">
        <f t="shared" si="47"/>
        <v>0</v>
      </c>
      <c r="O88" s="11"/>
      <c r="P88" s="6">
        <v>59046</v>
      </c>
      <c r="Q88" s="2"/>
      <c r="R88" s="7">
        <f t="shared" si="48"/>
        <v>1.4439516682970445E-2</v>
      </c>
      <c r="S88" s="2"/>
      <c r="T88" s="6">
        <v>59644.999999999993</v>
      </c>
      <c r="U88" s="2"/>
      <c r="V88" s="7">
        <f t="shared" si="49"/>
        <v>1.3394710278558769E-2</v>
      </c>
      <c r="W88" s="2"/>
      <c r="X88" s="6">
        <f t="shared" si="50"/>
        <v>-598.99999999999272</v>
      </c>
      <c r="Y88" s="2"/>
      <c r="Z88" s="7">
        <f t="shared" si="51"/>
        <v>-1.0042752954983532E-2</v>
      </c>
    </row>
    <row r="89" spans="1:26" s="26" customFormat="1" outlineLevel="1" collapsed="1" x14ac:dyDescent="0.25">
      <c r="A89" s="27"/>
      <c r="B89" s="13" t="str">
        <f>CONCATENATE("     ","Professional Services                             ")</f>
        <v xml:space="preserve">     Professional Services                             </v>
      </c>
      <c r="C89" s="13"/>
      <c r="D89" s="1">
        <f>SUM(OSRRefD22_14x_0)</f>
        <v>0</v>
      </c>
      <c r="E89" s="1"/>
      <c r="F89" s="5">
        <f t="shared" si="44"/>
        <v>0</v>
      </c>
      <c r="G89" s="1"/>
      <c r="H89" s="1">
        <f>SUM(OSRRefH22_14x_0)</f>
        <v>0</v>
      </c>
      <c r="I89" s="1"/>
      <c r="J89" s="5">
        <f t="shared" si="45"/>
        <v>0</v>
      </c>
      <c r="K89" s="1"/>
      <c r="L89" s="1">
        <f t="shared" si="46"/>
        <v>0</v>
      </c>
      <c r="M89" s="1"/>
      <c r="N89" s="5">
        <f t="shared" si="47"/>
        <v>0</v>
      </c>
      <c r="O89" s="13"/>
      <c r="P89" s="1">
        <f>SUM(OSRRefP22_14x_0)</f>
        <v>125</v>
      </c>
      <c r="Q89" s="1"/>
      <c r="R89" s="5">
        <f t="shared" si="48"/>
        <v>3.0568363400929882E-5</v>
      </c>
      <c r="S89" s="1"/>
      <c r="T89" s="1">
        <f>SUM(OSRRefT22_14x_0)</f>
        <v>0</v>
      </c>
      <c r="U89" s="1"/>
      <c r="V89" s="5">
        <f t="shared" si="49"/>
        <v>0</v>
      </c>
      <c r="W89" s="1"/>
      <c r="X89" s="1">
        <f t="shared" si="50"/>
        <v>125</v>
      </c>
      <c r="Y89" s="1"/>
      <c r="Z89" s="5">
        <f t="shared" si="51"/>
        <v>0</v>
      </c>
    </row>
    <row r="90" spans="1:26" s="24" customFormat="1" hidden="1" outlineLevel="2" x14ac:dyDescent="0.25">
      <c r="A90" s="25"/>
      <c r="B90" s="11" t="str">
        <f>CONCATENATE("          ", "6336", " - ", "PROFESSIONAL SERVICES")</f>
        <v xml:space="preserve">          6336 - PROFESSIONAL SERVICES</v>
      </c>
      <c r="C90" s="11"/>
      <c r="D90" s="6"/>
      <c r="E90" s="2"/>
      <c r="F90" s="7">
        <f t="shared" si="44"/>
        <v>0</v>
      </c>
      <c r="G90" s="2"/>
      <c r="H90" s="6"/>
      <c r="I90" s="2"/>
      <c r="J90" s="7">
        <f t="shared" si="45"/>
        <v>0</v>
      </c>
      <c r="K90" s="2"/>
      <c r="L90" s="6">
        <f t="shared" si="46"/>
        <v>0</v>
      </c>
      <c r="M90" s="2"/>
      <c r="N90" s="7">
        <f t="shared" si="47"/>
        <v>0</v>
      </c>
      <c r="O90" s="11"/>
      <c r="P90" s="6">
        <v>125</v>
      </c>
      <c r="Q90" s="2"/>
      <c r="R90" s="7">
        <f t="shared" si="48"/>
        <v>3.0568363400929882E-5</v>
      </c>
      <c r="S90" s="2"/>
      <c r="T90" s="6"/>
      <c r="U90" s="2"/>
      <c r="V90" s="7">
        <f t="shared" si="49"/>
        <v>0</v>
      </c>
      <c r="W90" s="2"/>
      <c r="X90" s="6">
        <f t="shared" si="50"/>
        <v>125</v>
      </c>
      <c r="Y90" s="2"/>
      <c r="Z90" s="7">
        <f t="shared" si="51"/>
        <v>0</v>
      </c>
    </row>
    <row r="91" spans="1:26" s="26" customFormat="1" outlineLevel="1" collapsed="1" x14ac:dyDescent="0.25">
      <c r="A91" s="27"/>
      <c r="B91" s="13" t="str">
        <f>CONCATENATE("     ","R/H Commissions                                   ")</f>
        <v xml:space="preserve">     R/H Commissions                                   </v>
      </c>
      <c r="C91" s="13"/>
      <c r="D91" s="1">
        <f>SUM(OSRRefD22_15x_0)</f>
        <v>0</v>
      </c>
      <c r="E91" s="1"/>
      <c r="F91" s="5">
        <f t="shared" si="44"/>
        <v>0</v>
      </c>
      <c r="G91" s="1"/>
      <c r="H91" s="1">
        <f>SUM(OSRRefH22_15x_0)</f>
        <v>0</v>
      </c>
      <c r="I91" s="1"/>
      <c r="J91" s="5">
        <f t="shared" si="45"/>
        <v>0</v>
      </c>
      <c r="K91" s="1"/>
      <c r="L91" s="1">
        <f t="shared" si="46"/>
        <v>0</v>
      </c>
      <c r="M91" s="1"/>
      <c r="N91" s="5">
        <f t="shared" si="47"/>
        <v>0</v>
      </c>
      <c r="O91" s="13"/>
      <c r="P91" s="1">
        <f>SUM(OSRRefP22_15x_0)</f>
        <v>0</v>
      </c>
      <c r="Q91" s="1"/>
      <c r="R91" s="5">
        <f t="shared" si="48"/>
        <v>0</v>
      </c>
      <c r="S91" s="1"/>
      <c r="T91" s="1">
        <f>SUM(OSRRefT22_15x_0)</f>
        <v>0</v>
      </c>
      <c r="U91" s="1"/>
      <c r="V91" s="5">
        <f t="shared" si="49"/>
        <v>0</v>
      </c>
      <c r="W91" s="1"/>
      <c r="X91" s="1">
        <f t="shared" si="50"/>
        <v>0</v>
      </c>
      <c r="Y91" s="1"/>
      <c r="Z91" s="5">
        <f t="shared" si="51"/>
        <v>0</v>
      </c>
    </row>
    <row r="92" spans="1:26" s="24" customFormat="1" hidden="1" outlineLevel="2" x14ac:dyDescent="0.25">
      <c r="A92" s="25"/>
      <c r="B92" s="11" t="str">
        <f>CONCATENATE("          ", "6387", " - ", "COMMISSION DUE HOUSING")</f>
        <v xml:space="preserve">          6387 - COMMISSION DUE HOUSING</v>
      </c>
      <c r="C92" s="11"/>
      <c r="D92" s="6"/>
      <c r="E92" s="2"/>
      <c r="F92" s="7">
        <f t="shared" si="44"/>
        <v>0</v>
      </c>
      <c r="G92" s="2"/>
      <c r="H92" s="6"/>
      <c r="I92" s="2"/>
      <c r="J92" s="7">
        <f t="shared" si="45"/>
        <v>0</v>
      </c>
      <c r="K92" s="2"/>
      <c r="L92" s="6">
        <f t="shared" si="46"/>
        <v>0</v>
      </c>
      <c r="M92" s="2"/>
      <c r="N92" s="7">
        <f t="shared" si="47"/>
        <v>0</v>
      </c>
      <c r="O92" s="11"/>
      <c r="P92" s="6"/>
      <c r="Q92" s="2"/>
      <c r="R92" s="7">
        <f t="shared" si="48"/>
        <v>0</v>
      </c>
      <c r="S92" s="2"/>
      <c r="T92" s="6">
        <v>0</v>
      </c>
      <c r="U92" s="2"/>
      <c r="V92" s="7">
        <f t="shared" si="49"/>
        <v>0</v>
      </c>
      <c r="W92" s="2"/>
      <c r="X92" s="6">
        <f t="shared" si="50"/>
        <v>0</v>
      </c>
      <c r="Y92" s="2"/>
      <c r="Z92" s="7">
        <f t="shared" si="51"/>
        <v>0</v>
      </c>
    </row>
    <row r="93" spans="1:26" s="26" customFormat="1" outlineLevel="1" collapsed="1" x14ac:dyDescent="0.25">
      <c r="A93" s="27"/>
      <c r="B93" s="13" t="str">
        <f>CONCATENATE("     ","Rent                                              ")</f>
        <v xml:space="preserve">     Rent                                              </v>
      </c>
      <c r="C93" s="13"/>
      <c r="D93" s="1">
        <f>SUM(OSRRefD22_16x_0)</f>
        <v>3000</v>
      </c>
      <c r="E93" s="1"/>
      <c r="F93" s="5">
        <f t="shared" si="44"/>
        <v>3.4879088500594721E-3</v>
      </c>
      <c r="G93" s="1"/>
      <c r="H93" s="1">
        <f>SUM(OSRRefH22_16x_0)</f>
        <v>3000</v>
      </c>
      <c r="I93" s="1"/>
      <c r="J93" s="5">
        <f t="shared" si="45"/>
        <v>3.4627517564808285E-3</v>
      </c>
      <c r="K93" s="1"/>
      <c r="L93" s="1">
        <f t="shared" si="46"/>
        <v>0</v>
      </c>
      <c r="M93" s="1"/>
      <c r="N93" s="5">
        <f t="shared" si="47"/>
        <v>0</v>
      </c>
      <c r="O93" s="13"/>
      <c r="P93" s="1">
        <f>SUM(OSRRefP22_16x_0)</f>
        <v>15000</v>
      </c>
      <c r="Q93" s="1"/>
      <c r="R93" s="5">
        <f t="shared" si="48"/>
        <v>3.6682036081115855E-3</v>
      </c>
      <c r="S93" s="1"/>
      <c r="T93" s="1">
        <f>SUM(OSRRefT22_16x_0)</f>
        <v>15000</v>
      </c>
      <c r="U93" s="1"/>
      <c r="V93" s="5">
        <f t="shared" si="49"/>
        <v>3.3686085032841235E-3</v>
      </c>
      <c r="W93" s="1"/>
      <c r="X93" s="1">
        <f t="shared" si="50"/>
        <v>0</v>
      </c>
      <c r="Y93" s="1"/>
      <c r="Z93" s="5">
        <f t="shared" si="51"/>
        <v>0</v>
      </c>
    </row>
    <row r="94" spans="1:26" s="24" customFormat="1" hidden="1" outlineLevel="2" x14ac:dyDescent="0.25">
      <c r="A94" s="25"/>
      <c r="B94" s="11" t="str">
        <f>CONCATENATE("          ", "6273", " - ", "RENT")</f>
        <v xml:space="preserve">          6273 - RENT</v>
      </c>
      <c r="C94" s="11"/>
      <c r="D94" s="6">
        <v>3000</v>
      </c>
      <c r="E94" s="2"/>
      <c r="F94" s="7">
        <f t="shared" si="44"/>
        <v>3.4879088500594721E-3</v>
      </c>
      <c r="G94" s="2"/>
      <c r="H94" s="6">
        <v>3000</v>
      </c>
      <c r="I94" s="2"/>
      <c r="J94" s="7">
        <f t="shared" si="45"/>
        <v>3.4627517564808285E-3</v>
      </c>
      <c r="K94" s="2"/>
      <c r="L94" s="6">
        <f t="shared" si="46"/>
        <v>0</v>
      </c>
      <c r="M94" s="2"/>
      <c r="N94" s="7">
        <f t="shared" si="47"/>
        <v>0</v>
      </c>
      <c r="O94" s="11"/>
      <c r="P94" s="6">
        <v>15000</v>
      </c>
      <c r="Q94" s="2"/>
      <c r="R94" s="7">
        <f t="shared" si="48"/>
        <v>3.6682036081115855E-3</v>
      </c>
      <c r="S94" s="2"/>
      <c r="T94" s="6">
        <v>15000</v>
      </c>
      <c r="U94" s="2"/>
      <c r="V94" s="7">
        <f t="shared" si="49"/>
        <v>3.3686085032841235E-3</v>
      </c>
      <c r="W94" s="2"/>
      <c r="X94" s="6">
        <f t="shared" si="50"/>
        <v>0</v>
      </c>
      <c r="Y94" s="2"/>
      <c r="Z94" s="7">
        <f t="shared" si="51"/>
        <v>0</v>
      </c>
    </row>
    <row r="95" spans="1:26" s="26" customFormat="1" outlineLevel="1" collapsed="1" x14ac:dyDescent="0.25">
      <c r="A95" s="27"/>
      <c r="B95" s="13" t="str">
        <f>CONCATENATE("     ","Repair and Maintenance                            ")</f>
        <v xml:space="preserve">     Repair and Maintenance                            </v>
      </c>
      <c r="C95" s="13"/>
      <c r="D95" s="1">
        <f>SUM(OSRRefD22_17x_0)</f>
        <v>13979.29</v>
      </c>
      <c r="E95" s="1"/>
      <c r="F95" s="5">
        <f t="shared" si="44"/>
        <v>1.6252829769515961E-2</v>
      </c>
      <c r="G95" s="1"/>
      <c r="H95" s="1">
        <f>SUM(OSRRefH22_17x_0)</f>
        <v>17879</v>
      </c>
      <c r="I95" s="1"/>
      <c r="J95" s="5">
        <f t="shared" si="45"/>
        <v>2.0636846218040242E-2</v>
      </c>
      <c r="K95" s="1"/>
      <c r="L95" s="1">
        <f t="shared" si="46"/>
        <v>-3899.7099999999991</v>
      </c>
      <c r="M95" s="1"/>
      <c r="N95" s="5">
        <f t="shared" si="47"/>
        <v>-0.21811678505509252</v>
      </c>
      <c r="O95" s="13"/>
      <c r="P95" s="1">
        <f>SUM(OSRRefP22_17x_0)</f>
        <v>129885.25</v>
      </c>
      <c r="Q95" s="1"/>
      <c r="R95" s="5">
        <f t="shared" si="48"/>
        <v>3.1763036179365024E-2</v>
      </c>
      <c r="S95" s="1"/>
      <c r="T95" s="1">
        <f>SUM(OSRRefT22_17x_0)</f>
        <v>117876</v>
      </c>
      <c r="U95" s="1"/>
      <c r="V95" s="5">
        <f t="shared" si="49"/>
        <v>2.6471873062207957E-2</v>
      </c>
      <c r="W95" s="1"/>
      <c r="X95" s="1">
        <f t="shared" si="50"/>
        <v>12009.25</v>
      </c>
      <c r="Y95" s="1"/>
      <c r="Z95" s="5">
        <f t="shared" si="51"/>
        <v>0.10188036580813736</v>
      </c>
    </row>
    <row r="96" spans="1:26" s="24" customFormat="1" hidden="1" outlineLevel="2" x14ac:dyDescent="0.25">
      <c r="A96" s="25"/>
      <c r="B96" s="11" t="str">
        <f>CONCATENATE("          ", "6371", " - ", "COMPUTER SOFTWARE MAINTENANCE")</f>
        <v xml:space="preserve">          6371 - COMPUTER SOFTWARE MAINTENANCE</v>
      </c>
      <c r="C96" s="11"/>
      <c r="D96" s="6"/>
      <c r="E96" s="2"/>
      <c r="F96" s="7">
        <f t="shared" si="44"/>
        <v>0</v>
      </c>
      <c r="G96" s="2"/>
      <c r="H96" s="6">
        <v>50</v>
      </c>
      <c r="I96" s="2"/>
      <c r="J96" s="7">
        <f t="shared" si="45"/>
        <v>5.7712529274680472E-5</v>
      </c>
      <c r="K96" s="2"/>
      <c r="L96" s="6">
        <f t="shared" si="46"/>
        <v>-50</v>
      </c>
      <c r="M96" s="2"/>
      <c r="N96" s="7">
        <f t="shared" si="47"/>
        <v>-1</v>
      </c>
      <c r="O96" s="11"/>
      <c r="P96" s="6">
        <v>12244.62</v>
      </c>
      <c r="Q96" s="2"/>
      <c r="R96" s="7">
        <f t="shared" si="48"/>
        <v>2.9943839509303525E-3</v>
      </c>
      <c r="S96" s="2"/>
      <c r="T96" s="6">
        <v>1250</v>
      </c>
      <c r="U96" s="2"/>
      <c r="V96" s="7">
        <f t="shared" si="49"/>
        <v>2.8071737527367698E-4</v>
      </c>
      <c r="W96" s="2"/>
      <c r="X96" s="6">
        <f t="shared" si="50"/>
        <v>10994.62</v>
      </c>
      <c r="Y96" s="2"/>
      <c r="Z96" s="7">
        <f t="shared" si="51"/>
        <v>8.7956960000000013</v>
      </c>
    </row>
    <row r="97" spans="1:26" s="24" customFormat="1" hidden="1" outlineLevel="2" x14ac:dyDescent="0.25">
      <c r="A97" s="25"/>
      <c r="B97" s="11" t="str">
        <f>CONCATENATE("          ", "6372", " - ", "COMPUTER HARDWARE MAINTENANCE")</f>
        <v xml:space="preserve">          6372 - COMPUTER HARDWARE MAINTENANCE</v>
      </c>
      <c r="C97" s="11"/>
      <c r="D97" s="6"/>
      <c r="E97" s="2"/>
      <c r="F97" s="7">
        <f t="shared" si="44"/>
        <v>0</v>
      </c>
      <c r="G97" s="2"/>
      <c r="H97" s="6"/>
      <c r="I97" s="2"/>
      <c r="J97" s="7">
        <f t="shared" si="45"/>
        <v>0</v>
      </c>
      <c r="K97" s="2"/>
      <c r="L97" s="6">
        <f t="shared" si="46"/>
        <v>0</v>
      </c>
      <c r="M97" s="2"/>
      <c r="N97" s="7">
        <f t="shared" si="47"/>
        <v>0</v>
      </c>
      <c r="O97" s="11"/>
      <c r="P97" s="6"/>
      <c r="Q97" s="2"/>
      <c r="R97" s="7">
        <f t="shared" si="48"/>
        <v>0</v>
      </c>
      <c r="S97" s="2"/>
      <c r="T97" s="6">
        <v>200</v>
      </c>
      <c r="U97" s="2"/>
      <c r="V97" s="7">
        <f t="shared" si="49"/>
        <v>4.4914780043788314E-5</v>
      </c>
      <c r="W97" s="2"/>
      <c r="X97" s="6">
        <f t="shared" si="50"/>
        <v>-200</v>
      </c>
      <c r="Y97" s="2"/>
      <c r="Z97" s="7">
        <f t="shared" si="51"/>
        <v>-1</v>
      </c>
    </row>
    <row r="98" spans="1:26" s="24" customFormat="1" hidden="1" outlineLevel="2" x14ac:dyDescent="0.25">
      <c r="A98" s="25"/>
      <c r="B98" s="11" t="str">
        <f>CONCATENATE("          ", "6373", " - ", "MAINTENANCE CONTRACTS")</f>
        <v xml:space="preserve">          6373 - MAINTENANCE CONTRACTS</v>
      </c>
      <c r="C98" s="11"/>
      <c r="D98" s="6">
        <v>8621.15</v>
      </c>
      <c r="E98" s="2"/>
      <c r="F98" s="7">
        <f t="shared" si="44"/>
        <v>1.0023261794230073E-2</v>
      </c>
      <c r="G98" s="2"/>
      <c r="H98" s="6">
        <v>2325</v>
      </c>
      <c r="I98" s="2"/>
      <c r="J98" s="7">
        <f t="shared" si="45"/>
        <v>2.6836326112726419E-3</v>
      </c>
      <c r="K98" s="2"/>
      <c r="L98" s="6">
        <f t="shared" si="46"/>
        <v>6296.15</v>
      </c>
      <c r="M98" s="2"/>
      <c r="N98" s="7">
        <f t="shared" si="47"/>
        <v>2.7080215053763439</v>
      </c>
      <c r="O98" s="11"/>
      <c r="P98" s="6">
        <v>41351.85</v>
      </c>
      <c r="Q98" s="2"/>
      <c r="R98" s="7">
        <f t="shared" si="48"/>
        <v>1.0112467024805939E-2</v>
      </c>
      <c r="S98" s="2"/>
      <c r="T98" s="6">
        <v>11498</v>
      </c>
      <c r="U98" s="2"/>
      <c r="V98" s="7">
        <f t="shared" si="49"/>
        <v>2.5821507047173904E-3</v>
      </c>
      <c r="W98" s="2"/>
      <c r="X98" s="6">
        <f t="shared" si="50"/>
        <v>29853.85</v>
      </c>
      <c r="Y98" s="2"/>
      <c r="Z98" s="7">
        <f t="shared" si="51"/>
        <v>2.5964385110453989</v>
      </c>
    </row>
    <row r="99" spans="1:26" s="24" customFormat="1" hidden="1" outlineLevel="2" x14ac:dyDescent="0.25">
      <c r="A99" s="25"/>
      <c r="B99" s="11" t="str">
        <f>CONCATENATE("          ", "6375", " - ", "OUTSIDE REPAIRS &amp; MAINTENANCE")</f>
        <v xml:space="preserve">          6375 - OUTSIDE REPAIRS &amp; MAINTENANCE</v>
      </c>
      <c r="C99" s="11"/>
      <c r="D99" s="6">
        <v>5358.14</v>
      </c>
      <c r="E99" s="2"/>
      <c r="F99" s="7">
        <f t="shared" si="44"/>
        <v>6.2295679752858869E-3</v>
      </c>
      <c r="G99" s="2"/>
      <c r="H99" s="6">
        <v>15504</v>
      </c>
      <c r="I99" s="2"/>
      <c r="J99" s="7">
        <f t="shared" si="45"/>
        <v>1.7895501077492923E-2</v>
      </c>
      <c r="K99" s="2"/>
      <c r="L99" s="6">
        <f t="shared" si="46"/>
        <v>-10145.86</v>
      </c>
      <c r="M99" s="2"/>
      <c r="N99" s="7">
        <f t="shared" si="47"/>
        <v>-0.65440273477812183</v>
      </c>
      <c r="O99" s="11"/>
      <c r="P99" s="6">
        <v>76288.78</v>
      </c>
      <c r="Q99" s="2"/>
      <c r="R99" s="7">
        <f t="shared" si="48"/>
        <v>1.8656185203628731E-2</v>
      </c>
      <c r="S99" s="2"/>
      <c r="T99" s="6">
        <v>104928</v>
      </c>
      <c r="U99" s="2"/>
      <c r="V99" s="7">
        <f t="shared" si="49"/>
        <v>2.3564090202173101E-2</v>
      </c>
      <c r="W99" s="2"/>
      <c r="X99" s="6">
        <f t="shared" si="50"/>
        <v>-28639.22</v>
      </c>
      <c r="Y99" s="2"/>
      <c r="Z99" s="7">
        <f t="shared" si="51"/>
        <v>-0.27294163616956391</v>
      </c>
    </row>
    <row r="100" spans="1:26" s="26" customFormat="1" outlineLevel="1" collapsed="1" x14ac:dyDescent="0.25">
      <c r="A100" s="27"/>
      <c r="B100" s="13" t="str">
        <f>CONCATENATE("     ","Royalty &amp; Commissions                             ")</f>
        <v xml:space="preserve">     Royalty &amp; Commissions                             </v>
      </c>
      <c r="C100" s="13"/>
      <c r="D100" s="1">
        <f>SUM(OSRRefD22_18x_0)</f>
        <v>22370.73</v>
      </c>
      <c r="E100" s="1"/>
      <c r="F100" s="5">
        <f t="shared" ref="F100:F103" si="52">IF(D$12=0,0,D100/D$12)</f>
        <v>2.6009022383096977E-2</v>
      </c>
      <c r="G100" s="1"/>
      <c r="H100" s="1">
        <f>SUM(OSRRefH22_18x_0)</f>
        <v>27093</v>
      </c>
      <c r="I100" s="1"/>
      <c r="J100" s="5">
        <f t="shared" ref="J100:J103" si="53">IF(H$12=0,0,H100/H$12)</f>
        <v>3.1272111112778361E-2</v>
      </c>
      <c r="K100" s="1"/>
      <c r="L100" s="1">
        <f t="shared" ref="L100:L103" si="54">+D100-H100</f>
        <v>-4722.2700000000004</v>
      </c>
      <c r="M100" s="1"/>
      <c r="N100" s="5">
        <f t="shared" ref="N100:N103" si="55">IF(H100=0,0,L100/H100)</f>
        <v>-0.17429852729487322</v>
      </c>
      <c r="O100" s="13"/>
      <c r="P100" s="1">
        <f>SUM(OSRRefP22_18x_0)</f>
        <v>120393.04999999999</v>
      </c>
      <c r="Q100" s="1"/>
      <c r="R100" s="5">
        <f t="shared" ref="R100:R103" si="56">IF(P$12=0,0,P100/P$12)</f>
        <v>2.9441748026770565E-2</v>
      </c>
      <c r="S100" s="1"/>
      <c r="T100" s="1">
        <f>SUM(OSRRefT22_18x_0)</f>
        <v>119279</v>
      </c>
      <c r="U100" s="1"/>
      <c r="V100" s="5">
        <f t="shared" ref="V100:V103" si="57">IF(T$12=0,0,T100/T$12)</f>
        <v>2.6786950244215131E-2</v>
      </c>
      <c r="W100" s="1"/>
      <c r="X100" s="1">
        <f t="shared" ref="X100:X103" si="58">+P100-T100</f>
        <v>1114.0499999999884</v>
      </c>
      <c r="Y100" s="1"/>
      <c r="Z100" s="5">
        <f t="shared" ref="Z100:Z103" si="59">IF(T100=0,0,X100/T100)</f>
        <v>9.3398670344317803E-3</v>
      </c>
    </row>
    <row r="101" spans="1:26" s="24" customFormat="1" hidden="1" outlineLevel="2" x14ac:dyDescent="0.25">
      <c r="A101" s="25"/>
      <c r="B101" s="11" t="str">
        <f>CONCATENATE("          ", "6253", " - ", "ROYALTY DUE ATHLETICS-LRG")</f>
        <v xml:space="preserve">          6253 - ROYALTY DUE ATHLETICS-LRG</v>
      </c>
      <c r="C101" s="11"/>
      <c r="D101" s="6"/>
      <c r="E101" s="2"/>
      <c r="F101" s="7">
        <f t="shared" si="52"/>
        <v>0</v>
      </c>
      <c r="G101" s="2"/>
      <c r="H101" s="6">
        <v>10000</v>
      </c>
      <c r="I101" s="2"/>
      <c r="J101" s="7">
        <f t="shared" si="53"/>
        <v>1.1542505854936096E-2</v>
      </c>
      <c r="K101" s="2"/>
      <c r="L101" s="6">
        <f t="shared" si="54"/>
        <v>-10000</v>
      </c>
      <c r="M101" s="2"/>
      <c r="N101" s="7">
        <f t="shared" si="55"/>
        <v>-1</v>
      </c>
      <c r="O101" s="11"/>
      <c r="P101" s="6"/>
      <c r="Q101" s="2"/>
      <c r="R101" s="7">
        <f t="shared" si="56"/>
        <v>0</v>
      </c>
      <c r="S101" s="2"/>
      <c r="T101" s="6">
        <v>27000</v>
      </c>
      <c r="U101" s="2"/>
      <c r="V101" s="7">
        <f t="shared" si="57"/>
        <v>6.0634953059114224E-3</v>
      </c>
      <c r="W101" s="2"/>
      <c r="X101" s="6">
        <f t="shared" si="58"/>
        <v>-27000</v>
      </c>
      <c r="Y101" s="2"/>
      <c r="Z101" s="7">
        <f t="shared" si="59"/>
        <v>-1</v>
      </c>
    </row>
    <row r="102" spans="1:26" s="24" customFormat="1" hidden="1" outlineLevel="2" x14ac:dyDescent="0.25">
      <c r="A102" s="25"/>
      <c r="B102" s="11" t="str">
        <f>CONCATENATE("          ", "6254", " - ", "ROYALTY &amp; COMMISSIONS")</f>
        <v xml:space="preserve">          6254 - ROYALTY &amp; COMMISSIONS</v>
      </c>
      <c r="C102" s="11"/>
      <c r="D102" s="6">
        <v>8007.21</v>
      </c>
      <c r="E102" s="2"/>
      <c r="F102" s="7">
        <f t="shared" si="52"/>
        <v>9.3094728744282356E-3</v>
      </c>
      <c r="G102" s="2"/>
      <c r="H102" s="6">
        <v>1000</v>
      </c>
      <c r="I102" s="2"/>
      <c r="J102" s="7">
        <f t="shared" si="53"/>
        <v>1.1542505854936094E-3</v>
      </c>
      <c r="K102" s="2"/>
      <c r="L102" s="6">
        <f t="shared" si="54"/>
        <v>7007.21</v>
      </c>
      <c r="M102" s="2"/>
      <c r="N102" s="7">
        <f t="shared" si="55"/>
        <v>7.0072099999999997</v>
      </c>
      <c r="O102" s="11"/>
      <c r="P102" s="6">
        <v>58660.17</v>
      </c>
      <c r="Q102" s="2"/>
      <c r="R102" s="7">
        <f t="shared" si="56"/>
        <v>1.4345163149762599E-2</v>
      </c>
      <c r="S102" s="2"/>
      <c r="T102" s="6">
        <v>5117</v>
      </c>
      <c r="U102" s="2"/>
      <c r="V102" s="7">
        <f t="shared" si="57"/>
        <v>1.1491446474203241E-3</v>
      </c>
      <c r="W102" s="2"/>
      <c r="X102" s="6">
        <f t="shared" si="58"/>
        <v>53543.17</v>
      </c>
      <c r="Y102" s="2"/>
      <c r="Z102" s="7">
        <f t="shared" si="59"/>
        <v>10.463781512605042</v>
      </c>
    </row>
    <row r="103" spans="1:26" s="24" customFormat="1" hidden="1" outlineLevel="2" x14ac:dyDescent="0.25">
      <c r="A103" s="25"/>
      <c r="B103" s="11" t="str">
        <f>CONCATENATE("          ", "6259", " - ", "ROYALTY &amp; COMMISSIONS")</f>
        <v xml:space="preserve">          6259 - ROYALTY &amp; COMMISSIONS</v>
      </c>
      <c r="C103" s="11"/>
      <c r="D103" s="6">
        <v>14363.52</v>
      </c>
      <c r="E103" s="2"/>
      <c r="F103" s="7">
        <f t="shared" si="52"/>
        <v>1.6699549508668744E-2</v>
      </c>
      <c r="G103" s="2"/>
      <c r="H103" s="6">
        <v>16093</v>
      </c>
      <c r="I103" s="2"/>
      <c r="J103" s="7">
        <f t="shared" si="53"/>
        <v>1.8575354672348658E-2</v>
      </c>
      <c r="K103" s="2"/>
      <c r="L103" s="6">
        <f t="shared" si="54"/>
        <v>-1729.4799999999996</v>
      </c>
      <c r="M103" s="2"/>
      <c r="N103" s="7">
        <f t="shared" si="55"/>
        <v>-0.10746784316162304</v>
      </c>
      <c r="O103" s="11"/>
      <c r="P103" s="6">
        <v>61732.88</v>
      </c>
      <c r="Q103" s="2"/>
      <c r="R103" s="7">
        <f t="shared" si="56"/>
        <v>1.5096584877007969E-2</v>
      </c>
      <c r="S103" s="2"/>
      <c r="T103" s="6">
        <v>87162</v>
      </c>
      <c r="U103" s="2"/>
      <c r="V103" s="7">
        <f t="shared" si="57"/>
        <v>1.9574310290883384E-2</v>
      </c>
      <c r="W103" s="2"/>
      <c r="X103" s="6">
        <f t="shared" si="58"/>
        <v>-25429.120000000003</v>
      </c>
      <c r="Y103" s="2"/>
      <c r="Z103" s="7">
        <f t="shared" si="59"/>
        <v>-0.29174548541795742</v>
      </c>
    </row>
    <row r="104" spans="1:26" s="26" customFormat="1" outlineLevel="1" collapsed="1" x14ac:dyDescent="0.25">
      <c r="A104" s="27"/>
      <c r="B104" s="13" t="str">
        <f>CONCATENATE("     ","Services                                          ")</f>
        <v xml:space="preserve">     Services                                          </v>
      </c>
      <c r="C104" s="13"/>
      <c r="D104" s="1">
        <f>SUM(OSRRefD22_19x_0)</f>
        <v>22934.629999999997</v>
      </c>
      <c r="E104" s="1"/>
      <c r="F104" s="5">
        <f t="shared" ref="F104:F110" si="60">IF(D$12=0,0,D104/D$12)</f>
        <v>2.6664632983279819E-2</v>
      </c>
      <c r="G104" s="1"/>
      <c r="H104" s="1">
        <f>SUM(OSRRefH22_19x_0)</f>
        <v>23691</v>
      </c>
      <c r="I104" s="1"/>
      <c r="J104" s="5">
        <f t="shared" ref="J104:J110" si="61">IF(H$12=0,0,H104/H$12)</f>
        <v>2.7345350620929104E-2</v>
      </c>
      <c r="K104" s="1"/>
      <c r="L104" s="1">
        <f t="shared" ref="L104:L110" si="62">+D104-H104</f>
        <v>-756.37000000000262</v>
      </c>
      <c r="M104" s="1"/>
      <c r="N104" s="5">
        <f t="shared" ref="N104:N110" si="63">IF(H104=0,0,L104/H104)</f>
        <v>-3.1926469967498317E-2</v>
      </c>
      <c r="O104" s="13"/>
      <c r="P104" s="1">
        <f>SUM(OSRRefP22_19x_0)</f>
        <v>111550.04999999999</v>
      </c>
      <c r="Q104" s="1"/>
      <c r="R104" s="5">
        <f t="shared" ref="R104:R110" si="64">IF(P$12=0,0,P104/P$12)</f>
        <v>2.7279219726335183E-2</v>
      </c>
      <c r="S104" s="1"/>
      <c r="T104" s="1">
        <f>SUM(OSRRefT22_19x_0)</f>
        <v>116340</v>
      </c>
      <c r="U104" s="1"/>
      <c r="V104" s="5">
        <f t="shared" ref="V104:V110" si="65">IF(T$12=0,0,T104/T$12)</f>
        <v>2.6126927551471665E-2</v>
      </c>
      <c r="W104" s="1"/>
      <c r="X104" s="1">
        <f t="shared" ref="X104:X110" si="66">+P104-T104</f>
        <v>-4789.9500000000116</v>
      </c>
      <c r="Y104" s="1"/>
      <c r="Z104" s="5">
        <f t="shared" ref="Z104:Z110" si="67">IF(T104=0,0,X104/T104)</f>
        <v>-4.1171995874162037E-2</v>
      </c>
    </row>
    <row r="105" spans="1:26" s="24" customFormat="1" hidden="1" outlineLevel="2" x14ac:dyDescent="0.25">
      <c r="A105" s="25"/>
      <c r="B105" s="11" t="str">
        <f>CONCATENATE("          ", "6281", " - ", "STORAGE FEE")</f>
        <v xml:space="preserve">          6281 - STORAGE FEE</v>
      </c>
      <c r="C105" s="11"/>
      <c r="D105" s="6"/>
      <c r="E105" s="2"/>
      <c r="F105" s="7">
        <f t="shared" si="60"/>
        <v>0</v>
      </c>
      <c r="G105" s="2"/>
      <c r="H105" s="6"/>
      <c r="I105" s="2"/>
      <c r="J105" s="7">
        <f t="shared" si="61"/>
        <v>0</v>
      </c>
      <c r="K105" s="2"/>
      <c r="L105" s="6">
        <f t="shared" si="62"/>
        <v>0</v>
      </c>
      <c r="M105" s="2"/>
      <c r="N105" s="7">
        <f t="shared" si="63"/>
        <v>0</v>
      </c>
      <c r="O105" s="11"/>
      <c r="P105" s="6"/>
      <c r="Q105" s="2"/>
      <c r="R105" s="7">
        <f t="shared" si="64"/>
        <v>0</v>
      </c>
      <c r="S105" s="2"/>
      <c r="T105" s="6">
        <v>0</v>
      </c>
      <c r="U105" s="2"/>
      <c r="V105" s="7">
        <f t="shared" si="65"/>
        <v>0</v>
      </c>
      <c r="W105" s="2"/>
      <c r="X105" s="6">
        <f t="shared" si="66"/>
        <v>0</v>
      </c>
      <c r="Y105" s="2"/>
      <c r="Z105" s="7">
        <f t="shared" si="67"/>
        <v>0</v>
      </c>
    </row>
    <row r="106" spans="1:26" s="24" customFormat="1" hidden="1" outlineLevel="2" x14ac:dyDescent="0.25">
      <c r="A106" s="25"/>
      <c r="B106" s="11" t="str">
        <f>CONCATENATE("          ", "6282", " - ", "JANITORIAL/EXTERMINATOR EXPENS")</f>
        <v xml:space="preserve">          6282 - JANITORIAL/EXTERMINATOR EXPENS</v>
      </c>
      <c r="C106" s="11"/>
      <c r="D106" s="6">
        <v>1577.31</v>
      </c>
      <c r="E106" s="2"/>
      <c r="F106" s="7">
        <f t="shared" si="60"/>
        <v>1.8338378360957684E-3</v>
      </c>
      <c r="G106" s="2"/>
      <c r="H106" s="6">
        <v>1829</v>
      </c>
      <c r="I106" s="2"/>
      <c r="J106" s="7">
        <f t="shared" si="61"/>
        <v>2.1111243208678117E-3</v>
      </c>
      <c r="K106" s="2"/>
      <c r="L106" s="6">
        <f t="shared" si="62"/>
        <v>-251.69000000000005</v>
      </c>
      <c r="M106" s="2"/>
      <c r="N106" s="7">
        <f t="shared" si="63"/>
        <v>-0.13761071623838167</v>
      </c>
      <c r="O106" s="11"/>
      <c r="P106" s="6">
        <v>9266.99</v>
      </c>
      <c r="Q106" s="2"/>
      <c r="R106" s="7">
        <f t="shared" si="64"/>
        <v>2.2662137436222653E-3</v>
      </c>
      <c r="S106" s="2"/>
      <c r="T106" s="6">
        <v>8986</v>
      </c>
      <c r="U106" s="2"/>
      <c r="V106" s="7">
        <f t="shared" si="65"/>
        <v>2.018021067367409E-3</v>
      </c>
      <c r="W106" s="2"/>
      <c r="X106" s="6">
        <f t="shared" si="66"/>
        <v>280.98999999999978</v>
      </c>
      <c r="Y106" s="2"/>
      <c r="Z106" s="7">
        <f t="shared" si="67"/>
        <v>3.1269752949031802E-2</v>
      </c>
    </row>
    <row r="107" spans="1:26" s="24" customFormat="1" hidden="1" outlineLevel="2" x14ac:dyDescent="0.25">
      <c r="A107" s="25"/>
      <c r="B107" s="11" t="str">
        <f>CONCATENATE("          ", "6283", " - ", "PLANT SERVICE")</f>
        <v xml:space="preserve">          6283 - PLANT SERVICE</v>
      </c>
      <c r="C107" s="11"/>
      <c r="D107" s="6">
        <v>199.78</v>
      </c>
      <c r="E107" s="2"/>
      <c r="F107" s="7">
        <f t="shared" si="60"/>
        <v>2.3227147668829378E-4</v>
      </c>
      <c r="G107" s="2"/>
      <c r="H107" s="6">
        <v>185</v>
      </c>
      <c r="I107" s="2"/>
      <c r="J107" s="7">
        <f t="shared" si="61"/>
        <v>2.1353635831631776E-4</v>
      </c>
      <c r="K107" s="2"/>
      <c r="L107" s="6">
        <f t="shared" si="62"/>
        <v>14.780000000000001</v>
      </c>
      <c r="M107" s="2"/>
      <c r="N107" s="7">
        <f t="shared" si="63"/>
        <v>7.98918918918919E-2</v>
      </c>
      <c r="O107" s="11"/>
      <c r="P107" s="6">
        <v>799.12</v>
      </c>
      <c r="Q107" s="2"/>
      <c r="R107" s="7">
        <f t="shared" si="64"/>
        <v>1.9542232448760869E-4</v>
      </c>
      <c r="S107" s="2"/>
      <c r="T107" s="6">
        <v>890</v>
      </c>
      <c r="U107" s="2"/>
      <c r="V107" s="7">
        <f t="shared" si="65"/>
        <v>1.99870771194858E-4</v>
      </c>
      <c r="W107" s="2"/>
      <c r="X107" s="6">
        <f t="shared" si="66"/>
        <v>-90.88</v>
      </c>
      <c r="Y107" s="2"/>
      <c r="Z107" s="7">
        <f t="shared" si="67"/>
        <v>-0.10211235955056179</v>
      </c>
    </row>
    <row r="108" spans="1:26" s="24" customFormat="1" hidden="1" outlineLevel="2" x14ac:dyDescent="0.25">
      <c r="A108" s="25"/>
      <c r="B108" s="11" t="str">
        <f>CONCATENATE("          ", "6284", " - ", "TRASH REMOVAL EXPENSE")</f>
        <v xml:space="preserve">          6284 - TRASH REMOVAL EXPENSE</v>
      </c>
      <c r="C108" s="11"/>
      <c r="D108" s="6">
        <v>4436</v>
      </c>
      <c r="E108" s="2"/>
      <c r="F108" s="7">
        <f t="shared" si="60"/>
        <v>5.1574545529546063E-3</v>
      </c>
      <c r="G108" s="2"/>
      <c r="H108" s="6">
        <v>3665</v>
      </c>
      <c r="I108" s="2"/>
      <c r="J108" s="7">
        <f t="shared" si="61"/>
        <v>4.2303283958340784E-3</v>
      </c>
      <c r="K108" s="2"/>
      <c r="L108" s="6">
        <f t="shared" si="62"/>
        <v>771</v>
      </c>
      <c r="M108" s="2"/>
      <c r="N108" s="7">
        <f t="shared" si="63"/>
        <v>0.21036834924965894</v>
      </c>
      <c r="O108" s="11"/>
      <c r="P108" s="6">
        <v>14168</v>
      </c>
      <c r="Q108" s="2"/>
      <c r="R108" s="7">
        <f t="shared" si="64"/>
        <v>3.4647405813149966E-3</v>
      </c>
      <c r="S108" s="2"/>
      <c r="T108" s="6">
        <v>18325</v>
      </c>
      <c r="U108" s="2"/>
      <c r="V108" s="7">
        <f t="shared" si="65"/>
        <v>4.1153167215121043E-3</v>
      </c>
      <c r="W108" s="2"/>
      <c r="X108" s="6">
        <f t="shared" si="66"/>
        <v>-4157</v>
      </c>
      <c r="Y108" s="2"/>
      <c r="Z108" s="7">
        <f t="shared" si="67"/>
        <v>-0.22684856753069577</v>
      </c>
    </row>
    <row r="109" spans="1:26" s="24" customFormat="1" hidden="1" outlineLevel="2" x14ac:dyDescent="0.25">
      <c r="A109" s="25"/>
      <c r="B109" s="11" t="str">
        <f>CONCATENATE("          ", "6285", " - ", "JANITORIAL SERVICES")</f>
        <v xml:space="preserve">          6285 - JANITORIAL SERVICES</v>
      </c>
      <c r="C109" s="11"/>
      <c r="D109" s="6">
        <v>13547.3</v>
      </c>
      <c r="E109" s="2"/>
      <c r="F109" s="7">
        <f t="shared" si="60"/>
        <v>1.5750582521470227E-2</v>
      </c>
      <c r="G109" s="2"/>
      <c r="H109" s="6">
        <v>13334</v>
      </c>
      <c r="I109" s="2"/>
      <c r="J109" s="7">
        <f t="shared" si="61"/>
        <v>1.539077730697179E-2</v>
      </c>
      <c r="K109" s="2"/>
      <c r="L109" s="6">
        <f t="shared" si="62"/>
        <v>213.29999999999927</v>
      </c>
      <c r="M109" s="2"/>
      <c r="N109" s="7">
        <f t="shared" si="63"/>
        <v>1.5996700164991697E-2</v>
      </c>
      <c r="O109" s="11"/>
      <c r="P109" s="6">
        <v>66853.45</v>
      </c>
      <c r="Q109" s="2"/>
      <c r="R109" s="7">
        <f t="shared" si="64"/>
        <v>1.6348804433647165E-2</v>
      </c>
      <c r="S109" s="2"/>
      <c r="T109" s="6">
        <v>67190</v>
      </c>
      <c r="U109" s="2"/>
      <c r="V109" s="7">
        <f t="shared" si="65"/>
        <v>1.5089120355710684E-2</v>
      </c>
      <c r="W109" s="2"/>
      <c r="X109" s="6">
        <f t="shared" si="66"/>
        <v>-336.55000000000291</v>
      </c>
      <c r="Y109" s="2"/>
      <c r="Z109" s="7">
        <f t="shared" si="67"/>
        <v>-5.0089299002828236E-3</v>
      </c>
    </row>
    <row r="110" spans="1:26" s="24" customFormat="1" hidden="1" outlineLevel="2" x14ac:dyDescent="0.25">
      <c r="A110" s="25"/>
      <c r="B110" s="11" t="str">
        <f>CONCATENATE("          ", "6286", " - ", "LAUNDRY EXPENSE")</f>
        <v xml:space="preserve">          6286 - LAUNDRY EXPENSE</v>
      </c>
      <c r="C110" s="11"/>
      <c r="D110" s="6">
        <v>3174.24</v>
      </c>
      <c r="E110" s="2"/>
      <c r="F110" s="7">
        <f t="shared" si="60"/>
        <v>3.6904865960709259E-3</v>
      </c>
      <c r="G110" s="2"/>
      <c r="H110" s="6">
        <v>4678</v>
      </c>
      <c r="I110" s="2"/>
      <c r="J110" s="7">
        <f t="shared" si="61"/>
        <v>5.3995842389391053E-3</v>
      </c>
      <c r="K110" s="2"/>
      <c r="L110" s="6">
        <f t="shared" si="62"/>
        <v>-1503.7600000000002</v>
      </c>
      <c r="M110" s="2"/>
      <c r="N110" s="7">
        <f t="shared" si="63"/>
        <v>-0.32145361265498079</v>
      </c>
      <c r="O110" s="11"/>
      <c r="P110" s="6">
        <v>20462.489999999998</v>
      </c>
      <c r="Q110" s="2"/>
      <c r="R110" s="7">
        <f t="shared" si="64"/>
        <v>5.0040386432631491E-3</v>
      </c>
      <c r="S110" s="2"/>
      <c r="T110" s="6">
        <v>20949</v>
      </c>
      <c r="U110" s="2"/>
      <c r="V110" s="7">
        <f t="shared" si="65"/>
        <v>4.7045986356866075E-3</v>
      </c>
      <c r="W110" s="2"/>
      <c r="X110" s="6">
        <f t="shared" si="66"/>
        <v>-486.51000000000204</v>
      </c>
      <c r="Y110" s="2"/>
      <c r="Z110" s="7">
        <f t="shared" si="67"/>
        <v>-2.322354288987551E-2</v>
      </c>
    </row>
    <row r="111" spans="1:26" s="26" customFormat="1" outlineLevel="1" collapsed="1" x14ac:dyDescent="0.25">
      <c r="A111" s="27"/>
      <c r="B111" s="13" t="str">
        <f>CONCATENATE("     ","Subscriptions &amp; Dues                              ")</f>
        <v xml:space="preserve">     Subscriptions &amp; Dues                              </v>
      </c>
      <c r="C111" s="13"/>
      <c r="D111" s="1">
        <f>SUM(OSRRefD22_20x_0)</f>
        <v>454.78</v>
      </c>
      <c r="E111" s="1"/>
      <c r="F111" s="5">
        <f t="shared" ref="F111:F123" si="68">IF(D$12=0,0,D111/D$12)</f>
        <v>5.2874372894334885E-4</v>
      </c>
      <c r="G111" s="1"/>
      <c r="H111" s="1">
        <f>SUM(OSRRefH22_20x_0)</f>
        <v>399</v>
      </c>
      <c r="I111" s="1"/>
      <c r="J111" s="5">
        <f t="shared" ref="J111:J123" si="69">IF(H$12=0,0,H111/H$12)</f>
        <v>4.6054598361195017E-4</v>
      </c>
      <c r="K111" s="1"/>
      <c r="L111" s="1">
        <f t="shared" ref="L111:L123" si="70">+D111-H111</f>
        <v>55.779999999999973</v>
      </c>
      <c r="M111" s="1"/>
      <c r="N111" s="5">
        <f t="shared" ref="N111:N123" si="71">IF(H111=0,0,L111/H111)</f>
        <v>0.13979949874686709</v>
      </c>
      <c r="O111" s="13"/>
      <c r="P111" s="1">
        <f>SUM(OSRRefP22_20x_0)</f>
        <v>2856.78</v>
      </c>
      <c r="Q111" s="1"/>
      <c r="R111" s="5">
        <f t="shared" ref="R111:R123" si="72">IF(P$12=0,0,P111/P$12)</f>
        <v>6.9861671357206775E-4</v>
      </c>
      <c r="S111" s="1"/>
      <c r="T111" s="1">
        <f>SUM(OSRRefT22_20x_0)</f>
        <v>2695</v>
      </c>
      <c r="U111" s="1"/>
      <c r="V111" s="5">
        <f t="shared" ref="V111:V123" si="73">IF(T$12=0,0,T111/T$12)</f>
        <v>6.0522666109004755E-4</v>
      </c>
      <c r="W111" s="1"/>
      <c r="X111" s="1">
        <f t="shared" ref="X111:X123" si="74">+P111-T111</f>
        <v>161.7800000000002</v>
      </c>
      <c r="Y111" s="1"/>
      <c r="Z111" s="5">
        <f t="shared" ref="Z111:Z123" si="75">IF(T111=0,0,X111/T111)</f>
        <v>6.0029684601113249E-2</v>
      </c>
    </row>
    <row r="112" spans="1:26" s="24" customFormat="1" hidden="1" outlineLevel="2" x14ac:dyDescent="0.25">
      <c r="A112" s="25"/>
      <c r="B112" s="11" t="str">
        <f>CONCATENATE("          ", "6275", " - ", "SUBSCRIPTIONS")</f>
        <v xml:space="preserve">          6275 - SUBSCRIPTIONS</v>
      </c>
      <c r="C112" s="11"/>
      <c r="D112" s="6">
        <v>454.78</v>
      </c>
      <c r="E112" s="2"/>
      <c r="F112" s="7">
        <f t="shared" si="68"/>
        <v>5.2874372894334885E-4</v>
      </c>
      <c r="G112" s="2"/>
      <c r="H112" s="6">
        <v>399</v>
      </c>
      <c r="I112" s="2"/>
      <c r="J112" s="7">
        <f t="shared" si="69"/>
        <v>4.6054598361195017E-4</v>
      </c>
      <c r="K112" s="2"/>
      <c r="L112" s="6">
        <f t="shared" si="70"/>
        <v>55.779999999999973</v>
      </c>
      <c r="M112" s="2"/>
      <c r="N112" s="7">
        <f t="shared" si="71"/>
        <v>0.13979949874686709</v>
      </c>
      <c r="O112" s="11"/>
      <c r="P112" s="6">
        <v>2856.78</v>
      </c>
      <c r="Q112" s="2"/>
      <c r="R112" s="7">
        <f t="shared" si="72"/>
        <v>6.9861671357206775E-4</v>
      </c>
      <c r="S112" s="2"/>
      <c r="T112" s="6">
        <v>2695</v>
      </c>
      <c r="U112" s="2"/>
      <c r="V112" s="7">
        <f t="shared" si="73"/>
        <v>6.0522666109004755E-4</v>
      </c>
      <c r="W112" s="2"/>
      <c r="X112" s="6">
        <f t="shared" si="74"/>
        <v>161.7800000000002</v>
      </c>
      <c r="Y112" s="2"/>
      <c r="Z112" s="7">
        <f t="shared" si="75"/>
        <v>6.0029684601113249E-2</v>
      </c>
    </row>
    <row r="113" spans="1:26" s="26" customFormat="1" outlineLevel="1" collapsed="1" x14ac:dyDescent="0.25">
      <c r="A113" s="27"/>
      <c r="B113" s="13" t="str">
        <f>CONCATENATE("     ","Supplies                                          ")</f>
        <v xml:space="preserve">     Supplies                                          </v>
      </c>
      <c r="C113" s="13"/>
      <c r="D113" s="1">
        <f>SUM(OSRRefD22_21x_0)</f>
        <v>17651.849999999999</v>
      </c>
      <c r="E113" s="1"/>
      <c r="F113" s="5">
        <f t="shared" si="68"/>
        <v>2.052268127830743E-2</v>
      </c>
      <c r="G113" s="1"/>
      <c r="H113" s="1">
        <f>SUM(OSRRefH22_21x_0)</f>
        <v>13570.24</v>
      </c>
      <c r="I113" s="1"/>
      <c r="J113" s="5">
        <f t="shared" si="69"/>
        <v>1.5663457465288799E-2</v>
      </c>
      <c r="K113" s="1"/>
      <c r="L113" s="1">
        <f t="shared" si="70"/>
        <v>4081.6099999999988</v>
      </c>
      <c r="M113" s="1"/>
      <c r="N113" s="5">
        <f t="shared" si="71"/>
        <v>0.30077655222015226</v>
      </c>
      <c r="O113" s="13"/>
      <c r="P113" s="1">
        <f>SUM(OSRRefP22_21x_0)</f>
        <v>138833.79</v>
      </c>
      <c r="Q113" s="1"/>
      <c r="R113" s="5">
        <f t="shared" si="72"/>
        <v>3.3951373960387082E-2</v>
      </c>
      <c r="S113" s="1"/>
      <c r="T113" s="1">
        <f>SUM(OSRRefT22_21x_0)</f>
        <v>99025.340000000011</v>
      </c>
      <c r="U113" s="1"/>
      <c r="V113" s="5">
        <f t="shared" si="73"/>
        <v>2.2238506824306767E-2</v>
      </c>
      <c r="W113" s="1"/>
      <c r="X113" s="1">
        <f t="shared" si="74"/>
        <v>39808.449999999997</v>
      </c>
      <c r="Y113" s="1"/>
      <c r="Z113" s="5">
        <f t="shared" si="75"/>
        <v>0.40200265911735311</v>
      </c>
    </row>
    <row r="114" spans="1:26" s="24" customFormat="1" hidden="1" outlineLevel="2" x14ac:dyDescent="0.25">
      <c r="A114" s="25"/>
      <c r="B114" s="11" t="str">
        <f>CONCATENATE("          ", "6234", " - ", "EXPENDABLE SUPPLIES &amp; EQUIPMEN")</f>
        <v xml:space="preserve">          6234 - EXPENDABLE SUPPLIES &amp; EQUIPMEN</v>
      </c>
      <c r="C114" s="11"/>
      <c r="D114" s="6">
        <v>584.04999999999995</v>
      </c>
      <c r="E114" s="2"/>
      <c r="F114" s="7">
        <f t="shared" si="68"/>
        <v>6.790377212924115E-4</v>
      </c>
      <c r="G114" s="2"/>
      <c r="H114" s="6">
        <v>700</v>
      </c>
      <c r="I114" s="2"/>
      <c r="J114" s="7">
        <f t="shared" si="69"/>
        <v>8.079754098455266E-4</v>
      </c>
      <c r="K114" s="2"/>
      <c r="L114" s="6">
        <f t="shared" si="70"/>
        <v>-115.95000000000005</v>
      </c>
      <c r="M114" s="2"/>
      <c r="N114" s="7">
        <f t="shared" si="71"/>
        <v>-0.1656428571428572</v>
      </c>
      <c r="O114" s="11"/>
      <c r="P114" s="6">
        <v>13295.18</v>
      </c>
      <c r="Q114" s="2"/>
      <c r="R114" s="7">
        <f t="shared" si="72"/>
        <v>3.2512951497661994E-3</v>
      </c>
      <c r="S114" s="2"/>
      <c r="T114" s="6">
        <v>6650</v>
      </c>
      <c r="U114" s="2"/>
      <c r="V114" s="7">
        <f t="shared" si="73"/>
        <v>1.4934164364559614E-3</v>
      </c>
      <c r="W114" s="2"/>
      <c r="X114" s="6">
        <f t="shared" si="74"/>
        <v>6645.18</v>
      </c>
      <c r="Y114" s="2"/>
      <c r="Z114" s="7">
        <f t="shared" si="75"/>
        <v>0.99927518796992487</v>
      </c>
    </row>
    <row r="115" spans="1:26" s="24" customFormat="1" hidden="1" outlineLevel="2" x14ac:dyDescent="0.25">
      <c r="A115" s="25"/>
      <c r="B115" s="11" t="str">
        <f>CONCATENATE("          ", "6237", " - ", "JANITORIAL SUPPLIES")</f>
        <v xml:space="preserve">          6237 - JANITORIAL SUPPLIES</v>
      </c>
      <c r="C115" s="11"/>
      <c r="D115" s="6">
        <v>6002.88</v>
      </c>
      <c r="E115" s="2"/>
      <c r="F115" s="7">
        <f t="shared" si="68"/>
        <v>6.9791660926150009E-3</v>
      </c>
      <c r="G115" s="2"/>
      <c r="H115" s="6">
        <v>3611</v>
      </c>
      <c r="I115" s="2"/>
      <c r="J115" s="7">
        <f t="shared" si="69"/>
        <v>4.1679988642174242E-3</v>
      </c>
      <c r="K115" s="2"/>
      <c r="L115" s="6">
        <f t="shared" si="70"/>
        <v>2391.88</v>
      </c>
      <c r="M115" s="2"/>
      <c r="N115" s="7">
        <f t="shared" si="71"/>
        <v>0.66238715037385765</v>
      </c>
      <c r="O115" s="11"/>
      <c r="P115" s="6">
        <v>27208.62</v>
      </c>
      <c r="Q115" s="2"/>
      <c r="R115" s="7">
        <f t="shared" si="72"/>
        <v>6.65378387038247E-3</v>
      </c>
      <c r="S115" s="2"/>
      <c r="T115" s="6">
        <v>22085</v>
      </c>
      <c r="U115" s="2"/>
      <c r="V115" s="7">
        <f t="shared" si="73"/>
        <v>4.9597145863353245E-3</v>
      </c>
      <c r="W115" s="2"/>
      <c r="X115" s="6">
        <f t="shared" si="74"/>
        <v>5123.619999999999</v>
      </c>
      <c r="Y115" s="2"/>
      <c r="Z115" s="7">
        <f t="shared" si="75"/>
        <v>0.231995472039846</v>
      </c>
    </row>
    <row r="116" spans="1:26" s="24" customFormat="1" hidden="1" outlineLevel="2" x14ac:dyDescent="0.25">
      <c r="A116" s="25"/>
      <c r="B116" s="11" t="str">
        <f>CONCATENATE("          ", "6239", " - ", "KITCHEN SUPPLIES")</f>
        <v xml:space="preserve">          6239 - KITCHEN SUPPLIES</v>
      </c>
      <c r="C116" s="11"/>
      <c r="D116" s="6">
        <v>2631.87</v>
      </c>
      <c r="E116" s="2"/>
      <c r="F116" s="7">
        <f t="shared" si="68"/>
        <v>3.0599075550686739E-3</v>
      </c>
      <c r="G116" s="2"/>
      <c r="H116" s="6">
        <v>442.95</v>
      </c>
      <c r="I116" s="2"/>
      <c r="J116" s="7">
        <f t="shared" si="69"/>
        <v>5.1127529684439428E-4</v>
      </c>
      <c r="K116" s="2"/>
      <c r="L116" s="6">
        <f t="shared" si="70"/>
        <v>2188.92</v>
      </c>
      <c r="M116" s="2"/>
      <c r="N116" s="7">
        <f t="shared" si="71"/>
        <v>4.9416864205892317</v>
      </c>
      <c r="O116" s="11"/>
      <c r="P116" s="6">
        <v>30535.4</v>
      </c>
      <c r="Q116" s="2"/>
      <c r="R116" s="7">
        <f t="shared" si="72"/>
        <v>7.4673376303420348E-3</v>
      </c>
      <c r="S116" s="2"/>
      <c r="T116" s="6">
        <v>16627.710000000003</v>
      </c>
      <c r="U116" s="2"/>
      <c r="V116" s="7">
        <f t="shared" si="73"/>
        <v>3.7341496864094978E-3</v>
      </c>
      <c r="W116" s="2"/>
      <c r="X116" s="6">
        <f t="shared" si="74"/>
        <v>13907.689999999999</v>
      </c>
      <c r="Y116" s="2"/>
      <c r="Z116" s="7">
        <f t="shared" si="75"/>
        <v>0.83641643978635638</v>
      </c>
    </row>
    <row r="117" spans="1:26" s="24" customFormat="1" hidden="1" outlineLevel="2" x14ac:dyDescent="0.25">
      <c r="A117" s="25"/>
      <c r="B117" s="11" t="str">
        <f>CONCATENATE("          ", "6241", " - ", "OFFICE EXPENSE")</f>
        <v xml:space="preserve">          6241 - OFFICE EXPENSE</v>
      </c>
      <c r="C117" s="11"/>
      <c r="D117" s="6">
        <v>2332.04</v>
      </c>
      <c r="E117" s="2"/>
      <c r="F117" s="7">
        <f t="shared" si="68"/>
        <v>2.7113143182308968E-3</v>
      </c>
      <c r="G117" s="2"/>
      <c r="H117" s="6">
        <v>665</v>
      </c>
      <c r="I117" s="2"/>
      <c r="J117" s="7">
        <f t="shared" si="69"/>
        <v>7.6757663935325031E-4</v>
      </c>
      <c r="K117" s="2"/>
      <c r="L117" s="6">
        <f t="shared" si="70"/>
        <v>1667.04</v>
      </c>
      <c r="M117" s="2"/>
      <c r="N117" s="7">
        <f t="shared" si="71"/>
        <v>2.5068270676691728</v>
      </c>
      <c r="O117" s="11"/>
      <c r="P117" s="6">
        <v>14815.58</v>
      </c>
      <c r="Q117" s="2"/>
      <c r="R117" s="7">
        <f t="shared" si="72"/>
        <v>3.6231042674843899E-3</v>
      </c>
      <c r="S117" s="2"/>
      <c r="T117" s="6">
        <v>4936.25</v>
      </c>
      <c r="U117" s="2"/>
      <c r="V117" s="7">
        <f t="shared" si="73"/>
        <v>1.1085529149557503E-3</v>
      </c>
      <c r="W117" s="2"/>
      <c r="X117" s="6">
        <f t="shared" si="74"/>
        <v>9879.33</v>
      </c>
      <c r="Y117" s="2"/>
      <c r="Z117" s="7">
        <f t="shared" si="75"/>
        <v>2.0013836414282098</v>
      </c>
    </row>
    <row r="118" spans="1:26" s="24" customFormat="1" hidden="1" outlineLevel="2" x14ac:dyDescent="0.25">
      <c r="A118" s="25"/>
      <c r="B118" s="11" t="str">
        <f>CONCATENATE("          ", "6243", " - ", "PAPER SUPPLIES")</f>
        <v xml:space="preserve">          6243 - PAPER SUPPLIES</v>
      </c>
      <c r="C118" s="11"/>
      <c r="D118" s="6">
        <v>2645.27</v>
      </c>
      <c r="E118" s="2"/>
      <c r="F118" s="7">
        <f t="shared" si="68"/>
        <v>3.0754868812656066E-3</v>
      </c>
      <c r="G118" s="2"/>
      <c r="H118" s="6">
        <v>3629.52</v>
      </c>
      <c r="I118" s="2"/>
      <c r="J118" s="7">
        <f t="shared" si="69"/>
        <v>4.1893755850607658E-3</v>
      </c>
      <c r="K118" s="2"/>
      <c r="L118" s="6">
        <f t="shared" si="70"/>
        <v>-984.25</v>
      </c>
      <c r="M118" s="2"/>
      <c r="N118" s="7">
        <f t="shared" si="71"/>
        <v>-0.27117910908329479</v>
      </c>
      <c r="O118" s="11"/>
      <c r="P118" s="6">
        <v>19582.710000000003</v>
      </c>
      <c r="Q118" s="2"/>
      <c r="R118" s="7">
        <f t="shared" si="72"/>
        <v>4.7888911652401896E-3</v>
      </c>
      <c r="S118" s="2"/>
      <c r="T118" s="6">
        <v>20189.52</v>
      </c>
      <c r="U118" s="2"/>
      <c r="V118" s="7">
        <f t="shared" si="73"/>
        <v>4.5340392499483252E-3</v>
      </c>
      <c r="W118" s="2"/>
      <c r="X118" s="6">
        <f t="shared" si="74"/>
        <v>-606.80999999999767</v>
      </c>
      <c r="Y118" s="2"/>
      <c r="Z118" s="7">
        <f t="shared" si="75"/>
        <v>-3.005569226014277E-2</v>
      </c>
    </row>
    <row r="119" spans="1:26" s="24" customFormat="1" hidden="1" outlineLevel="2" x14ac:dyDescent="0.25">
      <c r="A119" s="25"/>
      <c r="B119" s="11" t="str">
        <f>CONCATENATE("          ", "6244", " - ", "SAFETY SUPPLY EXPENSE")</f>
        <v xml:space="preserve">          6244 - SAFETY SUPPLY EXPENSE</v>
      </c>
      <c r="C119" s="11"/>
      <c r="D119" s="6"/>
      <c r="E119" s="2"/>
      <c r="F119" s="7">
        <f t="shared" si="68"/>
        <v>0</v>
      </c>
      <c r="G119" s="2"/>
      <c r="H119" s="6">
        <v>110</v>
      </c>
      <c r="I119" s="2"/>
      <c r="J119" s="7">
        <f t="shared" si="69"/>
        <v>1.2696756440429705E-4</v>
      </c>
      <c r="K119" s="2"/>
      <c r="L119" s="6">
        <f t="shared" si="70"/>
        <v>-110</v>
      </c>
      <c r="M119" s="2"/>
      <c r="N119" s="7">
        <f t="shared" si="71"/>
        <v>-1</v>
      </c>
      <c r="O119" s="11"/>
      <c r="P119" s="6"/>
      <c r="Q119" s="2"/>
      <c r="R119" s="7">
        <f t="shared" si="72"/>
        <v>0</v>
      </c>
      <c r="S119" s="2"/>
      <c r="T119" s="6">
        <v>580</v>
      </c>
      <c r="U119" s="2"/>
      <c r="V119" s="7">
        <f t="shared" si="73"/>
        <v>1.3025286212698612E-4</v>
      </c>
      <c r="W119" s="2"/>
      <c r="X119" s="6">
        <f t="shared" si="74"/>
        <v>-580</v>
      </c>
      <c r="Y119" s="2"/>
      <c r="Z119" s="7">
        <f t="shared" si="75"/>
        <v>-1</v>
      </c>
    </row>
    <row r="120" spans="1:26" s="24" customFormat="1" hidden="1" outlineLevel="2" x14ac:dyDescent="0.25">
      <c r="A120" s="25"/>
      <c r="B120" s="11" t="str">
        <f>CONCATENATE("          ", "6245", " - ", "PRINTING")</f>
        <v xml:space="preserve">          6245 - PRINTING</v>
      </c>
      <c r="C120" s="11"/>
      <c r="D120" s="6">
        <v>53.43</v>
      </c>
      <c r="E120" s="2"/>
      <c r="F120" s="7">
        <f t="shared" si="68"/>
        <v>6.21196566195592E-5</v>
      </c>
      <c r="G120" s="2"/>
      <c r="H120" s="6">
        <v>550</v>
      </c>
      <c r="I120" s="2"/>
      <c r="J120" s="7">
        <f t="shared" si="69"/>
        <v>6.3483782202148524E-4</v>
      </c>
      <c r="K120" s="2"/>
      <c r="L120" s="6">
        <f t="shared" si="70"/>
        <v>-496.57</v>
      </c>
      <c r="M120" s="2"/>
      <c r="N120" s="7">
        <f t="shared" si="71"/>
        <v>-0.90285454545454547</v>
      </c>
      <c r="O120" s="11"/>
      <c r="P120" s="6">
        <v>352.64</v>
      </c>
      <c r="Q120" s="2"/>
      <c r="R120" s="7">
        <f t="shared" si="72"/>
        <v>8.6237021357631302E-5</v>
      </c>
      <c r="S120" s="2"/>
      <c r="T120" s="6">
        <v>1300</v>
      </c>
      <c r="U120" s="2"/>
      <c r="V120" s="7">
        <f t="shared" si="73"/>
        <v>2.9194607028462405E-4</v>
      </c>
      <c r="W120" s="2"/>
      <c r="X120" s="6">
        <f t="shared" si="74"/>
        <v>-947.36</v>
      </c>
      <c r="Y120" s="2"/>
      <c r="Z120" s="7">
        <f t="shared" si="75"/>
        <v>-0.72873846153846156</v>
      </c>
    </row>
    <row r="121" spans="1:26" s="24" customFormat="1" hidden="1" outlineLevel="2" x14ac:dyDescent="0.25">
      <c r="A121" s="25"/>
      <c r="B121" s="11" t="str">
        <f>CONCATENATE("          ", "6246", " - ", "REPLACEMENTS")</f>
        <v xml:space="preserve">          6246 - REPLACEMENTS</v>
      </c>
      <c r="C121" s="11"/>
      <c r="D121" s="6"/>
      <c r="E121" s="2"/>
      <c r="F121" s="7">
        <f t="shared" si="68"/>
        <v>0</v>
      </c>
      <c r="G121" s="2"/>
      <c r="H121" s="6"/>
      <c r="I121" s="2"/>
      <c r="J121" s="7">
        <f t="shared" si="69"/>
        <v>0</v>
      </c>
      <c r="K121" s="2"/>
      <c r="L121" s="6">
        <f t="shared" si="70"/>
        <v>0</v>
      </c>
      <c r="M121" s="2"/>
      <c r="N121" s="7">
        <f t="shared" si="71"/>
        <v>0</v>
      </c>
      <c r="O121" s="11"/>
      <c r="P121" s="6"/>
      <c r="Q121" s="2"/>
      <c r="R121" s="7">
        <f t="shared" si="72"/>
        <v>0</v>
      </c>
      <c r="S121" s="2"/>
      <c r="T121" s="6">
        <v>2400</v>
      </c>
      <c r="U121" s="2"/>
      <c r="V121" s="7">
        <f t="shared" si="73"/>
        <v>5.389773605254598E-4</v>
      </c>
      <c r="W121" s="2"/>
      <c r="X121" s="6">
        <f t="shared" si="74"/>
        <v>-2400</v>
      </c>
      <c r="Y121" s="2"/>
      <c r="Z121" s="7">
        <f t="shared" si="75"/>
        <v>-1</v>
      </c>
    </row>
    <row r="122" spans="1:26" s="24" customFormat="1" hidden="1" outlineLevel="2" x14ac:dyDescent="0.25">
      <c r="A122" s="25"/>
      <c r="B122" s="11" t="str">
        <f>CONCATENATE("          ", "6247", " - ", "STORE SUPPLIES")</f>
        <v xml:space="preserve">          6247 - STORE SUPPLIES</v>
      </c>
      <c r="C122" s="11"/>
      <c r="D122" s="6">
        <v>3151.8</v>
      </c>
      <c r="E122" s="2"/>
      <c r="F122" s="7">
        <f t="shared" si="68"/>
        <v>3.6643970378724814E-3</v>
      </c>
      <c r="G122" s="2"/>
      <c r="H122" s="6">
        <v>3111.77</v>
      </c>
      <c r="I122" s="2"/>
      <c r="J122" s="7">
        <f t="shared" si="69"/>
        <v>3.5917623444214493E-3</v>
      </c>
      <c r="K122" s="2"/>
      <c r="L122" s="6">
        <f t="shared" si="70"/>
        <v>40.0300000000002</v>
      </c>
      <c r="M122" s="2"/>
      <c r="N122" s="7">
        <f t="shared" si="71"/>
        <v>1.2864061289876888E-2</v>
      </c>
      <c r="O122" s="11"/>
      <c r="P122" s="6">
        <v>29309.91</v>
      </c>
      <c r="Q122" s="2"/>
      <c r="R122" s="7">
        <f t="shared" si="72"/>
        <v>7.1676478410283894E-3</v>
      </c>
      <c r="S122" s="2"/>
      <c r="T122" s="6">
        <v>18106.86</v>
      </c>
      <c r="U122" s="2"/>
      <c r="V122" s="7">
        <f t="shared" si="73"/>
        <v>4.0663281709183447E-3</v>
      </c>
      <c r="W122" s="2"/>
      <c r="X122" s="6">
        <f t="shared" si="74"/>
        <v>11203.05</v>
      </c>
      <c r="Y122" s="2"/>
      <c r="Z122" s="7">
        <f t="shared" si="75"/>
        <v>0.61871854092868661</v>
      </c>
    </row>
    <row r="123" spans="1:26" s="24" customFormat="1" hidden="1" outlineLevel="2" x14ac:dyDescent="0.25">
      <c r="A123" s="25"/>
      <c r="B123" s="11" t="str">
        <f>CONCATENATE("          ", "6248", " - ", "UNIFORMS")</f>
        <v xml:space="preserve">          6248 - UNIFORMS</v>
      </c>
      <c r="C123" s="11"/>
      <c r="D123" s="6">
        <v>250.51</v>
      </c>
      <c r="E123" s="2"/>
      <c r="F123" s="7">
        <f t="shared" si="68"/>
        <v>2.9125201534279944E-4</v>
      </c>
      <c r="G123" s="2"/>
      <c r="H123" s="6">
        <v>750</v>
      </c>
      <c r="I123" s="2"/>
      <c r="J123" s="7">
        <f t="shared" si="69"/>
        <v>8.6568793912020713E-4</v>
      </c>
      <c r="K123" s="2"/>
      <c r="L123" s="6">
        <f t="shared" si="70"/>
        <v>-499.49</v>
      </c>
      <c r="M123" s="2"/>
      <c r="N123" s="7">
        <f t="shared" si="71"/>
        <v>-0.66598666666666673</v>
      </c>
      <c r="O123" s="11"/>
      <c r="P123" s="6">
        <v>3733.75</v>
      </c>
      <c r="Q123" s="2"/>
      <c r="R123" s="7">
        <f t="shared" si="72"/>
        <v>9.1307701478577556E-4</v>
      </c>
      <c r="S123" s="2"/>
      <c r="T123" s="6">
        <v>6150</v>
      </c>
      <c r="U123" s="2"/>
      <c r="V123" s="7">
        <f t="shared" si="73"/>
        <v>1.3811294863464907E-3</v>
      </c>
      <c r="W123" s="2"/>
      <c r="X123" s="6">
        <f t="shared" si="74"/>
        <v>-2416.25</v>
      </c>
      <c r="Y123" s="2"/>
      <c r="Z123" s="7">
        <f t="shared" si="75"/>
        <v>-0.39288617886178862</v>
      </c>
    </row>
    <row r="124" spans="1:26" s="26" customFormat="1" outlineLevel="1" collapsed="1" x14ac:dyDescent="0.25">
      <c r="A124" s="27"/>
      <c r="B124" s="13" t="str">
        <f>CONCATENATE("     ","Telephone/Data Lines                              ")</f>
        <v xml:space="preserve">     Telephone/Data Lines                              </v>
      </c>
      <c r="C124" s="13"/>
      <c r="D124" s="1">
        <f>SUM(OSRRefD22_22x_0)</f>
        <v>1790.68</v>
      </c>
      <c r="E124" s="1"/>
      <c r="F124" s="5">
        <f t="shared" ref="F124:F126" si="76">IF(D$12=0,0,D124/D$12)</f>
        <v>2.0819095398748317E-3</v>
      </c>
      <c r="G124" s="1"/>
      <c r="H124" s="1">
        <f>SUM(OSRRefH22_22x_0)</f>
        <v>2351</v>
      </c>
      <c r="I124" s="1"/>
      <c r="J124" s="5">
        <f t="shared" ref="J124:J126" si="77">IF(H$12=0,0,H124/H$12)</f>
        <v>2.7136431264954759E-3</v>
      </c>
      <c r="K124" s="1"/>
      <c r="L124" s="1">
        <f t="shared" ref="L124:L126" si="78">+D124-H124</f>
        <v>-560.31999999999994</v>
      </c>
      <c r="M124" s="1"/>
      <c r="N124" s="5">
        <f t="shared" ref="N124:N126" si="79">IF(H124=0,0,L124/H124)</f>
        <v>-0.23833262441514247</v>
      </c>
      <c r="O124" s="13"/>
      <c r="P124" s="1">
        <f>SUM(OSRRefP22_22x_0)</f>
        <v>10283.129999999999</v>
      </c>
      <c r="Q124" s="1"/>
      <c r="R124" s="5">
        <f t="shared" ref="R124:R126" si="80">IF(P$12=0,0,P124/P$12)</f>
        <v>2.5147076379120324E-3</v>
      </c>
      <c r="S124" s="1"/>
      <c r="T124" s="1">
        <f>SUM(OSRRefT22_22x_0)</f>
        <v>10736</v>
      </c>
      <c r="U124" s="1"/>
      <c r="V124" s="5">
        <f t="shared" ref="V124:V126" si="81">IF(T$12=0,0,T124/T$12)</f>
        <v>2.4110253927505567E-3</v>
      </c>
      <c r="W124" s="1"/>
      <c r="X124" s="1">
        <f t="shared" ref="X124:X126" si="82">+P124-T124</f>
        <v>-452.8700000000008</v>
      </c>
      <c r="Y124" s="1"/>
      <c r="Z124" s="5">
        <f t="shared" ref="Z124:Z126" si="83">IF(T124=0,0,X124/T124)</f>
        <v>-4.2182377049180403E-2</v>
      </c>
    </row>
    <row r="125" spans="1:26" s="24" customFormat="1" hidden="1" outlineLevel="2" x14ac:dyDescent="0.25">
      <c r="A125" s="25"/>
      <c r="B125" s="11" t="str">
        <f>CONCATENATE("          ", "6303", " - ", "DATA PHONE LINES")</f>
        <v xml:space="preserve">          6303 - DATA PHONE LINES</v>
      </c>
      <c r="C125" s="11"/>
      <c r="D125" s="6"/>
      <c r="E125" s="2"/>
      <c r="F125" s="7">
        <f t="shared" si="76"/>
        <v>0</v>
      </c>
      <c r="G125" s="2"/>
      <c r="H125" s="6">
        <v>696</v>
      </c>
      <c r="I125" s="2"/>
      <c r="J125" s="7">
        <f t="shared" si="77"/>
        <v>8.0335840750355217E-4</v>
      </c>
      <c r="K125" s="2"/>
      <c r="L125" s="6">
        <f t="shared" si="78"/>
        <v>-696</v>
      </c>
      <c r="M125" s="2"/>
      <c r="N125" s="7">
        <f t="shared" si="79"/>
        <v>-1</v>
      </c>
      <c r="O125" s="11"/>
      <c r="P125" s="6"/>
      <c r="Q125" s="2"/>
      <c r="R125" s="7">
        <f t="shared" si="80"/>
        <v>0</v>
      </c>
      <c r="S125" s="2"/>
      <c r="T125" s="6">
        <v>2686</v>
      </c>
      <c r="U125" s="2"/>
      <c r="V125" s="7">
        <f t="shared" si="81"/>
        <v>6.032054959880771E-4</v>
      </c>
      <c r="W125" s="2"/>
      <c r="X125" s="6">
        <f t="shared" si="82"/>
        <v>-2686</v>
      </c>
      <c r="Y125" s="2"/>
      <c r="Z125" s="7">
        <f t="shared" si="83"/>
        <v>-1</v>
      </c>
    </row>
    <row r="126" spans="1:26" s="24" customFormat="1" hidden="1" outlineLevel="2" x14ac:dyDescent="0.25">
      <c r="A126" s="25"/>
      <c r="B126" s="11" t="str">
        <f>CONCATENATE("          ", "6309", " - ", "TELEPHONE")</f>
        <v xml:space="preserve">          6309 - TELEPHONE</v>
      </c>
      <c r="C126" s="11"/>
      <c r="D126" s="6">
        <v>1790.68</v>
      </c>
      <c r="E126" s="2"/>
      <c r="F126" s="7">
        <f t="shared" si="76"/>
        <v>2.0819095398748317E-3</v>
      </c>
      <c r="G126" s="2"/>
      <c r="H126" s="6">
        <v>1655</v>
      </c>
      <c r="I126" s="2"/>
      <c r="J126" s="7">
        <f t="shared" si="77"/>
        <v>1.9102847189919237E-3</v>
      </c>
      <c r="K126" s="2"/>
      <c r="L126" s="6">
        <f t="shared" si="78"/>
        <v>135.68000000000006</v>
      </c>
      <c r="M126" s="2"/>
      <c r="N126" s="7">
        <f t="shared" si="79"/>
        <v>8.1981873111782511E-2</v>
      </c>
      <c r="O126" s="11"/>
      <c r="P126" s="6">
        <v>10283.129999999999</v>
      </c>
      <c r="Q126" s="2"/>
      <c r="R126" s="7">
        <f t="shared" si="80"/>
        <v>2.5147076379120324E-3</v>
      </c>
      <c r="S126" s="2"/>
      <c r="T126" s="6">
        <v>8050</v>
      </c>
      <c r="U126" s="2"/>
      <c r="V126" s="7">
        <f t="shared" si="81"/>
        <v>1.8078198967624796E-3</v>
      </c>
      <c r="W126" s="2"/>
      <c r="X126" s="6">
        <f t="shared" si="82"/>
        <v>2233.1299999999992</v>
      </c>
      <c r="Y126" s="2"/>
      <c r="Z126" s="7">
        <f t="shared" si="83"/>
        <v>0.27740745341614897</v>
      </c>
    </row>
    <row r="127" spans="1:26" s="26" customFormat="1" outlineLevel="1" collapsed="1" x14ac:dyDescent="0.25">
      <c r="A127" s="27"/>
      <c r="B127" s="13" t="str">
        <f>CONCATENATE("     ","Training                                          ")</f>
        <v xml:space="preserve">     Training                                          </v>
      </c>
      <c r="C127" s="13"/>
      <c r="D127" s="1">
        <f>SUM(OSRRefD22_23x_0)</f>
        <v>85</v>
      </c>
      <c r="E127" s="1"/>
      <c r="F127" s="5">
        <f t="shared" ref="F127:F132" si="84">IF(D$12=0,0,D127/D$12)</f>
        <v>9.8824084085018368E-5</v>
      </c>
      <c r="G127" s="1"/>
      <c r="H127" s="1">
        <f>SUM(OSRRefH22_23x_0)</f>
        <v>500</v>
      </c>
      <c r="I127" s="1"/>
      <c r="J127" s="5">
        <f t="shared" ref="J127:J132" si="85">IF(H$12=0,0,H127/H$12)</f>
        <v>5.7712529274680472E-4</v>
      </c>
      <c r="K127" s="1"/>
      <c r="L127" s="1">
        <f t="shared" ref="L127:L132" si="86">+D127-H127</f>
        <v>-415</v>
      </c>
      <c r="M127" s="1"/>
      <c r="N127" s="5">
        <f t="shared" ref="N127:N132" si="87">IF(H127=0,0,L127/H127)</f>
        <v>-0.83</v>
      </c>
      <c r="O127" s="13"/>
      <c r="P127" s="1">
        <f>SUM(OSRRefP22_23x_0)</f>
        <v>1748.5</v>
      </c>
      <c r="Q127" s="1"/>
      <c r="R127" s="5">
        <f t="shared" ref="R127:R132" si="88">IF(P$12=0,0,P127/P$12)</f>
        <v>4.2759026725220717E-4</v>
      </c>
      <c r="S127" s="1"/>
      <c r="T127" s="1">
        <f>SUM(OSRRefT22_23x_0)</f>
        <v>6680</v>
      </c>
      <c r="U127" s="1"/>
      <c r="V127" s="5">
        <f t="shared" ref="V127:V132" si="89">IF(T$12=0,0,T127/T$12)</f>
        <v>1.5001536534625297E-3</v>
      </c>
      <c r="W127" s="1"/>
      <c r="X127" s="1">
        <f t="shared" ref="X127:X132" si="90">+P127-T127</f>
        <v>-4931.5</v>
      </c>
      <c r="Y127" s="1"/>
      <c r="Z127" s="5">
        <f t="shared" ref="Z127:Z132" si="91">IF(T127=0,0,X127/T127)</f>
        <v>-0.73824850299401201</v>
      </c>
    </row>
    <row r="128" spans="1:26" s="24" customFormat="1" hidden="1" outlineLevel="2" x14ac:dyDescent="0.25">
      <c r="A128" s="25"/>
      <c r="B128" s="11" t="str">
        <f>CONCATENATE("          ", "6376", " - ", "TRAINING")</f>
        <v xml:space="preserve">          6376 - TRAINING</v>
      </c>
      <c r="C128" s="11"/>
      <c r="D128" s="6">
        <v>85</v>
      </c>
      <c r="E128" s="2"/>
      <c r="F128" s="7">
        <f t="shared" si="84"/>
        <v>9.8824084085018368E-5</v>
      </c>
      <c r="G128" s="2"/>
      <c r="H128" s="6">
        <v>500</v>
      </c>
      <c r="I128" s="2"/>
      <c r="J128" s="7">
        <f t="shared" si="85"/>
        <v>5.7712529274680472E-4</v>
      </c>
      <c r="K128" s="2"/>
      <c r="L128" s="6">
        <f t="shared" si="86"/>
        <v>-415</v>
      </c>
      <c r="M128" s="2"/>
      <c r="N128" s="7">
        <f t="shared" si="87"/>
        <v>-0.83</v>
      </c>
      <c r="O128" s="11"/>
      <c r="P128" s="6">
        <v>1748.5</v>
      </c>
      <c r="Q128" s="2"/>
      <c r="R128" s="7">
        <f t="shared" si="88"/>
        <v>4.2759026725220717E-4</v>
      </c>
      <c r="S128" s="2"/>
      <c r="T128" s="6">
        <v>6680</v>
      </c>
      <c r="U128" s="2"/>
      <c r="V128" s="7">
        <f t="shared" si="89"/>
        <v>1.5001536534625297E-3</v>
      </c>
      <c r="W128" s="2"/>
      <c r="X128" s="6">
        <f t="shared" si="90"/>
        <v>-4931.5</v>
      </c>
      <c r="Y128" s="2"/>
      <c r="Z128" s="7">
        <f t="shared" si="91"/>
        <v>-0.73824850299401201</v>
      </c>
    </row>
    <row r="129" spans="1:26" s="26" customFormat="1" outlineLevel="1" collapsed="1" x14ac:dyDescent="0.25">
      <c r="A129" s="27"/>
      <c r="B129" s="13" t="str">
        <f>CONCATENATE("     ","Travel                                            ")</f>
        <v xml:space="preserve">     Travel                                            </v>
      </c>
      <c r="C129" s="13"/>
      <c r="D129" s="1">
        <f>SUM(OSRRefD22_24x_0)</f>
        <v>301.73</v>
      </c>
      <c r="E129" s="1"/>
      <c r="F129" s="5">
        <f t="shared" si="84"/>
        <v>3.5080224577614818E-4</v>
      </c>
      <c r="G129" s="1"/>
      <c r="H129" s="1">
        <f>SUM(OSRRefH22_24x_0)</f>
        <v>0</v>
      </c>
      <c r="I129" s="1"/>
      <c r="J129" s="5">
        <f t="shared" si="85"/>
        <v>0</v>
      </c>
      <c r="K129" s="1"/>
      <c r="L129" s="1">
        <f t="shared" si="86"/>
        <v>301.73</v>
      </c>
      <c r="M129" s="1"/>
      <c r="N129" s="5">
        <f t="shared" si="87"/>
        <v>0</v>
      </c>
      <c r="O129" s="13"/>
      <c r="P129" s="1">
        <f>SUM(OSRRefP22_24x_0)</f>
        <v>1402.9099999999999</v>
      </c>
      <c r="Q129" s="1"/>
      <c r="R129" s="5">
        <f t="shared" si="88"/>
        <v>3.4307730159038825E-4</v>
      </c>
      <c r="S129" s="1"/>
      <c r="T129" s="1">
        <f>SUM(OSRRefT22_24x_0)</f>
        <v>8700</v>
      </c>
      <c r="U129" s="1"/>
      <c r="V129" s="5">
        <f t="shared" si="89"/>
        <v>1.9537929319047918E-3</v>
      </c>
      <c r="W129" s="1"/>
      <c r="X129" s="1">
        <f t="shared" si="90"/>
        <v>-7297.09</v>
      </c>
      <c r="Y129" s="1"/>
      <c r="Z129" s="5">
        <f t="shared" si="91"/>
        <v>-0.83874597701149423</v>
      </c>
    </row>
    <row r="130" spans="1:26" s="24" customFormat="1" hidden="1" outlineLevel="2" x14ac:dyDescent="0.25">
      <c r="A130" s="25"/>
      <c r="B130" s="11" t="str">
        <f>CONCATENATE("          ", "6292", " - ", "TRAVEL/CONFERENCE")</f>
        <v xml:space="preserve">          6292 - TRAVEL/CONFERENCE</v>
      </c>
      <c r="C130" s="11"/>
      <c r="D130" s="6">
        <v>153.68</v>
      </c>
      <c r="E130" s="2"/>
      <c r="F130" s="7">
        <f t="shared" si="84"/>
        <v>1.7867394402571322E-4</v>
      </c>
      <c r="G130" s="2"/>
      <c r="H130" s="6">
        <v>0</v>
      </c>
      <c r="I130" s="2"/>
      <c r="J130" s="7">
        <f t="shared" si="85"/>
        <v>0</v>
      </c>
      <c r="K130" s="2"/>
      <c r="L130" s="6">
        <f t="shared" si="86"/>
        <v>153.68</v>
      </c>
      <c r="M130" s="2"/>
      <c r="N130" s="7">
        <f t="shared" si="87"/>
        <v>0</v>
      </c>
      <c r="O130" s="11"/>
      <c r="P130" s="6">
        <v>699.37</v>
      </c>
      <c r="Q130" s="2"/>
      <c r="R130" s="7">
        <f t="shared" si="88"/>
        <v>1.7102877049366663E-4</v>
      </c>
      <c r="S130" s="2"/>
      <c r="T130" s="6">
        <v>8700</v>
      </c>
      <c r="U130" s="2"/>
      <c r="V130" s="7">
        <f t="shared" si="89"/>
        <v>1.9537929319047918E-3</v>
      </c>
      <c r="W130" s="2"/>
      <c r="X130" s="6">
        <f t="shared" si="90"/>
        <v>-8000.63</v>
      </c>
      <c r="Y130" s="2"/>
      <c r="Z130" s="7">
        <f t="shared" si="91"/>
        <v>-0.91961264367816098</v>
      </c>
    </row>
    <row r="131" spans="1:26" s="24" customFormat="1" hidden="1" outlineLevel="2" x14ac:dyDescent="0.25">
      <c r="A131" s="25"/>
      <c r="B131" s="11" t="str">
        <f>CONCATENATE("          ", "6294", " - ", "TRAVEL OPERATIONAL")</f>
        <v xml:space="preserve">          6294 - TRAVEL OPERATIONAL</v>
      </c>
      <c r="C131" s="11"/>
      <c r="D131" s="6"/>
      <c r="E131" s="2"/>
      <c r="F131" s="7">
        <f t="shared" si="84"/>
        <v>0</v>
      </c>
      <c r="G131" s="2"/>
      <c r="H131" s="6"/>
      <c r="I131" s="2"/>
      <c r="J131" s="7">
        <f t="shared" si="85"/>
        <v>0</v>
      </c>
      <c r="K131" s="2"/>
      <c r="L131" s="6">
        <f t="shared" si="86"/>
        <v>0</v>
      </c>
      <c r="M131" s="2"/>
      <c r="N131" s="7">
        <f t="shared" si="87"/>
        <v>0</v>
      </c>
      <c r="O131" s="11"/>
      <c r="P131" s="6">
        <v>45.49</v>
      </c>
      <c r="Q131" s="2"/>
      <c r="R131" s="7">
        <f t="shared" si="88"/>
        <v>1.1124438808866402E-5</v>
      </c>
      <c r="S131" s="2"/>
      <c r="T131" s="6"/>
      <c r="U131" s="2"/>
      <c r="V131" s="7">
        <f t="shared" si="89"/>
        <v>0</v>
      </c>
      <c r="W131" s="2"/>
      <c r="X131" s="6">
        <f t="shared" si="90"/>
        <v>45.49</v>
      </c>
      <c r="Y131" s="2"/>
      <c r="Z131" s="7">
        <f t="shared" si="91"/>
        <v>0</v>
      </c>
    </row>
    <row r="132" spans="1:26" s="24" customFormat="1" hidden="1" outlineLevel="2" x14ac:dyDescent="0.25">
      <c r="A132" s="25"/>
      <c r="B132" s="11" t="str">
        <f>CONCATENATE("          ", "6298", " - ", "VEHICLE MILEAGE")</f>
        <v xml:space="preserve">          6298 - VEHICLE MILEAGE</v>
      </c>
      <c r="C132" s="11"/>
      <c r="D132" s="6">
        <v>148.05000000000001</v>
      </c>
      <c r="E132" s="2"/>
      <c r="F132" s="7">
        <f t="shared" si="84"/>
        <v>1.7212830175043496E-4</v>
      </c>
      <c r="G132" s="2"/>
      <c r="H132" s="6"/>
      <c r="I132" s="2"/>
      <c r="J132" s="7">
        <f t="shared" si="85"/>
        <v>0</v>
      </c>
      <c r="K132" s="2"/>
      <c r="L132" s="6">
        <f t="shared" si="86"/>
        <v>148.05000000000001</v>
      </c>
      <c r="M132" s="2"/>
      <c r="N132" s="7">
        <f t="shared" si="87"/>
        <v>0</v>
      </c>
      <c r="O132" s="11"/>
      <c r="P132" s="6">
        <v>658.05</v>
      </c>
      <c r="Q132" s="2"/>
      <c r="R132" s="7">
        <f t="shared" si="88"/>
        <v>1.6092409228785526E-4</v>
      </c>
      <c r="S132" s="2"/>
      <c r="T132" s="6">
        <v>0</v>
      </c>
      <c r="U132" s="2"/>
      <c r="V132" s="7">
        <f t="shared" si="89"/>
        <v>0</v>
      </c>
      <c r="W132" s="2"/>
      <c r="X132" s="6">
        <f t="shared" si="90"/>
        <v>658.05</v>
      </c>
      <c r="Y132" s="2"/>
      <c r="Z132" s="7">
        <f t="shared" si="91"/>
        <v>0</v>
      </c>
    </row>
    <row r="133" spans="1:26" s="26" customFormat="1" outlineLevel="1" collapsed="1" x14ac:dyDescent="0.25">
      <c r="A133" s="27"/>
      <c r="B133" s="13" t="str">
        <f>CONCATENATE("     ","Utilities                                         ")</f>
        <v xml:space="preserve">     Utilities                                         </v>
      </c>
      <c r="C133" s="13"/>
      <c r="D133" s="1">
        <f>SUM(OSRRefD22_25x_0)</f>
        <v>14669</v>
      </c>
      <c r="E133" s="1"/>
      <c r="F133" s="5">
        <f t="shared" ref="F133:F134" si="92">IF(D$12=0,0,D133/D$12)</f>
        <v>1.7054711640507463E-2</v>
      </c>
      <c r="G133" s="1"/>
      <c r="H133" s="1">
        <f>SUM(OSRRefH22_25x_0)</f>
        <v>18575</v>
      </c>
      <c r="I133" s="1"/>
      <c r="J133" s="5">
        <f t="shared" ref="J133:J134" si="93">IF(H$12=0,0,H133/H$12)</f>
        <v>2.1440204625543795E-2</v>
      </c>
      <c r="K133" s="1"/>
      <c r="L133" s="1">
        <f t="shared" ref="L133:L134" si="94">+D133-H133</f>
        <v>-3906</v>
      </c>
      <c r="M133" s="1"/>
      <c r="N133" s="5">
        <f t="shared" ref="N133:N134" si="95">IF(H133=0,0,L133/H133)</f>
        <v>-0.21028263795423957</v>
      </c>
      <c r="O133" s="13"/>
      <c r="P133" s="1">
        <f>SUM(OSRRefP22_25x_0)</f>
        <v>61378.119999999995</v>
      </c>
      <c r="Q133" s="1"/>
      <c r="R133" s="5">
        <f t="shared" ref="R133:R134" si="96">IF(P$12=0,0,P133/P$12)</f>
        <v>1.5009829416207057E-2</v>
      </c>
      <c r="S133" s="1"/>
      <c r="T133" s="1">
        <f>SUM(OSRRefT22_25x_0)</f>
        <v>102896</v>
      </c>
      <c r="U133" s="1"/>
      <c r="V133" s="5">
        <f t="shared" ref="V133:V134" si="97">IF(T$12=0,0,T133/T$12)</f>
        <v>2.3107756036928214E-2</v>
      </c>
      <c r="W133" s="1"/>
      <c r="X133" s="1">
        <f t="shared" ref="X133:X134" si="98">+P133-T133</f>
        <v>-41517.880000000005</v>
      </c>
      <c r="Y133" s="1"/>
      <c r="Z133" s="5">
        <f t="shared" ref="Z133:Z134" si="99">IF(T133=0,0,X133/T133)</f>
        <v>-0.4034936246306951</v>
      </c>
    </row>
    <row r="134" spans="1:26" s="24" customFormat="1" hidden="1" outlineLevel="2" x14ac:dyDescent="0.25">
      <c r="A134" s="25"/>
      <c r="B134" s="11" t="str">
        <f>CONCATENATE("          ", "6274", " - ", "UTILITIES")</f>
        <v xml:space="preserve">          6274 - UTILITIES</v>
      </c>
      <c r="C134" s="11"/>
      <c r="D134" s="6">
        <v>14669</v>
      </c>
      <c r="E134" s="2"/>
      <c r="F134" s="7">
        <f t="shared" si="92"/>
        <v>1.7054711640507463E-2</v>
      </c>
      <c r="G134" s="2"/>
      <c r="H134" s="6">
        <v>18575</v>
      </c>
      <c r="I134" s="2"/>
      <c r="J134" s="7">
        <f t="shared" si="93"/>
        <v>2.1440204625543795E-2</v>
      </c>
      <c r="K134" s="2"/>
      <c r="L134" s="6">
        <f t="shared" si="94"/>
        <v>-3906</v>
      </c>
      <c r="M134" s="2"/>
      <c r="N134" s="7">
        <f t="shared" si="95"/>
        <v>-0.21028263795423957</v>
      </c>
      <c r="O134" s="11"/>
      <c r="P134" s="6">
        <v>61378.119999999995</v>
      </c>
      <c r="Q134" s="2"/>
      <c r="R134" s="7">
        <f t="shared" si="96"/>
        <v>1.5009829416207057E-2</v>
      </c>
      <c r="S134" s="2"/>
      <c r="T134" s="6">
        <v>102896</v>
      </c>
      <c r="U134" s="2"/>
      <c r="V134" s="7">
        <f t="shared" si="97"/>
        <v>2.3107756036928214E-2</v>
      </c>
      <c r="W134" s="2"/>
      <c r="X134" s="6">
        <f t="shared" si="98"/>
        <v>-41517.880000000005</v>
      </c>
      <c r="Y134" s="2"/>
      <c r="Z134" s="7">
        <f t="shared" si="99"/>
        <v>-0.4034936246306951</v>
      </c>
    </row>
    <row r="135" spans="1:26" s="59" customFormat="1" x14ac:dyDescent="0.25">
      <c r="A135" s="36"/>
      <c r="B135" s="36"/>
      <c r="C135" s="36"/>
      <c r="D135" s="1"/>
      <c r="E135" s="1"/>
      <c r="F135" s="5"/>
      <c r="G135" s="1"/>
      <c r="H135" s="1"/>
      <c r="I135" s="1"/>
      <c r="J135" s="5"/>
      <c r="K135" s="1"/>
      <c r="L135" s="1"/>
      <c r="M135" s="1"/>
      <c r="N135" s="5"/>
      <c r="O135" s="36"/>
      <c r="P135" s="1"/>
      <c r="Q135" s="1"/>
      <c r="R135" s="5"/>
      <c r="S135" s="1"/>
      <c r="T135" s="1"/>
      <c r="U135" s="1"/>
      <c r="V135" s="5"/>
      <c r="W135" s="1"/>
      <c r="X135" s="1"/>
      <c r="Y135" s="1"/>
      <c r="Z135" s="5"/>
    </row>
    <row r="136" spans="1:26" s="23" customFormat="1" collapsed="1" x14ac:dyDescent="0.25">
      <c r="A136" s="10"/>
      <c r="B136" s="29" t="s">
        <v>0</v>
      </c>
      <c r="C136" s="10"/>
      <c r="D136" s="4">
        <f>SUM(OSRRefD25x_0)</f>
        <v>66542.63</v>
      </c>
      <c r="E136" s="4"/>
      <c r="F136" s="12">
        <f t="shared" ref="F136:F140" si="100">IF(D$12=0,0,D136/D$12)</f>
        <v>7.7364876027744306E-2</v>
      </c>
      <c r="G136" s="4"/>
      <c r="H136" s="4">
        <f>SUM(OSRRefH25x_0)</f>
        <v>97938</v>
      </c>
      <c r="I136" s="4"/>
      <c r="J136" s="12">
        <f t="shared" ref="J136:J140" si="101">IF(H$12=0,0,H136/H$12)</f>
        <v>0.11304499384207313</v>
      </c>
      <c r="K136" s="4"/>
      <c r="L136" s="4">
        <f t="shared" ref="L136:L140" si="102">+D136-H136</f>
        <v>-31395.369999999995</v>
      </c>
      <c r="M136" s="4"/>
      <c r="N136" s="12">
        <f t="shared" ref="N136:N140" si="103">IF(H136=0,0,L136/H136)</f>
        <v>-0.32056372398864585</v>
      </c>
      <c r="O136" s="10"/>
      <c r="P136" s="4">
        <f>SUM(OSRRefP25x_0)</f>
        <v>493067.26</v>
      </c>
      <c r="Q136" s="4"/>
      <c r="R136" s="12">
        <f t="shared" ref="R136:R140" si="104">IF(P$12=0,0,P136/P$12)</f>
        <v>0.12057807347824623</v>
      </c>
      <c r="S136" s="4"/>
      <c r="T136" s="4">
        <f>SUM(OSRRefT25x_0)</f>
        <v>415674</v>
      </c>
      <c r="U136" s="4"/>
      <c r="V136" s="12">
        <f t="shared" ref="V136:V140" si="105">IF(T$12=0,0,T136/T$12)</f>
        <v>9.3349531399608318E-2</v>
      </c>
      <c r="W136" s="4"/>
      <c r="X136" s="4">
        <f t="shared" ref="X136:X140" si="106">+P136-T136</f>
        <v>77393.260000000009</v>
      </c>
      <c r="Y136" s="4"/>
      <c r="Z136" s="12">
        <f t="shared" ref="Z136:Z140" si="107">IF(T136=0,0,X136/T136)</f>
        <v>0.18618739685426564</v>
      </c>
    </row>
    <row r="137" spans="1:26" s="24" customFormat="1" hidden="1" outlineLevel="1" x14ac:dyDescent="0.25">
      <c r="A137" s="44"/>
      <c r="B137" s="11" t="str">
        <f>CONCATENATE("          ", "9150", " - ", "MISC. INCOME")</f>
        <v xml:space="preserve">          9150 - MISC. INCOME</v>
      </c>
      <c r="C137" s="11"/>
      <c r="D137" s="2">
        <f>--48346.26</f>
        <v>48346.26</v>
      </c>
      <c r="E137" s="2"/>
      <c r="F137" s="19">
        <f t="shared" si="100"/>
        <v>5.6209116040425416E-2</v>
      </c>
      <c r="G137" s="2"/>
      <c r="H137" s="2">
        <v>76238</v>
      </c>
      <c r="I137" s="2"/>
      <c r="J137" s="19">
        <f t="shared" si="101"/>
        <v>8.7997756136861796E-2</v>
      </c>
      <c r="K137" s="2"/>
      <c r="L137" s="2">
        <f t="shared" si="102"/>
        <v>-27891.739999999998</v>
      </c>
      <c r="M137" s="2"/>
      <c r="N137" s="19">
        <f t="shared" si="103"/>
        <v>-0.3658508880086046</v>
      </c>
      <c r="O137" s="11"/>
      <c r="P137" s="2">
        <f>--165642.94</f>
        <v>165642.94</v>
      </c>
      <c r="Q137" s="2"/>
      <c r="R137" s="19">
        <f t="shared" si="104"/>
        <v>4.0507468677747391E-2</v>
      </c>
      <c r="S137" s="2"/>
      <c r="T137" s="2">
        <v>157857</v>
      </c>
      <c r="U137" s="2"/>
      <c r="V137" s="19">
        <f t="shared" si="105"/>
        <v>3.545056216686146E-2</v>
      </c>
      <c r="W137" s="2"/>
      <c r="X137" s="2">
        <f t="shared" si="106"/>
        <v>7785.9400000000023</v>
      </c>
      <c r="Y137" s="2"/>
      <c r="Z137" s="19">
        <f t="shared" si="107"/>
        <v>4.9322741468544332E-2</v>
      </c>
    </row>
    <row r="138" spans="1:26" s="24" customFormat="1" hidden="1" outlineLevel="1" x14ac:dyDescent="0.25">
      <c r="A138" s="44"/>
      <c r="B138" s="11" t="str">
        <f>CONCATENATE("          ", "9151", " - ", "MISC. INCOME")</f>
        <v xml:space="preserve">          9151 - MISC. INCOME</v>
      </c>
      <c r="C138" s="11"/>
      <c r="D138" s="2">
        <f>0</f>
        <v>0</v>
      </c>
      <c r="E138" s="2"/>
      <c r="F138" s="19">
        <f t="shared" si="100"/>
        <v>0</v>
      </c>
      <c r="G138" s="2"/>
      <c r="H138" s="2">
        <v>21700</v>
      </c>
      <c r="I138" s="2"/>
      <c r="J138" s="19">
        <f t="shared" si="101"/>
        <v>2.5047237705211327E-2</v>
      </c>
      <c r="K138" s="2"/>
      <c r="L138" s="2">
        <f t="shared" si="102"/>
        <v>-21700</v>
      </c>
      <c r="M138" s="2"/>
      <c r="N138" s="19">
        <f t="shared" si="103"/>
        <v>-1</v>
      </c>
      <c r="O138" s="11"/>
      <c r="P138" s="2">
        <f>0</f>
        <v>0</v>
      </c>
      <c r="Q138" s="2"/>
      <c r="R138" s="19">
        <f t="shared" si="104"/>
        <v>0</v>
      </c>
      <c r="S138" s="2"/>
      <c r="T138" s="2">
        <v>257817</v>
      </c>
      <c r="U138" s="2"/>
      <c r="V138" s="19">
        <f t="shared" si="105"/>
        <v>5.7898969232746858E-2</v>
      </c>
      <c r="W138" s="2"/>
      <c r="X138" s="2">
        <f t="shared" si="106"/>
        <v>-257817</v>
      </c>
      <c r="Y138" s="2"/>
      <c r="Z138" s="19">
        <f t="shared" si="107"/>
        <v>-1</v>
      </c>
    </row>
    <row r="139" spans="1:26" s="24" customFormat="1" hidden="1" outlineLevel="1" x14ac:dyDescent="0.25">
      <c r="A139" s="44"/>
      <c r="B139" s="11" t="str">
        <f>CONCATENATE("          ", "9160", " - ", "MISC. INCOME")</f>
        <v xml:space="preserve">          9160 - MISC. INCOME</v>
      </c>
      <c r="C139" s="11"/>
      <c r="D139" s="2">
        <f>--7692.32</f>
        <v>7692.32</v>
      </c>
      <c r="E139" s="2"/>
      <c r="F139" s="19">
        <f t="shared" si="100"/>
        <v>8.9433703351631585E-3</v>
      </c>
      <c r="G139" s="2"/>
      <c r="H139" s="2"/>
      <c r="I139" s="2"/>
      <c r="J139" s="19">
        <f t="shared" si="101"/>
        <v>0</v>
      </c>
      <c r="K139" s="2"/>
      <c r="L139" s="2">
        <f t="shared" si="102"/>
        <v>7692.32</v>
      </c>
      <c r="M139" s="2"/>
      <c r="N139" s="19">
        <f t="shared" si="103"/>
        <v>0</v>
      </c>
      <c r="O139" s="11"/>
      <c r="P139" s="2">
        <f>--104050.2</f>
        <v>104050.2</v>
      </c>
      <c r="Q139" s="2"/>
      <c r="R139" s="19">
        <f t="shared" si="104"/>
        <v>2.5445154604315474E-2</v>
      </c>
      <c r="S139" s="2"/>
      <c r="T139" s="2"/>
      <c r="U139" s="2"/>
      <c r="V139" s="19">
        <f t="shared" si="105"/>
        <v>0</v>
      </c>
      <c r="W139" s="2"/>
      <c r="X139" s="2">
        <f t="shared" si="106"/>
        <v>104050.2</v>
      </c>
      <c r="Y139" s="2"/>
      <c r="Z139" s="19">
        <f t="shared" si="107"/>
        <v>0</v>
      </c>
    </row>
    <row r="140" spans="1:26" s="24" customFormat="1" hidden="1" outlineLevel="1" x14ac:dyDescent="0.25">
      <c r="A140" s="44"/>
      <c r="B140" s="11" t="str">
        <f>CONCATENATE("          ", "9165", " - ", "OTHER INCOME")</f>
        <v xml:space="preserve">          9165 - OTHER INCOME</v>
      </c>
      <c r="C140" s="11"/>
      <c r="D140" s="2">
        <f>--10504.05</f>
        <v>10504.05</v>
      </c>
      <c r="E140" s="2"/>
      <c r="F140" s="19">
        <f t="shared" si="100"/>
        <v>1.2212389652155731E-2</v>
      </c>
      <c r="G140" s="2"/>
      <c r="H140" s="2"/>
      <c r="I140" s="2"/>
      <c r="J140" s="19">
        <f t="shared" si="101"/>
        <v>0</v>
      </c>
      <c r="K140" s="2"/>
      <c r="L140" s="2">
        <f t="shared" si="102"/>
        <v>10504.05</v>
      </c>
      <c r="M140" s="2"/>
      <c r="N140" s="19">
        <f t="shared" si="103"/>
        <v>0</v>
      </c>
      <c r="O140" s="11"/>
      <c r="P140" s="2">
        <f>--223374.12</f>
        <v>223374.12</v>
      </c>
      <c r="Q140" s="2"/>
      <c r="R140" s="19">
        <f t="shared" si="104"/>
        <v>5.4625450196183353E-2</v>
      </c>
      <c r="S140" s="2"/>
      <c r="T140" s="2"/>
      <c r="U140" s="2"/>
      <c r="V140" s="19">
        <f t="shared" si="105"/>
        <v>0</v>
      </c>
      <c r="W140" s="2"/>
      <c r="X140" s="2">
        <f t="shared" si="106"/>
        <v>223374.12</v>
      </c>
      <c r="Y140" s="2"/>
      <c r="Z140" s="19">
        <f t="shared" si="107"/>
        <v>0</v>
      </c>
    </row>
    <row r="141" spans="1:26" x14ac:dyDescent="0.25">
      <c r="A141" s="9"/>
      <c r="B141" s="10"/>
      <c r="C141" s="10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O141" s="10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s="23" customFormat="1" x14ac:dyDescent="0.25">
      <c r="A142" s="10"/>
      <c r="B142" s="28" t="s">
        <v>3</v>
      </c>
      <c r="C142" s="28"/>
      <c r="D142" s="20">
        <f>+D36-D38+D136</f>
        <v>27000.059999999474</v>
      </c>
      <c r="E142" s="14"/>
      <c r="F142" s="22">
        <f>IF(D$12=0,0,D142/D$12)</f>
        <v>3.1391249408711637E-2</v>
      </c>
      <c r="G142" s="14"/>
      <c r="H142" s="20">
        <f>+H36-H38+H136</f>
        <v>96864.909172883956</v>
      </c>
      <c r="I142" s="14"/>
      <c r="J142" s="22">
        <f>IF(H$12=0,0,H142/H$12)</f>
        <v>0.11180637812658661</v>
      </c>
      <c r="K142" s="16"/>
      <c r="L142" s="20">
        <f>+D142-H142</f>
        <v>-69864.849172884482</v>
      </c>
      <c r="M142" s="16"/>
      <c r="N142" s="22">
        <f>IF(H142=0,0,L142/H142)</f>
        <v>-0.72126066879585959</v>
      </c>
      <c r="O142" s="29"/>
      <c r="P142" s="20">
        <f>+P36-P38+P136</f>
        <v>96646.769999998854</v>
      </c>
      <c r="Q142" s="14"/>
      <c r="R142" s="22">
        <f>IF(P$12=0,0,P142/P$12)</f>
        <v>2.3634668695088422E-2</v>
      </c>
      <c r="S142" s="14"/>
      <c r="T142" s="20">
        <f>+T36-T38+T136</f>
        <v>381599.19424017612</v>
      </c>
      <c r="U142" s="14"/>
      <c r="V142" s="22">
        <f>IF(T$12=0,0,T142/T$12)</f>
        <v>8.5697219370921812E-2</v>
      </c>
      <c r="W142" s="16"/>
      <c r="X142" s="20">
        <f>+P142-T142</f>
        <v>-284952.42424017726</v>
      </c>
      <c r="Y142" s="16"/>
      <c r="Z142" s="22">
        <f>IF(T142=0,0,X142/T142)</f>
        <v>-0.74673224823643103</v>
      </c>
    </row>
    <row r="143" spans="1:26" x14ac:dyDescent="0.25">
      <c r="A143" s="9"/>
      <c r="B143" s="10"/>
      <c r="C143" s="9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x14ac:dyDescent="0.25">
      <c r="A144" s="52"/>
      <c r="B144" s="10" t="s">
        <v>14</v>
      </c>
      <c r="C144" s="10"/>
      <c r="D144" s="4">
        <v>107970.59999999999</v>
      </c>
      <c r="E144" s="4"/>
      <c r="F144" s="12">
        <f>IF(D$12=0,0,D144/D$12)</f>
        <v>0.1255305370954104</v>
      </c>
      <c r="G144" s="4"/>
      <c r="H144" s="4">
        <v>132420</v>
      </c>
      <c r="I144" s="4"/>
      <c r="J144" s="12">
        <f>IF(H$12=0,0,H144/H$12)</f>
        <v>0.15284586253106378</v>
      </c>
      <c r="K144" s="4"/>
      <c r="L144" s="4">
        <f>+D144-H144</f>
        <v>-24449.400000000009</v>
      </c>
      <c r="M144" s="4"/>
      <c r="N144" s="12">
        <f>IF(H144=0,0,L144/H144)</f>
        <v>-0.18463525147258728</v>
      </c>
      <c r="O144" s="10"/>
      <c r="P144" s="4">
        <v>433018.12</v>
      </c>
      <c r="Q144" s="4"/>
      <c r="R144" s="12">
        <f>IF(P$12=0,0,P144/P$12)</f>
        <v>0.10589324201077971</v>
      </c>
      <c r="S144" s="4"/>
      <c r="T144" s="4">
        <v>564321</v>
      </c>
      <c r="U144" s="4"/>
      <c r="V144" s="12">
        <f>IF(T$12=0,0,T144/T$12)</f>
        <v>0.12673176794545332</v>
      </c>
      <c r="W144" s="4"/>
      <c r="X144" s="4">
        <f>+P144-T144</f>
        <v>-131302.88</v>
      </c>
      <c r="Y144" s="4"/>
      <c r="Z144" s="12">
        <f>IF(T144=0,0,X144/T144)</f>
        <v>-0.2326740986069985</v>
      </c>
    </row>
    <row r="145" spans="1:26" x14ac:dyDescent="0.25">
      <c r="A145" s="9"/>
      <c r="B145" s="10"/>
      <c r="C145" s="10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O145" s="10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s="23" customFormat="1" ht="15.75" thickBot="1" x14ac:dyDescent="0.3">
      <c r="A146" s="10"/>
      <c r="B146" s="28" t="s">
        <v>4</v>
      </c>
      <c r="C146" s="28"/>
      <c r="D146" s="30">
        <f>+D142-D144</f>
        <v>-80970.540000000517</v>
      </c>
      <c r="E146" s="14"/>
      <c r="F146" s="32">
        <f>IF(D$12=0,0,D146/D$12)</f>
        <v>-9.4139287686698755E-2</v>
      </c>
      <c r="G146" s="14"/>
      <c r="H146" s="30">
        <f>+H142-H144</f>
        <v>-35555.090827116044</v>
      </c>
      <c r="I146" s="14"/>
      <c r="J146" s="32">
        <f>IF(H$12=0,0,H146/H$12)</f>
        <v>-4.1039484404477161E-2</v>
      </c>
      <c r="K146" s="16"/>
      <c r="L146" s="30">
        <f>D146-H146</f>
        <v>-45415.449172884473</v>
      </c>
      <c r="M146" s="16"/>
      <c r="N146" s="32">
        <f>IF(H146=0,0,L146/H146)</f>
        <v>1.2773262032633719</v>
      </c>
      <c r="O146" s="29"/>
      <c r="P146" s="30">
        <f>+P142-P144</f>
        <v>-336371.35000000114</v>
      </c>
      <c r="Q146" s="14"/>
      <c r="R146" s="32">
        <f>IF(P$12=0,0,P146/P$12)</f>
        <v>-8.225857331569128E-2</v>
      </c>
      <c r="S146" s="14"/>
      <c r="T146" s="30">
        <f>+T142-T144</f>
        <v>-182721.80575982388</v>
      </c>
      <c r="U146" s="14"/>
      <c r="V146" s="32">
        <f>IF(T$12=0,0,T146/T$12)</f>
        <v>-4.103454857453151E-2</v>
      </c>
      <c r="W146" s="16"/>
      <c r="X146" s="30">
        <f>P146-T146</f>
        <v>-153649.54424017726</v>
      </c>
      <c r="Y146" s="16"/>
      <c r="Z146" s="32">
        <f>IF(T146=0,0,X146/T146)</f>
        <v>0.84089331101587161</v>
      </c>
    </row>
    <row r="147" spans="1:26" ht="15.75" thickTop="1" x14ac:dyDescent="0.25">
      <c r="A147" s="9"/>
      <c r="B147" s="9"/>
      <c r="C147" s="9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x14ac:dyDescent="0.25">
      <c r="A148" s="9"/>
      <c r="B148" s="9"/>
      <c r="C148" s="9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ht="15.75" thickBot="1" x14ac:dyDescent="0.3">
      <c r="A149" s="10"/>
      <c r="B149" s="28" t="s">
        <v>5</v>
      </c>
      <c r="C149" s="28"/>
      <c r="D149" s="31">
        <f>SUM(D146:D148)</f>
        <v>-80970.540000000517</v>
      </c>
      <c r="E149" s="14"/>
      <c r="F149" s="35">
        <f>IF(D$12=0,0,D149/D$12)</f>
        <v>-9.4139287686698755E-2</v>
      </c>
      <c r="G149" s="14"/>
      <c r="H149" s="31">
        <f>SUM(H146:H148)</f>
        <v>-35555.090827116044</v>
      </c>
      <c r="I149" s="14"/>
      <c r="J149" s="35">
        <f>IF(H$12=0,0,H149/H$12)</f>
        <v>-4.1039484404477161E-2</v>
      </c>
      <c r="K149" s="16"/>
      <c r="L149" s="31">
        <f>+D149-H149</f>
        <v>-45415.449172884473</v>
      </c>
      <c r="M149" s="16"/>
      <c r="N149" s="35">
        <f>IF(H149=0,0,L149/H149)</f>
        <v>1.2773262032633719</v>
      </c>
      <c r="O149" s="29"/>
      <c r="P149" s="31">
        <f>SUM(P146:P148)</f>
        <v>-336371.35000000114</v>
      </c>
      <c r="Q149" s="14"/>
      <c r="R149" s="35">
        <f>IF(P$12=0,0,P149/P$12)</f>
        <v>-8.225857331569128E-2</v>
      </c>
      <c r="S149" s="14"/>
      <c r="T149" s="31">
        <f>SUM(T146:T148)</f>
        <v>-182721.80575982388</v>
      </c>
      <c r="U149" s="14"/>
      <c r="V149" s="35">
        <f>IF(T$12=0,0,T149/T$12)</f>
        <v>-4.103454857453151E-2</v>
      </c>
      <c r="W149" s="16"/>
      <c r="X149" s="31">
        <f>+P149-T149</f>
        <v>-153649.54424017726</v>
      </c>
      <c r="Y149" s="16"/>
      <c r="Z149" s="35">
        <f>IF(T149=0,0,X149/T149)</f>
        <v>0.84089331101587161</v>
      </c>
    </row>
    <row r="150" spans="1:26" ht="15.75" thickTop="1" x14ac:dyDescent="0.25">
      <c r="A150" s="9"/>
      <c r="C150" s="9"/>
      <c r="D150" s="17"/>
      <c r="E150" s="17"/>
      <c r="G150" s="17"/>
      <c r="H150" s="17"/>
      <c r="I150" s="17"/>
      <c r="J150" s="43"/>
      <c r="K150" s="17"/>
      <c r="L150" s="17"/>
      <c r="M150" s="17"/>
      <c r="P150" s="17"/>
      <c r="Q150" s="17"/>
      <c r="R150" s="43"/>
      <c r="S150" s="17"/>
      <c r="T150" s="17"/>
      <c r="U150" s="17"/>
      <c r="V150" s="43"/>
      <c r="W150" s="17"/>
      <c r="X150" s="17"/>
    </row>
    <row r="151" spans="1:26" x14ac:dyDescent="0.25">
      <c r="A151" s="9"/>
      <c r="B151" s="56">
        <v>43815.483339039354</v>
      </c>
      <c r="D151" s="17"/>
      <c r="E151" s="17"/>
      <c r="G151" s="17"/>
      <c r="H151" s="17"/>
      <c r="I151" s="17"/>
      <c r="J151" s="43"/>
      <c r="K151" s="17"/>
      <c r="L151" s="17"/>
      <c r="M151" s="17"/>
      <c r="P151" s="17"/>
      <c r="Q151" s="17"/>
      <c r="R151" s="43"/>
      <c r="S151" s="17"/>
      <c r="T151" s="17"/>
      <c r="U151" s="17"/>
      <c r="V151" s="43"/>
      <c r="W151" s="17"/>
      <c r="X151" s="17"/>
    </row>
    <row r="152" spans="1:26" x14ac:dyDescent="0.25">
      <c r="A152" s="9"/>
      <c r="B152" s="62" t="s">
        <v>314</v>
      </c>
      <c r="D152" s="17"/>
      <c r="E152" s="17"/>
      <c r="G152" s="17"/>
      <c r="H152" s="17"/>
      <c r="I152" s="17"/>
      <c r="J152" s="43"/>
      <c r="K152" s="17"/>
      <c r="L152" s="17"/>
      <c r="M152" s="17"/>
      <c r="P152" s="17"/>
      <c r="Q152" s="17"/>
      <c r="R152" s="43"/>
      <c r="S152" s="17"/>
      <c r="T152" s="17"/>
      <c r="U152" s="17"/>
      <c r="V152" s="43"/>
      <c r="W152" s="17"/>
      <c r="X152" s="17"/>
    </row>
    <row r="153" spans="1:26" x14ac:dyDescent="0.25">
      <c r="A153" s="9"/>
      <c r="B153" s="58"/>
      <c r="D153" s="17"/>
      <c r="E153" s="17"/>
      <c r="G153" s="17"/>
      <c r="H153" s="17"/>
      <c r="I153" s="17"/>
      <c r="J153" s="43"/>
      <c r="K153" s="17"/>
      <c r="L153" s="17"/>
      <c r="M153" s="17"/>
      <c r="P153" s="17"/>
      <c r="Q153" s="17"/>
      <c r="R153" s="43"/>
      <c r="S153" s="17"/>
      <c r="T153" s="17"/>
      <c r="U153" s="17"/>
      <c r="V153" s="43"/>
      <c r="W153" s="17"/>
      <c r="X153" s="17"/>
    </row>
    <row r="154" spans="1:26" x14ac:dyDescent="0.25">
      <c r="D154" s="17"/>
      <c r="E154" s="17"/>
      <c r="G154" s="17"/>
      <c r="H154" s="17"/>
      <c r="I154" s="17"/>
      <c r="J154" s="43"/>
      <c r="K154" s="17"/>
      <c r="L154" s="17"/>
      <c r="M154" s="17"/>
      <c r="P154" s="17"/>
      <c r="Q154" s="17"/>
      <c r="R154" s="43"/>
      <c r="S154" s="17"/>
      <c r="T154" s="17"/>
      <c r="U154" s="17"/>
      <c r="V154" s="43"/>
      <c r="W154" s="17"/>
      <c r="X154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301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559361.14</v>
      </c>
      <c r="E12" s="4"/>
      <c r="F12" s="12"/>
      <c r="G12" s="4"/>
      <c r="H12" s="4">
        <f>SUM(OSRRefH13x_0)</f>
        <v>599990</v>
      </c>
      <c r="I12" s="4"/>
      <c r="J12" s="12"/>
      <c r="K12" s="4"/>
      <c r="L12" s="4">
        <f t="shared" ref="L12:L23" si="0">+D12-H12</f>
        <v>-40628.859999999986</v>
      </c>
      <c r="M12" s="4"/>
      <c r="N12" s="12">
        <f t="shared" ref="N12:N23" si="1">IF(H12=0,0,L12/H12)</f>
        <v>-6.7715895264921055E-2</v>
      </c>
      <c r="O12" s="10"/>
      <c r="P12" s="4">
        <f>SUM(OSRRefP13x_0)</f>
        <v>2670369.5200000005</v>
      </c>
      <c r="Q12" s="4"/>
      <c r="R12" s="12"/>
      <c r="S12" s="4"/>
      <c r="T12" s="4">
        <f>SUM(OSRRefT13x_0)</f>
        <v>3067739</v>
      </c>
      <c r="U12" s="4"/>
      <c r="V12" s="12"/>
      <c r="W12" s="4"/>
      <c r="X12" s="4">
        <f t="shared" ref="X12:X23" si="2">+P12-T12</f>
        <v>-397369.47999999952</v>
      </c>
      <c r="Y12" s="4"/>
      <c r="Z12" s="12">
        <f t="shared" ref="Z12:Z23" si="3">IF(T12=0,0,X12/T12)</f>
        <v>-0.12953171048775647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315750</v>
      </c>
      <c r="I13" s="2"/>
      <c r="J13" s="19"/>
      <c r="K13" s="2"/>
      <c r="L13" s="2">
        <f t="shared" si="0"/>
        <v>-315750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1554299</v>
      </c>
      <c r="U13" s="2"/>
      <c r="V13" s="19"/>
      <c r="W13" s="2"/>
      <c r="X13" s="2">
        <f t="shared" si="2"/>
        <v>-1554299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--57390.66</f>
        <v>57390.66</v>
      </c>
      <c r="E14" s="2"/>
      <c r="F14" s="19"/>
      <c r="G14" s="2"/>
      <c r="H14" s="2"/>
      <c r="I14" s="2"/>
      <c r="J14" s="19"/>
      <c r="K14" s="2"/>
      <c r="L14" s="2">
        <f t="shared" si="0"/>
        <v>57390.66</v>
      </c>
      <c r="M14" s="2"/>
      <c r="N14" s="19">
        <f t="shared" si="1"/>
        <v>0</v>
      </c>
      <c r="O14" s="11"/>
      <c r="P14" s="2">
        <f>--283007.33</f>
        <v>283007.33</v>
      </c>
      <c r="Q14" s="2"/>
      <c r="R14" s="19"/>
      <c r="S14" s="2"/>
      <c r="T14" s="2"/>
      <c r="U14" s="2"/>
      <c r="V14" s="19"/>
      <c r="W14" s="2"/>
      <c r="X14" s="2">
        <f t="shared" si="2"/>
        <v>283007.33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"4052", " - ", "TAXABLE SALES-FOOD")</f>
        <v xml:space="preserve">          4052 - TAXABLE SALES-FOOD</v>
      </c>
      <c r="C15" s="11"/>
      <c r="D15" s="2">
        <f>--85023.13</f>
        <v>85023.13</v>
      </c>
      <c r="E15" s="2"/>
      <c r="F15" s="19"/>
      <c r="G15" s="2"/>
      <c r="H15" s="2"/>
      <c r="I15" s="2"/>
      <c r="J15" s="19"/>
      <c r="K15" s="2"/>
      <c r="L15" s="2">
        <f t="shared" si="0"/>
        <v>85023.13</v>
      </c>
      <c r="M15" s="2"/>
      <c r="N15" s="19">
        <f t="shared" si="1"/>
        <v>0</v>
      </c>
      <c r="O15" s="11"/>
      <c r="P15" s="2">
        <f>--453845.53</f>
        <v>453845.53</v>
      </c>
      <c r="Q15" s="2"/>
      <c r="R15" s="19"/>
      <c r="S15" s="2"/>
      <c r="T15" s="2"/>
      <c r="U15" s="2"/>
      <c r="V15" s="19"/>
      <c r="W15" s="2"/>
      <c r="X15" s="2">
        <f t="shared" si="2"/>
        <v>453845.53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--10014.68</f>
        <v>10014.68</v>
      </c>
      <c r="E16" s="2"/>
      <c r="F16" s="19"/>
      <c r="G16" s="2"/>
      <c r="H16" s="2"/>
      <c r="I16" s="2"/>
      <c r="J16" s="19"/>
      <c r="K16" s="2"/>
      <c r="L16" s="2">
        <f t="shared" si="0"/>
        <v>10014.68</v>
      </c>
      <c r="M16" s="2"/>
      <c r="N16" s="19">
        <f t="shared" si="1"/>
        <v>0</v>
      </c>
      <c r="O16" s="11"/>
      <c r="P16" s="2">
        <f>--70515.29</f>
        <v>70515.289999999994</v>
      </c>
      <c r="Q16" s="2"/>
      <c r="R16" s="19"/>
      <c r="S16" s="2"/>
      <c r="T16" s="2"/>
      <c r="U16" s="2"/>
      <c r="V16" s="19"/>
      <c r="W16" s="2"/>
      <c r="X16" s="2">
        <f t="shared" si="2"/>
        <v>70515.289999999994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"4055", " - ", "TAXABLE SALES-FOOD")</f>
        <v xml:space="preserve">          4055 - TAXABLE SALES-FOOD</v>
      </c>
      <c r="C17" s="11"/>
      <c r="D17" s="2">
        <f>--49116.37</f>
        <v>49116.37</v>
      </c>
      <c r="E17" s="2"/>
      <c r="F17" s="19"/>
      <c r="G17" s="2"/>
      <c r="H17" s="2"/>
      <c r="I17" s="2"/>
      <c r="J17" s="19"/>
      <c r="K17" s="2"/>
      <c r="L17" s="2">
        <f t="shared" si="0"/>
        <v>49116.37</v>
      </c>
      <c r="M17" s="2"/>
      <c r="N17" s="19">
        <f t="shared" si="1"/>
        <v>0</v>
      </c>
      <c r="O17" s="11"/>
      <c r="P17" s="2">
        <f>--235107.97</f>
        <v>235107.97</v>
      </c>
      <c r="Q17" s="2"/>
      <c r="R17" s="19"/>
      <c r="S17" s="2"/>
      <c r="T17" s="2"/>
      <c r="U17" s="2"/>
      <c r="V17" s="19"/>
      <c r="W17" s="2"/>
      <c r="X17" s="2">
        <f t="shared" si="2"/>
        <v>235107.97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"4058", " - ", "TAXABLE SALES-FOOD")</f>
        <v xml:space="preserve">          4058 - TAXABLE SALES-FOOD</v>
      </c>
      <c r="C18" s="11"/>
      <c r="D18" s="2">
        <f>--14656.48</f>
        <v>14656.48</v>
      </c>
      <c r="E18" s="2"/>
      <c r="F18" s="19"/>
      <c r="G18" s="2"/>
      <c r="H18" s="2"/>
      <c r="I18" s="2"/>
      <c r="J18" s="19"/>
      <c r="K18" s="2"/>
      <c r="L18" s="2">
        <f t="shared" si="0"/>
        <v>14656.48</v>
      </c>
      <c r="M18" s="2"/>
      <c r="N18" s="19">
        <f t="shared" si="1"/>
        <v>0</v>
      </c>
      <c r="O18" s="11"/>
      <c r="P18" s="2">
        <f>--78802.41</f>
        <v>78802.41</v>
      </c>
      <c r="Q18" s="2"/>
      <c r="R18" s="19"/>
      <c r="S18" s="2"/>
      <c r="T18" s="2"/>
      <c r="U18" s="2"/>
      <c r="V18" s="19"/>
      <c r="W18" s="2"/>
      <c r="X18" s="2">
        <f t="shared" si="2"/>
        <v>78802.41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19"/>
      <c r="G19" s="2"/>
      <c r="H19" s="2">
        <v>284240</v>
      </c>
      <c r="I19" s="2"/>
      <c r="J19" s="19"/>
      <c r="K19" s="2"/>
      <c r="L19" s="2">
        <f t="shared" si="0"/>
        <v>-284240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v>1513440</v>
      </c>
      <c r="U19" s="2"/>
      <c r="V19" s="19"/>
      <c r="W19" s="2"/>
      <c r="X19" s="2">
        <f t="shared" si="2"/>
        <v>-1513440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"4151", " - ", "NON-TAXABLE SALES-FOOD")</f>
        <v xml:space="preserve">          4151 - NON-TAXABLE SALES-FOOD</v>
      </c>
      <c r="C20" s="11"/>
      <c r="D20" s="2">
        <f>--183372.01</f>
        <v>183372.01</v>
      </c>
      <c r="E20" s="2"/>
      <c r="F20" s="19"/>
      <c r="G20" s="2"/>
      <c r="H20" s="2"/>
      <c r="I20" s="2"/>
      <c r="J20" s="19"/>
      <c r="K20" s="2"/>
      <c r="L20" s="2">
        <f t="shared" si="0"/>
        <v>183372.01</v>
      </c>
      <c r="M20" s="2"/>
      <c r="N20" s="19">
        <f t="shared" si="1"/>
        <v>0</v>
      </c>
      <c r="O20" s="11"/>
      <c r="P20" s="2">
        <f>--824397.09</f>
        <v>824397.09</v>
      </c>
      <c r="Q20" s="2"/>
      <c r="R20" s="19"/>
      <c r="S20" s="2"/>
      <c r="T20" s="2"/>
      <c r="U20" s="2"/>
      <c r="V20" s="19"/>
      <c r="W20" s="2"/>
      <c r="X20" s="2">
        <f t="shared" si="2"/>
        <v>824397.09</v>
      </c>
      <c r="Y20" s="2"/>
      <c r="Z20" s="19">
        <f t="shared" si="3"/>
        <v>0</v>
      </c>
    </row>
    <row r="21" spans="1:26" s="24" customFormat="1" hidden="1" outlineLevel="1" x14ac:dyDescent="0.25">
      <c r="A21" s="44"/>
      <c r="B21" s="11" t="str">
        <f>CONCATENATE("          ", "4152", " - ", "NON-TAXABLE SALES-FOOD")</f>
        <v xml:space="preserve">          4152 - NON-TAXABLE SALES-FOOD</v>
      </c>
      <c r="C21" s="11"/>
      <c r="D21" s="2">
        <f>--5402.66</f>
        <v>5402.66</v>
      </c>
      <c r="E21" s="2"/>
      <c r="F21" s="19"/>
      <c r="G21" s="2"/>
      <c r="H21" s="2"/>
      <c r="I21" s="2"/>
      <c r="J21" s="19"/>
      <c r="K21" s="2"/>
      <c r="L21" s="2">
        <f t="shared" si="0"/>
        <v>5402.66</v>
      </c>
      <c r="M21" s="2"/>
      <c r="N21" s="19">
        <f t="shared" si="1"/>
        <v>0</v>
      </c>
      <c r="O21" s="11"/>
      <c r="P21" s="2">
        <f>--30341.45</f>
        <v>30341.45</v>
      </c>
      <c r="Q21" s="2"/>
      <c r="R21" s="19"/>
      <c r="S21" s="2"/>
      <c r="T21" s="2"/>
      <c r="U21" s="2"/>
      <c r="V21" s="19"/>
      <c r="W21" s="2"/>
      <c r="X21" s="2">
        <f t="shared" si="2"/>
        <v>30341.45</v>
      </c>
      <c r="Y21" s="2"/>
      <c r="Z21" s="19">
        <f t="shared" si="3"/>
        <v>0</v>
      </c>
    </row>
    <row r="22" spans="1:26" s="24" customFormat="1" hidden="1" outlineLevel="1" x14ac:dyDescent="0.25">
      <c r="A22" s="44"/>
      <c r="B22" s="11" t="str">
        <f>CONCATENATE("          ", "4155", " - ", "NON-TAXABLE SALES-FOOD")</f>
        <v xml:space="preserve">          4155 - NON-TAXABLE SALES-FOOD</v>
      </c>
      <c r="C22" s="11"/>
      <c r="D22" s="2">
        <f>--89218.16</f>
        <v>89218.16</v>
      </c>
      <c r="E22" s="2"/>
      <c r="F22" s="19"/>
      <c r="G22" s="2"/>
      <c r="H22" s="2"/>
      <c r="I22" s="2"/>
      <c r="J22" s="19"/>
      <c r="K22" s="2"/>
      <c r="L22" s="2">
        <f t="shared" si="0"/>
        <v>89218.16</v>
      </c>
      <c r="M22" s="2"/>
      <c r="N22" s="19">
        <f t="shared" si="1"/>
        <v>0</v>
      </c>
      <c r="O22" s="11"/>
      <c r="P22" s="2">
        <f>--421465.19</f>
        <v>421465.19</v>
      </c>
      <c r="Q22" s="2"/>
      <c r="R22" s="19"/>
      <c r="S22" s="2"/>
      <c r="T22" s="2"/>
      <c r="U22" s="2"/>
      <c r="V22" s="19"/>
      <c r="W22" s="2"/>
      <c r="X22" s="2">
        <f t="shared" si="2"/>
        <v>421465.19</v>
      </c>
      <c r="Y22" s="2"/>
      <c r="Z22" s="19">
        <f t="shared" si="3"/>
        <v>0</v>
      </c>
    </row>
    <row r="23" spans="1:26" s="24" customFormat="1" hidden="1" outlineLevel="1" x14ac:dyDescent="0.25">
      <c r="A23" s="44"/>
      <c r="B23" s="11" t="str">
        <f>CONCATENATE("          ", "4158", " - ", "NON-TAXABLE SALES-FOOD")</f>
        <v xml:space="preserve">          4158 - NON-TAXABLE SALES-FOOD</v>
      </c>
      <c r="C23" s="11"/>
      <c r="D23" s="2">
        <f>--65166.99</f>
        <v>65166.99</v>
      </c>
      <c r="E23" s="2"/>
      <c r="F23" s="19"/>
      <c r="G23" s="2"/>
      <c r="H23" s="2"/>
      <c r="I23" s="2"/>
      <c r="J23" s="19"/>
      <c r="K23" s="2"/>
      <c r="L23" s="2">
        <f t="shared" si="0"/>
        <v>65166.99</v>
      </c>
      <c r="M23" s="2"/>
      <c r="N23" s="19">
        <f t="shared" si="1"/>
        <v>0</v>
      </c>
      <c r="O23" s="11"/>
      <c r="P23" s="2">
        <f>--272887.26</f>
        <v>272887.26</v>
      </c>
      <c r="Q23" s="2"/>
      <c r="R23" s="19"/>
      <c r="S23" s="2"/>
      <c r="T23" s="2"/>
      <c r="U23" s="2"/>
      <c r="V23" s="19"/>
      <c r="W23" s="2"/>
      <c r="X23" s="2">
        <f t="shared" si="2"/>
        <v>272887.26</v>
      </c>
      <c r="Y23" s="2"/>
      <c r="Z23" s="19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9" t="s">
        <v>8</v>
      </c>
      <c r="C25" s="10"/>
      <c r="D25" s="4">
        <f>SUM(OSRRefD16x_0)</f>
        <v>189266.8</v>
      </c>
      <c r="E25" s="4"/>
      <c r="F25" s="12">
        <f t="shared" ref="F25:F28" si="4">IF(D$12=0,0,D25/D$12)</f>
        <v>0.3383624396932543</v>
      </c>
      <c r="G25" s="4"/>
      <c r="H25" s="4">
        <f>SUM(OSRRefH16x_0)</f>
        <v>196990</v>
      </c>
      <c r="I25" s="4"/>
      <c r="J25" s="12">
        <f t="shared" ref="J25:J28" si="5">IF(H$12=0,0,H25/H$12)</f>
        <v>0.32832213870231169</v>
      </c>
      <c r="K25" s="4"/>
      <c r="L25" s="4">
        <f t="shared" ref="L25:L28" si="6">+D25-H25</f>
        <v>-7723.2000000000116</v>
      </c>
      <c r="M25" s="4"/>
      <c r="N25" s="12">
        <f t="shared" ref="N25:N28" si="7">IF(H25=0,0,L25/H25)</f>
        <v>-3.9206051068582222E-2</v>
      </c>
      <c r="O25" s="10"/>
      <c r="P25" s="4">
        <f>SUM(OSRRefP16x_0)</f>
        <v>874671.59000000008</v>
      </c>
      <c r="Q25" s="4"/>
      <c r="R25" s="12">
        <f t="shared" ref="R25:R28" si="8">IF(P$12=0,0,P25/P$12)</f>
        <v>0.32754702427849758</v>
      </c>
      <c r="S25" s="4"/>
      <c r="T25" s="4">
        <f>SUM(OSRRefT16x_0)</f>
        <v>963330</v>
      </c>
      <c r="U25" s="4"/>
      <c r="V25" s="12">
        <f t="shared" ref="V25:V28" si="9">IF(T$12=0,0,T25/T$12)</f>
        <v>0.3140195433835799</v>
      </c>
      <c r="W25" s="4"/>
      <c r="X25" s="4">
        <f t="shared" ref="X25:X28" si="10">+P25-T25</f>
        <v>-88658.409999999916</v>
      </c>
      <c r="Y25" s="4"/>
      <c r="Z25" s="12">
        <f t="shared" ref="Z25:Z28" si="11">IF(T25=0,0,X25/T25)</f>
        <v>-9.2033270011314824E-2</v>
      </c>
    </row>
    <row r="26" spans="1:26" s="24" customFormat="1" hidden="1" outlineLevel="1" x14ac:dyDescent="0.25">
      <c r="A26" s="44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19">
        <f t="shared" si="4"/>
        <v>0</v>
      </c>
      <c r="G26" s="2"/>
      <c r="H26" s="2">
        <v>196990</v>
      </c>
      <c r="I26" s="2"/>
      <c r="J26" s="19">
        <f t="shared" si="5"/>
        <v>0.32832213870231169</v>
      </c>
      <c r="K26" s="2"/>
      <c r="L26" s="2">
        <f t="shared" si="6"/>
        <v>-196990</v>
      </c>
      <c r="M26" s="2"/>
      <c r="N26" s="19">
        <f t="shared" si="7"/>
        <v>-1</v>
      </c>
      <c r="O26" s="11"/>
      <c r="P26" s="2"/>
      <c r="Q26" s="2"/>
      <c r="R26" s="19">
        <f t="shared" si="8"/>
        <v>0</v>
      </c>
      <c r="S26" s="2"/>
      <c r="T26" s="2">
        <v>963330</v>
      </c>
      <c r="U26" s="2"/>
      <c r="V26" s="19">
        <f t="shared" si="9"/>
        <v>0.3140195433835799</v>
      </c>
      <c r="W26" s="2"/>
      <c r="X26" s="2">
        <f t="shared" si="10"/>
        <v>-963330</v>
      </c>
      <c r="Y26" s="2"/>
      <c r="Z26" s="19">
        <f t="shared" si="11"/>
        <v>-1</v>
      </c>
    </row>
    <row r="27" spans="1:26" s="24" customFormat="1" hidden="1" outlineLevel="1" x14ac:dyDescent="0.25">
      <c r="A27" s="44"/>
      <c r="B27" s="11" t="str">
        <f>CONCATENATE("          ", "5053", " - ", "PURCHASES @ COST-FOOD")</f>
        <v xml:space="preserve">          5053 - PURCHASES @ COST-FOOD</v>
      </c>
      <c r="C27" s="11"/>
      <c r="D27" s="2">
        <v>181470.34</v>
      </c>
      <c r="E27" s="2"/>
      <c r="F27" s="19">
        <f t="shared" si="4"/>
        <v>0.32442428875198587</v>
      </c>
      <c r="G27" s="2"/>
      <c r="H27" s="2"/>
      <c r="I27" s="2"/>
      <c r="J27" s="19">
        <f t="shared" si="5"/>
        <v>0</v>
      </c>
      <c r="K27" s="2"/>
      <c r="L27" s="2">
        <f t="shared" si="6"/>
        <v>181470.34</v>
      </c>
      <c r="M27" s="2"/>
      <c r="N27" s="19">
        <f t="shared" si="7"/>
        <v>0</v>
      </c>
      <c r="O27" s="11"/>
      <c r="P27" s="2">
        <v>906527.28</v>
      </c>
      <c r="Q27" s="2"/>
      <c r="R27" s="19">
        <f t="shared" si="8"/>
        <v>0.33947634333393673</v>
      </c>
      <c r="S27" s="2"/>
      <c r="T27" s="2"/>
      <c r="U27" s="2"/>
      <c r="V27" s="19">
        <f t="shared" si="9"/>
        <v>0</v>
      </c>
      <c r="W27" s="2"/>
      <c r="X27" s="2">
        <f t="shared" si="10"/>
        <v>906527.28</v>
      </c>
      <c r="Y27" s="2"/>
      <c r="Z27" s="19">
        <f t="shared" si="11"/>
        <v>0</v>
      </c>
    </row>
    <row r="28" spans="1:26" s="24" customFormat="1" hidden="1" outlineLevel="1" x14ac:dyDescent="0.25">
      <c r="A28" s="44"/>
      <c r="B28" s="11" t="str">
        <f>CONCATENATE("          ", "5059", " - ", "PURCHASES @ COST-FOOD")</f>
        <v xml:space="preserve">          5059 - PURCHASES @ COST-FOOD</v>
      </c>
      <c r="C28" s="11"/>
      <c r="D28" s="2">
        <v>7796.46</v>
      </c>
      <c r="E28" s="2"/>
      <c r="F28" s="19">
        <f t="shared" si="4"/>
        <v>1.3938150941268462E-2</v>
      </c>
      <c r="G28" s="2"/>
      <c r="H28" s="2"/>
      <c r="I28" s="2"/>
      <c r="J28" s="19">
        <f t="shared" si="5"/>
        <v>0</v>
      </c>
      <c r="K28" s="2"/>
      <c r="L28" s="2">
        <f t="shared" si="6"/>
        <v>7796.46</v>
      </c>
      <c r="M28" s="2"/>
      <c r="N28" s="19">
        <f t="shared" si="7"/>
        <v>0</v>
      </c>
      <c r="O28" s="11"/>
      <c r="P28" s="2">
        <v>-31855.69</v>
      </c>
      <c r="Q28" s="2"/>
      <c r="R28" s="19">
        <f t="shared" si="8"/>
        <v>-1.1929319055439187E-2</v>
      </c>
      <c r="S28" s="2"/>
      <c r="T28" s="2"/>
      <c r="U28" s="2"/>
      <c r="V28" s="19">
        <f t="shared" si="9"/>
        <v>0</v>
      </c>
      <c r="W28" s="2"/>
      <c r="X28" s="2">
        <f t="shared" si="10"/>
        <v>-31855.69</v>
      </c>
      <c r="Y28" s="2"/>
      <c r="Z28" s="19">
        <f t="shared" si="11"/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8" t="s">
        <v>6</v>
      </c>
      <c r="C30" s="28"/>
      <c r="D30" s="20">
        <f>D12-D25</f>
        <v>370094.34</v>
      </c>
      <c r="E30" s="14"/>
      <c r="F30" s="22">
        <f>IF(D$12=0,0,D30/D$12)</f>
        <v>0.6616375603067457</v>
      </c>
      <c r="G30" s="14"/>
      <c r="H30" s="20">
        <f>H12-H25</f>
        <v>403000</v>
      </c>
      <c r="I30" s="14"/>
      <c r="J30" s="22">
        <f>IF(H$12=0,0,H30/H$12)</f>
        <v>0.67167786129768825</v>
      </c>
      <c r="K30" s="16"/>
      <c r="L30" s="20">
        <f>+D30-H30</f>
        <v>-32905.659999999974</v>
      </c>
      <c r="M30" s="16"/>
      <c r="N30" s="22">
        <f>IF(H30=0,0,L30/H30)</f>
        <v>-8.1651761786600427E-2</v>
      </c>
      <c r="O30" s="29"/>
      <c r="P30" s="20">
        <f>P12-P25</f>
        <v>1795697.9300000004</v>
      </c>
      <c r="Q30" s="14"/>
      <c r="R30" s="22">
        <f>IF(P$12=0,0,P30/P$12)</f>
        <v>0.67245297572150242</v>
      </c>
      <c r="S30" s="14"/>
      <c r="T30" s="20">
        <f>T12-T25</f>
        <v>2104409</v>
      </c>
      <c r="U30" s="14"/>
      <c r="V30" s="22">
        <f>IF(T$12=0,0,T30/T$12)</f>
        <v>0.68598045661642015</v>
      </c>
      <c r="W30" s="16"/>
      <c r="X30" s="20">
        <f>+P30-T30</f>
        <v>-308711.0699999996</v>
      </c>
      <c r="Y30" s="16"/>
      <c r="Z30" s="22">
        <f>IF(T30=0,0,X30/T30)</f>
        <v>-0.14669727700271173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9" t="s">
        <v>9</v>
      </c>
      <c r="C32" s="10"/>
      <c r="D32" s="21">
        <f>SUM(OSRRefD22x_0)</f>
        <v>463317.77000000025</v>
      </c>
      <c r="E32" s="21"/>
      <c r="F32" s="33">
        <f t="shared" ref="F32:F43" si="12">IF(D$12=0,0,D32/D$12)</f>
        <v>0.82829810093708023</v>
      </c>
      <c r="G32" s="21"/>
      <c r="H32" s="21">
        <f>SUM(OSRRefH22x_0)</f>
        <v>441887.45320197759</v>
      </c>
      <c r="I32" s="21"/>
      <c r="J32" s="33">
        <f t="shared" ref="J32:J43" si="13">IF(H$12=0,0,H32/H$12)</f>
        <v>0.7364913635260214</v>
      </c>
      <c r="K32" s="4"/>
      <c r="L32" s="21">
        <f t="shared" ref="L32:L43" si="14">+D32-H32</f>
        <v>21430.316798022657</v>
      </c>
      <c r="M32" s="4"/>
      <c r="N32" s="33">
        <f t="shared" ref="N32:N43" si="15">IF(H32=0,0,L32/H32)</f>
        <v>4.8497228519922025E-2</v>
      </c>
      <c r="O32" s="10"/>
      <c r="P32" s="21">
        <f>SUM(OSRRefP22x_0)</f>
        <v>2393156.9799999995</v>
      </c>
      <c r="Q32" s="21"/>
      <c r="R32" s="33">
        <f t="shared" ref="R32:R43" si="16">IF(P$12=0,0,P32/P$12)</f>
        <v>0.89618944572135439</v>
      </c>
      <c r="S32" s="21"/>
      <c r="T32" s="21">
        <f>SUM(OSRRefT22x_0)</f>
        <v>2336817.2550218129</v>
      </c>
      <c r="U32" s="21"/>
      <c r="V32" s="33">
        <f t="shared" ref="V32:V43" si="17">IF(T$12=0,0,T32/T$12)</f>
        <v>0.76173926628758604</v>
      </c>
      <c r="W32" s="4"/>
      <c r="X32" s="21">
        <f t="shared" ref="X32:X43" si="18">+P32-T32</f>
        <v>56339.724978186656</v>
      </c>
      <c r="Y32" s="4"/>
      <c r="Z32" s="33">
        <f t="shared" ref="Z32:Z43" si="19">IF(T32=0,0,X32/T32)</f>
        <v>2.4109598154118714E-2</v>
      </c>
    </row>
    <row r="33" spans="1:26" s="26" customFormat="1" outlineLevel="1" collapsed="1" x14ac:dyDescent="0.25">
      <c r="A33" s="27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64696.899999999994</v>
      </c>
      <c r="E33" s="1"/>
      <c r="F33" s="5">
        <f t="shared" si="12"/>
        <v>0.11566212840598829</v>
      </c>
      <c r="G33" s="1"/>
      <c r="H33" s="1">
        <f>SUM(OSRRefH22_0x_0)</f>
        <v>61058.714278900618</v>
      </c>
      <c r="I33" s="1"/>
      <c r="J33" s="5">
        <f t="shared" si="13"/>
        <v>0.10176621990183272</v>
      </c>
      <c r="K33" s="1"/>
      <c r="L33" s="1">
        <f t="shared" si="14"/>
        <v>3638.1857210993767</v>
      </c>
      <c r="M33" s="1"/>
      <c r="N33" s="5">
        <f t="shared" si="15"/>
        <v>5.958503653517945E-2</v>
      </c>
      <c r="O33" s="13"/>
      <c r="P33" s="1">
        <f>SUM(OSRRefP22_0x_0)</f>
        <v>340693.22</v>
      </c>
      <c r="Q33" s="1"/>
      <c r="R33" s="5">
        <f t="shared" si="16"/>
        <v>0.12758279985161003</v>
      </c>
      <c r="S33" s="1"/>
      <c r="T33" s="1">
        <f>SUM(OSRRefT22_0x_0)</f>
        <v>333850.78609488986</v>
      </c>
      <c r="U33" s="1"/>
      <c r="V33" s="5">
        <f t="shared" si="17"/>
        <v>0.10882633304035638</v>
      </c>
      <c r="W33" s="1"/>
      <c r="X33" s="1">
        <f t="shared" si="18"/>
        <v>6842.4339051101124</v>
      </c>
      <c r="Y33" s="1"/>
      <c r="Z33" s="5">
        <f t="shared" si="19"/>
        <v>2.0495485378804225E-2</v>
      </c>
    </row>
    <row r="34" spans="1:26" s="24" customFormat="1" hidden="1" outlineLevel="2" x14ac:dyDescent="0.25">
      <c r="A34" s="25"/>
      <c r="B34" s="11" t="str">
        <f>CONCATENATE("          ", "6111", " - ", "F.I.C.A.")</f>
        <v xml:space="preserve">          6111 - F.I.C.A.</v>
      </c>
      <c r="C34" s="11"/>
      <c r="D34" s="6">
        <v>11324.56</v>
      </c>
      <c r="E34" s="2"/>
      <c r="F34" s="7">
        <f t="shared" si="12"/>
        <v>2.0245525100295668E-2</v>
      </c>
      <c r="G34" s="2"/>
      <c r="H34" s="6">
        <v>9775.4784022975418</v>
      </c>
      <c r="I34" s="2"/>
      <c r="J34" s="7">
        <f t="shared" si="13"/>
        <v>1.6292735549421726E-2</v>
      </c>
      <c r="K34" s="2"/>
      <c r="L34" s="6">
        <f t="shared" si="14"/>
        <v>1549.0815977024577</v>
      </c>
      <c r="M34" s="2"/>
      <c r="N34" s="7">
        <f t="shared" si="15"/>
        <v>0.15846606518391726</v>
      </c>
      <c r="O34" s="11"/>
      <c r="P34" s="6">
        <v>69326.38</v>
      </c>
      <c r="Q34" s="2"/>
      <c r="R34" s="7">
        <f t="shared" si="16"/>
        <v>2.5961343357454137E-2</v>
      </c>
      <c r="S34" s="2"/>
      <c r="T34" s="6">
        <v>57955.535081994472</v>
      </c>
      <c r="U34" s="2"/>
      <c r="V34" s="7">
        <f t="shared" si="17"/>
        <v>1.889193803058033E-2</v>
      </c>
      <c r="W34" s="2"/>
      <c r="X34" s="6">
        <f t="shared" si="18"/>
        <v>11370.844918005532</v>
      </c>
      <c r="Y34" s="2"/>
      <c r="Z34" s="7">
        <f t="shared" si="19"/>
        <v>0.1961994639842124</v>
      </c>
    </row>
    <row r="35" spans="1:26" s="24" customFormat="1" hidden="1" outlineLevel="2" x14ac:dyDescent="0.25">
      <c r="A35" s="25"/>
      <c r="B35" s="11" t="str">
        <f>CONCATENATE("          ", "6112", " - ", "COMPENSATION INSURANCE")</f>
        <v xml:space="preserve">          6112 - COMPENSATION INSURANCE</v>
      </c>
      <c r="C35" s="11"/>
      <c r="D35" s="6">
        <v>9079.14</v>
      </c>
      <c r="E35" s="2"/>
      <c r="F35" s="7">
        <f t="shared" si="12"/>
        <v>1.6231266977180431E-2</v>
      </c>
      <c r="G35" s="2"/>
      <c r="H35" s="6">
        <v>8242.9970267138433</v>
      </c>
      <c r="I35" s="2"/>
      <c r="J35" s="7">
        <f t="shared" si="13"/>
        <v>1.3738557353812303E-2</v>
      </c>
      <c r="K35" s="2"/>
      <c r="L35" s="6">
        <f t="shared" si="14"/>
        <v>836.14297328615612</v>
      </c>
      <c r="M35" s="2"/>
      <c r="N35" s="7">
        <f t="shared" si="15"/>
        <v>0.10143676754660838</v>
      </c>
      <c r="O35" s="11"/>
      <c r="P35" s="6">
        <v>27196.69</v>
      </c>
      <c r="Q35" s="2"/>
      <c r="R35" s="7">
        <f t="shared" si="16"/>
        <v>1.0184616696793332E-2</v>
      </c>
      <c r="S35" s="2"/>
      <c r="T35" s="6">
        <v>42715.386452606144</v>
      </c>
      <c r="U35" s="2"/>
      <c r="V35" s="7">
        <f t="shared" si="17"/>
        <v>1.3924061483915725E-2</v>
      </c>
      <c r="W35" s="2"/>
      <c r="X35" s="6">
        <f t="shared" si="18"/>
        <v>-15518.696452606146</v>
      </c>
      <c r="Y35" s="2"/>
      <c r="Z35" s="7">
        <f t="shared" si="19"/>
        <v>-0.36330460148884647</v>
      </c>
    </row>
    <row r="36" spans="1:26" s="24" customFormat="1" hidden="1" outlineLevel="2" x14ac:dyDescent="0.25">
      <c r="A36" s="25"/>
      <c r="B36" s="11" t="str">
        <f>CONCATENATE("          ", "6113", " - ", "GROUP INSURANCE")</f>
        <v xml:space="preserve">          6113 - GROUP INSURANCE</v>
      </c>
      <c r="C36" s="11"/>
      <c r="D36" s="6">
        <v>23214.5</v>
      </c>
      <c r="E36" s="2"/>
      <c r="F36" s="7">
        <f t="shared" si="12"/>
        <v>4.150181044038919E-2</v>
      </c>
      <c r="G36" s="2"/>
      <c r="H36" s="6">
        <v>21568.415384615389</v>
      </c>
      <c r="I36" s="2"/>
      <c r="J36" s="7">
        <f t="shared" si="13"/>
        <v>3.5947958106994096E-2</v>
      </c>
      <c r="K36" s="2"/>
      <c r="L36" s="6">
        <f t="shared" si="14"/>
        <v>1646.0846153846105</v>
      </c>
      <c r="M36" s="2"/>
      <c r="N36" s="7">
        <f t="shared" si="15"/>
        <v>7.6319218914837478E-2</v>
      </c>
      <c r="O36" s="11"/>
      <c r="P36" s="6">
        <v>105775.6</v>
      </c>
      <c r="Q36" s="2"/>
      <c r="R36" s="7">
        <f t="shared" si="16"/>
        <v>3.961084756539611E-2</v>
      </c>
      <c r="S36" s="2"/>
      <c r="T36" s="6">
        <v>110281.5730769231</v>
      </c>
      <c r="U36" s="2"/>
      <c r="V36" s="7">
        <f t="shared" si="17"/>
        <v>3.5948812163265224E-2</v>
      </c>
      <c r="W36" s="2"/>
      <c r="X36" s="6">
        <f t="shared" si="18"/>
        <v>-4505.9730769230955</v>
      </c>
      <c r="Y36" s="2"/>
      <c r="Z36" s="7">
        <f t="shared" si="19"/>
        <v>-4.085880307293141E-2</v>
      </c>
    </row>
    <row r="37" spans="1:26" s="24" customFormat="1" hidden="1" outlineLevel="2" x14ac:dyDescent="0.25">
      <c r="A37" s="25"/>
      <c r="B37" s="11" t="str">
        <f>CONCATENATE("          ", "6114", " - ", "STATE UNEMPLOYMENT INSURANCE")</f>
        <v xml:space="preserve">          6114 - STATE UNEMPLOYMENT INSURANCE</v>
      </c>
      <c r="C37" s="11"/>
      <c r="D37" s="6">
        <v>648.67999999999995</v>
      </c>
      <c r="E37" s="2"/>
      <c r="F37" s="7">
        <f t="shared" si="12"/>
        <v>1.1596801308006487E-3</v>
      </c>
      <c r="G37" s="2"/>
      <c r="H37" s="6">
        <v>588.70926311999995</v>
      </c>
      <c r="I37" s="2"/>
      <c r="J37" s="7">
        <f t="shared" si="13"/>
        <v>9.8119845850764176E-4</v>
      </c>
      <c r="K37" s="2"/>
      <c r="L37" s="6">
        <f t="shared" si="14"/>
        <v>59.970736880000004</v>
      </c>
      <c r="M37" s="2"/>
      <c r="N37" s="7">
        <f t="shared" si="15"/>
        <v>0.10186817269049124</v>
      </c>
      <c r="O37" s="11"/>
      <c r="P37" s="6">
        <v>2900.1</v>
      </c>
      <c r="Q37" s="2"/>
      <c r="R37" s="7">
        <f t="shared" si="16"/>
        <v>1.086029472055987E-3</v>
      </c>
      <c r="S37" s="2"/>
      <c r="T37" s="6">
        <v>3063.9465135200003</v>
      </c>
      <c r="U37" s="2"/>
      <c r="V37" s="7">
        <f t="shared" si="17"/>
        <v>9.9876375190979414E-4</v>
      </c>
      <c r="W37" s="2"/>
      <c r="X37" s="6">
        <f t="shared" si="18"/>
        <v>-163.84651352000037</v>
      </c>
      <c r="Y37" s="2"/>
      <c r="Z37" s="7">
        <f t="shared" si="19"/>
        <v>-5.3475644172314901E-2</v>
      </c>
    </row>
    <row r="38" spans="1:26" s="24" customFormat="1" hidden="1" outlineLevel="2" x14ac:dyDescent="0.25">
      <c r="A38" s="25"/>
      <c r="B38" s="11" t="str">
        <f>CONCATENATE("          ", "6115", " - ", "P.E.R.S.")</f>
        <v xml:space="preserve">          6115 - P.E.R.S.</v>
      </c>
      <c r="C38" s="11"/>
      <c r="D38" s="6">
        <v>6762.88</v>
      </c>
      <c r="E38" s="2"/>
      <c r="F38" s="7">
        <f t="shared" si="12"/>
        <v>1.2090364375330042E-2</v>
      </c>
      <c r="G38" s="2"/>
      <c r="H38" s="6">
        <v>6790.4317276923139</v>
      </c>
      <c r="I38" s="2"/>
      <c r="J38" s="7">
        <f t="shared" si="13"/>
        <v>1.1317574839067842E-2</v>
      </c>
      <c r="K38" s="2"/>
      <c r="L38" s="6">
        <f t="shared" si="14"/>
        <v>-27.551727692313762</v>
      </c>
      <c r="M38" s="2"/>
      <c r="N38" s="7">
        <f t="shared" si="15"/>
        <v>-4.0574338712447439E-3</v>
      </c>
      <c r="O38" s="11"/>
      <c r="P38" s="6">
        <v>35546</v>
      </c>
      <c r="Q38" s="2"/>
      <c r="R38" s="7">
        <f t="shared" si="16"/>
        <v>1.3311266374849872E-2</v>
      </c>
      <c r="S38" s="2"/>
      <c r="T38" s="6">
        <v>37347.374502307721</v>
      </c>
      <c r="U38" s="2"/>
      <c r="V38" s="7">
        <f t="shared" si="17"/>
        <v>1.2174234673258618E-2</v>
      </c>
      <c r="W38" s="2"/>
      <c r="X38" s="6">
        <f t="shared" si="18"/>
        <v>-1801.3745023077208</v>
      </c>
      <c r="Y38" s="2"/>
      <c r="Z38" s="7">
        <f t="shared" si="19"/>
        <v>-4.8232962191128388E-2</v>
      </c>
    </row>
    <row r="39" spans="1:26" s="24" customFormat="1" hidden="1" outlineLevel="2" x14ac:dyDescent="0.25">
      <c r="A39" s="25"/>
      <c r="B39" s="11" t="str">
        <f>CONCATENATE("          ", "6116", " - ", "EDUCATIONAL BENEFITS")</f>
        <v xml:space="preserve">          6116 - EDUCATIONAL BENEFITS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8000</v>
      </c>
      <c r="U39" s="2"/>
      <c r="V39" s="7">
        <f t="shared" si="17"/>
        <v>2.6077837782158132E-3</v>
      </c>
      <c r="W39" s="2"/>
      <c r="X39" s="6">
        <f t="shared" si="18"/>
        <v>-8000</v>
      </c>
      <c r="Y39" s="2"/>
      <c r="Z39" s="7">
        <f t="shared" si="19"/>
        <v>-1</v>
      </c>
    </row>
    <row r="40" spans="1:26" s="24" customFormat="1" hidden="1" outlineLevel="2" x14ac:dyDescent="0.25">
      <c r="A40" s="25"/>
      <c r="B40" s="11" t="str">
        <f>CONCATENATE("          ", "6117", " - ", "RETIREMENT STAFF HOURLY")</f>
        <v xml:space="preserve">          6117 - RETIREMENT STAFF HOURLY</v>
      </c>
      <c r="C40" s="11"/>
      <c r="D40" s="6">
        <v>56</v>
      </c>
      <c r="E40" s="2"/>
      <c r="F40" s="7">
        <f t="shared" si="12"/>
        <v>1.0011421243885479E-4</v>
      </c>
      <c r="G40" s="2"/>
      <c r="H40" s="6"/>
      <c r="I40" s="2"/>
      <c r="J40" s="7">
        <f t="shared" si="13"/>
        <v>0</v>
      </c>
      <c r="K40" s="2"/>
      <c r="L40" s="6">
        <f t="shared" si="14"/>
        <v>56</v>
      </c>
      <c r="M40" s="2"/>
      <c r="N40" s="7">
        <f t="shared" si="15"/>
        <v>0</v>
      </c>
      <c r="O40" s="11"/>
      <c r="P40" s="6">
        <v>308</v>
      </c>
      <c r="Q40" s="2"/>
      <c r="R40" s="7">
        <f t="shared" si="16"/>
        <v>1.1533984255482363E-4</v>
      </c>
      <c r="S40" s="2"/>
      <c r="T40" s="6"/>
      <c r="U40" s="2"/>
      <c r="V40" s="7">
        <f t="shared" si="17"/>
        <v>0</v>
      </c>
      <c r="W40" s="2"/>
      <c r="X40" s="6">
        <f t="shared" si="18"/>
        <v>308</v>
      </c>
      <c r="Y40" s="2"/>
      <c r="Z40" s="7">
        <f t="shared" si="19"/>
        <v>0</v>
      </c>
    </row>
    <row r="41" spans="1:26" s="24" customFormat="1" hidden="1" outlineLevel="2" x14ac:dyDescent="0.25">
      <c r="A41" s="25"/>
      <c r="B41" s="11" t="str">
        <f>CONCATENATE("          ", "6118", " - ", "VACATION")</f>
        <v xml:space="preserve">          6118 - VACATION</v>
      </c>
      <c r="C41" s="11"/>
      <c r="D41" s="6">
        <v>6170.88</v>
      </c>
      <c r="E41" s="2"/>
      <c r="F41" s="7">
        <f t="shared" si="12"/>
        <v>1.1032014129547862E-2</v>
      </c>
      <c r="G41" s="2"/>
      <c r="H41" s="6">
        <v>5209.6624076923054</v>
      </c>
      <c r="I41" s="2"/>
      <c r="J41" s="7">
        <f t="shared" si="13"/>
        <v>8.6829153947437544E-3</v>
      </c>
      <c r="K41" s="2"/>
      <c r="L41" s="6">
        <f t="shared" si="14"/>
        <v>961.21759230769476</v>
      </c>
      <c r="M41" s="2"/>
      <c r="N41" s="7">
        <f t="shared" si="15"/>
        <v>0.18450669488456928</v>
      </c>
      <c r="O41" s="11"/>
      <c r="P41" s="6">
        <v>38912.720000000001</v>
      </c>
      <c r="Q41" s="2"/>
      <c r="R41" s="7">
        <f t="shared" si="16"/>
        <v>1.4572035708376417E-2</v>
      </c>
      <c r="S41" s="2"/>
      <c r="T41" s="6">
        <v>28609.754642307675</v>
      </c>
      <c r="U41" s="2"/>
      <c r="V41" s="7">
        <f t="shared" si="17"/>
        <v>9.3260067568680625E-3</v>
      </c>
      <c r="W41" s="2"/>
      <c r="X41" s="6">
        <f t="shared" si="18"/>
        <v>10302.965357692327</v>
      </c>
      <c r="Y41" s="2"/>
      <c r="Z41" s="7">
        <f t="shared" si="19"/>
        <v>0.3601207170947372</v>
      </c>
    </row>
    <row r="42" spans="1:26" s="24" customFormat="1" hidden="1" outlineLevel="2" x14ac:dyDescent="0.25">
      <c r="A42" s="25"/>
      <c r="B42" s="11" t="str">
        <f>CONCATENATE("          ", "6119", " - ", "SICK LEAVE")</f>
        <v xml:space="preserve">          6119 - SICK LEAVE</v>
      </c>
      <c r="C42" s="11"/>
      <c r="D42" s="6">
        <v>4702.12</v>
      </c>
      <c r="E42" s="2"/>
      <c r="F42" s="7">
        <f t="shared" si="12"/>
        <v>8.4062328677319276E-3</v>
      </c>
      <c r="G42" s="2"/>
      <c r="H42" s="6">
        <v>7158.0200667692279</v>
      </c>
      <c r="I42" s="2"/>
      <c r="J42" s="7">
        <f t="shared" si="13"/>
        <v>1.1930232281820077E-2</v>
      </c>
      <c r="K42" s="2"/>
      <c r="L42" s="6">
        <f t="shared" si="14"/>
        <v>-2455.900066769228</v>
      </c>
      <c r="M42" s="2"/>
      <c r="N42" s="7">
        <f t="shared" si="15"/>
        <v>-0.3430976783888367</v>
      </c>
      <c r="O42" s="11"/>
      <c r="P42" s="6">
        <v>47914.12</v>
      </c>
      <c r="Q42" s="2"/>
      <c r="R42" s="7">
        <f t="shared" si="16"/>
        <v>1.7942880055041969E-2</v>
      </c>
      <c r="S42" s="2"/>
      <c r="T42" s="6">
        <v>37252.215825230764</v>
      </c>
      <c r="U42" s="2"/>
      <c r="V42" s="7">
        <f t="shared" si="17"/>
        <v>1.2143215516453898E-2</v>
      </c>
      <c r="W42" s="2"/>
      <c r="X42" s="6">
        <f t="shared" si="18"/>
        <v>10661.904174769239</v>
      </c>
      <c r="Y42" s="2"/>
      <c r="Z42" s="7">
        <f t="shared" si="19"/>
        <v>0.28620859024305279</v>
      </c>
    </row>
    <row r="43" spans="1:26" s="24" customFormat="1" hidden="1" outlineLevel="2" x14ac:dyDescent="0.25">
      <c r="A43" s="25"/>
      <c r="B43" s="11" t="str">
        <f>CONCATENATE("          ", "6156", " - ", "EMPLOYEE MEALS")</f>
        <v xml:space="preserve">          6156 - EMPLOYEE MEALS</v>
      </c>
      <c r="C43" s="11"/>
      <c r="D43" s="6">
        <v>2738.14</v>
      </c>
      <c r="E43" s="2"/>
      <c r="F43" s="7">
        <f t="shared" si="12"/>
        <v>4.8951201722736764E-3</v>
      </c>
      <c r="G43" s="2"/>
      <c r="H43" s="6">
        <v>1725</v>
      </c>
      <c r="I43" s="2"/>
      <c r="J43" s="7">
        <f t="shared" si="13"/>
        <v>2.8750479174652912E-3</v>
      </c>
      <c r="K43" s="2"/>
      <c r="L43" s="6">
        <f t="shared" si="14"/>
        <v>1013.1399999999999</v>
      </c>
      <c r="M43" s="2"/>
      <c r="N43" s="7">
        <f t="shared" si="15"/>
        <v>0.58732753623188394</v>
      </c>
      <c r="O43" s="11"/>
      <c r="P43" s="6">
        <v>12813.61</v>
      </c>
      <c r="Q43" s="2"/>
      <c r="R43" s="7">
        <f t="shared" si="16"/>
        <v>4.7984407790873816E-3</v>
      </c>
      <c r="S43" s="2"/>
      <c r="T43" s="6">
        <v>8625</v>
      </c>
      <c r="U43" s="2"/>
      <c r="V43" s="7">
        <f t="shared" si="17"/>
        <v>2.8115168858889234E-3</v>
      </c>
      <c r="W43" s="2"/>
      <c r="X43" s="6">
        <f t="shared" si="18"/>
        <v>4188.6100000000006</v>
      </c>
      <c r="Y43" s="2"/>
      <c r="Z43" s="7">
        <f t="shared" si="19"/>
        <v>0.48563594202898558</v>
      </c>
    </row>
    <row r="44" spans="1:26" s="26" customFormat="1" outlineLevel="1" collapsed="1" x14ac:dyDescent="0.25">
      <c r="A44" s="27"/>
      <c r="B44" s="13" t="str">
        <f>CONCATENATE("     ","*Payroll                                          ")</f>
        <v xml:space="preserve">     *Payroll                                          </v>
      </c>
      <c r="C44" s="13"/>
      <c r="D44" s="1">
        <f>SUM(OSRRefD22_1x_0)</f>
        <v>214322.08</v>
      </c>
      <c r="E44" s="1"/>
      <c r="F44" s="5">
        <f t="shared" ref="F44:F54" si="20">IF(D$12=0,0,D44/D$12)</f>
        <v>0.38315511156173626</v>
      </c>
      <c r="G44" s="1"/>
      <c r="H44" s="1">
        <f>SUM(OSRRefH22_1x_0)</f>
        <v>210643.49892307693</v>
      </c>
      <c r="I44" s="1"/>
      <c r="J44" s="5">
        <f t="shared" ref="J44:J54" si="21">IF(H$12=0,0,H44/H$12)</f>
        <v>0.3510783495109534</v>
      </c>
      <c r="K44" s="1"/>
      <c r="L44" s="1">
        <f t="shared" ref="L44:L54" si="22">+D44-H44</f>
        <v>3678.5810769230593</v>
      </c>
      <c r="M44" s="1"/>
      <c r="N44" s="5">
        <f t="shared" ref="N44:N54" si="23">IF(H44=0,0,L44/H44)</f>
        <v>1.7463539562008551E-2</v>
      </c>
      <c r="O44" s="13"/>
      <c r="P44" s="1">
        <f>SUM(OSRRefP22_1x_0)</f>
        <v>1103067.8400000001</v>
      </c>
      <c r="Q44" s="1"/>
      <c r="R44" s="5">
        <f t="shared" ref="R44:R54" si="24">IF(P$12=0,0,P44/P$12)</f>
        <v>0.41307685387301751</v>
      </c>
      <c r="S44" s="1"/>
      <c r="T44" s="1">
        <f>SUM(OSRRefT22_1x_0)</f>
        <v>1095214.1289269233</v>
      </c>
      <c r="U44" s="1"/>
      <c r="V44" s="5">
        <f t="shared" ref="V44:V54" si="25">IF(T$12=0,0,T44/T$12)</f>
        <v>0.35701020488604907</v>
      </c>
      <c r="W44" s="1"/>
      <c r="X44" s="1">
        <f t="shared" ref="X44:X54" si="26">+P44-T44</f>
        <v>7853.7110730768181</v>
      </c>
      <c r="Y44" s="1"/>
      <c r="Z44" s="5">
        <f t="shared" ref="Z44:Z54" si="27">IF(T44=0,0,X44/T44)</f>
        <v>7.1709365918898281E-3</v>
      </c>
    </row>
    <row r="45" spans="1:26" s="24" customFormat="1" hidden="1" outlineLevel="2" x14ac:dyDescent="0.25">
      <c r="A45" s="25"/>
      <c r="B45" s="11" t="str">
        <f>CONCATENATE("          ", "6001", " - ", "ADMINISTRATIVE SALARIES")</f>
        <v xml:space="preserve">          6001 - ADMINISTRATIVE SALARIES</v>
      </c>
      <c r="C45" s="11"/>
      <c r="D45" s="6">
        <v>16486.030000000002</v>
      </c>
      <c r="E45" s="2"/>
      <c r="F45" s="7">
        <f t="shared" si="20"/>
        <v>2.9472962673095241E-2</v>
      </c>
      <c r="G45" s="2"/>
      <c r="H45" s="6">
        <v>20213.021076923069</v>
      </c>
      <c r="I45" s="2"/>
      <c r="J45" s="7">
        <f t="shared" si="21"/>
        <v>3.3688929943704177E-2</v>
      </c>
      <c r="K45" s="2"/>
      <c r="L45" s="6">
        <f t="shared" si="22"/>
        <v>-3726.9910769230664</v>
      </c>
      <c r="M45" s="2"/>
      <c r="N45" s="7">
        <f t="shared" si="23"/>
        <v>-0.18438565233467852</v>
      </c>
      <c r="O45" s="11"/>
      <c r="P45" s="6">
        <v>86742.09</v>
      </c>
      <c r="Q45" s="2"/>
      <c r="R45" s="7">
        <f t="shared" si="24"/>
        <v>3.2483178582715391E-2</v>
      </c>
      <c r="S45" s="2"/>
      <c r="T45" s="6">
        <v>111171.61592307691</v>
      </c>
      <c r="U45" s="2"/>
      <c r="V45" s="7">
        <f t="shared" si="25"/>
        <v>3.6238942075279841E-2</v>
      </c>
      <c r="W45" s="2"/>
      <c r="X45" s="6">
        <f t="shared" si="26"/>
        <v>-24429.525923076915</v>
      </c>
      <c r="Y45" s="2"/>
      <c r="Z45" s="7">
        <f t="shared" si="27"/>
        <v>-0.21974607205476315</v>
      </c>
    </row>
    <row r="46" spans="1:26" s="24" customFormat="1" hidden="1" outlineLevel="2" x14ac:dyDescent="0.25">
      <c r="A46" s="25"/>
      <c r="B46" s="11" t="str">
        <f>CONCATENATE("          ", "6002", " - ", "STAFF SALARIES")</f>
        <v xml:space="preserve">          6002 - STAFF SALARIES</v>
      </c>
      <c r="C46" s="11"/>
      <c r="D46" s="6">
        <v>60375.06</v>
      </c>
      <c r="E46" s="2"/>
      <c r="F46" s="7">
        <f t="shared" si="20"/>
        <v>0.10793574255086794</v>
      </c>
      <c r="G46" s="2"/>
      <c r="H46" s="6">
        <v>51367.801646153872</v>
      </c>
      <c r="I46" s="2"/>
      <c r="J46" s="7">
        <f t="shared" si="21"/>
        <v>8.5614429650750626E-2</v>
      </c>
      <c r="K46" s="2"/>
      <c r="L46" s="6">
        <f t="shared" si="22"/>
        <v>9007.2583538461258</v>
      </c>
      <c r="M46" s="2"/>
      <c r="N46" s="7">
        <f t="shared" si="23"/>
        <v>0.17534833232483754</v>
      </c>
      <c r="O46" s="11"/>
      <c r="P46" s="6">
        <v>300865.44</v>
      </c>
      <c r="Q46" s="2"/>
      <c r="R46" s="7">
        <f t="shared" si="24"/>
        <v>0.1126680924668433</v>
      </c>
      <c r="S46" s="2"/>
      <c r="T46" s="6">
        <v>282522.9090538462</v>
      </c>
      <c r="U46" s="2"/>
      <c r="V46" s="7">
        <f t="shared" si="25"/>
        <v>9.2094832400620191E-2</v>
      </c>
      <c r="W46" s="2"/>
      <c r="X46" s="6">
        <f t="shared" si="26"/>
        <v>18342.530946153798</v>
      </c>
      <c r="Y46" s="2"/>
      <c r="Z46" s="7">
        <f t="shared" si="27"/>
        <v>6.4924048133236101E-2</v>
      </c>
    </row>
    <row r="47" spans="1:26" s="24" customFormat="1" hidden="1" outlineLevel="2" x14ac:dyDescent="0.25">
      <c r="A47" s="25"/>
      <c r="B47" s="11" t="str">
        <f>CONCATENATE("          ", "6003", " - ", "STAFF HOURLY-9 MONTH")</f>
        <v xml:space="preserve">          6003 - STAFF HOURLY-9 MONTH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4" customFormat="1" hidden="1" outlineLevel="2" x14ac:dyDescent="0.25">
      <c r="A48" s="25"/>
      <c r="B48" s="11" t="str">
        <f>CONCATENATE("          ", "6004", " - ", "STAFF HOURLY")</f>
        <v xml:space="preserve">          6004 - STAFF HOURLY</v>
      </c>
      <c r="C48" s="11"/>
      <c r="D48" s="6">
        <v>20555.48</v>
      </c>
      <c r="E48" s="2"/>
      <c r="F48" s="7">
        <f t="shared" si="20"/>
        <v>3.6748137348261267E-2</v>
      </c>
      <c r="G48" s="2"/>
      <c r="H48" s="6">
        <v>47052.282199999994</v>
      </c>
      <c r="I48" s="2"/>
      <c r="J48" s="7">
        <f t="shared" si="21"/>
        <v>7.8421777362956038E-2</v>
      </c>
      <c r="K48" s="2"/>
      <c r="L48" s="6">
        <f t="shared" si="22"/>
        <v>-26496.802199999995</v>
      </c>
      <c r="M48" s="2"/>
      <c r="N48" s="7">
        <f t="shared" si="23"/>
        <v>-0.56313532439028002</v>
      </c>
      <c r="O48" s="11"/>
      <c r="P48" s="6">
        <v>103390.75</v>
      </c>
      <c r="Q48" s="2"/>
      <c r="R48" s="7">
        <f t="shared" si="24"/>
        <v>3.8717768917614061E-2</v>
      </c>
      <c r="S48" s="2"/>
      <c r="T48" s="6">
        <v>262107.57644999999</v>
      </c>
      <c r="U48" s="2"/>
      <c r="V48" s="7">
        <f t="shared" si="25"/>
        <v>8.5439985751721376E-2</v>
      </c>
      <c r="W48" s="2"/>
      <c r="X48" s="6">
        <f t="shared" si="26"/>
        <v>-158716.82644999999</v>
      </c>
      <c r="Y48" s="2"/>
      <c r="Z48" s="7">
        <f t="shared" si="27"/>
        <v>-0.60554078062019334</v>
      </c>
    </row>
    <row r="49" spans="1:26" s="24" customFormat="1" hidden="1" outlineLevel="2" x14ac:dyDescent="0.25">
      <c r="A49" s="25"/>
      <c r="B49" s="11" t="str">
        <f>CONCATENATE("          ", "6005", " - ", "TEMPORARY WAGES-HOURLY")</f>
        <v xml:space="preserve">          6005 - TEMPORARY WAGES-HOURLY</v>
      </c>
      <c r="C49" s="11"/>
      <c r="D49" s="6">
        <v>45444.68</v>
      </c>
      <c r="E49" s="2"/>
      <c r="F49" s="7">
        <f t="shared" si="20"/>
        <v>8.1243899066710284E-2</v>
      </c>
      <c r="G49" s="2"/>
      <c r="H49" s="6">
        <v>29475.393999999997</v>
      </c>
      <c r="I49" s="2"/>
      <c r="J49" s="7">
        <f t="shared" si="21"/>
        <v>4.9126475441257346E-2</v>
      </c>
      <c r="K49" s="2"/>
      <c r="L49" s="6">
        <f t="shared" si="22"/>
        <v>15969.286000000004</v>
      </c>
      <c r="M49" s="2"/>
      <c r="N49" s="7">
        <f t="shared" si="23"/>
        <v>0.54178363145883668</v>
      </c>
      <c r="O49" s="11"/>
      <c r="P49" s="6">
        <v>235929.49</v>
      </c>
      <c r="Q49" s="2"/>
      <c r="R49" s="7">
        <f t="shared" si="24"/>
        <v>8.8350877372207259E-2</v>
      </c>
      <c r="S49" s="2"/>
      <c r="T49" s="6">
        <v>145147.965</v>
      </c>
      <c r="U49" s="2"/>
      <c r="V49" s="7">
        <f t="shared" si="25"/>
        <v>4.7314313571004574E-2</v>
      </c>
      <c r="W49" s="2"/>
      <c r="X49" s="6">
        <f t="shared" si="26"/>
        <v>90781.524999999994</v>
      </c>
      <c r="Y49" s="2"/>
      <c r="Z49" s="7">
        <f t="shared" si="27"/>
        <v>0.62544125231104686</v>
      </c>
    </row>
    <row r="50" spans="1:26" s="24" customFormat="1" hidden="1" outlineLevel="2" x14ac:dyDescent="0.25">
      <c r="A50" s="25"/>
      <c r="B50" s="11" t="str">
        <f>CONCATENATE("          ", "6006", " - ", "TEMPORARY PART TIME")</f>
        <v xml:space="preserve">          6006 - TEMPORARY PART TIME</v>
      </c>
      <c r="C50" s="11"/>
      <c r="D50" s="6">
        <v>611</v>
      </c>
      <c r="E50" s="2"/>
      <c r="F50" s="7">
        <f t="shared" si="20"/>
        <v>1.092317567859648E-3</v>
      </c>
      <c r="G50" s="2"/>
      <c r="H50" s="6">
        <v>0</v>
      </c>
      <c r="I50" s="2"/>
      <c r="J50" s="7">
        <f t="shared" si="21"/>
        <v>0</v>
      </c>
      <c r="K50" s="2"/>
      <c r="L50" s="6">
        <f t="shared" si="22"/>
        <v>611</v>
      </c>
      <c r="M50" s="2"/>
      <c r="N50" s="7">
        <f t="shared" si="23"/>
        <v>0</v>
      </c>
      <c r="O50" s="11"/>
      <c r="P50" s="6">
        <v>10073.9</v>
      </c>
      <c r="Q50" s="2"/>
      <c r="R50" s="7">
        <f t="shared" si="24"/>
        <v>3.7724741555618109E-3</v>
      </c>
      <c r="S50" s="2"/>
      <c r="T50" s="6">
        <v>0</v>
      </c>
      <c r="U50" s="2"/>
      <c r="V50" s="7">
        <f t="shared" si="25"/>
        <v>0</v>
      </c>
      <c r="W50" s="2"/>
      <c r="X50" s="6">
        <f t="shared" si="26"/>
        <v>10073.9</v>
      </c>
      <c r="Y50" s="2"/>
      <c r="Z50" s="7">
        <f t="shared" si="27"/>
        <v>0</v>
      </c>
    </row>
    <row r="51" spans="1:26" s="24" customFormat="1" hidden="1" outlineLevel="2" x14ac:dyDescent="0.25">
      <c r="A51" s="25"/>
      <c r="B51" s="11" t="str">
        <f>CONCATENATE("          ", "6007", " - ", "STUDENT HOURLY")</f>
        <v xml:space="preserve">          6007 - STUDENT HOURLY</v>
      </c>
      <c r="C51" s="11"/>
      <c r="D51" s="6">
        <v>67105.539999999994</v>
      </c>
      <c r="E51" s="2"/>
      <c r="F51" s="7">
        <f t="shared" si="20"/>
        <v>0.11996818370328692</v>
      </c>
      <c r="G51" s="2"/>
      <c r="H51" s="6">
        <v>892.5</v>
      </c>
      <c r="I51" s="2"/>
      <c r="J51" s="7">
        <f t="shared" si="21"/>
        <v>1.4875247920798679E-3</v>
      </c>
      <c r="K51" s="2"/>
      <c r="L51" s="6">
        <f t="shared" si="22"/>
        <v>66213.039999999994</v>
      </c>
      <c r="M51" s="2"/>
      <c r="N51" s="7">
        <f t="shared" si="23"/>
        <v>74.188280112044808</v>
      </c>
      <c r="O51" s="11"/>
      <c r="P51" s="6">
        <v>347974.91</v>
      </c>
      <c r="Q51" s="2"/>
      <c r="R51" s="7">
        <f t="shared" si="24"/>
        <v>0.13030964718321078</v>
      </c>
      <c r="S51" s="2"/>
      <c r="T51" s="6">
        <v>47223.8</v>
      </c>
      <c r="U51" s="2"/>
      <c r="V51" s="7">
        <f t="shared" si="25"/>
        <v>1.5393682448213489E-2</v>
      </c>
      <c r="W51" s="2"/>
      <c r="X51" s="6">
        <f t="shared" si="26"/>
        <v>300751.11</v>
      </c>
      <c r="Y51" s="2"/>
      <c r="Z51" s="7">
        <f t="shared" si="27"/>
        <v>6.3686342479851259</v>
      </c>
    </row>
    <row r="52" spans="1:26" s="24" customFormat="1" hidden="1" outlineLevel="2" x14ac:dyDescent="0.25">
      <c r="A52" s="25"/>
      <c r="B52" s="11" t="str">
        <f>CONCATENATE("          ", "6008", " - ", "STUDENT HOURLY-FICA EXEMPT")</f>
        <v xml:space="preserve">          6008 - STUDENT HOURLY-FICA EXEMPT</v>
      </c>
      <c r="C52" s="11"/>
      <c r="D52" s="6">
        <v>3744.29</v>
      </c>
      <c r="E52" s="2"/>
      <c r="F52" s="7">
        <f t="shared" si="20"/>
        <v>6.6938686516549934E-3</v>
      </c>
      <c r="G52" s="2"/>
      <c r="H52" s="6">
        <v>61642.5</v>
      </c>
      <c r="I52" s="2"/>
      <c r="J52" s="7">
        <f t="shared" si="21"/>
        <v>0.10273921232020533</v>
      </c>
      <c r="K52" s="2"/>
      <c r="L52" s="6">
        <f t="shared" si="22"/>
        <v>-57898.21</v>
      </c>
      <c r="M52" s="2"/>
      <c r="N52" s="7">
        <f t="shared" si="23"/>
        <v>-0.93925797947844425</v>
      </c>
      <c r="O52" s="11"/>
      <c r="P52" s="6">
        <v>18091.259999999998</v>
      </c>
      <c r="Q52" s="2"/>
      <c r="R52" s="7">
        <f t="shared" si="24"/>
        <v>6.7748151948648647E-3</v>
      </c>
      <c r="S52" s="2"/>
      <c r="T52" s="6">
        <v>247040.26249999998</v>
      </c>
      <c r="U52" s="2"/>
      <c r="V52" s="7">
        <f t="shared" si="25"/>
        <v>8.0528448639209521E-2</v>
      </c>
      <c r="W52" s="2"/>
      <c r="X52" s="6">
        <f t="shared" si="26"/>
        <v>-228949.00249999997</v>
      </c>
      <c r="Y52" s="2"/>
      <c r="Z52" s="7">
        <f t="shared" si="27"/>
        <v>-0.92676796965433916</v>
      </c>
    </row>
    <row r="53" spans="1:26" s="24" customFormat="1" hidden="1" outlineLevel="2" x14ac:dyDescent="0.25">
      <c r="A53" s="25"/>
      <c r="B53" s="11" t="str">
        <f>CONCATENATE("          ", "6009", " - ", "TEMPORARY-SEASONAL")</f>
        <v xml:space="preserve">          6009 - TEMPORARY-SEASONAL</v>
      </c>
      <c r="C53" s="11"/>
      <c r="D53" s="6"/>
      <c r="E53" s="2"/>
      <c r="F53" s="7">
        <f t="shared" si="20"/>
        <v>0</v>
      </c>
      <c r="G53" s="2"/>
      <c r="H53" s="6">
        <v>0</v>
      </c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/>
      <c r="Q53" s="2"/>
      <c r="R53" s="7">
        <f t="shared" si="24"/>
        <v>0</v>
      </c>
      <c r="S53" s="2"/>
      <c r="T53" s="6">
        <v>0</v>
      </c>
      <c r="U53" s="2"/>
      <c r="V53" s="7">
        <f t="shared" si="25"/>
        <v>0</v>
      </c>
      <c r="W53" s="2"/>
      <c r="X53" s="6">
        <f t="shared" si="26"/>
        <v>0</v>
      </c>
      <c r="Y53" s="2"/>
      <c r="Z53" s="7">
        <f t="shared" si="27"/>
        <v>0</v>
      </c>
    </row>
    <row r="54" spans="1:26" s="24" customFormat="1" hidden="1" outlineLevel="2" x14ac:dyDescent="0.25">
      <c r="A54" s="25"/>
      <c r="B54" s="11" t="str">
        <f>CONCATENATE("          ", "6010", " - ", "GRATUITY")</f>
        <v xml:space="preserve">          6010 - GRATUITY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6" customFormat="1" outlineLevel="1" collapsed="1" x14ac:dyDescent="0.25">
      <c r="A55" s="27"/>
      <c r="B55" s="13" t="str">
        <f>CONCATENATE("     ","Advertising/Promo                                 ")</f>
        <v xml:space="preserve">     Advertising/Promo                                 </v>
      </c>
      <c r="C55" s="13"/>
      <c r="D55" s="1">
        <f>SUM(OSRRefD22_2x_0)</f>
        <v>4267.8900000000003</v>
      </c>
      <c r="E55" s="1"/>
      <c r="F55" s="5">
        <f t="shared" ref="F55:F65" si="28">IF(D$12=0,0,D55/D$12)</f>
        <v>7.6299365379582859E-3</v>
      </c>
      <c r="G55" s="1"/>
      <c r="H55" s="1">
        <f>SUM(OSRRefH22_2x_0)</f>
        <v>1885</v>
      </c>
      <c r="I55" s="1"/>
      <c r="J55" s="5">
        <f t="shared" ref="J55:J65" si="29">IF(H$12=0,0,H55/H$12)</f>
        <v>3.1417190286504777E-3</v>
      </c>
      <c r="K55" s="1"/>
      <c r="L55" s="1">
        <f t="shared" ref="L55:L65" si="30">+D55-H55</f>
        <v>2382.8900000000003</v>
      </c>
      <c r="M55" s="1"/>
      <c r="N55" s="5">
        <f t="shared" ref="N55:N65" si="31">IF(H55=0,0,L55/H55)</f>
        <v>1.2641326259946952</v>
      </c>
      <c r="O55" s="13"/>
      <c r="P55" s="1">
        <f>SUM(OSRRefP22_2x_0)</f>
        <v>16937</v>
      </c>
      <c r="Q55" s="1"/>
      <c r="R55" s="5">
        <f t="shared" ref="R55:R65" si="32">IF(P$12=0,0,P55/P$12)</f>
        <v>6.3425679004904152E-3</v>
      </c>
      <c r="S55" s="1"/>
      <c r="T55" s="1">
        <f>SUM(OSRRefT22_2x_0)</f>
        <v>12365</v>
      </c>
      <c r="U55" s="1"/>
      <c r="V55" s="5">
        <f t="shared" ref="V55:V65" si="33">IF(T$12=0,0,T55/T$12)</f>
        <v>4.0306558022048158E-3</v>
      </c>
      <c r="W55" s="1"/>
      <c r="X55" s="1">
        <f t="shared" ref="X55:X65" si="34">+P55-T55</f>
        <v>4572</v>
      </c>
      <c r="Y55" s="1"/>
      <c r="Z55" s="5">
        <f t="shared" ref="Z55:Z65" si="35">IF(T55=0,0,X55/T55)</f>
        <v>0.36975333602911442</v>
      </c>
    </row>
    <row r="56" spans="1:26" s="24" customFormat="1" hidden="1" outlineLevel="2" x14ac:dyDescent="0.25">
      <c r="A56" s="25"/>
      <c r="B56" s="11" t="str">
        <f>CONCATENATE("          ", "6362", " - ", "ADVERTISING EXPENSE")</f>
        <v xml:space="preserve">          6362 - ADVERTISING EXPENSE</v>
      </c>
      <c r="C56" s="11"/>
      <c r="D56" s="6">
        <v>4267.8900000000003</v>
      </c>
      <c r="E56" s="2"/>
      <c r="F56" s="7">
        <f t="shared" si="28"/>
        <v>7.6299365379582859E-3</v>
      </c>
      <c r="G56" s="2"/>
      <c r="H56" s="6">
        <v>1885</v>
      </c>
      <c r="I56" s="2"/>
      <c r="J56" s="7">
        <f t="shared" si="29"/>
        <v>3.1417190286504777E-3</v>
      </c>
      <c r="K56" s="2"/>
      <c r="L56" s="6">
        <f t="shared" si="30"/>
        <v>2382.8900000000003</v>
      </c>
      <c r="M56" s="2"/>
      <c r="N56" s="7">
        <f t="shared" si="31"/>
        <v>1.2641326259946952</v>
      </c>
      <c r="O56" s="11"/>
      <c r="P56" s="6">
        <v>16937</v>
      </c>
      <c r="Q56" s="2"/>
      <c r="R56" s="7">
        <f t="shared" si="32"/>
        <v>6.3425679004904152E-3</v>
      </c>
      <c r="S56" s="2"/>
      <c r="T56" s="6">
        <v>12365</v>
      </c>
      <c r="U56" s="2"/>
      <c r="V56" s="7">
        <f t="shared" si="33"/>
        <v>4.0306558022048158E-3</v>
      </c>
      <c r="W56" s="2"/>
      <c r="X56" s="6">
        <f t="shared" si="34"/>
        <v>4572</v>
      </c>
      <c r="Y56" s="2"/>
      <c r="Z56" s="7">
        <f t="shared" si="35"/>
        <v>0.36975333602911442</v>
      </c>
    </row>
    <row r="57" spans="1:26" s="26" customFormat="1" outlineLevel="1" collapsed="1" x14ac:dyDescent="0.25">
      <c r="A57" s="27"/>
      <c r="B57" s="13" t="str">
        <f>CONCATENATE("     ","Bad Debts/Over/Short                              ")</f>
        <v xml:space="preserve">     Bad Debts/Over/Short                              </v>
      </c>
      <c r="C57" s="13"/>
      <c r="D57" s="1">
        <f>SUM(OSRRefD22_3x_0)</f>
        <v>8.7200000000000006</v>
      </c>
      <c r="E57" s="1"/>
      <c r="F57" s="5">
        <f t="shared" si="28"/>
        <v>1.5589213079764532E-5</v>
      </c>
      <c r="G57" s="1"/>
      <c r="H57" s="1">
        <f>SUM(OSRRefH22_3x_0)</f>
        <v>144</v>
      </c>
      <c r="I57" s="1"/>
      <c r="J57" s="5">
        <f t="shared" si="29"/>
        <v>2.4000400006666777E-4</v>
      </c>
      <c r="K57" s="1"/>
      <c r="L57" s="1">
        <f t="shared" si="30"/>
        <v>-135.28</v>
      </c>
      <c r="M57" s="1"/>
      <c r="N57" s="5">
        <f t="shared" si="31"/>
        <v>-0.93944444444444442</v>
      </c>
      <c r="O57" s="13"/>
      <c r="P57" s="1">
        <f>SUM(OSRRefP22_3x_0)</f>
        <v>-21.23</v>
      </c>
      <c r="Q57" s="1"/>
      <c r="R57" s="5">
        <f t="shared" si="32"/>
        <v>-7.9502105761003429E-6</v>
      </c>
      <c r="S57" s="1"/>
      <c r="T57" s="1">
        <f>SUM(OSRRefT22_3x_0)</f>
        <v>700</v>
      </c>
      <c r="U57" s="1"/>
      <c r="V57" s="5">
        <f t="shared" si="33"/>
        <v>2.2818108059388363E-4</v>
      </c>
      <c r="W57" s="1"/>
      <c r="X57" s="1">
        <f t="shared" si="34"/>
        <v>-721.23</v>
      </c>
      <c r="Y57" s="1"/>
      <c r="Z57" s="5">
        <f t="shared" si="35"/>
        <v>-1.0303285714285715</v>
      </c>
    </row>
    <row r="58" spans="1:26" s="24" customFormat="1" hidden="1" outlineLevel="2" x14ac:dyDescent="0.25">
      <c r="A58" s="25"/>
      <c r="B58" s="11" t="str">
        <f>CONCATENATE("          ", "6272", " - ", "CASH (OVER/SHORT)")</f>
        <v xml:space="preserve">          6272 - CASH (OVER/SHORT)</v>
      </c>
      <c r="C58" s="11"/>
      <c r="D58" s="6">
        <v>8.7200000000000006</v>
      </c>
      <c r="E58" s="2"/>
      <c r="F58" s="7">
        <f t="shared" si="28"/>
        <v>1.5589213079764532E-5</v>
      </c>
      <c r="G58" s="2"/>
      <c r="H58" s="6">
        <v>144</v>
      </c>
      <c r="I58" s="2"/>
      <c r="J58" s="7">
        <f t="shared" si="29"/>
        <v>2.4000400006666777E-4</v>
      </c>
      <c r="K58" s="2"/>
      <c r="L58" s="6">
        <f t="shared" si="30"/>
        <v>-135.28</v>
      </c>
      <c r="M58" s="2"/>
      <c r="N58" s="7">
        <f t="shared" si="31"/>
        <v>-0.93944444444444442</v>
      </c>
      <c r="O58" s="11"/>
      <c r="P58" s="6">
        <v>-21.23</v>
      </c>
      <c r="Q58" s="2"/>
      <c r="R58" s="7">
        <f t="shared" si="32"/>
        <v>-7.9502105761003429E-6</v>
      </c>
      <c r="S58" s="2"/>
      <c r="T58" s="6">
        <v>700</v>
      </c>
      <c r="U58" s="2"/>
      <c r="V58" s="7">
        <f t="shared" si="33"/>
        <v>2.2818108059388363E-4</v>
      </c>
      <c r="W58" s="2"/>
      <c r="X58" s="6">
        <f t="shared" si="34"/>
        <v>-721.23</v>
      </c>
      <c r="Y58" s="2"/>
      <c r="Z58" s="7">
        <f t="shared" si="35"/>
        <v>-1.0303285714285715</v>
      </c>
    </row>
    <row r="59" spans="1:26" s="26" customFormat="1" outlineLevel="1" collapsed="1" x14ac:dyDescent="0.25">
      <c r="A59" s="27"/>
      <c r="B59" s="13" t="str">
        <f>CONCATENATE("     ","Bank/card Fees                                    ")</f>
        <v xml:space="preserve">     Bank/card Fees                                    </v>
      </c>
      <c r="C59" s="13"/>
      <c r="D59" s="1">
        <f>SUM(OSRRefD22_4x_0)</f>
        <v>15621.329999999998</v>
      </c>
      <c r="E59" s="1"/>
      <c r="F59" s="5">
        <f t="shared" si="28"/>
        <v>2.7927091967811703E-2</v>
      </c>
      <c r="G59" s="1"/>
      <c r="H59" s="1">
        <f>SUM(OSRRefH22_4x_0)</f>
        <v>9620</v>
      </c>
      <c r="I59" s="1"/>
      <c r="J59" s="5">
        <f t="shared" si="29"/>
        <v>1.6033600560009333E-2</v>
      </c>
      <c r="K59" s="1"/>
      <c r="L59" s="1">
        <f t="shared" si="30"/>
        <v>6001.3299999999981</v>
      </c>
      <c r="M59" s="1"/>
      <c r="N59" s="5">
        <f t="shared" si="31"/>
        <v>0.62383887733887711</v>
      </c>
      <c r="O59" s="13"/>
      <c r="P59" s="1">
        <f>SUM(OSRRefP22_4x_0)</f>
        <v>78527.8</v>
      </c>
      <c r="Q59" s="1"/>
      <c r="R59" s="5">
        <f t="shared" si="32"/>
        <v>2.9407091195378827E-2</v>
      </c>
      <c r="S59" s="1"/>
      <c r="T59" s="1">
        <f>SUM(OSRRefT22_4x_0)</f>
        <v>52198</v>
      </c>
      <c r="U59" s="1"/>
      <c r="V59" s="5">
        <f t="shared" si="33"/>
        <v>1.7015137206913625E-2</v>
      </c>
      <c r="W59" s="1"/>
      <c r="X59" s="1">
        <f t="shared" si="34"/>
        <v>26329.800000000003</v>
      </c>
      <c r="Y59" s="1"/>
      <c r="Z59" s="5">
        <f t="shared" si="35"/>
        <v>0.50442162534963031</v>
      </c>
    </row>
    <row r="60" spans="1:26" s="24" customFormat="1" hidden="1" outlineLevel="2" x14ac:dyDescent="0.25">
      <c r="A60" s="25"/>
      <c r="B60" s="11" t="str">
        <f>CONCATENATE("          ", "6381", " - ", "BANK/CREDIT CARD FEES")</f>
        <v xml:space="preserve">          6381 - BANK/CREDIT CARD FEES</v>
      </c>
      <c r="C60" s="11"/>
      <c r="D60" s="6">
        <v>15621.329999999998</v>
      </c>
      <c r="E60" s="2"/>
      <c r="F60" s="7">
        <f t="shared" si="28"/>
        <v>2.7927091967811703E-2</v>
      </c>
      <c r="G60" s="2"/>
      <c r="H60" s="6">
        <v>9620</v>
      </c>
      <c r="I60" s="2"/>
      <c r="J60" s="7">
        <f t="shared" si="29"/>
        <v>1.6033600560009333E-2</v>
      </c>
      <c r="K60" s="2"/>
      <c r="L60" s="6">
        <f t="shared" si="30"/>
        <v>6001.3299999999981</v>
      </c>
      <c r="M60" s="2"/>
      <c r="N60" s="7">
        <f t="shared" si="31"/>
        <v>0.62383887733887711</v>
      </c>
      <c r="O60" s="11"/>
      <c r="P60" s="6">
        <v>78527.8</v>
      </c>
      <c r="Q60" s="2"/>
      <c r="R60" s="7">
        <f t="shared" si="32"/>
        <v>2.9407091195378827E-2</v>
      </c>
      <c r="S60" s="2"/>
      <c r="T60" s="6">
        <v>52198</v>
      </c>
      <c r="U60" s="2"/>
      <c r="V60" s="7">
        <f t="shared" si="33"/>
        <v>1.7015137206913625E-2</v>
      </c>
      <c r="W60" s="2"/>
      <c r="X60" s="6">
        <f t="shared" si="34"/>
        <v>26329.800000000003</v>
      </c>
      <c r="Y60" s="2"/>
      <c r="Z60" s="7">
        <f t="shared" si="35"/>
        <v>0.50442162534963031</v>
      </c>
    </row>
    <row r="61" spans="1:26" s="26" customFormat="1" outlineLevel="1" collapsed="1" x14ac:dyDescent="0.25">
      <c r="A61" s="27"/>
      <c r="B61" s="13" t="str">
        <f>CONCATENATE("     ","Depreciation                                      ")</f>
        <v xml:space="preserve">     Depreciation                                      </v>
      </c>
      <c r="C61" s="13"/>
      <c r="D61" s="1">
        <f>SUM(OSRRefD22_5x_0)</f>
        <v>39571.050000000003</v>
      </c>
      <c r="E61" s="1"/>
      <c r="F61" s="5">
        <f t="shared" si="28"/>
        <v>7.0743294752295446E-2</v>
      </c>
      <c r="G61" s="1"/>
      <c r="H61" s="1">
        <f>SUM(OSRRefH22_5x_0)</f>
        <v>44088</v>
      </c>
      <c r="I61" s="1"/>
      <c r="J61" s="5">
        <f t="shared" si="29"/>
        <v>7.3481224687078114E-2</v>
      </c>
      <c r="K61" s="1"/>
      <c r="L61" s="1">
        <f t="shared" si="30"/>
        <v>-4516.9499999999971</v>
      </c>
      <c r="M61" s="1"/>
      <c r="N61" s="5">
        <f t="shared" si="31"/>
        <v>-0.10245304844855736</v>
      </c>
      <c r="O61" s="13"/>
      <c r="P61" s="1">
        <f>SUM(OSRRefP22_5x_0)</f>
        <v>197855.25</v>
      </c>
      <c r="Q61" s="1"/>
      <c r="R61" s="5">
        <f t="shared" si="32"/>
        <v>7.4092835661185935E-2</v>
      </c>
      <c r="S61" s="1"/>
      <c r="T61" s="1">
        <f>SUM(OSRRefT22_5x_0)</f>
        <v>207638</v>
      </c>
      <c r="U61" s="1"/>
      <c r="V61" s="5">
        <f t="shared" si="33"/>
        <v>6.7684376017646875E-2</v>
      </c>
      <c r="W61" s="1"/>
      <c r="X61" s="1">
        <f t="shared" si="34"/>
        <v>-9782.75</v>
      </c>
      <c r="Y61" s="1"/>
      <c r="Z61" s="5">
        <f t="shared" si="35"/>
        <v>-4.7114449185601863E-2</v>
      </c>
    </row>
    <row r="62" spans="1:26" s="24" customFormat="1" hidden="1" outlineLevel="2" x14ac:dyDescent="0.25">
      <c r="A62" s="25"/>
      <c r="B62" s="11" t="str">
        <f>CONCATENATE("          ", "6321", " - ", "BUILDING DEPRECIATION")</f>
        <v xml:space="preserve">          6321 - BUILDING DEPRECIATION</v>
      </c>
      <c r="C62" s="11"/>
      <c r="D62" s="6">
        <v>24042.959999999999</v>
      </c>
      <c r="E62" s="2"/>
      <c r="F62" s="7">
        <f t="shared" si="28"/>
        <v>4.2982892948194434E-2</v>
      </c>
      <c r="G62" s="2"/>
      <c r="H62" s="6">
        <v>23037</v>
      </c>
      <c r="I62" s="2"/>
      <c r="J62" s="7">
        <f t="shared" si="29"/>
        <v>3.8395639927332123E-2</v>
      </c>
      <c r="K62" s="2"/>
      <c r="L62" s="6">
        <f t="shared" si="30"/>
        <v>1005.9599999999991</v>
      </c>
      <c r="M62" s="2"/>
      <c r="N62" s="7">
        <f t="shared" si="31"/>
        <v>4.3667144159395717E-2</v>
      </c>
      <c r="O62" s="11"/>
      <c r="P62" s="6">
        <v>120214.79999999999</v>
      </c>
      <c r="Q62" s="2"/>
      <c r="R62" s="7">
        <f t="shared" si="32"/>
        <v>4.5018039301167566E-2</v>
      </c>
      <c r="S62" s="2"/>
      <c r="T62" s="6">
        <v>115431</v>
      </c>
      <c r="U62" s="2"/>
      <c r="V62" s="7">
        <f t="shared" si="33"/>
        <v>3.7627386162903689E-2</v>
      </c>
      <c r="W62" s="2"/>
      <c r="X62" s="6">
        <f t="shared" si="34"/>
        <v>4783.7999999999884</v>
      </c>
      <c r="Y62" s="2"/>
      <c r="Z62" s="7">
        <f t="shared" si="35"/>
        <v>4.1442939938144768E-2</v>
      </c>
    </row>
    <row r="63" spans="1:26" s="24" customFormat="1" hidden="1" outlineLevel="2" x14ac:dyDescent="0.25">
      <c r="A63" s="25"/>
      <c r="B63" s="11" t="str">
        <f>CONCATENATE("          ", "6322", " - ", "EQUIPMENT DEPRECIATION EXPENSE")</f>
        <v xml:space="preserve">          6322 - EQUIPMENT DEPRECIATION EXPENSE</v>
      </c>
      <c r="C63" s="11"/>
      <c r="D63" s="6">
        <v>15103.84</v>
      </c>
      <c r="E63" s="2"/>
      <c r="F63" s="7">
        <f t="shared" si="28"/>
        <v>2.700194725718701E-2</v>
      </c>
      <c r="G63" s="2"/>
      <c r="H63" s="6">
        <v>15301</v>
      </c>
      <c r="I63" s="2"/>
      <c r="J63" s="7">
        <f t="shared" si="29"/>
        <v>2.5502091701528357E-2</v>
      </c>
      <c r="K63" s="2"/>
      <c r="L63" s="6">
        <f t="shared" si="30"/>
        <v>-197.15999999999985</v>
      </c>
      <c r="M63" s="2"/>
      <c r="N63" s="7">
        <f t="shared" si="31"/>
        <v>-1.2885432324684651E-2</v>
      </c>
      <c r="O63" s="11"/>
      <c r="P63" s="6">
        <v>75519.199999999997</v>
      </c>
      <c r="Q63" s="2"/>
      <c r="R63" s="7">
        <f t="shared" si="32"/>
        <v>2.8280430642422846E-2</v>
      </c>
      <c r="S63" s="2"/>
      <c r="T63" s="6">
        <v>76505</v>
      </c>
      <c r="U63" s="2"/>
      <c r="V63" s="7">
        <f t="shared" si="33"/>
        <v>2.4938562244050097E-2</v>
      </c>
      <c r="W63" s="2"/>
      <c r="X63" s="6">
        <f t="shared" si="34"/>
        <v>-985.80000000000291</v>
      </c>
      <c r="Y63" s="2"/>
      <c r="Z63" s="7">
        <f t="shared" si="35"/>
        <v>-1.28854323246847E-2</v>
      </c>
    </row>
    <row r="64" spans="1:26" s="24" customFormat="1" hidden="1" outlineLevel="2" x14ac:dyDescent="0.25">
      <c r="A64" s="25"/>
      <c r="B64" s="11" t="str">
        <f>CONCATENATE("          ", "6324", " - ", "FURNITURE + FIXT DEPRECIATION")</f>
        <v xml:space="preserve">          6324 - FURNITURE + FIXT DEPRECIATION</v>
      </c>
      <c r="C64" s="11"/>
      <c r="D64" s="6"/>
      <c r="E64" s="2"/>
      <c r="F64" s="7">
        <f t="shared" si="28"/>
        <v>0</v>
      </c>
      <c r="G64" s="2"/>
      <c r="H64" s="6">
        <v>3576</v>
      </c>
      <c r="I64" s="2"/>
      <c r="J64" s="7">
        <f t="shared" si="29"/>
        <v>5.9600993349889168E-3</v>
      </c>
      <c r="K64" s="2"/>
      <c r="L64" s="6">
        <f t="shared" si="30"/>
        <v>-3576</v>
      </c>
      <c r="M64" s="2"/>
      <c r="N64" s="7">
        <f t="shared" si="31"/>
        <v>-1</v>
      </c>
      <c r="O64" s="11"/>
      <c r="P64" s="6"/>
      <c r="Q64" s="2"/>
      <c r="R64" s="7">
        <f t="shared" si="32"/>
        <v>0</v>
      </c>
      <c r="S64" s="2"/>
      <c r="T64" s="6">
        <v>10082</v>
      </c>
      <c r="U64" s="2"/>
      <c r="V64" s="7">
        <f t="shared" si="33"/>
        <v>3.2864595064964783E-3</v>
      </c>
      <c r="W64" s="2"/>
      <c r="X64" s="6">
        <f t="shared" si="34"/>
        <v>-10082</v>
      </c>
      <c r="Y64" s="2"/>
      <c r="Z64" s="7">
        <f t="shared" si="35"/>
        <v>-1</v>
      </c>
    </row>
    <row r="65" spans="1:26" s="24" customFormat="1" hidden="1" outlineLevel="2" x14ac:dyDescent="0.25">
      <c r="A65" s="25"/>
      <c r="B65" s="11" t="str">
        <f>CONCATENATE("          ", "6326", " - ", "VEHICLES DEPRECIATION EXPENSE")</f>
        <v xml:space="preserve">          6326 - VEHICLES DEPRECIATION EXPENSE</v>
      </c>
      <c r="C65" s="11"/>
      <c r="D65" s="6">
        <v>424.25</v>
      </c>
      <c r="E65" s="2"/>
      <c r="F65" s="7">
        <f t="shared" si="28"/>
        <v>7.5845454691400257E-4</v>
      </c>
      <c r="G65" s="2"/>
      <c r="H65" s="6">
        <v>2174</v>
      </c>
      <c r="I65" s="2"/>
      <c r="J65" s="7">
        <f t="shared" si="29"/>
        <v>3.6233937232287203E-3</v>
      </c>
      <c r="K65" s="2"/>
      <c r="L65" s="6">
        <f t="shared" si="30"/>
        <v>-1749.75</v>
      </c>
      <c r="M65" s="2"/>
      <c r="N65" s="7">
        <f t="shared" si="31"/>
        <v>-0.80485280588776453</v>
      </c>
      <c r="O65" s="11"/>
      <c r="P65" s="6">
        <v>2121.25</v>
      </c>
      <c r="Q65" s="2"/>
      <c r="R65" s="7">
        <f t="shared" si="32"/>
        <v>7.9436571759551827E-4</v>
      </c>
      <c r="S65" s="2"/>
      <c r="T65" s="6">
        <v>5620</v>
      </c>
      <c r="U65" s="2"/>
      <c r="V65" s="7">
        <f t="shared" si="33"/>
        <v>1.8319681041966086E-3</v>
      </c>
      <c r="W65" s="2"/>
      <c r="X65" s="6">
        <f t="shared" si="34"/>
        <v>-3498.75</v>
      </c>
      <c r="Y65" s="2"/>
      <c r="Z65" s="7">
        <f t="shared" si="35"/>
        <v>-0.62255338078291811</v>
      </c>
    </row>
    <row r="66" spans="1:26" s="26" customFormat="1" outlineLevel="1" collapsed="1" x14ac:dyDescent="0.25">
      <c r="A66" s="27"/>
      <c r="B66" s="13" t="str">
        <f>CONCATENATE("     ","Donations                                         ")</f>
        <v xml:space="preserve">     Donations                                         </v>
      </c>
      <c r="C66" s="13"/>
      <c r="D66" s="1">
        <f>SUM(OSRRefD22_6x_0)</f>
        <v>0</v>
      </c>
      <c r="E66" s="1"/>
      <c r="F66" s="5">
        <f t="shared" ref="F66:F74" si="36">IF(D$12=0,0,D66/D$12)</f>
        <v>0</v>
      </c>
      <c r="G66" s="1"/>
      <c r="H66" s="1">
        <f>SUM(OSRRefH22_6x_0)</f>
        <v>200</v>
      </c>
      <c r="I66" s="1"/>
      <c r="J66" s="5">
        <f t="shared" ref="J66:J74" si="37">IF(H$12=0,0,H66/H$12)</f>
        <v>3.3333888898148302E-4</v>
      </c>
      <c r="K66" s="1"/>
      <c r="L66" s="1">
        <f t="shared" ref="L66:L74" si="38">+D66-H66</f>
        <v>-200</v>
      </c>
      <c r="M66" s="1"/>
      <c r="N66" s="5">
        <f t="shared" ref="N66:N74" si="39">IF(H66=0,0,L66/H66)</f>
        <v>-1</v>
      </c>
      <c r="O66" s="13"/>
      <c r="P66" s="1">
        <f>SUM(OSRRefP22_6x_0)</f>
        <v>163.68</v>
      </c>
      <c r="Q66" s="1"/>
      <c r="R66" s="5">
        <f t="shared" ref="R66:R74" si="40">IF(P$12=0,0,P66/P$12)</f>
        <v>6.1294887757706268E-5</v>
      </c>
      <c r="S66" s="1"/>
      <c r="T66" s="1">
        <f>SUM(OSRRefT22_6x_0)</f>
        <v>1000</v>
      </c>
      <c r="U66" s="1"/>
      <c r="V66" s="5">
        <f t="shared" ref="V66:V74" si="41">IF(T$12=0,0,T66/T$12)</f>
        <v>3.2597297227697665E-4</v>
      </c>
      <c r="W66" s="1"/>
      <c r="X66" s="1">
        <f t="shared" ref="X66:X74" si="42">+P66-T66</f>
        <v>-836.31999999999994</v>
      </c>
      <c r="Y66" s="1"/>
      <c r="Z66" s="5">
        <f t="shared" ref="Z66:Z74" si="43">IF(T66=0,0,X66/T66)</f>
        <v>-0.83631999999999995</v>
      </c>
    </row>
    <row r="67" spans="1:26" s="24" customFormat="1" hidden="1" outlineLevel="2" x14ac:dyDescent="0.25">
      <c r="A67" s="25"/>
      <c r="B67" s="11" t="str">
        <f>CONCATENATE("          ", "6399", " - ", "DONATION-ON CAMPUS")</f>
        <v xml:space="preserve">          6399 - DONATION-ON CAMPUS</v>
      </c>
      <c r="C67" s="11"/>
      <c r="D67" s="6"/>
      <c r="E67" s="2"/>
      <c r="F67" s="7">
        <f t="shared" si="36"/>
        <v>0</v>
      </c>
      <c r="G67" s="2"/>
      <c r="H67" s="6">
        <v>200</v>
      </c>
      <c r="I67" s="2"/>
      <c r="J67" s="7">
        <f t="shared" si="37"/>
        <v>3.3333888898148302E-4</v>
      </c>
      <c r="K67" s="2"/>
      <c r="L67" s="6">
        <f t="shared" si="38"/>
        <v>-200</v>
      </c>
      <c r="M67" s="2"/>
      <c r="N67" s="7">
        <f t="shared" si="39"/>
        <v>-1</v>
      </c>
      <c r="O67" s="11"/>
      <c r="P67" s="6">
        <v>163.68</v>
      </c>
      <c r="Q67" s="2"/>
      <c r="R67" s="7">
        <f t="shared" si="40"/>
        <v>6.1294887757706268E-5</v>
      </c>
      <c r="S67" s="2"/>
      <c r="T67" s="6">
        <v>1000</v>
      </c>
      <c r="U67" s="2"/>
      <c r="V67" s="7">
        <f t="shared" si="41"/>
        <v>3.2597297227697665E-4</v>
      </c>
      <c r="W67" s="2"/>
      <c r="X67" s="6">
        <f t="shared" si="42"/>
        <v>-836.31999999999994</v>
      </c>
      <c r="Y67" s="2"/>
      <c r="Z67" s="7">
        <f t="shared" si="43"/>
        <v>-0.83631999999999995</v>
      </c>
    </row>
    <row r="68" spans="1:26" s="26" customFormat="1" outlineLevel="1" collapsed="1" x14ac:dyDescent="0.25">
      <c r="A68" s="27"/>
      <c r="B68" s="13" t="str">
        <f>CONCATENATE("     ","Employees' Appreciation                           ")</f>
        <v xml:space="preserve">     Employees' Appreciation                           </v>
      </c>
      <c r="C68" s="13"/>
      <c r="D68" s="1">
        <f>SUM(OSRRefD22_7x_0)</f>
        <v>499.87</v>
      </c>
      <c r="E68" s="1"/>
      <c r="F68" s="5">
        <f t="shared" si="36"/>
        <v>8.9364448878232763E-4</v>
      </c>
      <c r="G68" s="1"/>
      <c r="H68" s="1">
        <f>SUM(OSRRefH22_7x_0)</f>
        <v>325</v>
      </c>
      <c r="I68" s="1"/>
      <c r="J68" s="5">
        <f t="shared" si="37"/>
        <v>5.4167569459490994E-4</v>
      </c>
      <c r="K68" s="1"/>
      <c r="L68" s="1">
        <f t="shared" si="38"/>
        <v>174.87</v>
      </c>
      <c r="M68" s="1"/>
      <c r="N68" s="5">
        <f t="shared" si="39"/>
        <v>0.53806153846153848</v>
      </c>
      <c r="O68" s="13"/>
      <c r="P68" s="1">
        <f>SUM(OSRRefP22_7x_0)</f>
        <v>952.71</v>
      </c>
      <c r="Q68" s="1"/>
      <c r="R68" s="5">
        <f t="shared" si="40"/>
        <v>3.5677084870261693E-4</v>
      </c>
      <c r="S68" s="1"/>
      <c r="T68" s="1">
        <f>SUM(OSRRefT22_7x_0)</f>
        <v>1490</v>
      </c>
      <c r="U68" s="1"/>
      <c r="V68" s="5">
        <f t="shared" si="41"/>
        <v>4.8569972869269519E-4</v>
      </c>
      <c r="W68" s="1"/>
      <c r="X68" s="1">
        <f t="shared" si="42"/>
        <v>-537.29</v>
      </c>
      <c r="Y68" s="1"/>
      <c r="Z68" s="5">
        <f t="shared" si="43"/>
        <v>-0.36059731543624157</v>
      </c>
    </row>
    <row r="69" spans="1:26" s="24" customFormat="1" hidden="1" outlineLevel="2" x14ac:dyDescent="0.25">
      <c r="A69" s="25"/>
      <c r="B69" s="11" t="str">
        <f>CONCATENATE("          ", "6277", " - ", "EMPLOYEE APPRECIATION")</f>
        <v xml:space="preserve">          6277 - EMPLOYEE APPRECIATION</v>
      </c>
      <c r="C69" s="11"/>
      <c r="D69" s="6">
        <v>499.87</v>
      </c>
      <c r="E69" s="2"/>
      <c r="F69" s="7">
        <f t="shared" si="36"/>
        <v>8.9364448878232763E-4</v>
      </c>
      <c r="G69" s="2"/>
      <c r="H69" s="6">
        <v>325</v>
      </c>
      <c r="I69" s="2"/>
      <c r="J69" s="7">
        <f t="shared" si="37"/>
        <v>5.4167569459490994E-4</v>
      </c>
      <c r="K69" s="2"/>
      <c r="L69" s="6">
        <f t="shared" si="38"/>
        <v>174.87</v>
      </c>
      <c r="M69" s="2"/>
      <c r="N69" s="7">
        <f t="shared" si="39"/>
        <v>0.53806153846153848</v>
      </c>
      <c r="O69" s="11"/>
      <c r="P69" s="6">
        <v>952.71</v>
      </c>
      <c r="Q69" s="2"/>
      <c r="R69" s="7">
        <f t="shared" si="40"/>
        <v>3.5677084870261693E-4</v>
      </c>
      <c r="S69" s="2"/>
      <c r="T69" s="6">
        <v>1490</v>
      </c>
      <c r="U69" s="2"/>
      <c r="V69" s="7">
        <f t="shared" si="41"/>
        <v>4.8569972869269519E-4</v>
      </c>
      <c r="W69" s="2"/>
      <c r="X69" s="6">
        <f t="shared" si="42"/>
        <v>-537.29</v>
      </c>
      <c r="Y69" s="2"/>
      <c r="Z69" s="7">
        <f t="shared" si="43"/>
        <v>-0.36059731543624157</v>
      </c>
    </row>
    <row r="70" spans="1:26" s="26" customFormat="1" outlineLevel="1" collapsed="1" x14ac:dyDescent="0.25">
      <c r="A70" s="27"/>
      <c r="B70" s="13" t="str">
        <f>CONCATENATE("     ","Equipment Rental                                  ")</f>
        <v xml:space="preserve">     Equipment Rental                                  </v>
      </c>
      <c r="C70" s="13"/>
      <c r="D70" s="1">
        <f>SUM(OSRRefD22_8x_0)</f>
        <v>1959.34</v>
      </c>
      <c r="E70" s="1"/>
      <c r="F70" s="5">
        <f t="shared" si="36"/>
        <v>3.5028175178561743E-3</v>
      </c>
      <c r="G70" s="1"/>
      <c r="H70" s="1">
        <f>SUM(OSRRefH22_8x_0)</f>
        <v>1791</v>
      </c>
      <c r="I70" s="1"/>
      <c r="J70" s="5">
        <f t="shared" si="37"/>
        <v>2.9850497508291805E-3</v>
      </c>
      <c r="K70" s="1"/>
      <c r="L70" s="1">
        <f t="shared" si="38"/>
        <v>168.33999999999992</v>
      </c>
      <c r="M70" s="1"/>
      <c r="N70" s="5">
        <f t="shared" si="39"/>
        <v>9.3992183137911731E-2</v>
      </c>
      <c r="O70" s="13"/>
      <c r="P70" s="1">
        <f>SUM(OSRRefP22_8x_0)</f>
        <v>12173.5</v>
      </c>
      <c r="Q70" s="1"/>
      <c r="R70" s="5">
        <f t="shared" si="40"/>
        <v>4.5587323809777452E-3</v>
      </c>
      <c r="S70" s="1"/>
      <c r="T70" s="1">
        <f>SUM(OSRRefT22_8x_0)</f>
        <v>7881</v>
      </c>
      <c r="U70" s="1"/>
      <c r="V70" s="5">
        <f t="shared" si="41"/>
        <v>2.5689929945148528E-3</v>
      </c>
      <c r="W70" s="1"/>
      <c r="X70" s="1">
        <f t="shared" si="42"/>
        <v>4292.5</v>
      </c>
      <c r="Y70" s="1"/>
      <c r="Z70" s="5">
        <f t="shared" si="43"/>
        <v>0.54466438269255169</v>
      </c>
    </row>
    <row r="71" spans="1:26" s="24" customFormat="1" hidden="1" outlineLevel="2" x14ac:dyDescent="0.25">
      <c r="A71" s="25"/>
      <c r="B71" s="11" t="str">
        <f>CONCATENATE("          ", "6351", " - ", "EQUIPMENT RENTAL")</f>
        <v xml:space="preserve">          6351 - EQUIPMENT RENTAL</v>
      </c>
      <c r="C71" s="11"/>
      <c r="D71" s="6">
        <v>1959.34</v>
      </c>
      <c r="E71" s="2"/>
      <c r="F71" s="7">
        <f t="shared" si="36"/>
        <v>3.5028175178561743E-3</v>
      </c>
      <c r="G71" s="2"/>
      <c r="H71" s="6">
        <v>1791</v>
      </c>
      <c r="I71" s="2"/>
      <c r="J71" s="7">
        <f t="shared" si="37"/>
        <v>2.9850497508291805E-3</v>
      </c>
      <c r="K71" s="2"/>
      <c r="L71" s="6">
        <f t="shared" si="38"/>
        <v>168.33999999999992</v>
      </c>
      <c r="M71" s="2"/>
      <c r="N71" s="7">
        <f t="shared" si="39"/>
        <v>9.3992183137911731E-2</v>
      </c>
      <c r="O71" s="11"/>
      <c r="P71" s="6">
        <v>12173.5</v>
      </c>
      <c r="Q71" s="2"/>
      <c r="R71" s="7">
        <f t="shared" si="40"/>
        <v>4.5587323809777452E-3</v>
      </c>
      <c r="S71" s="2"/>
      <c r="T71" s="6">
        <v>7881</v>
      </c>
      <c r="U71" s="2"/>
      <c r="V71" s="7">
        <f t="shared" si="41"/>
        <v>2.5689929945148528E-3</v>
      </c>
      <c r="W71" s="2"/>
      <c r="X71" s="6">
        <f t="shared" si="42"/>
        <v>4292.5</v>
      </c>
      <c r="Y71" s="2"/>
      <c r="Z71" s="7">
        <f t="shared" si="43"/>
        <v>0.54466438269255169</v>
      </c>
    </row>
    <row r="72" spans="1:26" s="26" customFormat="1" outlineLevel="1" collapsed="1" x14ac:dyDescent="0.25">
      <c r="A72" s="27"/>
      <c r="B72" s="13" t="str">
        <f>CONCATENATE("     ","General                                           ")</f>
        <v xml:space="preserve">     General                                           </v>
      </c>
      <c r="C72" s="13"/>
      <c r="D72" s="1">
        <f>SUM(OSRRefD22_9x_0)</f>
        <v>21958.7</v>
      </c>
      <c r="E72" s="1"/>
      <c r="F72" s="5">
        <f t="shared" si="36"/>
        <v>3.9256749226447875E-2</v>
      </c>
      <c r="G72" s="1"/>
      <c r="H72" s="1">
        <f>SUM(OSRRefH22_9x_0)</f>
        <v>3325</v>
      </c>
      <c r="I72" s="1"/>
      <c r="J72" s="5">
        <f t="shared" si="37"/>
        <v>5.5417590293171549E-3</v>
      </c>
      <c r="K72" s="1"/>
      <c r="L72" s="1">
        <f t="shared" si="38"/>
        <v>18633.7</v>
      </c>
      <c r="M72" s="1"/>
      <c r="N72" s="5">
        <f t="shared" si="39"/>
        <v>5.6041203007518803</v>
      </c>
      <c r="O72" s="13"/>
      <c r="P72" s="1">
        <f>SUM(OSRRefP22_9x_0)</f>
        <v>61077.19</v>
      </c>
      <c r="Q72" s="1"/>
      <c r="R72" s="5">
        <f t="shared" si="40"/>
        <v>2.287218661782808E-2</v>
      </c>
      <c r="S72" s="1"/>
      <c r="T72" s="1">
        <f>SUM(OSRRefT22_9x_0)</f>
        <v>27250</v>
      </c>
      <c r="U72" s="1"/>
      <c r="V72" s="5">
        <f t="shared" si="41"/>
        <v>8.882763494547613E-3</v>
      </c>
      <c r="W72" s="1"/>
      <c r="X72" s="1">
        <f t="shared" si="42"/>
        <v>33827.19</v>
      </c>
      <c r="Y72" s="1"/>
      <c r="Z72" s="5">
        <f t="shared" si="43"/>
        <v>1.241364770642202</v>
      </c>
    </row>
    <row r="73" spans="1:26" s="24" customFormat="1" hidden="1" outlineLevel="2" x14ac:dyDescent="0.25">
      <c r="A73" s="25"/>
      <c r="B73" s="11" t="str">
        <f>CONCATENATE("          ", "6269", " - ", "ENTERTAINMENT")</f>
        <v xml:space="preserve">          6269 - ENTERTAINMENT</v>
      </c>
      <c r="C73" s="11"/>
      <c r="D73" s="6">
        <v>600</v>
      </c>
      <c r="E73" s="2"/>
      <c r="F73" s="7">
        <f t="shared" si="36"/>
        <v>1.072652276130587E-3</v>
      </c>
      <c r="G73" s="2"/>
      <c r="H73" s="6">
        <v>600</v>
      </c>
      <c r="I73" s="2"/>
      <c r="J73" s="7">
        <f t="shared" si="37"/>
        <v>1.0000166669444492E-3</v>
      </c>
      <c r="K73" s="2"/>
      <c r="L73" s="6">
        <f t="shared" si="38"/>
        <v>0</v>
      </c>
      <c r="M73" s="2"/>
      <c r="N73" s="7">
        <f t="shared" si="39"/>
        <v>0</v>
      </c>
      <c r="O73" s="11"/>
      <c r="P73" s="6">
        <v>6100</v>
      </c>
      <c r="Q73" s="2"/>
      <c r="R73" s="7">
        <f t="shared" si="40"/>
        <v>2.2843280505987795E-3</v>
      </c>
      <c r="S73" s="2"/>
      <c r="T73" s="6">
        <v>3750</v>
      </c>
      <c r="U73" s="2"/>
      <c r="V73" s="7">
        <f t="shared" si="41"/>
        <v>1.2223986460386624E-3</v>
      </c>
      <c r="W73" s="2"/>
      <c r="X73" s="6">
        <f t="shared" si="42"/>
        <v>2350</v>
      </c>
      <c r="Y73" s="2"/>
      <c r="Z73" s="7">
        <f t="shared" si="43"/>
        <v>0.62666666666666671</v>
      </c>
    </row>
    <row r="74" spans="1:26" s="24" customFormat="1" hidden="1" outlineLevel="2" x14ac:dyDescent="0.25">
      <c r="A74" s="25"/>
      <c r="B74" s="11" t="str">
        <f>CONCATENATE("          ", "6279", " - ", "GENERAL EXPENSE")</f>
        <v xml:space="preserve">          6279 - GENERAL EXPENSE</v>
      </c>
      <c r="C74" s="11"/>
      <c r="D74" s="6">
        <v>21358.7</v>
      </c>
      <c r="E74" s="2"/>
      <c r="F74" s="7">
        <f t="shared" si="36"/>
        <v>3.8184096950317284E-2</v>
      </c>
      <c r="G74" s="2"/>
      <c r="H74" s="6">
        <v>2725</v>
      </c>
      <c r="I74" s="2"/>
      <c r="J74" s="7">
        <f t="shared" si="37"/>
        <v>4.5417423623727061E-3</v>
      </c>
      <c r="K74" s="2"/>
      <c r="L74" s="6">
        <f t="shared" si="38"/>
        <v>18633.7</v>
      </c>
      <c r="M74" s="2"/>
      <c r="N74" s="7">
        <f t="shared" si="39"/>
        <v>6.8380550458715597</v>
      </c>
      <c r="O74" s="11"/>
      <c r="P74" s="6">
        <v>54977.19</v>
      </c>
      <c r="Q74" s="2"/>
      <c r="R74" s="7">
        <f t="shared" si="40"/>
        <v>2.0587858567229299E-2</v>
      </c>
      <c r="S74" s="2"/>
      <c r="T74" s="6">
        <v>23500</v>
      </c>
      <c r="U74" s="2"/>
      <c r="V74" s="7">
        <f t="shared" si="41"/>
        <v>7.6603648485089508E-3</v>
      </c>
      <c r="W74" s="2"/>
      <c r="X74" s="6">
        <f t="shared" si="42"/>
        <v>31477.190000000002</v>
      </c>
      <c r="Y74" s="2"/>
      <c r="Z74" s="7">
        <f t="shared" si="43"/>
        <v>1.3394548936170214</v>
      </c>
    </row>
    <row r="75" spans="1:26" s="26" customFormat="1" outlineLevel="1" collapsed="1" x14ac:dyDescent="0.25">
      <c r="A75" s="27"/>
      <c r="B75" s="13" t="str">
        <f>CONCATENATE("     ","Insurance                                         ")</f>
        <v xml:space="preserve">     Insurance                                         </v>
      </c>
      <c r="C75" s="13"/>
      <c r="D75" s="1">
        <f>SUM(OSRRefD22_10x_0)</f>
        <v>4240.13</v>
      </c>
      <c r="E75" s="1"/>
      <c r="F75" s="5">
        <f t="shared" ref="F75:F87" si="44">IF(D$12=0,0,D75/D$12)</f>
        <v>7.5803084926493102E-3</v>
      </c>
      <c r="G75" s="1"/>
      <c r="H75" s="1">
        <f>SUM(OSRRefH22_10x_0)</f>
        <v>4004</v>
      </c>
      <c r="I75" s="1"/>
      <c r="J75" s="5">
        <f t="shared" ref="J75:J87" si="45">IF(H$12=0,0,H75/H$12)</f>
        <v>6.6734445574092903E-3</v>
      </c>
      <c r="K75" s="1"/>
      <c r="L75" s="1">
        <f t="shared" ref="L75:L87" si="46">+D75-H75</f>
        <v>236.13000000000011</v>
      </c>
      <c r="M75" s="1"/>
      <c r="N75" s="5">
        <f t="shared" ref="N75:N87" si="47">IF(H75=0,0,L75/H75)</f>
        <v>5.8973526473526501E-2</v>
      </c>
      <c r="O75" s="13"/>
      <c r="P75" s="1">
        <f>SUM(OSRRefP22_10x_0)</f>
        <v>21200.649999999998</v>
      </c>
      <c r="Q75" s="1"/>
      <c r="R75" s="5">
        <f t="shared" ref="R75:R87" si="48">IF(P$12=0,0,P75/P$12)</f>
        <v>7.9392195878568873E-3</v>
      </c>
      <c r="S75" s="1"/>
      <c r="T75" s="1">
        <f>SUM(OSRRefT22_10x_0)</f>
        <v>20020</v>
      </c>
      <c r="U75" s="1"/>
      <c r="V75" s="5">
        <f t="shared" ref="V75:V87" si="49">IF(T$12=0,0,T75/T$12)</f>
        <v>6.5259789049850721E-3</v>
      </c>
      <c r="W75" s="1"/>
      <c r="X75" s="1">
        <f t="shared" ref="X75:X87" si="50">+P75-T75</f>
        <v>1180.6499999999978</v>
      </c>
      <c r="Y75" s="1"/>
      <c r="Z75" s="5">
        <f t="shared" ref="Z75:Z87" si="51">IF(T75=0,0,X75/T75)</f>
        <v>5.8973526473526362E-2</v>
      </c>
    </row>
    <row r="76" spans="1:26" s="24" customFormat="1" hidden="1" outlineLevel="2" x14ac:dyDescent="0.25">
      <c r="A76" s="25"/>
      <c r="B76" s="11" t="str">
        <f>CONCATENATE("          ", "6314", " - ", "LIABILITY INSURANCE")</f>
        <v xml:space="preserve">          6314 - LIABILITY INSURANCE</v>
      </c>
      <c r="C76" s="11"/>
      <c r="D76" s="6">
        <v>4240.13</v>
      </c>
      <c r="E76" s="2"/>
      <c r="F76" s="7">
        <f t="shared" si="44"/>
        <v>7.5803084926493102E-3</v>
      </c>
      <c r="G76" s="2"/>
      <c r="H76" s="6">
        <v>4004</v>
      </c>
      <c r="I76" s="2"/>
      <c r="J76" s="7">
        <f t="shared" si="45"/>
        <v>6.6734445574092903E-3</v>
      </c>
      <c r="K76" s="2"/>
      <c r="L76" s="6">
        <f t="shared" si="46"/>
        <v>236.13000000000011</v>
      </c>
      <c r="M76" s="2"/>
      <c r="N76" s="7">
        <f t="shared" si="47"/>
        <v>5.8973526473526501E-2</v>
      </c>
      <c r="O76" s="11"/>
      <c r="P76" s="6">
        <v>21200.649999999998</v>
      </c>
      <c r="Q76" s="2"/>
      <c r="R76" s="7">
        <f t="shared" si="48"/>
        <v>7.9392195878568873E-3</v>
      </c>
      <c r="S76" s="2"/>
      <c r="T76" s="6">
        <v>20020</v>
      </c>
      <c r="U76" s="2"/>
      <c r="V76" s="7">
        <f t="shared" si="49"/>
        <v>6.5259789049850721E-3</v>
      </c>
      <c r="W76" s="2"/>
      <c r="X76" s="6">
        <f t="shared" si="50"/>
        <v>1180.6499999999978</v>
      </c>
      <c r="Y76" s="2"/>
      <c r="Z76" s="7">
        <f t="shared" si="51"/>
        <v>5.8973526473526362E-2</v>
      </c>
    </row>
    <row r="77" spans="1:26" s="26" customFormat="1" outlineLevel="1" collapsed="1" x14ac:dyDescent="0.25">
      <c r="A77" s="27"/>
      <c r="B77" s="13" t="str">
        <f>CONCATENATE("     ","Interest                                          ")</f>
        <v xml:space="preserve">     Interest                                          </v>
      </c>
      <c r="C77" s="13"/>
      <c r="D77" s="1">
        <f>SUM(OSRRefD22_11x_0)</f>
        <v>7754</v>
      </c>
      <c r="E77" s="1"/>
      <c r="F77" s="5">
        <f t="shared" si="44"/>
        <v>1.3862242915194287E-2</v>
      </c>
      <c r="G77" s="1"/>
      <c r="H77" s="1">
        <f>SUM(OSRRefH22_11x_0)</f>
        <v>7754</v>
      </c>
      <c r="I77" s="1"/>
      <c r="J77" s="5">
        <f t="shared" si="45"/>
        <v>1.2923548725812096E-2</v>
      </c>
      <c r="K77" s="1"/>
      <c r="L77" s="1">
        <f t="shared" si="46"/>
        <v>0</v>
      </c>
      <c r="M77" s="1"/>
      <c r="N77" s="5">
        <f t="shared" si="47"/>
        <v>0</v>
      </c>
      <c r="O77" s="13"/>
      <c r="P77" s="1">
        <f>SUM(OSRRefP22_11x_0)</f>
        <v>38377.049999999996</v>
      </c>
      <c r="Q77" s="1"/>
      <c r="R77" s="5">
        <f t="shared" si="48"/>
        <v>1.4371438002333096E-2</v>
      </c>
      <c r="S77" s="1"/>
      <c r="T77" s="1">
        <f>SUM(OSRRefT22_11x_0)</f>
        <v>38770</v>
      </c>
      <c r="U77" s="1"/>
      <c r="V77" s="5">
        <f t="shared" si="49"/>
        <v>1.2637972135178383E-2</v>
      </c>
      <c r="W77" s="1"/>
      <c r="X77" s="1">
        <f t="shared" si="50"/>
        <v>-392.95000000000437</v>
      </c>
      <c r="Y77" s="1"/>
      <c r="Z77" s="5">
        <f t="shared" si="51"/>
        <v>-1.0135413979881464E-2</v>
      </c>
    </row>
    <row r="78" spans="1:26" s="24" customFormat="1" hidden="1" outlineLevel="2" x14ac:dyDescent="0.25">
      <c r="A78" s="25"/>
      <c r="B78" s="11" t="str">
        <f>CONCATENATE("          ", "6401", " - ", "INTEREST EXPENSE")</f>
        <v xml:space="preserve">          6401 - INTEREST EXPENSE</v>
      </c>
      <c r="C78" s="11"/>
      <c r="D78" s="6">
        <v>7754</v>
      </c>
      <c r="E78" s="2"/>
      <c r="F78" s="7">
        <f t="shared" si="44"/>
        <v>1.3862242915194287E-2</v>
      </c>
      <c r="G78" s="2"/>
      <c r="H78" s="6">
        <v>7754</v>
      </c>
      <c r="I78" s="2"/>
      <c r="J78" s="7">
        <f t="shared" si="45"/>
        <v>1.2923548725812096E-2</v>
      </c>
      <c r="K78" s="2"/>
      <c r="L78" s="6">
        <f t="shared" si="46"/>
        <v>0</v>
      </c>
      <c r="M78" s="2"/>
      <c r="N78" s="7">
        <f t="shared" si="47"/>
        <v>0</v>
      </c>
      <c r="O78" s="11"/>
      <c r="P78" s="6">
        <v>38377.049999999996</v>
      </c>
      <c r="Q78" s="2"/>
      <c r="R78" s="7">
        <f t="shared" si="48"/>
        <v>1.4371438002333096E-2</v>
      </c>
      <c r="S78" s="2"/>
      <c r="T78" s="6">
        <v>38770</v>
      </c>
      <c r="U78" s="2"/>
      <c r="V78" s="7">
        <f t="shared" si="49"/>
        <v>1.2637972135178383E-2</v>
      </c>
      <c r="W78" s="2"/>
      <c r="X78" s="6">
        <f t="shared" si="50"/>
        <v>-392.95000000000437</v>
      </c>
      <c r="Y78" s="2"/>
      <c r="Z78" s="7">
        <f t="shared" si="51"/>
        <v>-1.0135413979881464E-2</v>
      </c>
    </row>
    <row r="79" spans="1:26" s="26" customFormat="1" outlineLevel="1" collapsed="1" x14ac:dyDescent="0.25">
      <c r="A79" s="27"/>
      <c r="B79" s="13" t="str">
        <f>CONCATENATE("     ","Professional Services                             ")</f>
        <v xml:space="preserve">     Professional Services                             </v>
      </c>
      <c r="C79" s="13"/>
      <c r="D79" s="1">
        <f>SUM(OSRRefD22_12x_0)</f>
        <v>0</v>
      </c>
      <c r="E79" s="1"/>
      <c r="F79" s="5">
        <f t="shared" si="44"/>
        <v>0</v>
      </c>
      <c r="G79" s="1"/>
      <c r="H79" s="1">
        <f>SUM(OSRRefH22_12x_0)</f>
        <v>0</v>
      </c>
      <c r="I79" s="1"/>
      <c r="J79" s="5">
        <f t="shared" si="45"/>
        <v>0</v>
      </c>
      <c r="K79" s="1"/>
      <c r="L79" s="1">
        <f t="shared" si="46"/>
        <v>0</v>
      </c>
      <c r="M79" s="1"/>
      <c r="N79" s="5">
        <f t="shared" si="47"/>
        <v>0</v>
      </c>
      <c r="O79" s="13"/>
      <c r="P79" s="1">
        <f>SUM(OSRRefP22_12x_0)</f>
        <v>125</v>
      </c>
      <c r="Q79" s="1"/>
      <c r="R79" s="5">
        <f t="shared" si="48"/>
        <v>4.6810001036860241E-5</v>
      </c>
      <c r="S79" s="1"/>
      <c r="T79" s="1">
        <f>SUM(OSRRefT22_12x_0)</f>
        <v>0</v>
      </c>
      <c r="U79" s="1"/>
      <c r="V79" s="5">
        <f t="shared" si="49"/>
        <v>0</v>
      </c>
      <c r="W79" s="1"/>
      <c r="X79" s="1">
        <f t="shared" si="50"/>
        <v>125</v>
      </c>
      <c r="Y79" s="1"/>
      <c r="Z79" s="5">
        <f t="shared" si="51"/>
        <v>0</v>
      </c>
    </row>
    <row r="80" spans="1:26" s="24" customFormat="1" hidden="1" outlineLevel="2" x14ac:dyDescent="0.25">
      <c r="A80" s="25"/>
      <c r="B80" s="11" t="str">
        <f>CONCATENATE("          ", "6336", " - ", "PROFESSIONAL SERVICES")</f>
        <v xml:space="preserve">          6336 - PROFESSIONAL SERVICES</v>
      </c>
      <c r="C80" s="11"/>
      <c r="D80" s="6"/>
      <c r="E80" s="2"/>
      <c r="F80" s="7">
        <f t="shared" si="44"/>
        <v>0</v>
      </c>
      <c r="G80" s="2"/>
      <c r="H80" s="6"/>
      <c r="I80" s="2"/>
      <c r="J80" s="7">
        <f t="shared" si="45"/>
        <v>0</v>
      </c>
      <c r="K80" s="2"/>
      <c r="L80" s="6">
        <f t="shared" si="46"/>
        <v>0</v>
      </c>
      <c r="M80" s="2"/>
      <c r="N80" s="7">
        <f t="shared" si="47"/>
        <v>0</v>
      </c>
      <c r="O80" s="11"/>
      <c r="P80" s="6">
        <v>125</v>
      </c>
      <c r="Q80" s="2"/>
      <c r="R80" s="7">
        <f t="shared" si="48"/>
        <v>4.6810001036860241E-5</v>
      </c>
      <c r="S80" s="2"/>
      <c r="T80" s="6"/>
      <c r="U80" s="2"/>
      <c r="V80" s="7">
        <f t="shared" si="49"/>
        <v>0</v>
      </c>
      <c r="W80" s="2"/>
      <c r="X80" s="6">
        <f t="shared" si="50"/>
        <v>125</v>
      </c>
      <c r="Y80" s="2"/>
      <c r="Z80" s="7">
        <f t="shared" si="51"/>
        <v>0</v>
      </c>
    </row>
    <row r="81" spans="1:26" s="26" customFormat="1" outlineLevel="1" collapsed="1" x14ac:dyDescent="0.25">
      <c r="A81" s="27"/>
      <c r="B81" s="13" t="str">
        <f>CONCATENATE("     ","Rent                                              ")</f>
        <v xml:space="preserve">     Rent                                              </v>
      </c>
      <c r="C81" s="13"/>
      <c r="D81" s="1">
        <f>SUM(OSRRefD22_13x_0)</f>
        <v>1850</v>
      </c>
      <c r="E81" s="1"/>
      <c r="F81" s="5">
        <f t="shared" si="44"/>
        <v>3.3073445180693104E-3</v>
      </c>
      <c r="G81" s="1"/>
      <c r="H81" s="1">
        <f>SUM(OSRRefH22_13x_0)</f>
        <v>1850</v>
      </c>
      <c r="I81" s="1"/>
      <c r="J81" s="5">
        <f t="shared" si="45"/>
        <v>3.0833847230787178E-3</v>
      </c>
      <c r="K81" s="1"/>
      <c r="L81" s="1">
        <f t="shared" si="46"/>
        <v>0</v>
      </c>
      <c r="M81" s="1"/>
      <c r="N81" s="5">
        <f t="shared" si="47"/>
        <v>0</v>
      </c>
      <c r="O81" s="13"/>
      <c r="P81" s="1">
        <f>SUM(OSRRefP22_13x_0)</f>
        <v>9250</v>
      </c>
      <c r="Q81" s="1"/>
      <c r="R81" s="5">
        <f t="shared" si="48"/>
        <v>3.4639400767276576E-3</v>
      </c>
      <c r="S81" s="1"/>
      <c r="T81" s="1">
        <f>SUM(OSRRefT22_13x_0)</f>
        <v>9250</v>
      </c>
      <c r="U81" s="1"/>
      <c r="V81" s="5">
        <f t="shared" si="49"/>
        <v>3.0152499935620337E-3</v>
      </c>
      <c r="W81" s="1"/>
      <c r="X81" s="1">
        <f t="shared" si="50"/>
        <v>0</v>
      </c>
      <c r="Y81" s="1"/>
      <c r="Z81" s="5">
        <f t="shared" si="51"/>
        <v>0</v>
      </c>
    </row>
    <row r="82" spans="1:26" s="24" customFormat="1" hidden="1" outlineLevel="2" x14ac:dyDescent="0.25">
      <c r="A82" s="25"/>
      <c r="B82" s="11" t="str">
        <f>CONCATENATE("          ", "6273", " - ", "RENT")</f>
        <v xml:space="preserve">          6273 - RENT</v>
      </c>
      <c r="C82" s="11"/>
      <c r="D82" s="6">
        <v>1850</v>
      </c>
      <c r="E82" s="2"/>
      <c r="F82" s="7">
        <f t="shared" si="44"/>
        <v>3.3073445180693104E-3</v>
      </c>
      <c r="G82" s="2"/>
      <c r="H82" s="6">
        <v>1850</v>
      </c>
      <c r="I82" s="2"/>
      <c r="J82" s="7">
        <f t="shared" si="45"/>
        <v>3.0833847230787178E-3</v>
      </c>
      <c r="K82" s="2"/>
      <c r="L82" s="6">
        <f t="shared" si="46"/>
        <v>0</v>
      </c>
      <c r="M82" s="2"/>
      <c r="N82" s="7">
        <f t="shared" si="47"/>
        <v>0</v>
      </c>
      <c r="O82" s="11"/>
      <c r="P82" s="6">
        <v>9250</v>
      </c>
      <c r="Q82" s="2"/>
      <c r="R82" s="7">
        <f t="shared" si="48"/>
        <v>3.4639400767276576E-3</v>
      </c>
      <c r="S82" s="2"/>
      <c r="T82" s="6">
        <v>9250</v>
      </c>
      <c r="U82" s="2"/>
      <c r="V82" s="7">
        <f t="shared" si="49"/>
        <v>3.0152499935620337E-3</v>
      </c>
      <c r="W82" s="2"/>
      <c r="X82" s="6">
        <f t="shared" si="50"/>
        <v>0</v>
      </c>
      <c r="Y82" s="2"/>
      <c r="Z82" s="7">
        <f t="shared" si="51"/>
        <v>0</v>
      </c>
    </row>
    <row r="83" spans="1:26" s="26" customFormat="1" outlineLevel="1" collapsed="1" x14ac:dyDescent="0.25">
      <c r="A83" s="27"/>
      <c r="B83" s="13" t="str">
        <f>CONCATENATE("     ","Repair and Maintenance                            ")</f>
        <v xml:space="preserve">     Repair and Maintenance                            </v>
      </c>
      <c r="C83" s="13"/>
      <c r="D83" s="1">
        <f>SUM(OSRRefD22_14x_0)</f>
        <v>12607.89</v>
      </c>
      <c r="E83" s="1"/>
      <c r="F83" s="5">
        <f t="shared" si="44"/>
        <v>2.2539803176173445E-2</v>
      </c>
      <c r="G83" s="1"/>
      <c r="H83" s="1">
        <f>SUM(OSRRefH22_14x_0)</f>
        <v>16825</v>
      </c>
      <c r="I83" s="1"/>
      <c r="J83" s="5">
        <f t="shared" si="45"/>
        <v>2.8042134035567261E-2</v>
      </c>
      <c r="K83" s="1"/>
      <c r="L83" s="1">
        <f t="shared" si="46"/>
        <v>-4217.1100000000006</v>
      </c>
      <c r="M83" s="1"/>
      <c r="N83" s="5">
        <f t="shared" si="47"/>
        <v>-0.25064546805349186</v>
      </c>
      <c r="O83" s="13"/>
      <c r="P83" s="1">
        <f>SUM(OSRRefP22_14x_0)</f>
        <v>118716.05</v>
      </c>
      <c r="Q83" s="1"/>
      <c r="R83" s="5">
        <f t="shared" si="48"/>
        <v>4.4456787388735618E-2</v>
      </c>
      <c r="S83" s="1"/>
      <c r="T83" s="1">
        <f>SUM(OSRRefT22_14x_0)</f>
        <v>109823</v>
      </c>
      <c r="U83" s="1"/>
      <c r="V83" s="5">
        <f t="shared" si="49"/>
        <v>3.5799329734374406E-2</v>
      </c>
      <c r="W83" s="1"/>
      <c r="X83" s="1">
        <f t="shared" si="50"/>
        <v>8893.0500000000029</v>
      </c>
      <c r="Y83" s="1"/>
      <c r="Z83" s="5">
        <f t="shared" si="51"/>
        <v>8.0976207169718567E-2</v>
      </c>
    </row>
    <row r="84" spans="1:26" s="24" customFormat="1" hidden="1" outlineLevel="2" x14ac:dyDescent="0.25">
      <c r="A84" s="25"/>
      <c r="B84" s="11" t="str">
        <f>CONCATENATE("          ", "6371", " - ", "COMPUTER SOFTWARE MAINTENANCE")</f>
        <v xml:space="preserve">          6371 - COMPUTER SOFTWARE MAINTENANCE</v>
      </c>
      <c r="C84" s="11"/>
      <c r="D84" s="6"/>
      <c r="E84" s="2"/>
      <c r="F84" s="7">
        <f t="shared" si="44"/>
        <v>0</v>
      </c>
      <c r="G84" s="2"/>
      <c r="H84" s="6">
        <v>50</v>
      </c>
      <c r="I84" s="2"/>
      <c r="J84" s="7">
        <f t="shared" si="45"/>
        <v>8.3334722245370754E-5</v>
      </c>
      <c r="K84" s="2"/>
      <c r="L84" s="6">
        <f t="shared" si="46"/>
        <v>-50</v>
      </c>
      <c r="M84" s="2"/>
      <c r="N84" s="7">
        <f t="shared" si="47"/>
        <v>-1</v>
      </c>
      <c r="O84" s="11"/>
      <c r="P84" s="6">
        <v>10932.69</v>
      </c>
      <c r="Q84" s="2"/>
      <c r="R84" s="7">
        <f t="shared" si="48"/>
        <v>4.0940738418853723E-3</v>
      </c>
      <c r="S84" s="2"/>
      <c r="T84" s="6">
        <v>1250</v>
      </c>
      <c r="U84" s="2"/>
      <c r="V84" s="7">
        <f t="shared" si="49"/>
        <v>4.0746621534622077E-4</v>
      </c>
      <c r="W84" s="2"/>
      <c r="X84" s="6">
        <f t="shared" si="50"/>
        <v>9682.69</v>
      </c>
      <c r="Y84" s="2"/>
      <c r="Z84" s="7">
        <f t="shared" si="51"/>
        <v>7.7461520000000004</v>
      </c>
    </row>
    <row r="85" spans="1:26" s="24" customFormat="1" hidden="1" outlineLevel="2" x14ac:dyDescent="0.25">
      <c r="A85" s="25"/>
      <c r="B85" s="11" t="str">
        <f>CONCATENATE("          ", "6372", " - ", "COMPUTER HARDWARE MAINTENANCE")</f>
        <v xml:space="preserve">          6372 - COMPUTER HARDWARE MAINTENANCE</v>
      </c>
      <c r="C85" s="11"/>
      <c r="D85" s="6"/>
      <c r="E85" s="2"/>
      <c r="F85" s="7">
        <f t="shared" si="44"/>
        <v>0</v>
      </c>
      <c r="G85" s="2"/>
      <c r="H85" s="6"/>
      <c r="I85" s="2"/>
      <c r="J85" s="7">
        <f t="shared" si="45"/>
        <v>0</v>
      </c>
      <c r="K85" s="2"/>
      <c r="L85" s="6">
        <f t="shared" si="46"/>
        <v>0</v>
      </c>
      <c r="M85" s="2"/>
      <c r="N85" s="7">
        <f t="shared" si="47"/>
        <v>0</v>
      </c>
      <c r="O85" s="11"/>
      <c r="P85" s="6"/>
      <c r="Q85" s="2"/>
      <c r="R85" s="7">
        <f t="shared" si="48"/>
        <v>0</v>
      </c>
      <c r="S85" s="2"/>
      <c r="T85" s="6">
        <v>200</v>
      </c>
      <c r="U85" s="2"/>
      <c r="V85" s="7">
        <f t="shared" si="49"/>
        <v>6.5194594455395322E-5</v>
      </c>
      <c r="W85" s="2"/>
      <c r="X85" s="6">
        <f t="shared" si="50"/>
        <v>-200</v>
      </c>
      <c r="Y85" s="2"/>
      <c r="Z85" s="7">
        <f t="shared" si="51"/>
        <v>-1</v>
      </c>
    </row>
    <row r="86" spans="1:26" s="24" customFormat="1" hidden="1" outlineLevel="2" x14ac:dyDescent="0.25">
      <c r="A86" s="25"/>
      <c r="B86" s="11" t="str">
        <f>CONCATENATE("          ", "6373", " - ", "MAINTENANCE CONTRACTS")</f>
        <v xml:space="preserve">          6373 - MAINTENANCE CONTRACTS</v>
      </c>
      <c r="C86" s="11"/>
      <c r="D86" s="6">
        <v>8621.15</v>
      </c>
      <c r="E86" s="2"/>
      <c r="F86" s="7">
        <f t="shared" si="44"/>
        <v>1.5412493617272018E-2</v>
      </c>
      <c r="G86" s="2"/>
      <c r="H86" s="6">
        <v>2325</v>
      </c>
      <c r="I86" s="2"/>
      <c r="J86" s="7">
        <f t="shared" si="45"/>
        <v>3.8750645844097403E-3</v>
      </c>
      <c r="K86" s="2"/>
      <c r="L86" s="6">
        <f t="shared" si="46"/>
        <v>6296.15</v>
      </c>
      <c r="M86" s="2"/>
      <c r="N86" s="7">
        <f t="shared" si="47"/>
        <v>2.7080215053763439</v>
      </c>
      <c r="O86" s="11"/>
      <c r="P86" s="6">
        <v>41066.53</v>
      </c>
      <c r="Q86" s="2"/>
      <c r="R86" s="7">
        <f t="shared" si="48"/>
        <v>1.5378594495042017E-2</v>
      </c>
      <c r="S86" s="2"/>
      <c r="T86" s="6">
        <v>11498</v>
      </c>
      <c r="U86" s="2"/>
      <c r="V86" s="7">
        <f t="shared" si="49"/>
        <v>3.7480372352406773E-3</v>
      </c>
      <c r="W86" s="2"/>
      <c r="X86" s="6">
        <f t="shared" si="50"/>
        <v>29568.53</v>
      </c>
      <c r="Y86" s="2"/>
      <c r="Z86" s="7">
        <f t="shared" si="51"/>
        <v>2.5716237606540266</v>
      </c>
    </row>
    <row r="87" spans="1:26" s="24" customFormat="1" hidden="1" outlineLevel="2" x14ac:dyDescent="0.25">
      <c r="A87" s="25"/>
      <c r="B87" s="11" t="str">
        <f>CONCATENATE("          ", "6375", " - ", "OUTSIDE REPAIRS &amp; MAINTENANCE")</f>
        <v xml:space="preserve">          6375 - OUTSIDE REPAIRS &amp; MAINTENANCE</v>
      </c>
      <c r="C87" s="11"/>
      <c r="D87" s="6">
        <v>3986.74</v>
      </c>
      <c r="E87" s="2"/>
      <c r="F87" s="7">
        <f t="shared" si="44"/>
        <v>7.1273095589014278E-3</v>
      </c>
      <c r="G87" s="2"/>
      <c r="H87" s="6">
        <v>14450</v>
      </c>
      <c r="I87" s="2"/>
      <c r="J87" s="7">
        <f t="shared" si="45"/>
        <v>2.4083734728912148E-2</v>
      </c>
      <c r="K87" s="2"/>
      <c r="L87" s="6">
        <f t="shared" si="46"/>
        <v>-10463.26</v>
      </c>
      <c r="M87" s="2"/>
      <c r="N87" s="7">
        <f t="shared" si="47"/>
        <v>-0.72410103806228376</v>
      </c>
      <c r="O87" s="11"/>
      <c r="P87" s="6">
        <v>66716.83</v>
      </c>
      <c r="Q87" s="2"/>
      <c r="R87" s="7">
        <f t="shared" si="48"/>
        <v>2.4984119051808227E-2</v>
      </c>
      <c r="S87" s="2"/>
      <c r="T87" s="6">
        <v>96875</v>
      </c>
      <c r="U87" s="2"/>
      <c r="V87" s="7">
        <f t="shared" si="49"/>
        <v>3.1578631689332108E-2</v>
      </c>
      <c r="W87" s="2"/>
      <c r="X87" s="6">
        <f t="shared" si="50"/>
        <v>-30158.17</v>
      </c>
      <c r="Y87" s="2"/>
      <c r="Z87" s="7">
        <f t="shared" si="51"/>
        <v>-0.31131014193548384</v>
      </c>
    </row>
    <row r="88" spans="1:26" s="26" customFormat="1" outlineLevel="1" collapsed="1" x14ac:dyDescent="0.25">
      <c r="A88" s="27"/>
      <c r="B88" s="13" t="str">
        <f>CONCATENATE("     ","Royalty &amp; Commissions                             ")</f>
        <v xml:space="preserve">     Royalty &amp; Commissions                             </v>
      </c>
      <c r="C88" s="13"/>
      <c r="D88" s="1">
        <f>SUM(OSRRefD22_15x_0)</f>
        <v>22370.73</v>
      </c>
      <c r="E88" s="1"/>
      <c r="F88" s="5">
        <f t="shared" ref="F88:F91" si="52">IF(D$12=0,0,D88/D$12)</f>
        <v>3.9993357422004681E-2</v>
      </c>
      <c r="G88" s="1"/>
      <c r="H88" s="1">
        <f>SUM(OSRRefH22_15x_0)</f>
        <v>24840</v>
      </c>
      <c r="I88" s="1"/>
      <c r="J88" s="5">
        <f t="shared" ref="J88:J91" si="53">IF(H$12=0,0,H88/H$12)</f>
        <v>4.1400690011500194E-2</v>
      </c>
      <c r="K88" s="1"/>
      <c r="L88" s="1">
        <f t="shared" ref="L88:L91" si="54">+D88-H88</f>
        <v>-2469.2700000000004</v>
      </c>
      <c r="M88" s="1"/>
      <c r="N88" s="5">
        <f t="shared" ref="N88:N91" si="55">IF(H88=0,0,L88/H88)</f>
        <v>-9.9407004830917897E-2</v>
      </c>
      <c r="O88" s="13"/>
      <c r="P88" s="1">
        <f>SUM(OSRRefP22_15x_0)</f>
        <v>114719.6</v>
      </c>
      <c r="Q88" s="1"/>
      <c r="R88" s="5">
        <f t="shared" ref="R88:R91" si="56">IF(P$12=0,0,P88/P$12)</f>
        <v>4.2960196759585539E-2</v>
      </c>
      <c r="S88" s="1"/>
      <c r="T88" s="1">
        <f>SUM(OSRRefT22_15x_0)</f>
        <v>106141</v>
      </c>
      <c r="U88" s="1"/>
      <c r="V88" s="5">
        <f t="shared" ref="V88:V91" si="57">IF(T$12=0,0,T88/T$12)</f>
        <v>3.4599097250450579E-2</v>
      </c>
      <c r="W88" s="1"/>
      <c r="X88" s="1">
        <f t="shared" ref="X88:X91" si="58">+P88-T88</f>
        <v>8578.6000000000058</v>
      </c>
      <c r="Y88" s="1"/>
      <c r="Z88" s="5">
        <f t="shared" ref="Z88:Z91" si="59">IF(T88=0,0,X88/T88)</f>
        <v>8.0822679266259093E-2</v>
      </c>
    </row>
    <row r="89" spans="1:26" s="24" customFormat="1" hidden="1" outlineLevel="2" x14ac:dyDescent="0.25">
      <c r="A89" s="25"/>
      <c r="B89" s="11" t="str">
        <f>CONCATENATE("          ", "6253", " - ", "ROYALTY DUE ATHLETICS-LRG")</f>
        <v xml:space="preserve">          6253 - ROYALTY DUE ATHLETICS-LRG</v>
      </c>
      <c r="C89" s="11"/>
      <c r="D89" s="6"/>
      <c r="E89" s="2"/>
      <c r="F89" s="7">
        <f t="shared" si="52"/>
        <v>0</v>
      </c>
      <c r="G89" s="2"/>
      <c r="H89" s="6">
        <v>10000</v>
      </c>
      <c r="I89" s="2"/>
      <c r="J89" s="7">
        <f t="shared" si="53"/>
        <v>1.6666944449074152E-2</v>
      </c>
      <c r="K89" s="2"/>
      <c r="L89" s="6">
        <f t="shared" si="54"/>
        <v>-10000</v>
      </c>
      <c r="M89" s="2"/>
      <c r="N89" s="7">
        <f t="shared" si="55"/>
        <v>-1</v>
      </c>
      <c r="O89" s="11"/>
      <c r="P89" s="6"/>
      <c r="Q89" s="2"/>
      <c r="R89" s="7">
        <f t="shared" si="56"/>
        <v>0</v>
      </c>
      <c r="S89" s="2"/>
      <c r="T89" s="6">
        <v>27000</v>
      </c>
      <c r="U89" s="2"/>
      <c r="V89" s="7">
        <f t="shared" si="57"/>
        <v>8.8012702514783693E-3</v>
      </c>
      <c r="W89" s="2"/>
      <c r="X89" s="6">
        <f t="shared" si="58"/>
        <v>-27000</v>
      </c>
      <c r="Y89" s="2"/>
      <c r="Z89" s="7">
        <f t="shared" si="59"/>
        <v>-1</v>
      </c>
    </row>
    <row r="90" spans="1:26" s="24" customFormat="1" hidden="1" outlineLevel="2" x14ac:dyDescent="0.25">
      <c r="A90" s="25"/>
      <c r="B90" s="11" t="str">
        <f>CONCATENATE("          ", "6254", " - ", "ROYALTY &amp; COMMISSIONS")</f>
        <v xml:space="preserve">          6254 - ROYALTY &amp; COMMISSIONS</v>
      </c>
      <c r="C90" s="11"/>
      <c r="D90" s="6">
        <v>8007.21</v>
      </c>
      <c r="E90" s="2"/>
      <c r="F90" s="7">
        <f t="shared" si="52"/>
        <v>1.4314920053259331E-2</v>
      </c>
      <c r="G90" s="2"/>
      <c r="H90" s="6">
        <v>1000</v>
      </c>
      <c r="I90" s="2"/>
      <c r="J90" s="7">
        <f t="shared" si="53"/>
        <v>1.6666944449074152E-3</v>
      </c>
      <c r="K90" s="2"/>
      <c r="L90" s="6">
        <f t="shared" si="54"/>
        <v>7007.21</v>
      </c>
      <c r="M90" s="2"/>
      <c r="N90" s="7">
        <f t="shared" si="55"/>
        <v>7.0072099999999997</v>
      </c>
      <c r="O90" s="11"/>
      <c r="P90" s="6">
        <v>52986.720000000001</v>
      </c>
      <c r="Q90" s="2"/>
      <c r="R90" s="7">
        <f t="shared" si="56"/>
        <v>1.9842467345118586E-2</v>
      </c>
      <c r="S90" s="2"/>
      <c r="T90" s="6">
        <v>5117</v>
      </c>
      <c r="U90" s="2"/>
      <c r="V90" s="7">
        <f t="shared" si="57"/>
        <v>1.6680036991412895E-3</v>
      </c>
      <c r="W90" s="2"/>
      <c r="X90" s="6">
        <f t="shared" si="58"/>
        <v>47869.72</v>
      </c>
      <c r="Y90" s="2"/>
      <c r="Z90" s="7">
        <f t="shared" si="59"/>
        <v>9.3550361539964833</v>
      </c>
    </row>
    <row r="91" spans="1:26" s="24" customFormat="1" hidden="1" outlineLevel="2" x14ac:dyDescent="0.25">
      <c r="A91" s="25"/>
      <c r="B91" s="11" t="str">
        <f>CONCATENATE("          ", "6259", " - ", "ROYALTY &amp; COMMISSIONS")</f>
        <v xml:space="preserve">          6259 - ROYALTY &amp; COMMISSIONS</v>
      </c>
      <c r="C91" s="11"/>
      <c r="D91" s="6">
        <v>14363.52</v>
      </c>
      <c r="E91" s="2"/>
      <c r="F91" s="7">
        <f t="shared" si="52"/>
        <v>2.5678437368745352E-2</v>
      </c>
      <c r="G91" s="2"/>
      <c r="H91" s="6">
        <v>13840</v>
      </c>
      <c r="I91" s="2"/>
      <c r="J91" s="7">
        <f t="shared" si="53"/>
        <v>2.3067051117518625E-2</v>
      </c>
      <c r="K91" s="2"/>
      <c r="L91" s="6">
        <f t="shared" si="54"/>
        <v>523.52000000000044</v>
      </c>
      <c r="M91" s="2"/>
      <c r="N91" s="7">
        <f t="shared" si="55"/>
        <v>3.7826589595375756E-2</v>
      </c>
      <c r="O91" s="11"/>
      <c r="P91" s="6">
        <v>61732.88</v>
      </c>
      <c r="Q91" s="2"/>
      <c r="R91" s="7">
        <f t="shared" si="56"/>
        <v>2.3117729414466947E-2</v>
      </c>
      <c r="S91" s="2"/>
      <c r="T91" s="6">
        <v>74024</v>
      </c>
      <c r="U91" s="2"/>
      <c r="V91" s="7">
        <f t="shared" si="57"/>
        <v>2.4129823299830919E-2</v>
      </c>
      <c r="W91" s="2"/>
      <c r="X91" s="6">
        <f t="shared" si="58"/>
        <v>-12291.120000000003</v>
      </c>
      <c r="Y91" s="2"/>
      <c r="Z91" s="7">
        <f t="shared" si="59"/>
        <v>-0.16604236463849567</v>
      </c>
    </row>
    <row r="92" spans="1:26" s="26" customFormat="1" outlineLevel="1" collapsed="1" x14ac:dyDescent="0.25">
      <c r="A92" s="27"/>
      <c r="B92" s="13" t="str">
        <f>CONCATENATE("     ","Services                                          ")</f>
        <v xml:space="preserve">     Services                                          </v>
      </c>
      <c r="C92" s="13"/>
      <c r="D92" s="1">
        <f>SUM(OSRRefD22_16x_0)</f>
        <v>21411.089999999997</v>
      </c>
      <c r="E92" s="1"/>
      <c r="F92" s="5">
        <f t="shared" ref="F92:F97" si="60">IF(D$12=0,0,D92/D$12)</f>
        <v>3.8277757371561416E-2</v>
      </c>
      <c r="G92" s="1"/>
      <c r="H92" s="1">
        <f>SUM(OSRRefH22_16x_0)</f>
        <v>22827</v>
      </c>
      <c r="I92" s="1"/>
      <c r="J92" s="5">
        <f t="shared" ref="J92:J97" si="61">IF(H$12=0,0,H92/H$12)</f>
        <v>3.8045634093901562E-2</v>
      </c>
      <c r="K92" s="1"/>
      <c r="L92" s="1">
        <f t="shared" ref="L92:L97" si="62">+D92-H92</f>
        <v>-1415.9100000000035</v>
      </c>
      <c r="M92" s="1"/>
      <c r="N92" s="5">
        <f t="shared" ref="N92:N97" si="63">IF(H92=0,0,L92/H92)</f>
        <v>-6.2027861742673301E-2</v>
      </c>
      <c r="O92" s="13"/>
      <c r="P92" s="1">
        <f>SUM(OSRRefP22_16x_0)</f>
        <v>103465.06</v>
      </c>
      <c r="Q92" s="1"/>
      <c r="R92" s="5">
        <f t="shared" ref="R92:R97" si="64">IF(P$12=0,0,P92/P$12)</f>
        <v>3.8745596527030454E-2</v>
      </c>
      <c r="S92" s="1"/>
      <c r="T92" s="1">
        <f>SUM(OSRRefT22_16x_0)</f>
        <v>111928</v>
      </c>
      <c r="U92" s="1"/>
      <c r="V92" s="5">
        <f t="shared" ref="V92:V97" si="65">IF(T$12=0,0,T92/T$12)</f>
        <v>3.6485502841017439E-2</v>
      </c>
      <c r="W92" s="1"/>
      <c r="X92" s="1">
        <f t="shared" ref="X92:X97" si="66">+P92-T92</f>
        <v>-8462.9400000000023</v>
      </c>
      <c r="Y92" s="1"/>
      <c r="Z92" s="5">
        <f t="shared" ref="Z92:Z97" si="67">IF(T92=0,0,X92/T92)</f>
        <v>-7.5610571081409492E-2</v>
      </c>
    </row>
    <row r="93" spans="1:26" s="24" customFormat="1" hidden="1" outlineLevel="2" x14ac:dyDescent="0.25">
      <c r="A93" s="25"/>
      <c r="B93" s="11" t="str">
        <f>CONCATENATE("          ", "6282", " - ", "JANITORIAL/EXTERMINATOR EXPENS")</f>
        <v xml:space="preserve">          6282 - JANITORIAL/EXTERMINATOR EXPENS</v>
      </c>
      <c r="C93" s="11"/>
      <c r="D93" s="6">
        <v>1277.57</v>
      </c>
      <c r="E93" s="2"/>
      <c r="F93" s="7">
        <f t="shared" si="60"/>
        <v>2.2839806140269236E-3</v>
      </c>
      <c r="G93" s="2"/>
      <c r="H93" s="6">
        <v>1355</v>
      </c>
      <c r="I93" s="2"/>
      <c r="J93" s="7">
        <f t="shared" si="61"/>
        <v>2.2583709728495474E-3</v>
      </c>
      <c r="K93" s="2"/>
      <c r="L93" s="6">
        <f t="shared" si="62"/>
        <v>-77.430000000000064</v>
      </c>
      <c r="M93" s="2"/>
      <c r="N93" s="7">
        <f t="shared" si="63"/>
        <v>-5.7143911439114438E-2</v>
      </c>
      <c r="O93" s="11"/>
      <c r="P93" s="6">
        <v>6387.85</v>
      </c>
      <c r="Q93" s="2"/>
      <c r="R93" s="7">
        <f t="shared" si="64"/>
        <v>2.3921221209864617E-3</v>
      </c>
      <c r="S93" s="2"/>
      <c r="T93" s="6">
        <v>6560</v>
      </c>
      <c r="U93" s="2"/>
      <c r="V93" s="7">
        <f t="shared" si="65"/>
        <v>2.1383826981369665E-3</v>
      </c>
      <c r="W93" s="2"/>
      <c r="X93" s="6">
        <f t="shared" si="66"/>
        <v>-172.14999999999964</v>
      </c>
      <c r="Y93" s="2"/>
      <c r="Z93" s="7">
        <f t="shared" si="67"/>
        <v>-2.6242378048780431E-2</v>
      </c>
    </row>
    <row r="94" spans="1:26" s="24" customFormat="1" hidden="1" outlineLevel="2" x14ac:dyDescent="0.25">
      <c r="A94" s="25"/>
      <c r="B94" s="11" t="str">
        <f>CONCATENATE("          ", "6283", " - ", "PLANT SERVICE")</f>
        <v xml:space="preserve">          6283 - PLANT SERVICE</v>
      </c>
      <c r="C94" s="11"/>
      <c r="D94" s="6">
        <v>199.78</v>
      </c>
      <c r="E94" s="2"/>
      <c r="F94" s="7">
        <f t="shared" si="60"/>
        <v>3.5715745287561449E-4</v>
      </c>
      <c r="G94" s="2"/>
      <c r="H94" s="6">
        <v>185</v>
      </c>
      <c r="I94" s="2"/>
      <c r="J94" s="7">
        <f t="shared" si="61"/>
        <v>3.0833847230787181E-4</v>
      </c>
      <c r="K94" s="2"/>
      <c r="L94" s="6">
        <f t="shared" si="62"/>
        <v>14.780000000000001</v>
      </c>
      <c r="M94" s="2"/>
      <c r="N94" s="7">
        <f t="shared" si="63"/>
        <v>7.98918918918919E-2</v>
      </c>
      <c r="O94" s="11"/>
      <c r="P94" s="6">
        <v>799.12</v>
      </c>
      <c r="Q94" s="2"/>
      <c r="R94" s="7">
        <f t="shared" si="64"/>
        <v>2.9925446422860601E-4</v>
      </c>
      <c r="S94" s="2"/>
      <c r="T94" s="6">
        <v>890</v>
      </c>
      <c r="U94" s="2"/>
      <c r="V94" s="7">
        <f t="shared" si="65"/>
        <v>2.9011594532650921E-4</v>
      </c>
      <c r="W94" s="2"/>
      <c r="X94" s="6">
        <f t="shared" si="66"/>
        <v>-90.88</v>
      </c>
      <c r="Y94" s="2"/>
      <c r="Z94" s="7">
        <f t="shared" si="67"/>
        <v>-0.10211235955056179</v>
      </c>
    </row>
    <row r="95" spans="1:26" s="24" customFormat="1" hidden="1" outlineLevel="2" x14ac:dyDescent="0.25">
      <c r="A95" s="25"/>
      <c r="B95" s="11" t="str">
        <f>CONCATENATE("          ", "6284", " - ", "TRASH REMOVAL EXPENSE")</f>
        <v xml:space="preserve">          6284 - TRASH REMOVAL EXPENSE</v>
      </c>
      <c r="C95" s="11"/>
      <c r="D95" s="6">
        <v>4199</v>
      </c>
      <c r="E95" s="2"/>
      <c r="F95" s="7">
        <f t="shared" si="60"/>
        <v>7.5067781791205591E-3</v>
      </c>
      <c r="G95" s="2"/>
      <c r="H95" s="6">
        <v>3515</v>
      </c>
      <c r="I95" s="2"/>
      <c r="J95" s="7">
        <f t="shared" si="61"/>
        <v>5.8584309738495639E-3</v>
      </c>
      <c r="K95" s="2"/>
      <c r="L95" s="6">
        <f t="shared" si="62"/>
        <v>684</v>
      </c>
      <c r="M95" s="2"/>
      <c r="N95" s="7">
        <f t="shared" si="63"/>
        <v>0.19459459459459461</v>
      </c>
      <c r="O95" s="11"/>
      <c r="P95" s="6">
        <v>13220</v>
      </c>
      <c r="Q95" s="2"/>
      <c r="R95" s="7">
        <f t="shared" si="64"/>
        <v>4.9506257096583392E-3</v>
      </c>
      <c r="S95" s="2"/>
      <c r="T95" s="6">
        <v>17575</v>
      </c>
      <c r="U95" s="2"/>
      <c r="V95" s="7">
        <f t="shared" si="65"/>
        <v>5.7289749877678644E-3</v>
      </c>
      <c r="W95" s="2"/>
      <c r="X95" s="6">
        <f t="shared" si="66"/>
        <v>-4355</v>
      </c>
      <c r="Y95" s="2"/>
      <c r="Z95" s="7">
        <f t="shared" si="67"/>
        <v>-0.24779516358463727</v>
      </c>
    </row>
    <row r="96" spans="1:26" s="24" customFormat="1" hidden="1" outlineLevel="2" x14ac:dyDescent="0.25">
      <c r="A96" s="25"/>
      <c r="B96" s="11" t="str">
        <f>CONCATENATE("          ", "6285", " - ", "JANITORIAL SERVICES")</f>
        <v xml:space="preserve">          6285 - JANITORIAL SERVICES</v>
      </c>
      <c r="C96" s="11"/>
      <c r="D96" s="6">
        <v>13319.46</v>
      </c>
      <c r="E96" s="2"/>
      <c r="F96" s="7">
        <f t="shared" si="60"/>
        <v>2.3811915143050515E-2</v>
      </c>
      <c r="G96" s="2"/>
      <c r="H96" s="6">
        <v>13184</v>
      </c>
      <c r="I96" s="2"/>
      <c r="J96" s="7">
        <f t="shared" si="61"/>
        <v>2.1973699561659361E-2</v>
      </c>
      <c r="K96" s="2"/>
      <c r="L96" s="6">
        <f t="shared" si="62"/>
        <v>135.45999999999913</v>
      </c>
      <c r="M96" s="2"/>
      <c r="N96" s="7">
        <f t="shared" si="63"/>
        <v>1.0274575242718381E-2</v>
      </c>
      <c r="O96" s="11"/>
      <c r="P96" s="6">
        <v>66327.3</v>
      </c>
      <c r="Q96" s="2"/>
      <c r="R96" s="7">
        <f t="shared" si="64"/>
        <v>2.4838247854177122E-2</v>
      </c>
      <c r="S96" s="2"/>
      <c r="T96" s="6">
        <v>66314</v>
      </c>
      <c r="U96" s="2"/>
      <c r="V96" s="7">
        <f t="shared" si="65"/>
        <v>2.1616571683575427E-2</v>
      </c>
      <c r="W96" s="2"/>
      <c r="X96" s="6">
        <f t="shared" si="66"/>
        <v>13.30000000000291</v>
      </c>
      <c r="Y96" s="2"/>
      <c r="Z96" s="7">
        <f t="shared" si="67"/>
        <v>2.00560967518215E-4</v>
      </c>
    </row>
    <row r="97" spans="1:26" s="24" customFormat="1" hidden="1" outlineLevel="2" x14ac:dyDescent="0.25">
      <c r="A97" s="25"/>
      <c r="B97" s="11" t="str">
        <f>CONCATENATE("          ", "6286", " - ", "LAUNDRY EXPENSE")</f>
        <v xml:space="preserve">          6286 - LAUNDRY EXPENSE</v>
      </c>
      <c r="C97" s="11"/>
      <c r="D97" s="6">
        <v>2415.2800000000002</v>
      </c>
      <c r="E97" s="2"/>
      <c r="F97" s="7">
        <f t="shared" si="60"/>
        <v>4.3179259824878075E-3</v>
      </c>
      <c r="G97" s="2"/>
      <c r="H97" s="6">
        <v>4588</v>
      </c>
      <c r="I97" s="2"/>
      <c r="J97" s="7">
        <f t="shared" si="61"/>
        <v>7.6467941132352208E-3</v>
      </c>
      <c r="K97" s="2"/>
      <c r="L97" s="6">
        <f t="shared" si="62"/>
        <v>-2172.7199999999998</v>
      </c>
      <c r="M97" s="2"/>
      <c r="N97" s="7">
        <f t="shared" si="63"/>
        <v>-0.47356582388840451</v>
      </c>
      <c r="O97" s="11"/>
      <c r="P97" s="6">
        <v>16730.79</v>
      </c>
      <c r="Q97" s="2"/>
      <c r="R97" s="7">
        <f t="shared" si="64"/>
        <v>6.2653463779799275E-3</v>
      </c>
      <c r="S97" s="2"/>
      <c r="T97" s="6">
        <v>20589</v>
      </c>
      <c r="U97" s="2"/>
      <c r="V97" s="7">
        <f t="shared" si="65"/>
        <v>6.7114575262106719E-3</v>
      </c>
      <c r="W97" s="2"/>
      <c r="X97" s="6">
        <f t="shared" si="66"/>
        <v>-3858.2099999999991</v>
      </c>
      <c r="Y97" s="2"/>
      <c r="Z97" s="7">
        <f t="shared" si="67"/>
        <v>-0.18739181116129969</v>
      </c>
    </row>
    <row r="98" spans="1:26" s="26" customFormat="1" outlineLevel="1" collapsed="1" x14ac:dyDescent="0.25">
      <c r="A98" s="27"/>
      <c r="B98" s="13" t="str">
        <f>CONCATENATE("     ","Subscriptions &amp; Dues                              ")</f>
        <v xml:space="preserve">     Subscriptions &amp; Dues                              </v>
      </c>
      <c r="C98" s="13"/>
      <c r="D98" s="1">
        <f>SUM(OSRRefD22_17x_0)</f>
        <v>454.78</v>
      </c>
      <c r="E98" s="1"/>
      <c r="F98" s="5">
        <f t="shared" ref="F98:F110" si="68">IF(D$12=0,0,D98/D$12)</f>
        <v>8.130346702311139E-4</v>
      </c>
      <c r="G98" s="1"/>
      <c r="H98" s="1">
        <f>SUM(OSRRefH22_17x_0)</f>
        <v>219</v>
      </c>
      <c r="I98" s="1"/>
      <c r="J98" s="5">
        <f t="shared" ref="J98:J110" si="69">IF(H$12=0,0,H98/H$12)</f>
        <v>3.6500608343472389E-4</v>
      </c>
      <c r="K98" s="1"/>
      <c r="L98" s="1">
        <f t="shared" ref="L98:L110" si="70">+D98-H98</f>
        <v>235.77999999999997</v>
      </c>
      <c r="M98" s="1"/>
      <c r="N98" s="5">
        <f t="shared" ref="N98:N110" si="71">IF(H98=0,0,L98/H98)</f>
        <v>1.0766210045662099</v>
      </c>
      <c r="O98" s="13"/>
      <c r="P98" s="1">
        <f>SUM(OSRRefP22_17x_0)</f>
        <v>2151.1799999999998</v>
      </c>
      <c r="Q98" s="1"/>
      <c r="R98" s="5">
        <f t="shared" ref="R98:R110" si="72">IF(P$12=0,0,P98/P$12)</f>
        <v>8.0557390424378398E-4</v>
      </c>
      <c r="S98" s="1"/>
      <c r="T98" s="1">
        <f>SUM(OSRRefT22_17x_0)</f>
        <v>1795</v>
      </c>
      <c r="U98" s="1"/>
      <c r="V98" s="5">
        <f t="shared" ref="V98:V110" si="73">IF(T$12=0,0,T98/T$12)</f>
        <v>5.85121485237173E-4</v>
      </c>
      <c r="W98" s="1"/>
      <c r="X98" s="1">
        <f t="shared" ref="X98:X110" si="74">+P98-T98</f>
        <v>356.17999999999984</v>
      </c>
      <c r="Y98" s="1"/>
      <c r="Z98" s="5">
        <f t="shared" ref="Z98:Z110" si="75">IF(T98=0,0,X98/T98)</f>
        <v>0.19842896935933138</v>
      </c>
    </row>
    <row r="99" spans="1:26" s="24" customFormat="1" hidden="1" outlineLevel="2" x14ac:dyDescent="0.25">
      <c r="A99" s="25"/>
      <c r="B99" s="11" t="str">
        <f>CONCATENATE("          ", "6275", " - ", "SUBSCRIPTIONS")</f>
        <v xml:space="preserve">          6275 - SUBSCRIPTIONS</v>
      </c>
      <c r="C99" s="11"/>
      <c r="D99" s="6">
        <v>454.78</v>
      </c>
      <c r="E99" s="2"/>
      <c r="F99" s="7">
        <f t="shared" si="68"/>
        <v>8.130346702311139E-4</v>
      </c>
      <c r="G99" s="2"/>
      <c r="H99" s="6">
        <v>219</v>
      </c>
      <c r="I99" s="2"/>
      <c r="J99" s="7">
        <f t="shared" si="69"/>
        <v>3.6500608343472389E-4</v>
      </c>
      <c r="K99" s="2"/>
      <c r="L99" s="6">
        <f t="shared" si="70"/>
        <v>235.77999999999997</v>
      </c>
      <c r="M99" s="2"/>
      <c r="N99" s="7">
        <f t="shared" si="71"/>
        <v>1.0766210045662099</v>
      </c>
      <c r="O99" s="11"/>
      <c r="P99" s="6">
        <v>2151.1799999999998</v>
      </c>
      <c r="Q99" s="2"/>
      <c r="R99" s="7">
        <f t="shared" si="72"/>
        <v>8.0557390424378398E-4</v>
      </c>
      <c r="S99" s="2"/>
      <c r="T99" s="6">
        <v>1795</v>
      </c>
      <c r="U99" s="2"/>
      <c r="V99" s="7">
        <f t="shared" si="73"/>
        <v>5.85121485237173E-4</v>
      </c>
      <c r="W99" s="2"/>
      <c r="X99" s="6">
        <f t="shared" si="74"/>
        <v>356.17999999999984</v>
      </c>
      <c r="Y99" s="2"/>
      <c r="Z99" s="7">
        <f t="shared" si="75"/>
        <v>0.19842896935933138</v>
      </c>
    </row>
    <row r="100" spans="1:26" s="26" customFormat="1" outlineLevel="1" collapsed="1" x14ac:dyDescent="0.25">
      <c r="A100" s="27"/>
      <c r="B100" s="13" t="str">
        <f>CONCATENATE("     ","Supplies                                          ")</f>
        <v xml:space="preserve">     Supplies                                          </v>
      </c>
      <c r="C100" s="13"/>
      <c r="D100" s="1">
        <f>SUM(OSRRefD22_18x_0)</f>
        <v>14200.770000000002</v>
      </c>
      <c r="E100" s="1"/>
      <c r="F100" s="5">
        <f t="shared" si="68"/>
        <v>2.5387480438844933E-2</v>
      </c>
      <c r="G100" s="1"/>
      <c r="H100" s="1">
        <f>SUM(OSRRefH22_18x_0)</f>
        <v>10527.24</v>
      </c>
      <c r="I100" s="1"/>
      <c r="J100" s="5">
        <f t="shared" si="69"/>
        <v>1.7545692428207138E-2</v>
      </c>
      <c r="K100" s="1"/>
      <c r="L100" s="1">
        <f t="shared" si="70"/>
        <v>3673.5300000000025</v>
      </c>
      <c r="M100" s="1"/>
      <c r="N100" s="5">
        <f t="shared" si="71"/>
        <v>0.34895471177630627</v>
      </c>
      <c r="O100" s="13"/>
      <c r="P100" s="1">
        <f>SUM(OSRRefP22_18x_0)</f>
        <v>103744.29</v>
      </c>
      <c r="Q100" s="1"/>
      <c r="R100" s="5">
        <f t="shared" si="72"/>
        <v>3.8850162579746633E-2</v>
      </c>
      <c r="S100" s="1"/>
      <c r="T100" s="1">
        <f>SUM(OSRRefT22_18x_0)</f>
        <v>79937.340000000011</v>
      </c>
      <c r="U100" s="1"/>
      <c r="V100" s="5">
        <f t="shared" si="73"/>
        <v>2.6057412315715258E-2</v>
      </c>
      <c r="W100" s="1"/>
      <c r="X100" s="1">
        <f t="shared" si="74"/>
        <v>23806.949999999983</v>
      </c>
      <c r="Y100" s="1"/>
      <c r="Z100" s="5">
        <f t="shared" si="75"/>
        <v>0.29782014262671214</v>
      </c>
    </row>
    <row r="101" spans="1:26" s="24" customFormat="1" hidden="1" outlineLevel="2" x14ac:dyDescent="0.25">
      <c r="A101" s="25"/>
      <c r="B101" s="11" t="str">
        <f>CONCATENATE("          ", "6234", " - ", "EXPENDABLE SUPPLIES &amp; EQUIPMEN")</f>
        <v xml:space="preserve">          6234 - EXPENDABLE SUPPLIES &amp; EQUIPMEN</v>
      </c>
      <c r="C101" s="11"/>
      <c r="D101" s="6">
        <v>555.83000000000004</v>
      </c>
      <c r="E101" s="2"/>
      <c r="F101" s="7">
        <f t="shared" si="68"/>
        <v>9.9368719106944048E-4</v>
      </c>
      <c r="G101" s="2"/>
      <c r="H101" s="6">
        <v>700</v>
      </c>
      <c r="I101" s="2"/>
      <c r="J101" s="7">
        <f t="shared" si="69"/>
        <v>1.1666861114351906E-3</v>
      </c>
      <c r="K101" s="2"/>
      <c r="L101" s="6">
        <f t="shared" si="70"/>
        <v>-144.16999999999996</v>
      </c>
      <c r="M101" s="2"/>
      <c r="N101" s="7">
        <f t="shared" si="71"/>
        <v>-0.20595714285714281</v>
      </c>
      <c r="O101" s="11"/>
      <c r="P101" s="6">
        <v>12202.72</v>
      </c>
      <c r="Q101" s="2"/>
      <c r="R101" s="7">
        <f t="shared" si="72"/>
        <v>4.5696746868201209E-3</v>
      </c>
      <c r="S101" s="2"/>
      <c r="T101" s="6">
        <v>3650</v>
      </c>
      <c r="U101" s="2"/>
      <c r="V101" s="7">
        <f t="shared" si="73"/>
        <v>1.1898013488109646E-3</v>
      </c>
      <c r="W101" s="2"/>
      <c r="X101" s="6">
        <f t="shared" si="74"/>
        <v>8552.7199999999993</v>
      </c>
      <c r="Y101" s="2"/>
      <c r="Z101" s="7">
        <f t="shared" si="75"/>
        <v>2.3432109589041095</v>
      </c>
    </row>
    <row r="102" spans="1:26" s="24" customFormat="1" hidden="1" outlineLevel="2" x14ac:dyDescent="0.25">
      <c r="A102" s="25"/>
      <c r="B102" s="11" t="str">
        <f>CONCATENATE("          ", "6237", " - ", "JANITORIAL SUPPLIES")</f>
        <v xml:space="preserve">          6237 - JANITORIAL SUPPLIES</v>
      </c>
      <c r="C102" s="11"/>
      <c r="D102" s="6">
        <v>5188.66</v>
      </c>
      <c r="E102" s="2"/>
      <c r="F102" s="7">
        <f t="shared" si="68"/>
        <v>9.2760465984462193E-3</v>
      </c>
      <c r="G102" s="2"/>
      <c r="H102" s="6">
        <v>3511</v>
      </c>
      <c r="I102" s="2"/>
      <c r="J102" s="7">
        <f t="shared" si="69"/>
        <v>5.8517641960699343E-3</v>
      </c>
      <c r="K102" s="2"/>
      <c r="L102" s="6">
        <f t="shared" si="70"/>
        <v>1677.6599999999999</v>
      </c>
      <c r="M102" s="2"/>
      <c r="N102" s="7">
        <f t="shared" si="71"/>
        <v>0.47782967815437194</v>
      </c>
      <c r="O102" s="11"/>
      <c r="P102" s="6">
        <v>24384.76</v>
      </c>
      <c r="Q102" s="2"/>
      <c r="R102" s="7">
        <f t="shared" si="72"/>
        <v>9.1316051270687038E-3</v>
      </c>
      <c r="S102" s="2"/>
      <c r="T102" s="6">
        <v>21385</v>
      </c>
      <c r="U102" s="2"/>
      <c r="V102" s="7">
        <f t="shared" si="73"/>
        <v>6.970932012143145E-3</v>
      </c>
      <c r="W102" s="2"/>
      <c r="X102" s="6">
        <f t="shared" si="74"/>
        <v>2999.7599999999984</v>
      </c>
      <c r="Y102" s="2"/>
      <c r="Z102" s="7">
        <f t="shared" si="75"/>
        <v>0.14027402384849186</v>
      </c>
    </row>
    <row r="103" spans="1:26" s="24" customFormat="1" hidden="1" outlineLevel="2" x14ac:dyDescent="0.25">
      <c r="A103" s="25"/>
      <c r="B103" s="11" t="str">
        <f>CONCATENATE("          ", "6239", " - ", "KITCHEN SUPPLIES")</f>
        <v xml:space="preserve">          6239 - KITCHEN SUPPLIES</v>
      </c>
      <c r="C103" s="11"/>
      <c r="D103" s="6">
        <v>2631.87</v>
      </c>
      <c r="E103" s="2"/>
      <c r="F103" s="7">
        <f t="shared" si="68"/>
        <v>4.705135576633014E-3</v>
      </c>
      <c r="G103" s="2"/>
      <c r="H103" s="6">
        <v>442.95</v>
      </c>
      <c r="I103" s="2"/>
      <c r="J103" s="7">
        <f t="shared" si="69"/>
        <v>7.3826230437173956E-4</v>
      </c>
      <c r="K103" s="2"/>
      <c r="L103" s="6">
        <f t="shared" si="70"/>
        <v>2188.92</v>
      </c>
      <c r="M103" s="2"/>
      <c r="N103" s="7">
        <f t="shared" si="71"/>
        <v>4.9416864205892317</v>
      </c>
      <c r="O103" s="11"/>
      <c r="P103" s="6">
        <v>30535.4</v>
      </c>
      <c r="Q103" s="2"/>
      <c r="R103" s="7">
        <f t="shared" si="72"/>
        <v>1.1434896845287538E-2</v>
      </c>
      <c r="S103" s="2"/>
      <c r="T103" s="6">
        <v>16627.710000000003</v>
      </c>
      <c r="U103" s="2"/>
      <c r="V103" s="7">
        <f t="shared" si="73"/>
        <v>5.420184050859608E-3</v>
      </c>
      <c r="W103" s="2"/>
      <c r="X103" s="6">
        <f t="shared" si="74"/>
        <v>13907.689999999999</v>
      </c>
      <c r="Y103" s="2"/>
      <c r="Z103" s="7">
        <f t="shared" si="75"/>
        <v>0.83641643978635638</v>
      </c>
    </row>
    <row r="104" spans="1:26" s="24" customFormat="1" hidden="1" outlineLevel="2" x14ac:dyDescent="0.25">
      <c r="A104" s="25"/>
      <c r="B104" s="11" t="str">
        <f>CONCATENATE("          ", "6241", " - ", "OFFICE EXPENSE")</f>
        <v xml:space="preserve">          6241 - OFFICE EXPENSE</v>
      </c>
      <c r="C104" s="11"/>
      <c r="D104" s="6">
        <v>2130.4</v>
      </c>
      <c r="E104" s="2"/>
      <c r="F104" s="7">
        <f t="shared" si="68"/>
        <v>3.8086306817810048E-3</v>
      </c>
      <c r="G104" s="2"/>
      <c r="H104" s="6">
        <v>665</v>
      </c>
      <c r="I104" s="2"/>
      <c r="J104" s="7">
        <f t="shared" si="69"/>
        <v>1.1083518058634311E-3</v>
      </c>
      <c r="K104" s="2"/>
      <c r="L104" s="6">
        <f t="shared" si="70"/>
        <v>1465.4</v>
      </c>
      <c r="M104" s="2"/>
      <c r="N104" s="7">
        <f t="shared" si="71"/>
        <v>2.2036090225563911</v>
      </c>
      <c r="O104" s="11"/>
      <c r="P104" s="6">
        <v>13151.64</v>
      </c>
      <c r="Q104" s="2"/>
      <c r="R104" s="7">
        <f t="shared" si="72"/>
        <v>4.9250262562913006E-3</v>
      </c>
      <c r="S104" s="2"/>
      <c r="T104" s="6">
        <v>4696.25</v>
      </c>
      <c r="U104" s="2"/>
      <c r="V104" s="7">
        <f t="shared" si="73"/>
        <v>1.5308505710557516E-3</v>
      </c>
      <c r="W104" s="2"/>
      <c r="X104" s="6">
        <f t="shared" si="74"/>
        <v>8455.39</v>
      </c>
      <c r="Y104" s="2"/>
      <c r="Z104" s="7">
        <f t="shared" si="75"/>
        <v>1.8004556827255789</v>
      </c>
    </row>
    <row r="105" spans="1:26" s="24" customFormat="1" hidden="1" outlineLevel="2" x14ac:dyDescent="0.25">
      <c r="A105" s="25"/>
      <c r="B105" s="11" t="str">
        <f>CONCATENATE("          ", "6243", " - ", "PAPER SUPPLIES")</f>
        <v xml:space="preserve">          6243 - PAPER SUPPLIES</v>
      </c>
      <c r="C105" s="11"/>
      <c r="D105" s="6">
        <v>2325.0500000000002</v>
      </c>
      <c r="E105" s="2"/>
      <c r="F105" s="7">
        <f t="shared" si="68"/>
        <v>4.1566169576957033E-3</v>
      </c>
      <c r="G105" s="2"/>
      <c r="H105" s="6">
        <v>3629.52</v>
      </c>
      <c r="I105" s="2"/>
      <c r="J105" s="7">
        <f t="shared" si="69"/>
        <v>6.0493008216803614E-3</v>
      </c>
      <c r="K105" s="2"/>
      <c r="L105" s="6">
        <f t="shared" si="70"/>
        <v>-1304.4699999999998</v>
      </c>
      <c r="M105" s="2"/>
      <c r="N105" s="7">
        <f t="shared" si="71"/>
        <v>-0.3594056514360025</v>
      </c>
      <c r="O105" s="11"/>
      <c r="P105" s="6">
        <v>16564.86</v>
      </c>
      <c r="Q105" s="2"/>
      <c r="R105" s="7">
        <f t="shared" si="72"/>
        <v>6.2032089102035575E-3</v>
      </c>
      <c r="S105" s="2"/>
      <c r="T105" s="6">
        <v>20189.52</v>
      </c>
      <c r="U105" s="2"/>
      <c r="V105" s="7">
        <f t="shared" si="73"/>
        <v>6.581237843245465E-3</v>
      </c>
      <c r="W105" s="2"/>
      <c r="X105" s="6">
        <f t="shared" si="74"/>
        <v>-3624.66</v>
      </c>
      <c r="Y105" s="2"/>
      <c r="Z105" s="7">
        <f t="shared" si="75"/>
        <v>-0.17953175707000463</v>
      </c>
    </row>
    <row r="106" spans="1:26" s="24" customFormat="1" hidden="1" outlineLevel="2" x14ac:dyDescent="0.25">
      <c r="A106" s="25"/>
      <c r="B106" s="11" t="str">
        <f>CONCATENATE("          ", "6244", " - ", "SAFETY SUPPLY EXPENSE")</f>
        <v xml:space="preserve">          6244 - SAFETY SUPPLY EXPENSE</v>
      </c>
      <c r="C106" s="11"/>
      <c r="D106" s="6"/>
      <c r="E106" s="2"/>
      <c r="F106" s="7">
        <f t="shared" si="68"/>
        <v>0</v>
      </c>
      <c r="G106" s="2"/>
      <c r="H106" s="6">
        <v>110</v>
      </c>
      <c r="I106" s="2"/>
      <c r="J106" s="7">
        <f t="shared" si="69"/>
        <v>1.8333638893981566E-4</v>
      </c>
      <c r="K106" s="2"/>
      <c r="L106" s="6">
        <f t="shared" si="70"/>
        <v>-110</v>
      </c>
      <c r="M106" s="2"/>
      <c r="N106" s="7">
        <f t="shared" si="71"/>
        <v>-1</v>
      </c>
      <c r="O106" s="11"/>
      <c r="P106" s="6"/>
      <c r="Q106" s="2"/>
      <c r="R106" s="7">
        <f t="shared" si="72"/>
        <v>0</v>
      </c>
      <c r="S106" s="2"/>
      <c r="T106" s="6">
        <v>550</v>
      </c>
      <c r="U106" s="2"/>
      <c r="V106" s="7">
        <f t="shared" si="73"/>
        <v>1.7928513475233714E-4</v>
      </c>
      <c r="W106" s="2"/>
      <c r="X106" s="6">
        <f t="shared" si="74"/>
        <v>-550</v>
      </c>
      <c r="Y106" s="2"/>
      <c r="Z106" s="7">
        <f t="shared" si="75"/>
        <v>-1</v>
      </c>
    </row>
    <row r="107" spans="1:26" s="24" customFormat="1" hidden="1" outlineLevel="2" x14ac:dyDescent="0.25">
      <c r="A107" s="25"/>
      <c r="B107" s="11" t="str">
        <f>CONCATENATE("          ", "6245", " - ", "PRINTING")</f>
        <v xml:space="preserve">          6245 - PRINTING</v>
      </c>
      <c r="C107" s="11"/>
      <c r="D107" s="6">
        <v>15.99</v>
      </c>
      <c r="E107" s="2"/>
      <c r="F107" s="7">
        <f t="shared" si="68"/>
        <v>2.8586183158880146E-5</v>
      </c>
      <c r="G107" s="2"/>
      <c r="H107" s="6">
        <v>550</v>
      </c>
      <c r="I107" s="2"/>
      <c r="J107" s="7">
        <f t="shared" si="69"/>
        <v>9.1668194469907832E-4</v>
      </c>
      <c r="K107" s="2"/>
      <c r="L107" s="6">
        <f t="shared" si="70"/>
        <v>-534.01</v>
      </c>
      <c r="M107" s="2"/>
      <c r="N107" s="7">
        <f t="shared" si="71"/>
        <v>-0.97092727272727275</v>
      </c>
      <c r="O107" s="11"/>
      <c r="P107" s="6">
        <v>270.89999999999998</v>
      </c>
      <c r="Q107" s="2"/>
      <c r="R107" s="7">
        <f t="shared" si="72"/>
        <v>1.014466342470835E-4</v>
      </c>
      <c r="S107" s="2"/>
      <c r="T107" s="6">
        <v>1300</v>
      </c>
      <c r="U107" s="2"/>
      <c r="V107" s="7">
        <f t="shared" si="73"/>
        <v>4.2376486396006964E-4</v>
      </c>
      <c r="W107" s="2"/>
      <c r="X107" s="6">
        <f t="shared" si="74"/>
        <v>-1029.0999999999999</v>
      </c>
      <c r="Y107" s="2"/>
      <c r="Z107" s="7">
        <f t="shared" si="75"/>
        <v>-0.7916153846153845</v>
      </c>
    </row>
    <row r="108" spans="1:26" s="24" customFormat="1" hidden="1" outlineLevel="2" x14ac:dyDescent="0.25">
      <c r="A108" s="25"/>
      <c r="B108" s="11" t="str">
        <f>CONCATENATE("          ", "6246", " - ", "REPLACEMENTS")</f>
        <v xml:space="preserve">          6246 - REPLACEMENTS</v>
      </c>
      <c r="C108" s="11"/>
      <c r="D108" s="6"/>
      <c r="E108" s="2"/>
      <c r="F108" s="7">
        <f t="shared" si="68"/>
        <v>0</v>
      </c>
      <c r="G108" s="2"/>
      <c r="H108" s="6"/>
      <c r="I108" s="2"/>
      <c r="J108" s="7">
        <f t="shared" si="69"/>
        <v>0</v>
      </c>
      <c r="K108" s="2"/>
      <c r="L108" s="6">
        <f t="shared" si="70"/>
        <v>0</v>
      </c>
      <c r="M108" s="2"/>
      <c r="N108" s="7">
        <f t="shared" si="71"/>
        <v>0</v>
      </c>
      <c r="O108" s="11"/>
      <c r="P108" s="6"/>
      <c r="Q108" s="2"/>
      <c r="R108" s="7">
        <f t="shared" si="72"/>
        <v>0</v>
      </c>
      <c r="S108" s="2"/>
      <c r="T108" s="6">
        <v>2400</v>
      </c>
      <c r="U108" s="2"/>
      <c r="V108" s="7">
        <f t="shared" si="73"/>
        <v>7.8233513346474392E-4</v>
      </c>
      <c r="W108" s="2"/>
      <c r="X108" s="6">
        <f t="shared" si="74"/>
        <v>-2400</v>
      </c>
      <c r="Y108" s="2"/>
      <c r="Z108" s="7">
        <f t="shared" si="75"/>
        <v>-1</v>
      </c>
    </row>
    <row r="109" spans="1:26" s="24" customFormat="1" hidden="1" outlineLevel="2" x14ac:dyDescent="0.25">
      <c r="A109" s="25"/>
      <c r="B109" s="11" t="str">
        <f>CONCATENATE("          ", "6247", " - ", "STORE SUPPLIES")</f>
        <v xml:space="preserve">          6247 - STORE SUPPLIES</v>
      </c>
      <c r="C109" s="11"/>
      <c r="D109" s="6">
        <v>1102.46</v>
      </c>
      <c r="E109" s="2"/>
      <c r="F109" s="7">
        <f t="shared" si="68"/>
        <v>1.970927047238212E-3</v>
      </c>
      <c r="G109" s="2"/>
      <c r="H109" s="6">
        <v>168.77</v>
      </c>
      <c r="I109" s="2"/>
      <c r="J109" s="7">
        <f t="shared" si="69"/>
        <v>2.8128802146702448E-4</v>
      </c>
      <c r="K109" s="2"/>
      <c r="L109" s="6">
        <f t="shared" si="70"/>
        <v>933.69</v>
      </c>
      <c r="M109" s="2"/>
      <c r="N109" s="7">
        <f t="shared" si="71"/>
        <v>5.5323220951590919</v>
      </c>
      <c r="O109" s="11"/>
      <c r="P109" s="6">
        <v>2900.26</v>
      </c>
      <c r="Q109" s="2"/>
      <c r="R109" s="7">
        <f t="shared" si="72"/>
        <v>1.0860893888573143E-3</v>
      </c>
      <c r="S109" s="2"/>
      <c r="T109" s="6">
        <v>3288.86</v>
      </c>
      <c r="U109" s="2"/>
      <c r="V109" s="7">
        <f t="shared" si="73"/>
        <v>1.0720794696028573E-3</v>
      </c>
      <c r="W109" s="2"/>
      <c r="X109" s="6">
        <f t="shared" si="74"/>
        <v>-388.59999999999991</v>
      </c>
      <c r="Y109" s="2"/>
      <c r="Z109" s="7">
        <f t="shared" si="75"/>
        <v>-0.11815644326605568</v>
      </c>
    </row>
    <row r="110" spans="1:26" s="24" customFormat="1" hidden="1" outlineLevel="2" x14ac:dyDescent="0.25">
      <c r="A110" s="25"/>
      <c r="B110" s="11" t="str">
        <f>CONCATENATE("          ", "6248", " - ", "UNIFORMS")</f>
        <v xml:space="preserve">          6248 - UNIFORMS</v>
      </c>
      <c r="C110" s="11"/>
      <c r="D110" s="6">
        <v>250.51</v>
      </c>
      <c r="E110" s="2"/>
      <c r="F110" s="7">
        <f t="shared" si="68"/>
        <v>4.4785020282245562E-4</v>
      </c>
      <c r="G110" s="2"/>
      <c r="H110" s="6">
        <v>750</v>
      </c>
      <c r="I110" s="2"/>
      <c r="J110" s="7">
        <f t="shared" si="69"/>
        <v>1.2500208336805613E-3</v>
      </c>
      <c r="K110" s="2"/>
      <c r="L110" s="6">
        <f t="shared" si="70"/>
        <v>-499.49</v>
      </c>
      <c r="M110" s="2"/>
      <c r="N110" s="7">
        <f t="shared" si="71"/>
        <v>-0.66598666666666673</v>
      </c>
      <c r="O110" s="11"/>
      <c r="P110" s="6">
        <v>3733.75</v>
      </c>
      <c r="Q110" s="2"/>
      <c r="R110" s="7">
        <f t="shared" si="72"/>
        <v>1.3982147309710153E-3</v>
      </c>
      <c r="S110" s="2"/>
      <c r="T110" s="6">
        <v>5850</v>
      </c>
      <c r="U110" s="2"/>
      <c r="V110" s="7">
        <f t="shared" si="73"/>
        <v>1.9069418878203132E-3</v>
      </c>
      <c r="W110" s="2"/>
      <c r="X110" s="6">
        <f t="shared" si="74"/>
        <v>-2116.25</v>
      </c>
      <c r="Y110" s="2"/>
      <c r="Z110" s="7">
        <f t="shared" si="75"/>
        <v>-0.36175213675213674</v>
      </c>
    </row>
    <row r="111" spans="1:26" s="26" customFormat="1" outlineLevel="1" collapsed="1" x14ac:dyDescent="0.25">
      <c r="A111" s="27"/>
      <c r="B111" s="13" t="str">
        <f>CONCATENATE("     ","Telephone/Data Lines                              ")</f>
        <v xml:space="preserve">     Telephone/Data Lines                              </v>
      </c>
      <c r="C111" s="13"/>
      <c r="D111" s="1">
        <f>SUM(OSRRefD22_19x_0)</f>
        <v>1444.77</v>
      </c>
      <c r="E111" s="1"/>
      <c r="F111" s="5">
        <f t="shared" ref="F111:F113" si="76">IF(D$12=0,0,D111/D$12)</f>
        <v>2.5828930483086472E-3</v>
      </c>
      <c r="G111" s="1"/>
      <c r="H111" s="1">
        <f>SUM(OSRRefH22_19x_0)</f>
        <v>2011</v>
      </c>
      <c r="I111" s="1"/>
      <c r="J111" s="5">
        <f t="shared" ref="J111:J113" si="77">IF(H$12=0,0,H111/H$12)</f>
        <v>3.3517225287088117E-3</v>
      </c>
      <c r="K111" s="1"/>
      <c r="L111" s="1">
        <f t="shared" ref="L111:L113" si="78">+D111-H111</f>
        <v>-566.23</v>
      </c>
      <c r="M111" s="1"/>
      <c r="N111" s="5">
        <f t="shared" ref="N111:N113" si="79">IF(H111=0,0,L111/H111)</f>
        <v>-0.28156638488314273</v>
      </c>
      <c r="O111" s="13"/>
      <c r="P111" s="1">
        <f>SUM(OSRRefP22_19x_0)</f>
        <v>8585.73</v>
      </c>
      <c r="Q111" s="1"/>
      <c r="R111" s="5">
        <f t="shared" ref="R111:R113" si="80">IF(P$12=0,0,P111/P$12)</f>
        <v>3.2151842416176164E-3</v>
      </c>
      <c r="S111" s="1"/>
      <c r="T111" s="1">
        <f>SUM(OSRRefT22_19x_0)</f>
        <v>9036</v>
      </c>
      <c r="U111" s="1"/>
      <c r="V111" s="5">
        <f t="shared" ref="V111:V113" si="81">IF(T$12=0,0,T111/T$12)</f>
        <v>2.945491777494761E-3</v>
      </c>
      <c r="W111" s="1"/>
      <c r="X111" s="1">
        <f t="shared" ref="X111:X113" si="82">+P111-T111</f>
        <v>-450.27000000000044</v>
      </c>
      <c r="Y111" s="1"/>
      <c r="Z111" s="5">
        <f t="shared" ref="Z111:Z113" si="83">IF(T111=0,0,X111/T111)</f>
        <v>-4.9830677290836699E-2</v>
      </c>
    </row>
    <row r="112" spans="1:26" s="24" customFormat="1" hidden="1" outlineLevel="2" x14ac:dyDescent="0.25">
      <c r="A112" s="25"/>
      <c r="B112" s="11" t="str">
        <f>CONCATENATE("          ", "6303", " - ", "DATA PHONE LINES")</f>
        <v xml:space="preserve">          6303 - DATA PHONE LINES</v>
      </c>
      <c r="C112" s="11"/>
      <c r="D112" s="6"/>
      <c r="E112" s="2"/>
      <c r="F112" s="7">
        <f t="shared" si="76"/>
        <v>0</v>
      </c>
      <c r="G112" s="2"/>
      <c r="H112" s="6">
        <v>696</v>
      </c>
      <c r="I112" s="2"/>
      <c r="J112" s="7">
        <f t="shared" si="77"/>
        <v>1.1600193336555608E-3</v>
      </c>
      <c r="K112" s="2"/>
      <c r="L112" s="6">
        <f t="shared" si="78"/>
        <v>-696</v>
      </c>
      <c r="M112" s="2"/>
      <c r="N112" s="7">
        <f t="shared" si="79"/>
        <v>-1</v>
      </c>
      <c r="O112" s="11"/>
      <c r="P112" s="6"/>
      <c r="Q112" s="2"/>
      <c r="R112" s="7">
        <f t="shared" si="80"/>
        <v>0</v>
      </c>
      <c r="S112" s="2"/>
      <c r="T112" s="6">
        <v>2686</v>
      </c>
      <c r="U112" s="2"/>
      <c r="V112" s="7">
        <f t="shared" si="81"/>
        <v>8.755634035359592E-4</v>
      </c>
      <c r="W112" s="2"/>
      <c r="X112" s="6">
        <f t="shared" si="82"/>
        <v>-2686</v>
      </c>
      <c r="Y112" s="2"/>
      <c r="Z112" s="7">
        <f t="shared" si="83"/>
        <v>-1</v>
      </c>
    </row>
    <row r="113" spans="1:26" s="24" customFormat="1" hidden="1" outlineLevel="2" x14ac:dyDescent="0.25">
      <c r="A113" s="25"/>
      <c r="B113" s="11" t="str">
        <f>CONCATENATE("          ", "6309", " - ", "TELEPHONE")</f>
        <v xml:space="preserve">          6309 - TELEPHONE</v>
      </c>
      <c r="C113" s="11"/>
      <c r="D113" s="6">
        <v>1444.77</v>
      </c>
      <c r="E113" s="2"/>
      <c r="F113" s="7">
        <f t="shared" si="76"/>
        <v>2.5828930483086472E-3</v>
      </c>
      <c r="G113" s="2"/>
      <c r="H113" s="6">
        <v>1315</v>
      </c>
      <c r="I113" s="2"/>
      <c r="J113" s="7">
        <f t="shared" si="77"/>
        <v>2.191703195053251E-3</v>
      </c>
      <c r="K113" s="2"/>
      <c r="L113" s="6">
        <f t="shared" si="78"/>
        <v>129.76999999999998</v>
      </c>
      <c r="M113" s="2"/>
      <c r="N113" s="7">
        <f t="shared" si="79"/>
        <v>9.8684410646387818E-2</v>
      </c>
      <c r="O113" s="11"/>
      <c r="P113" s="6">
        <v>8585.73</v>
      </c>
      <c r="Q113" s="2"/>
      <c r="R113" s="7">
        <f t="shared" si="80"/>
        <v>3.2151842416176164E-3</v>
      </c>
      <c r="S113" s="2"/>
      <c r="T113" s="6">
        <v>6350</v>
      </c>
      <c r="U113" s="2"/>
      <c r="V113" s="7">
        <f t="shared" si="81"/>
        <v>2.0699283739588014E-3</v>
      </c>
      <c r="W113" s="2"/>
      <c r="X113" s="6">
        <f t="shared" si="82"/>
        <v>2235.7299999999996</v>
      </c>
      <c r="Y113" s="2"/>
      <c r="Z113" s="7">
        <f t="shared" si="83"/>
        <v>0.35208346456692907</v>
      </c>
    </row>
    <row r="114" spans="1:26" s="26" customFormat="1" outlineLevel="1" collapsed="1" x14ac:dyDescent="0.25">
      <c r="A114" s="27"/>
      <c r="B114" s="13" t="str">
        <f>CONCATENATE("     ","Training                                          ")</f>
        <v xml:space="preserve">     Training                                          </v>
      </c>
      <c r="C114" s="13"/>
      <c r="D114" s="1">
        <f>SUM(OSRRefD22_20x_0)</f>
        <v>85</v>
      </c>
      <c r="E114" s="1"/>
      <c r="F114" s="5">
        <f t="shared" ref="F114:F119" si="84">IF(D$12=0,0,D114/D$12)</f>
        <v>1.5195907245183317E-4</v>
      </c>
      <c r="G114" s="1"/>
      <c r="H114" s="1">
        <f>SUM(OSRRefH22_20x_0)</f>
        <v>500</v>
      </c>
      <c r="I114" s="1"/>
      <c r="J114" s="5">
        <f t="shared" ref="J114:J119" si="85">IF(H$12=0,0,H114/H$12)</f>
        <v>8.333472224537076E-4</v>
      </c>
      <c r="K114" s="1"/>
      <c r="L114" s="1">
        <f t="shared" ref="L114:L119" si="86">+D114-H114</f>
        <v>-415</v>
      </c>
      <c r="M114" s="1"/>
      <c r="N114" s="5">
        <f t="shared" ref="N114:N119" si="87">IF(H114=0,0,L114/H114)</f>
        <v>-0.83</v>
      </c>
      <c r="O114" s="13"/>
      <c r="P114" s="1">
        <f>SUM(OSRRefP22_20x_0)</f>
        <v>1652.5</v>
      </c>
      <c r="Q114" s="1"/>
      <c r="R114" s="5">
        <f t="shared" ref="R114:R119" si="88">IF(P$12=0,0,P114/P$12)</f>
        <v>6.188282137072924E-4</v>
      </c>
      <c r="S114" s="1"/>
      <c r="T114" s="1">
        <f>SUM(OSRRefT22_20x_0)</f>
        <v>5580</v>
      </c>
      <c r="U114" s="1"/>
      <c r="V114" s="5">
        <f t="shared" ref="V114:V119" si="89">IF(T$12=0,0,T114/T$12)</f>
        <v>1.8189291853055295E-3</v>
      </c>
      <c r="W114" s="1"/>
      <c r="X114" s="1">
        <f t="shared" ref="X114:X119" si="90">+P114-T114</f>
        <v>-3927.5</v>
      </c>
      <c r="Y114" s="1"/>
      <c r="Z114" s="5">
        <f t="shared" ref="Z114:Z119" si="91">IF(T114=0,0,X114/T114)</f>
        <v>-0.70385304659498205</v>
      </c>
    </row>
    <row r="115" spans="1:26" s="24" customFormat="1" hidden="1" outlineLevel="2" x14ac:dyDescent="0.25">
      <c r="A115" s="25"/>
      <c r="B115" s="11" t="str">
        <f>CONCATENATE("          ", "6376", " - ", "TRAINING")</f>
        <v xml:space="preserve">          6376 - TRAINING</v>
      </c>
      <c r="C115" s="11"/>
      <c r="D115" s="6">
        <v>85</v>
      </c>
      <c r="E115" s="2"/>
      <c r="F115" s="7">
        <f t="shared" si="84"/>
        <v>1.5195907245183317E-4</v>
      </c>
      <c r="G115" s="2"/>
      <c r="H115" s="6">
        <v>500</v>
      </c>
      <c r="I115" s="2"/>
      <c r="J115" s="7">
        <f t="shared" si="85"/>
        <v>8.333472224537076E-4</v>
      </c>
      <c r="K115" s="2"/>
      <c r="L115" s="6">
        <f t="shared" si="86"/>
        <v>-415</v>
      </c>
      <c r="M115" s="2"/>
      <c r="N115" s="7">
        <f t="shared" si="87"/>
        <v>-0.83</v>
      </c>
      <c r="O115" s="11"/>
      <c r="P115" s="6">
        <v>1652.5</v>
      </c>
      <c r="Q115" s="2"/>
      <c r="R115" s="7">
        <f t="shared" si="88"/>
        <v>6.188282137072924E-4</v>
      </c>
      <c r="S115" s="2"/>
      <c r="T115" s="6">
        <v>5580</v>
      </c>
      <c r="U115" s="2"/>
      <c r="V115" s="7">
        <f t="shared" si="89"/>
        <v>1.8189291853055295E-3</v>
      </c>
      <c r="W115" s="2"/>
      <c r="X115" s="6">
        <f t="shared" si="90"/>
        <v>-3927.5</v>
      </c>
      <c r="Y115" s="2"/>
      <c r="Z115" s="7">
        <f t="shared" si="91"/>
        <v>-0.70385304659498205</v>
      </c>
    </row>
    <row r="116" spans="1:26" s="26" customFormat="1" outlineLevel="1" collapsed="1" x14ac:dyDescent="0.25">
      <c r="A116" s="27"/>
      <c r="B116" s="13" t="str">
        <f>CONCATENATE("     ","Travel                                            ")</f>
        <v xml:space="preserve">     Travel                                            </v>
      </c>
      <c r="C116" s="13"/>
      <c r="D116" s="1">
        <f>SUM(OSRRefD22_21x_0)</f>
        <v>301.73</v>
      </c>
      <c r="E116" s="1"/>
      <c r="F116" s="5">
        <f t="shared" si="84"/>
        <v>5.3941895212813681E-4</v>
      </c>
      <c r="G116" s="1"/>
      <c r="H116" s="1">
        <f>SUM(OSRRefH22_21x_0)</f>
        <v>0</v>
      </c>
      <c r="I116" s="1"/>
      <c r="J116" s="5">
        <f t="shared" si="85"/>
        <v>0</v>
      </c>
      <c r="K116" s="1"/>
      <c r="L116" s="1">
        <f t="shared" si="86"/>
        <v>301.73</v>
      </c>
      <c r="M116" s="1"/>
      <c r="N116" s="5">
        <f t="shared" si="87"/>
        <v>0</v>
      </c>
      <c r="O116" s="13"/>
      <c r="P116" s="1">
        <f>SUM(OSRRefP22_21x_0)</f>
        <v>1402.9099999999999</v>
      </c>
      <c r="Q116" s="1"/>
      <c r="R116" s="5">
        <f t="shared" si="88"/>
        <v>5.2536174843697268E-4</v>
      </c>
      <c r="S116" s="1"/>
      <c r="T116" s="1">
        <f>SUM(OSRRefT22_21x_0)</f>
        <v>7700</v>
      </c>
      <c r="U116" s="1"/>
      <c r="V116" s="5">
        <f t="shared" si="89"/>
        <v>2.5099918865327201E-3</v>
      </c>
      <c r="W116" s="1"/>
      <c r="X116" s="1">
        <f t="shared" si="90"/>
        <v>-6297.09</v>
      </c>
      <c r="Y116" s="1"/>
      <c r="Z116" s="5">
        <f t="shared" si="91"/>
        <v>-0.81780389610389614</v>
      </c>
    </row>
    <row r="117" spans="1:26" s="24" customFormat="1" hidden="1" outlineLevel="2" x14ac:dyDescent="0.25">
      <c r="A117" s="25"/>
      <c r="B117" s="11" t="str">
        <f>CONCATENATE("          ", "6292", " - ", "TRAVEL/CONFERENCE")</f>
        <v xml:space="preserve">          6292 - TRAVEL/CONFERENCE</v>
      </c>
      <c r="C117" s="11"/>
      <c r="D117" s="6">
        <v>153.68</v>
      </c>
      <c r="E117" s="2"/>
      <c r="F117" s="7">
        <f t="shared" si="84"/>
        <v>2.7474200299291437E-4</v>
      </c>
      <c r="G117" s="2"/>
      <c r="H117" s="6"/>
      <c r="I117" s="2"/>
      <c r="J117" s="7">
        <f t="shared" si="85"/>
        <v>0</v>
      </c>
      <c r="K117" s="2"/>
      <c r="L117" s="6">
        <f t="shared" si="86"/>
        <v>153.68</v>
      </c>
      <c r="M117" s="2"/>
      <c r="N117" s="7">
        <f t="shared" si="87"/>
        <v>0</v>
      </c>
      <c r="O117" s="11"/>
      <c r="P117" s="6">
        <v>699.37</v>
      </c>
      <c r="Q117" s="2"/>
      <c r="R117" s="7">
        <f t="shared" si="88"/>
        <v>2.6190008340119158E-4</v>
      </c>
      <c r="S117" s="2"/>
      <c r="T117" s="6">
        <v>7700</v>
      </c>
      <c r="U117" s="2"/>
      <c r="V117" s="7">
        <f t="shared" si="89"/>
        <v>2.5099918865327201E-3</v>
      </c>
      <c r="W117" s="2"/>
      <c r="X117" s="6">
        <f t="shared" si="90"/>
        <v>-7000.63</v>
      </c>
      <c r="Y117" s="2"/>
      <c r="Z117" s="7">
        <f t="shared" si="91"/>
        <v>-0.90917272727272724</v>
      </c>
    </row>
    <row r="118" spans="1:26" s="24" customFormat="1" hidden="1" outlineLevel="2" x14ac:dyDescent="0.25">
      <c r="A118" s="25"/>
      <c r="B118" s="11" t="str">
        <f>CONCATENATE("          ", "6294", " - ", "TRAVEL OPERATIONAL")</f>
        <v xml:space="preserve">          6294 - TRAVEL OPERATIONAL</v>
      </c>
      <c r="C118" s="11"/>
      <c r="D118" s="6"/>
      <c r="E118" s="2"/>
      <c r="F118" s="7">
        <f t="shared" si="84"/>
        <v>0</v>
      </c>
      <c r="G118" s="2"/>
      <c r="H118" s="6"/>
      <c r="I118" s="2"/>
      <c r="J118" s="7">
        <f t="shared" si="85"/>
        <v>0</v>
      </c>
      <c r="K118" s="2"/>
      <c r="L118" s="6">
        <f t="shared" si="86"/>
        <v>0</v>
      </c>
      <c r="M118" s="2"/>
      <c r="N118" s="7">
        <f t="shared" si="87"/>
        <v>0</v>
      </c>
      <c r="O118" s="11"/>
      <c r="P118" s="6">
        <v>45.49</v>
      </c>
      <c r="Q118" s="2"/>
      <c r="R118" s="7">
        <f t="shared" si="88"/>
        <v>1.7035095577334179E-5</v>
      </c>
      <c r="S118" s="2"/>
      <c r="T118" s="6"/>
      <c r="U118" s="2"/>
      <c r="V118" s="7">
        <f t="shared" si="89"/>
        <v>0</v>
      </c>
      <c r="W118" s="2"/>
      <c r="X118" s="6">
        <f t="shared" si="90"/>
        <v>45.49</v>
      </c>
      <c r="Y118" s="2"/>
      <c r="Z118" s="7">
        <f t="shared" si="91"/>
        <v>0</v>
      </c>
    </row>
    <row r="119" spans="1:26" s="24" customFormat="1" hidden="1" outlineLevel="2" x14ac:dyDescent="0.25">
      <c r="A119" s="25"/>
      <c r="B119" s="11" t="str">
        <f>CONCATENATE("          ", "6298", " - ", "VEHICLE MILEAGE")</f>
        <v xml:space="preserve">          6298 - VEHICLE MILEAGE</v>
      </c>
      <c r="C119" s="11"/>
      <c r="D119" s="6">
        <v>148.05000000000001</v>
      </c>
      <c r="E119" s="2"/>
      <c r="F119" s="7">
        <f t="shared" si="84"/>
        <v>2.6467694913522239E-4</v>
      </c>
      <c r="G119" s="2"/>
      <c r="H119" s="6"/>
      <c r="I119" s="2"/>
      <c r="J119" s="7">
        <f t="shared" si="85"/>
        <v>0</v>
      </c>
      <c r="K119" s="2"/>
      <c r="L119" s="6">
        <f t="shared" si="86"/>
        <v>148.05000000000001</v>
      </c>
      <c r="M119" s="2"/>
      <c r="N119" s="7">
        <f t="shared" si="87"/>
        <v>0</v>
      </c>
      <c r="O119" s="11"/>
      <c r="P119" s="6">
        <v>658.05</v>
      </c>
      <c r="Q119" s="2"/>
      <c r="R119" s="7">
        <f t="shared" si="88"/>
        <v>2.4642656945844703E-4</v>
      </c>
      <c r="S119" s="2"/>
      <c r="T119" s="6">
        <v>0</v>
      </c>
      <c r="U119" s="2"/>
      <c r="V119" s="7">
        <f t="shared" si="89"/>
        <v>0</v>
      </c>
      <c r="W119" s="2"/>
      <c r="X119" s="6">
        <f t="shared" si="90"/>
        <v>658.05</v>
      </c>
      <c r="Y119" s="2"/>
      <c r="Z119" s="7">
        <f t="shared" si="91"/>
        <v>0</v>
      </c>
    </row>
    <row r="120" spans="1:26" s="26" customFormat="1" outlineLevel="1" collapsed="1" x14ac:dyDescent="0.25">
      <c r="A120" s="27"/>
      <c r="B120" s="13" t="str">
        <f>CONCATENATE("     ","Utilities                                         ")</f>
        <v xml:space="preserve">     Utilities                                         </v>
      </c>
      <c r="C120" s="13"/>
      <c r="D120" s="1">
        <f>SUM(OSRRefD22_22x_0)</f>
        <v>13691</v>
      </c>
      <c r="E120" s="1"/>
      <c r="F120" s="5">
        <f t="shared" ref="F120:F121" si="92">IF(D$12=0,0,D120/D$12)</f>
        <v>2.4476137187506446E-2</v>
      </c>
      <c r="G120" s="1"/>
      <c r="H120" s="1">
        <f>SUM(OSRRefH22_22x_0)</f>
        <v>17450</v>
      </c>
      <c r="I120" s="1"/>
      <c r="J120" s="5">
        <f t="shared" ref="J120:J121" si="93">IF(H$12=0,0,H120/H$12)</f>
        <v>2.9083818063634394E-2</v>
      </c>
      <c r="K120" s="1"/>
      <c r="L120" s="1">
        <f t="shared" ref="L120:L121" si="94">+D120-H120</f>
        <v>-3759</v>
      </c>
      <c r="M120" s="1"/>
      <c r="N120" s="5">
        <f t="shared" ref="N120:N121" si="95">IF(H120=0,0,L120/H120)</f>
        <v>-0.21541547277936962</v>
      </c>
      <c r="O120" s="13"/>
      <c r="P120" s="1">
        <f>SUM(OSRRefP22_22x_0)</f>
        <v>58340</v>
      </c>
      <c r="Q120" s="1"/>
      <c r="R120" s="5">
        <f t="shared" ref="R120:R121" si="96">IF(P$12=0,0,P120/P$12)</f>
        <v>2.184716368392341E-2</v>
      </c>
      <c r="S120" s="1"/>
      <c r="T120" s="1">
        <f>SUM(OSRRefT22_22x_0)</f>
        <v>97250</v>
      </c>
      <c r="U120" s="1"/>
      <c r="V120" s="5">
        <f t="shared" ref="V120:V121" si="97">IF(T$12=0,0,T120/T$12)</f>
        <v>3.1700871553935979E-2</v>
      </c>
      <c r="W120" s="1"/>
      <c r="X120" s="1">
        <f t="shared" ref="X120:X121" si="98">+P120-T120</f>
        <v>-38910</v>
      </c>
      <c r="Y120" s="1"/>
      <c r="Z120" s="5">
        <f t="shared" ref="Z120:Z121" si="99">IF(T120=0,0,X120/T120)</f>
        <v>-0.40010282776349615</v>
      </c>
    </row>
    <row r="121" spans="1:26" s="24" customFormat="1" hidden="1" outlineLevel="2" x14ac:dyDescent="0.25">
      <c r="A121" s="25"/>
      <c r="B121" s="11" t="str">
        <f>CONCATENATE("          ", "6274", " - ", "UTILITIES")</f>
        <v xml:space="preserve">          6274 - UTILITIES</v>
      </c>
      <c r="C121" s="11"/>
      <c r="D121" s="6">
        <v>13691</v>
      </c>
      <c r="E121" s="2"/>
      <c r="F121" s="7">
        <f t="shared" si="92"/>
        <v>2.4476137187506446E-2</v>
      </c>
      <c r="G121" s="2"/>
      <c r="H121" s="6">
        <v>17450</v>
      </c>
      <c r="I121" s="2"/>
      <c r="J121" s="7">
        <f t="shared" si="93"/>
        <v>2.9083818063634394E-2</v>
      </c>
      <c r="K121" s="2"/>
      <c r="L121" s="6">
        <f t="shared" si="94"/>
        <v>-3759</v>
      </c>
      <c r="M121" s="2"/>
      <c r="N121" s="7">
        <f t="shared" si="95"/>
        <v>-0.21541547277936962</v>
      </c>
      <c r="O121" s="11"/>
      <c r="P121" s="6">
        <v>58340</v>
      </c>
      <c r="Q121" s="2"/>
      <c r="R121" s="7">
        <f t="shared" si="96"/>
        <v>2.184716368392341E-2</v>
      </c>
      <c r="S121" s="2"/>
      <c r="T121" s="6">
        <v>97250</v>
      </c>
      <c r="U121" s="2"/>
      <c r="V121" s="7">
        <f t="shared" si="97"/>
        <v>3.1700871553935979E-2</v>
      </c>
      <c r="W121" s="2"/>
      <c r="X121" s="6">
        <f t="shared" si="98"/>
        <v>-38910</v>
      </c>
      <c r="Y121" s="2"/>
      <c r="Z121" s="7">
        <f t="shared" si="99"/>
        <v>-0.40010282776349615</v>
      </c>
    </row>
    <row r="122" spans="1:26" s="59" customFormat="1" x14ac:dyDescent="0.25">
      <c r="A122" s="36"/>
      <c r="B122" s="36"/>
      <c r="C122" s="36"/>
      <c r="D122" s="1"/>
      <c r="E122" s="1"/>
      <c r="F122" s="5"/>
      <c r="G122" s="1"/>
      <c r="H122" s="1"/>
      <c r="I122" s="1"/>
      <c r="J122" s="5"/>
      <c r="K122" s="1"/>
      <c r="L122" s="1"/>
      <c r="M122" s="1"/>
      <c r="N122" s="5"/>
      <c r="O122" s="36"/>
      <c r="P122" s="1"/>
      <c r="Q122" s="1"/>
      <c r="R122" s="5"/>
      <c r="S122" s="1"/>
      <c r="T122" s="1"/>
      <c r="U122" s="1"/>
      <c r="V122" s="5"/>
      <c r="W122" s="1"/>
      <c r="X122" s="1"/>
      <c r="Y122" s="1"/>
      <c r="Z122" s="5"/>
    </row>
    <row r="123" spans="1:26" s="23" customFormat="1" collapsed="1" x14ac:dyDescent="0.25">
      <c r="A123" s="10"/>
      <c r="B123" s="29" t="s">
        <v>0</v>
      </c>
      <c r="C123" s="10"/>
      <c r="D123" s="4">
        <f>SUM(OSRRefD25x_0)</f>
        <v>66542.63</v>
      </c>
      <c r="E123" s="4"/>
      <c r="F123" s="12">
        <f t="shared" ref="F123:F127" si="100">IF(D$12=0,0,D123/D$12)</f>
        <v>0.11896183921535916</v>
      </c>
      <c r="G123" s="4"/>
      <c r="H123" s="4">
        <f>SUM(OSRRefH25x_0)</f>
        <v>97938</v>
      </c>
      <c r="I123" s="4"/>
      <c r="J123" s="12">
        <f t="shared" ref="J123:J127" si="101">IF(H$12=0,0,H123/H$12)</f>
        <v>0.16323272054534244</v>
      </c>
      <c r="K123" s="4"/>
      <c r="L123" s="4">
        <f t="shared" ref="L123:L127" si="102">+D123-H123</f>
        <v>-31395.369999999995</v>
      </c>
      <c r="M123" s="4"/>
      <c r="N123" s="12">
        <f t="shared" ref="N123:N127" si="103">IF(H123=0,0,L123/H123)</f>
        <v>-0.32056372398864585</v>
      </c>
      <c r="O123" s="10"/>
      <c r="P123" s="4">
        <f>SUM(OSRRefP25x_0)</f>
        <v>493067.26</v>
      </c>
      <c r="Q123" s="4"/>
      <c r="R123" s="12">
        <f t="shared" ref="R123:R127" si="104">IF(P$12=0,0,P123/P$12)</f>
        <v>0.18464383161473469</v>
      </c>
      <c r="S123" s="4"/>
      <c r="T123" s="4">
        <f>SUM(OSRRefT25x_0)</f>
        <v>415674</v>
      </c>
      <c r="U123" s="4"/>
      <c r="V123" s="12">
        <f t="shared" ref="V123:V127" si="105">IF(T$12=0,0,T123/T$12)</f>
        <v>0.13549848927825997</v>
      </c>
      <c r="W123" s="4"/>
      <c r="X123" s="4">
        <f t="shared" ref="X123:X127" si="106">+P123-T123</f>
        <v>77393.260000000009</v>
      </c>
      <c r="Y123" s="4"/>
      <c r="Z123" s="12">
        <f t="shared" ref="Z123:Z127" si="107">IF(T123=0,0,X123/T123)</f>
        <v>0.18618739685426564</v>
      </c>
    </row>
    <row r="124" spans="1:26" s="24" customFormat="1" hidden="1" outlineLevel="1" x14ac:dyDescent="0.25">
      <c r="A124" s="44"/>
      <c r="B124" s="11" t="str">
        <f>CONCATENATE("          ", "9150", " - ", "MISC. INCOME")</f>
        <v xml:space="preserve">          9150 - MISC. INCOME</v>
      </c>
      <c r="C124" s="11"/>
      <c r="D124" s="2">
        <f>--48346.26</f>
        <v>48346.26</v>
      </c>
      <c r="E124" s="2"/>
      <c r="F124" s="19">
        <f t="shared" si="100"/>
        <v>8.6431209719001936E-2</v>
      </c>
      <c r="G124" s="2"/>
      <c r="H124" s="2">
        <v>76238</v>
      </c>
      <c r="I124" s="2"/>
      <c r="J124" s="19">
        <f t="shared" si="101"/>
        <v>0.12706545109085152</v>
      </c>
      <c r="K124" s="2"/>
      <c r="L124" s="2">
        <f t="shared" si="102"/>
        <v>-27891.739999999998</v>
      </c>
      <c r="M124" s="2"/>
      <c r="N124" s="19">
        <f t="shared" si="103"/>
        <v>-0.3658508880086046</v>
      </c>
      <c r="O124" s="11"/>
      <c r="P124" s="2">
        <f>--165642.94</f>
        <v>165642.94</v>
      </c>
      <c r="Q124" s="2"/>
      <c r="R124" s="19">
        <f t="shared" si="104"/>
        <v>6.2029969545188628E-2</v>
      </c>
      <c r="S124" s="2"/>
      <c r="T124" s="2">
        <v>157857</v>
      </c>
      <c r="U124" s="2"/>
      <c r="V124" s="19">
        <f t="shared" si="105"/>
        <v>5.1457115484726701E-2</v>
      </c>
      <c r="W124" s="2"/>
      <c r="X124" s="2">
        <f t="shared" si="106"/>
        <v>7785.9400000000023</v>
      </c>
      <c r="Y124" s="2"/>
      <c r="Z124" s="19">
        <f t="shared" si="107"/>
        <v>4.9322741468544332E-2</v>
      </c>
    </row>
    <row r="125" spans="1:26" s="24" customFormat="1" hidden="1" outlineLevel="1" x14ac:dyDescent="0.25">
      <c r="A125" s="44"/>
      <c r="B125" s="11" t="str">
        <f>CONCATENATE("          ", "9151", " - ", "MISC. INCOME")</f>
        <v xml:space="preserve">          9151 - MISC. INCOME</v>
      </c>
      <c r="C125" s="11"/>
      <c r="D125" s="2">
        <f>0</f>
        <v>0</v>
      </c>
      <c r="E125" s="2"/>
      <c r="F125" s="19">
        <f t="shared" si="100"/>
        <v>0</v>
      </c>
      <c r="G125" s="2"/>
      <c r="H125" s="2">
        <v>21700</v>
      </c>
      <c r="I125" s="2"/>
      <c r="J125" s="19">
        <f t="shared" si="101"/>
        <v>3.6167269454490905E-2</v>
      </c>
      <c r="K125" s="2"/>
      <c r="L125" s="2">
        <f t="shared" si="102"/>
        <v>-21700</v>
      </c>
      <c r="M125" s="2"/>
      <c r="N125" s="19">
        <f t="shared" si="103"/>
        <v>-1</v>
      </c>
      <c r="O125" s="11"/>
      <c r="P125" s="2">
        <f>0</f>
        <v>0</v>
      </c>
      <c r="Q125" s="2"/>
      <c r="R125" s="19">
        <f t="shared" si="104"/>
        <v>0</v>
      </c>
      <c r="S125" s="2"/>
      <c r="T125" s="2">
        <v>257817</v>
      </c>
      <c r="U125" s="2"/>
      <c r="V125" s="19">
        <f t="shared" si="105"/>
        <v>8.4041373793533283E-2</v>
      </c>
      <c r="W125" s="2"/>
      <c r="X125" s="2">
        <f t="shared" si="106"/>
        <v>-257817</v>
      </c>
      <c r="Y125" s="2"/>
      <c r="Z125" s="19">
        <f t="shared" si="107"/>
        <v>-1</v>
      </c>
    </row>
    <row r="126" spans="1:26" s="24" customFormat="1" hidden="1" outlineLevel="1" x14ac:dyDescent="0.25">
      <c r="A126" s="44"/>
      <c r="B126" s="11" t="str">
        <f>CONCATENATE("          ", "9160", " - ", "MISC. INCOME")</f>
        <v xml:space="preserve">          9160 - MISC. INCOME</v>
      </c>
      <c r="C126" s="11"/>
      <c r="D126" s="2">
        <f>--7692.32</f>
        <v>7692.32</v>
      </c>
      <c r="E126" s="2"/>
      <c r="F126" s="19">
        <f t="shared" si="100"/>
        <v>1.3751974261208062E-2</v>
      </c>
      <c r="G126" s="2"/>
      <c r="H126" s="2"/>
      <c r="I126" s="2"/>
      <c r="J126" s="19">
        <f t="shared" si="101"/>
        <v>0</v>
      </c>
      <c r="K126" s="2"/>
      <c r="L126" s="2">
        <f t="shared" si="102"/>
        <v>7692.32</v>
      </c>
      <c r="M126" s="2"/>
      <c r="N126" s="19">
        <f t="shared" si="103"/>
        <v>0</v>
      </c>
      <c r="O126" s="11"/>
      <c r="P126" s="2">
        <f>--104050.2</f>
        <v>104050.2</v>
      </c>
      <c r="Q126" s="2"/>
      <c r="R126" s="19">
        <f t="shared" si="104"/>
        <v>3.8964719759084124E-2</v>
      </c>
      <c r="S126" s="2"/>
      <c r="T126" s="2"/>
      <c r="U126" s="2"/>
      <c r="V126" s="19">
        <f t="shared" si="105"/>
        <v>0</v>
      </c>
      <c r="W126" s="2"/>
      <c r="X126" s="2">
        <f t="shared" si="106"/>
        <v>104050.2</v>
      </c>
      <c r="Y126" s="2"/>
      <c r="Z126" s="19">
        <f t="shared" si="107"/>
        <v>0</v>
      </c>
    </row>
    <row r="127" spans="1:26" s="24" customFormat="1" hidden="1" outlineLevel="1" x14ac:dyDescent="0.25">
      <c r="A127" s="44"/>
      <c r="B127" s="11" t="str">
        <f>CONCATENATE("          ", "9165", " - ", "OTHER INCOME")</f>
        <v xml:space="preserve">          9165 - OTHER INCOME</v>
      </c>
      <c r="C127" s="11"/>
      <c r="D127" s="2">
        <f>--10504.05</f>
        <v>10504.05</v>
      </c>
      <c r="E127" s="2"/>
      <c r="F127" s="19">
        <f t="shared" si="100"/>
        <v>1.8778655235149155E-2</v>
      </c>
      <c r="G127" s="2"/>
      <c r="H127" s="2"/>
      <c r="I127" s="2"/>
      <c r="J127" s="19">
        <f t="shared" si="101"/>
        <v>0</v>
      </c>
      <c r="K127" s="2"/>
      <c r="L127" s="2">
        <f t="shared" si="102"/>
        <v>10504.05</v>
      </c>
      <c r="M127" s="2"/>
      <c r="N127" s="19">
        <f t="shared" si="103"/>
        <v>0</v>
      </c>
      <c r="O127" s="11"/>
      <c r="P127" s="2">
        <f>--223374.12</f>
        <v>223374.12</v>
      </c>
      <c r="Q127" s="2"/>
      <c r="R127" s="19">
        <f t="shared" si="104"/>
        <v>8.3649142310461944E-2</v>
      </c>
      <c r="S127" s="2"/>
      <c r="T127" s="2"/>
      <c r="U127" s="2"/>
      <c r="V127" s="19">
        <f t="shared" si="105"/>
        <v>0</v>
      </c>
      <c r="W127" s="2"/>
      <c r="X127" s="2">
        <f t="shared" si="106"/>
        <v>223374.12</v>
      </c>
      <c r="Y127" s="2"/>
      <c r="Z127" s="19">
        <f t="shared" si="107"/>
        <v>0</v>
      </c>
    </row>
    <row r="128" spans="1:26" x14ac:dyDescent="0.25">
      <c r="A128" s="9"/>
      <c r="B128" s="10"/>
      <c r="C128" s="10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O128" s="10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10"/>
      <c r="B129" s="28" t="s">
        <v>3</v>
      </c>
      <c r="C129" s="28"/>
      <c r="D129" s="20">
        <f>+D30-D32+D123</f>
        <v>-26680.800000000221</v>
      </c>
      <c r="E129" s="14"/>
      <c r="F129" s="22">
        <f>IF(D$12=0,0,D129/D$12)</f>
        <v>-4.7698701414975342E-2</v>
      </c>
      <c r="G129" s="14"/>
      <c r="H129" s="20">
        <f>+H30-H32+H123</f>
        <v>59050.546798022406</v>
      </c>
      <c r="I129" s="14"/>
      <c r="J129" s="22">
        <f>IF(H$12=0,0,H129/H$12)</f>
        <v>9.8419218317009297E-2</v>
      </c>
      <c r="K129" s="16"/>
      <c r="L129" s="20">
        <f>+D129-H129</f>
        <v>-85731.346798022627</v>
      </c>
      <c r="M129" s="16"/>
      <c r="N129" s="22">
        <f>IF(H129=0,0,L129/H129)</f>
        <v>-1.4518298550436752</v>
      </c>
      <c r="O129" s="29"/>
      <c r="P129" s="20">
        <f>+P30-P32+P123</f>
        <v>-104391.78999999911</v>
      </c>
      <c r="Q129" s="14"/>
      <c r="R129" s="22">
        <f>IF(P$12=0,0,P129/P$12)</f>
        <v>-3.9092638385117236E-2</v>
      </c>
      <c r="S129" s="14"/>
      <c r="T129" s="20">
        <f>+T30-T32+T123</f>
        <v>183265.74497818714</v>
      </c>
      <c r="U129" s="14"/>
      <c r="V129" s="22">
        <f>IF(T$12=0,0,T129/T$12)</f>
        <v>5.9739679607094066E-2</v>
      </c>
      <c r="W129" s="16"/>
      <c r="X129" s="20">
        <f>+P129-T129</f>
        <v>-287657.53497818625</v>
      </c>
      <c r="Y129" s="16"/>
      <c r="Z129" s="22">
        <f>IF(T129=0,0,X129/T129)</f>
        <v>-1.5696197617968604</v>
      </c>
    </row>
    <row r="130" spans="1:26" x14ac:dyDescent="0.25">
      <c r="A130" s="9"/>
      <c r="B130" s="10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x14ac:dyDescent="0.25">
      <c r="A131" s="52"/>
      <c r="B131" s="10" t="s">
        <v>14</v>
      </c>
      <c r="C131" s="10"/>
      <c r="D131" s="4">
        <v>70274.59</v>
      </c>
      <c r="E131" s="4"/>
      <c r="F131" s="12">
        <f>IF(D$12=0,0,D131/D$12)</f>
        <v>0.12563366486273966</v>
      </c>
      <c r="G131" s="4"/>
      <c r="H131" s="4">
        <v>91605</v>
      </c>
      <c r="I131" s="4"/>
      <c r="J131" s="12">
        <f>IF(H$12=0,0,H131/H$12)</f>
        <v>0.15267754462574376</v>
      </c>
      <c r="K131" s="4"/>
      <c r="L131" s="4">
        <f>+D131-H131</f>
        <v>-21330.410000000003</v>
      </c>
      <c r="M131" s="4"/>
      <c r="N131" s="12">
        <f>IF(H131=0,0,L131/H131)</f>
        <v>-0.23285202772774416</v>
      </c>
      <c r="O131" s="10"/>
      <c r="P131" s="4">
        <v>282774.08</v>
      </c>
      <c r="Q131" s="4"/>
      <c r="R131" s="12">
        <f>IF(P$12=0,0,P131/P$12)</f>
        <v>0.10589323982397761</v>
      </c>
      <c r="S131" s="4"/>
      <c r="T131" s="4">
        <v>388781</v>
      </c>
      <c r="U131" s="4"/>
      <c r="V131" s="12">
        <f>IF(T$12=0,0,T131/T$12)</f>
        <v>0.12673209813481526</v>
      </c>
      <c r="W131" s="4"/>
      <c r="X131" s="4">
        <f>+P131-T131</f>
        <v>-106006.91999999998</v>
      </c>
      <c r="Y131" s="4"/>
      <c r="Z131" s="12">
        <f>IF(T131=0,0,X131/T131)</f>
        <v>-0.27266486788191807</v>
      </c>
    </row>
    <row r="132" spans="1:26" x14ac:dyDescent="0.25">
      <c r="A132" s="9"/>
      <c r="B132" s="10"/>
      <c r="C132" s="10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O132" s="10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.75" thickBot="1" x14ac:dyDescent="0.3">
      <c r="A133" s="10"/>
      <c r="B133" s="28" t="s">
        <v>4</v>
      </c>
      <c r="C133" s="28"/>
      <c r="D133" s="30">
        <f>+D129-D131</f>
        <v>-96955.390000000218</v>
      </c>
      <c r="E133" s="14"/>
      <c r="F133" s="32">
        <f>IF(D$12=0,0,D133/D$12)</f>
        <v>-0.17333236627771501</v>
      </c>
      <c r="G133" s="14"/>
      <c r="H133" s="30">
        <f>+H129-H131</f>
        <v>-32554.453201977594</v>
      </c>
      <c r="I133" s="14"/>
      <c r="J133" s="32">
        <f>IF(H$12=0,0,H133/H$12)</f>
        <v>-5.4258326308734471E-2</v>
      </c>
      <c r="K133" s="16"/>
      <c r="L133" s="30">
        <f>D133-H133</f>
        <v>-64400.936798022623</v>
      </c>
      <c r="M133" s="16"/>
      <c r="N133" s="32">
        <f>IF(H133=0,0,L133/H133)</f>
        <v>1.9782527569564721</v>
      </c>
      <c r="O133" s="29"/>
      <c r="P133" s="30">
        <f>+P129-P131</f>
        <v>-387165.86999999912</v>
      </c>
      <c r="Q133" s="14"/>
      <c r="R133" s="32">
        <f>IF(P$12=0,0,P133/P$12)</f>
        <v>-0.14498587820909484</v>
      </c>
      <c r="S133" s="14"/>
      <c r="T133" s="30">
        <f>+T129-T131</f>
        <v>-205515.25502181286</v>
      </c>
      <c r="U133" s="14"/>
      <c r="V133" s="32">
        <f>IF(T$12=0,0,T133/T$12)</f>
        <v>-6.6992418527721184E-2</v>
      </c>
      <c r="W133" s="16"/>
      <c r="X133" s="30">
        <f>P133-T133</f>
        <v>-181650.61497818626</v>
      </c>
      <c r="Y133" s="16"/>
      <c r="Z133" s="32">
        <f>IF(T133=0,0,X133/T133)</f>
        <v>0.88387898484181304</v>
      </c>
    </row>
    <row r="134" spans="1:26" ht="15.75" thickTop="1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ht="15.75" thickBot="1" x14ac:dyDescent="0.3">
      <c r="A136" s="10"/>
      <c r="B136" s="28" t="s">
        <v>5</v>
      </c>
      <c r="C136" s="28"/>
      <c r="D136" s="31">
        <f>SUM(D133:D135)</f>
        <v>-96955.390000000218</v>
      </c>
      <c r="E136" s="14"/>
      <c r="F136" s="35">
        <f>IF(D$12=0,0,D136/D$12)</f>
        <v>-0.17333236627771501</v>
      </c>
      <c r="G136" s="14"/>
      <c r="H136" s="31">
        <f>SUM(H133:H135)</f>
        <v>-32554.453201977594</v>
      </c>
      <c r="I136" s="14"/>
      <c r="J136" s="35">
        <f>IF(H$12=0,0,H136/H$12)</f>
        <v>-5.4258326308734471E-2</v>
      </c>
      <c r="K136" s="16"/>
      <c r="L136" s="31">
        <f>+D136-H136</f>
        <v>-64400.936798022623</v>
      </c>
      <c r="M136" s="16"/>
      <c r="N136" s="35">
        <f>IF(H136=0,0,L136/H136)</f>
        <v>1.9782527569564721</v>
      </c>
      <c r="O136" s="29"/>
      <c r="P136" s="31">
        <f>SUM(P133:P135)</f>
        <v>-387165.86999999912</v>
      </c>
      <c r="Q136" s="14"/>
      <c r="R136" s="35">
        <f>IF(P$12=0,0,P136/P$12)</f>
        <v>-0.14498587820909484</v>
      </c>
      <c r="S136" s="14"/>
      <c r="T136" s="31">
        <f>SUM(T133:T135)</f>
        <v>-205515.25502181286</v>
      </c>
      <c r="U136" s="14"/>
      <c r="V136" s="35">
        <f>IF(T$12=0,0,T136/T$12)</f>
        <v>-6.6992418527721184E-2</v>
      </c>
      <c r="W136" s="16"/>
      <c r="X136" s="31">
        <f>+P136-T136</f>
        <v>-181650.61497818626</v>
      </c>
      <c r="Y136" s="16"/>
      <c r="Z136" s="35">
        <f>IF(T136=0,0,X136/T136)</f>
        <v>0.88387898484181304</v>
      </c>
    </row>
    <row r="137" spans="1:26" ht="15.75" thickTop="1" x14ac:dyDescent="0.25">
      <c r="A137" s="9"/>
      <c r="C137" s="9"/>
      <c r="D137" s="17"/>
      <c r="E137" s="17"/>
      <c r="G137" s="17"/>
      <c r="H137" s="17"/>
      <c r="I137" s="17"/>
      <c r="J137" s="43"/>
      <c r="K137" s="17"/>
      <c r="L137" s="17"/>
      <c r="M137" s="17"/>
      <c r="P137" s="17"/>
      <c r="Q137" s="17"/>
      <c r="R137" s="43"/>
      <c r="S137" s="17"/>
      <c r="T137" s="17"/>
      <c r="U137" s="17"/>
      <c r="V137" s="43"/>
      <c r="W137" s="17"/>
      <c r="X137" s="17"/>
    </row>
    <row r="138" spans="1:26" x14ac:dyDescent="0.25">
      <c r="A138" s="9"/>
      <c r="B138" s="56">
        <v>43815.483356018522</v>
      </c>
      <c r="D138" s="17"/>
      <c r="E138" s="17"/>
      <c r="G138" s="17"/>
      <c r="H138" s="17"/>
      <c r="I138" s="17"/>
      <c r="J138" s="43"/>
      <c r="K138" s="17"/>
      <c r="L138" s="17"/>
      <c r="M138" s="17"/>
      <c r="P138" s="17"/>
      <c r="Q138" s="17"/>
      <c r="R138" s="43"/>
      <c r="S138" s="17"/>
      <c r="T138" s="17"/>
      <c r="U138" s="17"/>
      <c r="V138" s="43"/>
      <c r="W138" s="17"/>
      <c r="X138" s="17"/>
    </row>
    <row r="139" spans="1:26" x14ac:dyDescent="0.25">
      <c r="A139" s="9"/>
      <c r="B139" s="62" t="s">
        <v>314</v>
      </c>
      <c r="D139" s="17"/>
      <c r="E139" s="17"/>
      <c r="G139" s="17"/>
      <c r="H139" s="17"/>
      <c r="I139" s="17"/>
      <c r="J139" s="43"/>
      <c r="K139" s="17"/>
      <c r="L139" s="17"/>
      <c r="M139" s="17"/>
      <c r="P139" s="17"/>
      <c r="Q139" s="17"/>
      <c r="R139" s="43"/>
      <c r="S139" s="17"/>
      <c r="T139" s="17"/>
      <c r="U139" s="17"/>
      <c r="V139" s="43"/>
      <c r="W139" s="17"/>
      <c r="X139" s="17"/>
    </row>
    <row r="140" spans="1:26" x14ac:dyDescent="0.25">
      <c r="A140" s="9"/>
      <c r="B140" s="58"/>
      <c r="D140" s="17"/>
      <c r="E140" s="17"/>
      <c r="G140" s="17"/>
      <c r="H140" s="17"/>
      <c r="I140" s="17"/>
      <c r="J140" s="43"/>
      <c r="K140" s="17"/>
      <c r="L140" s="17"/>
      <c r="M140" s="17"/>
      <c r="P140" s="17"/>
      <c r="Q140" s="17"/>
      <c r="R140" s="43"/>
      <c r="S140" s="17"/>
      <c r="T140" s="17"/>
      <c r="U140" s="17"/>
      <c r="V140" s="43"/>
      <c r="W140" s="17"/>
      <c r="X140" s="17"/>
    </row>
    <row r="141" spans="1:26" x14ac:dyDescent="0.25">
      <c r="D141" s="17"/>
      <c r="E141" s="17"/>
      <c r="G141" s="17"/>
      <c r="H141" s="17"/>
      <c r="I141" s="17"/>
      <c r="J141" s="43"/>
      <c r="K141" s="17"/>
      <c r="L141" s="17"/>
      <c r="M141" s="17"/>
      <c r="P141" s="17"/>
      <c r="Q141" s="17"/>
      <c r="R141" s="43"/>
      <c r="S141" s="17"/>
      <c r="T141" s="17"/>
      <c r="U141" s="17"/>
      <c r="V141" s="43"/>
      <c r="W141" s="17"/>
      <c r="X141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","405", " - ", "Library Starbucks")</f>
        <v>Department 405 - Library Starbucks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99022.48</v>
      </c>
      <c r="E12" s="4"/>
      <c r="F12" s="12"/>
      <c r="G12" s="4"/>
      <c r="H12" s="4">
        <f>SUM(OSRRefH13x_0)</f>
        <v>105000</v>
      </c>
      <c r="I12" s="4"/>
      <c r="J12" s="12"/>
      <c r="K12" s="4"/>
      <c r="L12" s="4">
        <f t="shared" ref="L12:L15" si="0">+D12-H12</f>
        <v>-5977.5200000000041</v>
      </c>
      <c r="M12" s="4"/>
      <c r="N12" s="12">
        <f t="shared" ref="N12:N15" si="1">IF(H12=0,0,L12/H12)</f>
        <v>-5.692876190476194E-2</v>
      </c>
      <c r="O12" s="10"/>
      <c r="P12" s="4">
        <f>SUM(OSRRefP13x_0)</f>
        <v>424855.71</v>
      </c>
      <c r="Q12" s="4"/>
      <c r="R12" s="12"/>
      <c r="S12" s="4"/>
      <c r="T12" s="4">
        <f>SUM(OSRRefT13x_0)</f>
        <v>543300</v>
      </c>
      <c r="U12" s="4"/>
      <c r="V12" s="12"/>
      <c r="W12" s="4"/>
      <c r="X12" s="4">
        <f t="shared" ref="X12:X15" si="2">+P12-T12</f>
        <v>-118444.28999999998</v>
      </c>
      <c r="Y12" s="4"/>
      <c r="Z12" s="12">
        <f t="shared" ref="Z12:Z15" si="3">IF(T12=0,0,X12/T12)</f>
        <v>-0.21800900055218109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105000</v>
      </c>
      <c r="I13" s="2"/>
      <c r="J13" s="19"/>
      <c r="K13" s="2"/>
      <c r="L13" s="2">
        <f t="shared" si="0"/>
        <v>-105000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543300</v>
      </c>
      <c r="U13" s="2"/>
      <c r="V13" s="19"/>
      <c r="W13" s="2"/>
      <c r="X13" s="2">
        <f t="shared" si="2"/>
        <v>-543300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--20274.14</f>
        <v>20274.14</v>
      </c>
      <c r="E14" s="2"/>
      <c r="F14" s="19"/>
      <c r="G14" s="2"/>
      <c r="H14" s="2"/>
      <c r="I14" s="2"/>
      <c r="J14" s="19"/>
      <c r="K14" s="2"/>
      <c r="L14" s="2">
        <f t="shared" si="0"/>
        <v>20274.14</v>
      </c>
      <c r="M14" s="2"/>
      <c r="N14" s="19">
        <f t="shared" si="1"/>
        <v>0</v>
      </c>
      <c r="O14" s="11"/>
      <c r="P14" s="2">
        <f>--94686.93</f>
        <v>94686.93</v>
      </c>
      <c r="Q14" s="2"/>
      <c r="R14" s="19"/>
      <c r="S14" s="2"/>
      <c r="T14" s="2"/>
      <c r="U14" s="2"/>
      <c r="V14" s="19"/>
      <c r="W14" s="2"/>
      <c r="X14" s="2">
        <f t="shared" si="2"/>
        <v>94686.93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--78748.34</f>
        <v>78748.34</v>
      </c>
      <c r="E15" s="2"/>
      <c r="F15" s="19"/>
      <c r="G15" s="2"/>
      <c r="H15" s="2"/>
      <c r="I15" s="2"/>
      <c r="J15" s="19"/>
      <c r="K15" s="2"/>
      <c r="L15" s="2">
        <f t="shared" si="0"/>
        <v>78748.34</v>
      </c>
      <c r="M15" s="2"/>
      <c r="N15" s="19">
        <f t="shared" si="1"/>
        <v>0</v>
      </c>
      <c r="O15" s="11"/>
      <c r="P15" s="2">
        <f>--330168.78</f>
        <v>330168.78000000003</v>
      </c>
      <c r="Q15" s="2"/>
      <c r="R15" s="19"/>
      <c r="S15" s="2"/>
      <c r="T15" s="2"/>
      <c r="U15" s="2"/>
      <c r="V15" s="19"/>
      <c r="W15" s="2"/>
      <c r="X15" s="2">
        <f t="shared" si="2"/>
        <v>330168.78000000003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38412.68</v>
      </c>
      <c r="E17" s="4"/>
      <c r="F17" s="12">
        <f t="shared" ref="F17:F20" si="4">IF(D$12=0,0,D17/D$12)</f>
        <v>0.38791878369436922</v>
      </c>
      <c r="G17" s="4"/>
      <c r="H17" s="4">
        <f>SUM(OSRRefH16x_0)</f>
        <v>33600</v>
      </c>
      <c r="I17" s="4"/>
      <c r="J17" s="12">
        <f t="shared" ref="J17:J20" si="5">IF(H$12=0,0,H17/H$12)</f>
        <v>0.32</v>
      </c>
      <c r="K17" s="4"/>
      <c r="L17" s="4">
        <f t="shared" ref="L17:L20" si="6">+D17-H17</f>
        <v>4812.68</v>
      </c>
      <c r="M17" s="4"/>
      <c r="N17" s="12">
        <f t="shared" ref="N17:N20" si="7">IF(H17=0,0,L17/H17)</f>
        <v>0.14323452380952381</v>
      </c>
      <c r="O17" s="10"/>
      <c r="P17" s="4">
        <f>SUM(OSRRefP16x_0)</f>
        <v>163453.42000000001</v>
      </c>
      <c r="Q17" s="4"/>
      <c r="R17" s="12">
        <f t="shared" ref="R17:R20" si="8">IF(P$12=0,0,P17/P$12)</f>
        <v>0.38472689939838633</v>
      </c>
      <c r="S17" s="4"/>
      <c r="T17" s="4">
        <f>SUM(OSRRefT16x_0)</f>
        <v>173856</v>
      </c>
      <c r="U17" s="4"/>
      <c r="V17" s="12">
        <f t="shared" ref="V17:V20" si="9">IF(T$12=0,0,T17/T$12)</f>
        <v>0.32</v>
      </c>
      <c r="W17" s="4"/>
      <c r="X17" s="4">
        <f t="shared" ref="X17:X20" si="10">+P17-T17</f>
        <v>-10402.579999999987</v>
      </c>
      <c r="Y17" s="4"/>
      <c r="Z17" s="12">
        <f t="shared" ref="Z17:Z20" si="11">IF(T17=0,0,X17/T17)</f>
        <v>-5.9834460703110548E-2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33600</v>
      </c>
      <c r="I18" s="2"/>
      <c r="J18" s="19">
        <f t="shared" si="5"/>
        <v>0.32</v>
      </c>
      <c r="K18" s="2"/>
      <c r="L18" s="2">
        <f t="shared" si="6"/>
        <v>-33600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173856</v>
      </c>
      <c r="U18" s="2"/>
      <c r="V18" s="19">
        <f t="shared" si="9"/>
        <v>0.32</v>
      </c>
      <c r="W18" s="2"/>
      <c r="X18" s="2">
        <f t="shared" si="10"/>
        <v>-173856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36925.68</v>
      </c>
      <c r="E19" s="2"/>
      <c r="F19" s="19">
        <f t="shared" si="4"/>
        <v>0.37290199154777787</v>
      </c>
      <c r="G19" s="2"/>
      <c r="H19" s="2"/>
      <c r="I19" s="2"/>
      <c r="J19" s="19">
        <f t="shared" si="5"/>
        <v>0</v>
      </c>
      <c r="K19" s="2"/>
      <c r="L19" s="2">
        <f t="shared" si="6"/>
        <v>36925.68</v>
      </c>
      <c r="M19" s="2"/>
      <c r="N19" s="19">
        <f t="shared" si="7"/>
        <v>0</v>
      </c>
      <c r="O19" s="11"/>
      <c r="P19" s="2">
        <v>170765.42</v>
      </c>
      <c r="Q19" s="2"/>
      <c r="R19" s="19">
        <f t="shared" si="8"/>
        <v>0.40193744836335143</v>
      </c>
      <c r="S19" s="2"/>
      <c r="T19" s="2"/>
      <c r="U19" s="2"/>
      <c r="V19" s="19">
        <f t="shared" si="9"/>
        <v>0</v>
      </c>
      <c r="W19" s="2"/>
      <c r="X19" s="2">
        <f t="shared" si="10"/>
        <v>170765.42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1487</v>
      </c>
      <c r="E20" s="2"/>
      <c r="F20" s="19">
        <f t="shared" si="4"/>
        <v>1.501679214659136E-2</v>
      </c>
      <c r="G20" s="2"/>
      <c r="H20" s="2"/>
      <c r="I20" s="2"/>
      <c r="J20" s="19">
        <f t="shared" si="5"/>
        <v>0</v>
      </c>
      <c r="K20" s="2"/>
      <c r="L20" s="2">
        <f t="shared" si="6"/>
        <v>1487</v>
      </c>
      <c r="M20" s="2"/>
      <c r="N20" s="19">
        <f t="shared" si="7"/>
        <v>0</v>
      </c>
      <c r="O20" s="11"/>
      <c r="P20" s="2">
        <v>-7312</v>
      </c>
      <c r="Q20" s="2"/>
      <c r="R20" s="19">
        <f t="shared" si="8"/>
        <v>-1.7210548964965069E-2</v>
      </c>
      <c r="S20" s="2"/>
      <c r="T20" s="2"/>
      <c r="U20" s="2"/>
      <c r="V20" s="19">
        <f t="shared" si="9"/>
        <v>0</v>
      </c>
      <c r="W20" s="2"/>
      <c r="X20" s="2">
        <f t="shared" si="10"/>
        <v>-7312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0">
        <f>D12-D17</f>
        <v>60609.799999999996</v>
      </c>
      <c r="E22" s="14"/>
      <c r="F22" s="22">
        <f>IF(D$12=0,0,D22/D$12)</f>
        <v>0.61208121630563084</v>
      </c>
      <c r="G22" s="14"/>
      <c r="H22" s="20">
        <f>H12-H17</f>
        <v>71400</v>
      </c>
      <c r="I22" s="14"/>
      <c r="J22" s="22">
        <f>IF(H$12=0,0,H22/H$12)</f>
        <v>0.68</v>
      </c>
      <c r="K22" s="16"/>
      <c r="L22" s="20">
        <f>+D22-H22</f>
        <v>-10790.200000000004</v>
      </c>
      <c r="M22" s="16"/>
      <c r="N22" s="22">
        <f>IF(H22=0,0,L22/H22)</f>
        <v>-0.15112324929971996</v>
      </c>
      <c r="O22" s="29"/>
      <c r="P22" s="20">
        <f>P12-P17</f>
        <v>261402.29</v>
      </c>
      <c r="Q22" s="14"/>
      <c r="R22" s="22">
        <f>IF(P$12=0,0,P22/P$12)</f>
        <v>0.61527310060161367</v>
      </c>
      <c r="S22" s="14"/>
      <c r="T22" s="20">
        <f>T12-T17</f>
        <v>369444</v>
      </c>
      <c r="U22" s="14"/>
      <c r="V22" s="22">
        <f>IF(T$12=0,0,T22/T$12)</f>
        <v>0.68</v>
      </c>
      <c r="W22" s="16"/>
      <c r="X22" s="20">
        <f>+P22-T22</f>
        <v>-108041.70999999999</v>
      </c>
      <c r="Y22" s="16"/>
      <c r="Z22" s="22">
        <f>IF(T22=0,0,X22/T22)</f>
        <v>-0.29244407812821427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56277.53</v>
      </c>
      <c r="E24" s="21"/>
      <c r="F24" s="33">
        <f t="shared" ref="F24:F34" si="12">IF(D$12=0,0,D24/D$12)</f>
        <v>0.56833084770246112</v>
      </c>
      <c r="G24" s="21"/>
      <c r="H24" s="21">
        <f>SUM(OSRRefH22x_0)</f>
        <v>53619.133469600005</v>
      </c>
      <c r="I24" s="21"/>
      <c r="J24" s="33">
        <f t="shared" ref="J24:J34" si="13">IF(H$12=0,0,H24/H$12)</f>
        <v>0.5106584139961905</v>
      </c>
      <c r="K24" s="4"/>
      <c r="L24" s="21">
        <f t="shared" ref="L24:L34" si="14">+D24-H24</f>
        <v>2658.3965303999939</v>
      </c>
      <c r="M24" s="4"/>
      <c r="N24" s="33">
        <f t="shared" ref="N24:N34" si="15">IF(H24=0,0,L24/H24)</f>
        <v>4.9579252001660995E-2</v>
      </c>
      <c r="O24" s="10"/>
      <c r="P24" s="21">
        <f>SUM(OSRRefP22x_0)</f>
        <v>282521.84000000003</v>
      </c>
      <c r="Q24" s="21"/>
      <c r="R24" s="33">
        <f t="shared" ref="R24:R34" si="16">IF(P$12=0,0,P24/P$12)</f>
        <v>0.66498303624070398</v>
      </c>
      <c r="S24" s="21"/>
      <c r="T24" s="21">
        <f>SUM(OSRRefT22x_0)</f>
        <v>282419.28408280003</v>
      </c>
      <c r="U24" s="21"/>
      <c r="V24" s="33">
        <f t="shared" ref="V24:V34" si="17">IF(T$12=0,0,T24/T$12)</f>
        <v>0.51982198432321003</v>
      </c>
      <c r="W24" s="4"/>
      <c r="X24" s="21">
        <f t="shared" ref="X24:X34" si="18">+P24-T24</f>
        <v>102.55591719999211</v>
      </c>
      <c r="Y24" s="4"/>
      <c r="Z24" s="33">
        <f t="shared" ref="Z24:Z34" si="19">IF(T24=0,0,X24/T24)</f>
        <v>3.6313354993819982E-4</v>
      </c>
    </row>
    <row r="25" spans="1:26" s="26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5308.42</v>
      </c>
      <c r="E25" s="1"/>
      <c r="F25" s="5">
        <f t="shared" si="12"/>
        <v>5.3608231181444865E-2</v>
      </c>
      <c r="G25" s="1"/>
      <c r="H25" s="1">
        <f>SUM(OSRRefH22_0x_0)</f>
        <v>5192.9828234461565</v>
      </c>
      <c r="I25" s="1"/>
      <c r="J25" s="5">
        <f t="shared" si="13"/>
        <v>4.9456979270915774E-2</v>
      </c>
      <c r="K25" s="1"/>
      <c r="L25" s="1">
        <f t="shared" si="14"/>
        <v>115.43717655384353</v>
      </c>
      <c r="M25" s="1"/>
      <c r="N25" s="5">
        <f t="shared" si="15"/>
        <v>2.2229454723525804E-2</v>
      </c>
      <c r="O25" s="13"/>
      <c r="P25" s="1">
        <f>SUM(OSRRefP22_0x_0)</f>
        <v>25834.22</v>
      </c>
      <c r="Q25" s="1"/>
      <c r="R25" s="5">
        <f t="shared" si="16"/>
        <v>6.0807044349245068E-2</v>
      </c>
      <c r="S25" s="1"/>
      <c r="T25" s="1">
        <f>SUM(OSRRefT22_0x_0)</f>
        <v>36086.955528953862</v>
      </c>
      <c r="U25" s="1"/>
      <c r="V25" s="5">
        <f t="shared" si="17"/>
        <v>6.6421784518597204E-2</v>
      </c>
      <c r="W25" s="1"/>
      <c r="X25" s="1">
        <f t="shared" si="18"/>
        <v>-10252.735528953861</v>
      </c>
      <c r="Y25" s="1"/>
      <c r="Z25" s="5">
        <f t="shared" si="19"/>
        <v>-0.2841119562088778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6">
        <v>761.34</v>
      </c>
      <c r="E26" s="2"/>
      <c r="F26" s="7">
        <f t="shared" si="12"/>
        <v>7.6885571841868641E-3</v>
      </c>
      <c r="G26" s="2"/>
      <c r="H26" s="6">
        <v>724.52340313846196</v>
      </c>
      <c r="I26" s="2"/>
      <c r="J26" s="7">
        <f t="shared" si="13"/>
        <v>6.9002228870329706E-3</v>
      </c>
      <c r="K26" s="2"/>
      <c r="L26" s="6">
        <f t="shared" si="14"/>
        <v>36.816596861538073</v>
      </c>
      <c r="M26" s="2"/>
      <c r="N26" s="7">
        <f t="shared" si="15"/>
        <v>5.0814917367827443E-2</v>
      </c>
      <c r="O26" s="11"/>
      <c r="P26" s="6">
        <v>5674.28</v>
      </c>
      <c r="Q26" s="2"/>
      <c r="R26" s="7">
        <f t="shared" si="16"/>
        <v>1.3355781425180797E-2</v>
      </c>
      <c r="S26" s="2"/>
      <c r="T26" s="6">
        <v>5423.6427172615377</v>
      </c>
      <c r="U26" s="2"/>
      <c r="V26" s="7">
        <f t="shared" si="17"/>
        <v>9.9827769506010272E-3</v>
      </c>
      <c r="W26" s="2"/>
      <c r="X26" s="6">
        <f t="shared" si="18"/>
        <v>250.63728273846209</v>
      </c>
      <c r="Y26" s="2"/>
      <c r="Z26" s="7">
        <f t="shared" si="19"/>
        <v>4.6211982574141955E-2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6">
        <v>1250.7</v>
      </c>
      <c r="E27" s="2"/>
      <c r="F27" s="7">
        <f t="shared" si="12"/>
        <v>1.2630465324641436E-2</v>
      </c>
      <c r="G27" s="2"/>
      <c r="H27" s="6">
        <v>1110.88984369231</v>
      </c>
      <c r="I27" s="2"/>
      <c r="J27" s="7">
        <f t="shared" si="13"/>
        <v>1.0579903273260095E-2</v>
      </c>
      <c r="K27" s="2"/>
      <c r="L27" s="6">
        <f t="shared" si="14"/>
        <v>139.81015630769002</v>
      </c>
      <c r="M27" s="2"/>
      <c r="N27" s="7">
        <f t="shared" si="15"/>
        <v>0.1258542033681731</v>
      </c>
      <c r="O27" s="11"/>
      <c r="P27" s="6">
        <v>3631.89</v>
      </c>
      <c r="Q27" s="2"/>
      <c r="R27" s="7">
        <f t="shared" si="16"/>
        <v>8.5485258042077381E-3</v>
      </c>
      <c r="S27" s="2"/>
      <c r="T27" s="6">
        <v>5430.5061403076952</v>
      </c>
      <c r="U27" s="2"/>
      <c r="V27" s="7">
        <f t="shared" si="17"/>
        <v>9.9954097925781249E-3</v>
      </c>
      <c r="W27" s="2"/>
      <c r="X27" s="6">
        <f t="shared" si="18"/>
        <v>-1798.6161403076953</v>
      </c>
      <c r="Y27" s="2"/>
      <c r="Z27" s="7">
        <f t="shared" si="19"/>
        <v>-0.33120598593150374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6">
        <v>1376.23</v>
      </c>
      <c r="E28" s="2"/>
      <c r="F28" s="7">
        <f t="shared" si="12"/>
        <v>1.3898157266915553E-2</v>
      </c>
      <c r="G28" s="2"/>
      <c r="H28" s="6">
        <v>1326</v>
      </c>
      <c r="I28" s="2"/>
      <c r="J28" s="7">
        <f t="shared" si="13"/>
        <v>1.2628571428571428E-2</v>
      </c>
      <c r="K28" s="2"/>
      <c r="L28" s="6">
        <f t="shared" si="14"/>
        <v>50.230000000000018</v>
      </c>
      <c r="M28" s="2"/>
      <c r="N28" s="7">
        <f t="shared" si="15"/>
        <v>3.788084464555054E-2</v>
      </c>
      <c r="O28" s="11"/>
      <c r="P28" s="6">
        <v>6881.15</v>
      </c>
      <c r="Q28" s="2"/>
      <c r="R28" s="7">
        <f t="shared" si="16"/>
        <v>1.619643996311124E-2</v>
      </c>
      <c r="S28" s="2"/>
      <c r="T28" s="6">
        <v>6630</v>
      </c>
      <c r="U28" s="2"/>
      <c r="V28" s="7">
        <f t="shared" si="17"/>
        <v>1.2203202650469354E-2</v>
      </c>
      <c r="W28" s="2"/>
      <c r="X28" s="6">
        <f t="shared" si="18"/>
        <v>251.14999999999964</v>
      </c>
      <c r="Y28" s="2"/>
      <c r="Z28" s="7">
        <f t="shared" si="19"/>
        <v>3.7880844645550471E-2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6">
        <v>83.81</v>
      </c>
      <c r="E29" s="2"/>
      <c r="F29" s="7">
        <f t="shared" si="12"/>
        <v>8.4637346994339072E-4</v>
      </c>
      <c r="G29" s="2"/>
      <c r="H29" s="6">
        <v>74.441072000000005</v>
      </c>
      <c r="I29" s="2"/>
      <c r="J29" s="7">
        <f t="shared" si="13"/>
        <v>7.0896259047619056E-4</v>
      </c>
      <c r="K29" s="2"/>
      <c r="L29" s="6">
        <f t="shared" si="14"/>
        <v>9.3689279999999968</v>
      </c>
      <c r="M29" s="2"/>
      <c r="N29" s="7">
        <f t="shared" si="15"/>
        <v>0.12585697315052094</v>
      </c>
      <c r="O29" s="11"/>
      <c r="P29" s="6">
        <v>347.49</v>
      </c>
      <c r="Q29" s="2"/>
      <c r="R29" s="7">
        <f t="shared" si="16"/>
        <v>8.1790121168431515E-4</v>
      </c>
      <c r="S29" s="2"/>
      <c r="T29" s="6">
        <v>363.89989600000001</v>
      </c>
      <c r="U29" s="2"/>
      <c r="V29" s="7">
        <f t="shared" si="17"/>
        <v>6.6979550156451317E-4</v>
      </c>
      <c r="W29" s="2"/>
      <c r="X29" s="6">
        <f t="shared" si="18"/>
        <v>-16.409896000000003</v>
      </c>
      <c r="Y29" s="2"/>
      <c r="Z29" s="7">
        <f t="shared" si="19"/>
        <v>-4.5094533360350297E-2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6">
        <v>696.67</v>
      </c>
      <c r="E30" s="2"/>
      <c r="F30" s="7">
        <f t="shared" si="12"/>
        <v>7.035473157206323E-3</v>
      </c>
      <c r="G30" s="2"/>
      <c r="H30" s="6">
        <v>814.17761230769202</v>
      </c>
      <c r="I30" s="2"/>
      <c r="J30" s="7">
        <f t="shared" si="13"/>
        <v>7.754072498168495E-3</v>
      </c>
      <c r="K30" s="2"/>
      <c r="L30" s="6">
        <f t="shared" si="14"/>
        <v>-117.50761230769206</v>
      </c>
      <c r="M30" s="2"/>
      <c r="N30" s="7">
        <f t="shared" si="15"/>
        <v>-0.14432675442233098</v>
      </c>
      <c r="O30" s="11"/>
      <c r="P30" s="6">
        <v>3483.35</v>
      </c>
      <c r="Q30" s="2"/>
      <c r="R30" s="7">
        <f t="shared" si="16"/>
        <v>8.1989012222526084E-3</v>
      </c>
      <c r="S30" s="2"/>
      <c r="T30" s="6">
        <v>4477.9768676923159</v>
      </c>
      <c r="U30" s="2"/>
      <c r="V30" s="7">
        <f t="shared" si="17"/>
        <v>8.2421808718798374E-3</v>
      </c>
      <c r="W30" s="2"/>
      <c r="X30" s="6">
        <f t="shared" si="18"/>
        <v>-994.62686769231595</v>
      </c>
      <c r="Y30" s="2"/>
      <c r="Z30" s="7">
        <f t="shared" si="19"/>
        <v>-0.22211523129302982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8000</v>
      </c>
      <c r="U31" s="2"/>
      <c r="V31" s="7">
        <f t="shared" si="17"/>
        <v>1.4724829744156084E-2</v>
      </c>
      <c r="W31" s="2"/>
      <c r="X31" s="6">
        <f t="shared" si="18"/>
        <v>-8000</v>
      </c>
      <c r="Y31" s="2"/>
      <c r="Z31" s="7">
        <f t="shared" si="19"/>
        <v>-1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>
        <v>384</v>
      </c>
      <c r="E32" s="2"/>
      <c r="F32" s="7">
        <f t="shared" si="12"/>
        <v>3.8779073196308555E-3</v>
      </c>
      <c r="G32" s="2"/>
      <c r="H32" s="6">
        <v>284.01544615384603</v>
      </c>
      <c r="I32" s="2"/>
      <c r="J32" s="7">
        <f t="shared" si="13"/>
        <v>2.7049090109890097E-3</v>
      </c>
      <c r="K32" s="2"/>
      <c r="L32" s="6">
        <f t="shared" si="14"/>
        <v>99.984553846153972</v>
      </c>
      <c r="M32" s="2"/>
      <c r="N32" s="7">
        <f t="shared" si="15"/>
        <v>0.35203914153314797</v>
      </c>
      <c r="O32" s="11"/>
      <c r="P32" s="6">
        <v>2112</v>
      </c>
      <c r="Q32" s="2"/>
      <c r="R32" s="7">
        <f t="shared" si="16"/>
        <v>4.9710994822218585E-3</v>
      </c>
      <c r="S32" s="2"/>
      <c r="T32" s="6">
        <v>1562.0849538461541</v>
      </c>
      <c r="U32" s="2"/>
      <c r="V32" s="7">
        <f t="shared" si="17"/>
        <v>2.8751793739115665E-3</v>
      </c>
      <c r="W32" s="2"/>
      <c r="X32" s="6">
        <f t="shared" si="18"/>
        <v>549.91504615384588</v>
      </c>
      <c r="Y32" s="2"/>
      <c r="Z32" s="7">
        <f t="shared" si="19"/>
        <v>0.35203914153314714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>
        <v>460.04</v>
      </c>
      <c r="E33" s="2"/>
      <c r="F33" s="7">
        <f t="shared" si="12"/>
        <v>4.6458137586535908E-3</v>
      </c>
      <c r="G33" s="2"/>
      <c r="H33" s="6">
        <v>858.93544615384599</v>
      </c>
      <c r="I33" s="2"/>
      <c r="J33" s="7">
        <f t="shared" si="13"/>
        <v>8.1803375824175805E-3</v>
      </c>
      <c r="K33" s="2"/>
      <c r="L33" s="6">
        <f t="shared" si="14"/>
        <v>-398.89544615384597</v>
      </c>
      <c r="M33" s="2"/>
      <c r="N33" s="7">
        <f t="shared" si="15"/>
        <v>-0.46440678160393306</v>
      </c>
      <c r="O33" s="11"/>
      <c r="P33" s="6">
        <v>2530.2199999999998</v>
      </c>
      <c r="Q33" s="2"/>
      <c r="R33" s="7">
        <f t="shared" si="16"/>
        <v>5.9554807442743314E-3</v>
      </c>
      <c r="S33" s="2"/>
      <c r="T33" s="6">
        <v>4198.8449538461555</v>
      </c>
      <c r="U33" s="2"/>
      <c r="V33" s="7">
        <f t="shared" si="17"/>
        <v>7.7284096334366932E-3</v>
      </c>
      <c r="W33" s="2"/>
      <c r="X33" s="6">
        <f t="shared" si="18"/>
        <v>-1668.6249538461557</v>
      </c>
      <c r="Y33" s="2"/>
      <c r="Z33" s="7">
        <f t="shared" si="19"/>
        <v>-0.39740094530465808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6">
        <v>295.63</v>
      </c>
      <c r="E34" s="2"/>
      <c r="F34" s="7">
        <f t="shared" si="12"/>
        <v>2.9854837002668486E-3</v>
      </c>
      <c r="G34" s="2"/>
      <c r="H34" s="6"/>
      <c r="I34" s="2"/>
      <c r="J34" s="7">
        <f t="shared" si="13"/>
        <v>0</v>
      </c>
      <c r="K34" s="2"/>
      <c r="L34" s="6">
        <f t="shared" si="14"/>
        <v>295.63</v>
      </c>
      <c r="M34" s="2"/>
      <c r="N34" s="7">
        <f t="shared" si="15"/>
        <v>0</v>
      </c>
      <c r="O34" s="11"/>
      <c r="P34" s="6">
        <v>1173.8399999999999</v>
      </c>
      <c r="Q34" s="2"/>
      <c r="R34" s="7">
        <f t="shared" si="16"/>
        <v>2.762914496312171E-3</v>
      </c>
      <c r="S34" s="2"/>
      <c r="T34" s="6"/>
      <c r="U34" s="2"/>
      <c r="V34" s="7">
        <f t="shared" si="17"/>
        <v>0</v>
      </c>
      <c r="W34" s="2"/>
      <c r="X34" s="6">
        <f t="shared" si="18"/>
        <v>1173.8399999999999</v>
      </c>
      <c r="Y34" s="2"/>
      <c r="Z34" s="7">
        <f t="shared" si="19"/>
        <v>0</v>
      </c>
    </row>
    <row r="35" spans="1:26" s="26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26730.52</v>
      </c>
      <c r="E35" s="1"/>
      <c r="F35" s="5">
        <f t="shared" ref="F35:F45" si="20">IF(D$12=0,0,D35/D$12)</f>
        <v>0.26994395616025779</v>
      </c>
      <c r="G35" s="1"/>
      <c r="H35" s="1">
        <f>SUM(OSRRefH22_1x_0)</f>
        <v>28063.150646153852</v>
      </c>
      <c r="I35" s="1"/>
      <c r="J35" s="5">
        <f t="shared" ref="J35:J45" si="21">IF(H$12=0,0,H35/H$12)</f>
        <v>0.26726810139194146</v>
      </c>
      <c r="K35" s="1"/>
      <c r="L35" s="1">
        <f t="shared" ref="L35:L45" si="22">+D35-H35</f>
        <v>-1332.6306461538516</v>
      </c>
      <c r="M35" s="1"/>
      <c r="N35" s="5">
        <f t="shared" ref="N35:N45" si="23">IF(H35=0,0,L35/H35)</f>
        <v>-4.748685074448307E-2</v>
      </c>
      <c r="O35" s="13"/>
      <c r="P35" s="1">
        <f>SUM(OSRRefP22_1x_0)</f>
        <v>133789.21</v>
      </c>
      <c r="Q35" s="1"/>
      <c r="R35" s="5">
        <f t="shared" ref="R35:R45" si="24">IF(P$12=0,0,P35/P$12)</f>
        <v>0.31490505329444668</v>
      </c>
      <c r="S35" s="1"/>
      <c r="T35" s="1">
        <f>SUM(OSRRefT22_1x_0)</f>
        <v>136837.32855384616</v>
      </c>
      <c r="U35" s="1"/>
      <c r="V35" s="5">
        <f t="shared" ref="V35:V45" si="25">IF(T$12=0,0,T35/T$12)</f>
        <v>0.25186329570006655</v>
      </c>
      <c r="W35" s="1"/>
      <c r="X35" s="1">
        <f t="shared" ref="X35:X45" si="26">+P35-T35</f>
        <v>-3048.1185538461723</v>
      </c>
      <c r="Y35" s="1"/>
      <c r="Z35" s="5">
        <f t="shared" ref="Z35:Z45" si="27">IF(T35=0,0,X35/T35)</f>
        <v>-2.22754900732129E-2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>
        <v>8892.76</v>
      </c>
      <c r="E37" s="2"/>
      <c r="F37" s="7">
        <f t="shared" si="20"/>
        <v>8.9805466395105435E-2</v>
      </c>
      <c r="G37" s="2"/>
      <c r="H37" s="6">
        <v>8899.1506461538502</v>
      </c>
      <c r="I37" s="2"/>
      <c r="J37" s="7">
        <f t="shared" si="21"/>
        <v>8.4753815677655719E-2</v>
      </c>
      <c r="K37" s="2"/>
      <c r="L37" s="6">
        <f t="shared" si="22"/>
        <v>-6.390646153849957</v>
      </c>
      <c r="M37" s="2"/>
      <c r="N37" s="7">
        <f t="shared" si="23"/>
        <v>-7.1811866187611382E-4</v>
      </c>
      <c r="O37" s="11"/>
      <c r="P37" s="6">
        <v>53068.85</v>
      </c>
      <c r="Q37" s="2"/>
      <c r="R37" s="7">
        <f t="shared" si="24"/>
        <v>0.12491029013120712</v>
      </c>
      <c r="S37" s="2"/>
      <c r="T37" s="6">
        <v>48945.32855384615</v>
      </c>
      <c r="U37" s="2"/>
      <c r="V37" s="7">
        <f t="shared" si="25"/>
        <v>9.0088953715895731E-2</v>
      </c>
      <c r="W37" s="2"/>
      <c r="X37" s="6">
        <f t="shared" si="26"/>
        <v>4123.521446153849</v>
      </c>
      <c r="Y37" s="2"/>
      <c r="Z37" s="7">
        <f t="shared" si="27"/>
        <v>8.4247497524047588E-2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>
        <v>45.5</v>
      </c>
      <c r="Q40" s="2"/>
      <c r="R40" s="7">
        <f t="shared" si="24"/>
        <v>1.070951829740031E-4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45.5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16256.76</v>
      </c>
      <c r="E42" s="2"/>
      <c r="F42" s="7">
        <f t="shared" si="20"/>
        <v>0.16417241822260967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16256.76</v>
      </c>
      <c r="M42" s="2"/>
      <c r="N42" s="7">
        <f t="shared" si="23"/>
        <v>0</v>
      </c>
      <c r="O42" s="11"/>
      <c r="P42" s="6">
        <v>77377.86</v>
      </c>
      <c r="Q42" s="2"/>
      <c r="R42" s="7">
        <f t="shared" si="24"/>
        <v>0.18212738626014935</v>
      </c>
      <c r="S42" s="2"/>
      <c r="T42" s="6">
        <v>18800</v>
      </c>
      <c r="U42" s="2"/>
      <c r="V42" s="7">
        <f t="shared" si="25"/>
        <v>3.4603349898766796E-2</v>
      </c>
      <c r="W42" s="2"/>
      <c r="X42" s="6">
        <f t="shared" si="26"/>
        <v>58577.86</v>
      </c>
      <c r="Y42" s="2"/>
      <c r="Z42" s="7">
        <f t="shared" si="27"/>
        <v>3.1158436170212767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>
        <v>1581</v>
      </c>
      <c r="E43" s="2"/>
      <c r="F43" s="7">
        <f t="shared" si="20"/>
        <v>1.5966071542542665E-2</v>
      </c>
      <c r="G43" s="2"/>
      <c r="H43" s="6">
        <v>19164</v>
      </c>
      <c r="I43" s="2"/>
      <c r="J43" s="7">
        <f t="shared" si="21"/>
        <v>0.18251428571428571</v>
      </c>
      <c r="K43" s="2"/>
      <c r="L43" s="6">
        <f t="shared" si="22"/>
        <v>-17583</v>
      </c>
      <c r="M43" s="2"/>
      <c r="N43" s="7">
        <f t="shared" si="23"/>
        <v>-0.91750156543519101</v>
      </c>
      <c r="O43" s="11"/>
      <c r="P43" s="6">
        <v>3297</v>
      </c>
      <c r="Q43" s="2"/>
      <c r="R43" s="7">
        <f t="shared" si="24"/>
        <v>7.7602817201162244E-3</v>
      </c>
      <c r="S43" s="2"/>
      <c r="T43" s="6">
        <v>69092</v>
      </c>
      <c r="U43" s="2"/>
      <c r="V43" s="7">
        <f t="shared" si="25"/>
        <v>0.127170992085404</v>
      </c>
      <c r="W43" s="2"/>
      <c r="X43" s="6">
        <f t="shared" si="26"/>
        <v>-65795</v>
      </c>
      <c r="Y43" s="2"/>
      <c r="Z43" s="7">
        <f t="shared" si="27"/>
        <v>-0.95228101661552711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6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55" si="28">IF(D$12=0,0,D46/D$12)</f>
        <v>0</v>
      </c>
      <c r="G46" s="1"/>
      <c r="H46" s="1">
        <f>SUM(OSRRefH22_2x_0)</f>
        <v>150</v>
      </c>
      <c r="I46" s="1"/>
      <c r="J46" s="5">
        <f t="shared" ref="J46:J55" si="29">IF(H$12=0,0,H46/H$12)</f>
        <v>1.4285714285714286E-3</v>
      </c>
      <c r="K46" s="1"/>
      <c r="L46" s="1">
        <f t="shared" ref="L46:L55" si="30">+D46-H46</f>
        <v>-150</v>
      </c>
      <c r="M46" s="1"/>
      <c r="N46" s="5">
        <f t="shared" ref="N46:N55" si="31">IF(H46=0,0,L46/H46)</f>
        <v>-1</v>
      </c>
      <c r="O46" s="13"/>
      <c r="P46" s="1">
        <f>SUM(OSRRefP22_2x_0)</f>
        <v>464.94</v>
      </c>
      <c r="Q46" s="1"/>
      <c r="R46" s="5">
        <f t="shared" ref="R46:R55" si="32">IF(P$12=0,0,P46/P$12)</f>
        <v>1.0943480081743516E-3</v>
      </c>
      <c r="S46" s="1"/>
      <c r="T46" s="1">
        <f>SUM(OSRRefT22_2x_0)</f>
        <v>750</v>
      </c>
      <c r="U46" s="1"/>
      <c r="V46" s="5">
        <f t="shared" ref="V46:V55" si="33">IF(T$12=0,0,T46/T$12)</f>
        <v>1.3804527885146328E-3</v>
      </c>
      <c r="W46" s="1"/>
      <c r="X46" s="1">
        <f t="shared" ref="X46:X55" si="34">+P46-T46</f>
        <v>-285.06</v>
      </c>
      <c r="Y46" s="1"/>
      <c r="Z46" s="5">
        <f t="shared" ref="Z46:Z55" si="35">IF(T46=0,0,X46/T46)</f>
        <v>-0.38008000000000003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8"/>
        <v>0</v>
      </c>
      <c r="G47" s="2"/>
      <c r="H47" s="6">
        <v>150</v>
      </c>
      <c r="I47" s="2"/>
      <c r="J47" s="7">
        <f t="shared" si="29"/>
        <v>1.4285714285714286E-3</v>
      </c>
      <c r="K47" s="2"/>
      <c r="L47" s="6">
        <f t="shared" si="30"/>
        <v>-150</v>
      </c>
      <c r="M47" s="2"/>
      <c r="N47" s="7">
        <f t="shared" si="31"/>
        <v>-1</v>
      </c>
      <c r="O47" s="11"/>
      <c r="P47" s="6">
        <v>464.94</v>
      </c>
      <c r="Q47" s="2"/>
      <c r="R47" s="7">
        <f t="shared" si="32"/>
        <v>1.0943480081743516E-3</v>
      </c>
      <c r="S47" s="2"/>
      <c r="T47" s="6">
        <v>750</v>
      </c>
      <c r="U47" s="2"/>
      <c r="V47" s="7">
        <f t="shared" si="33"/>
        <v>1.3804527885146328E-3</v>
      </c>
      <c r="W47" s="2"/>
      <c r="X47" s="6">
        <f t="shared" si="34"/>
        <v>-285.06</v>
      </c>
      <c r="Y47" s="2"/>
      <c r="Z47" s="7">
        <f t="shared" si="35"/>
        <v>-0.38008000000000003</v>
      </c>
    </row>
    <row r="48" spans="1:26" s="26" customFormat="1" outlineLevel="1" collapsed="1" x14ac:dyDescent="0.25">
      <c r="A48" s="27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17.260000000000002</v>
      </c>
      <c r="E48" s="1"/>
      <c r="F48" s="5">
        <f t="shared" si="28"/>
        <v>1.7430385504382443E-4</v>
      </c>
      <c r="G48" s="1"/>
      <c r="H48" s="1">
        <f>SUM(OSRRefH22_3x_0)</f>
        <v>20</v>
      </c>
      <c r="I48" s="1"/>
      <c r="J48" s="5">
        <f t="shared" si="29"/>
        <v>1.9047619047619048E-4</v>
      </c>
      <c r="K48" s="1"/>
      <c r="L48" s="1">
        <f t="shared" si="30"/>
        <v>-2.7399999999999984</v>
      </c>
      <c r="M48" s="1"/>
      <c r="N48" s="5">
        <f t="shared" si="31"/>
        <v>-0.13699999999999993</v>
      </c>
      <c r="O48" s="13"/>
      <c r="P48" s="1">
        <f>SUM(OSRRefP22_3x_0)</f>
        <v>11.32</v>
      </c>
      <c r="Q48" s="1"/>
      <c r="R48" s="5">
        <f t="shared" si="32"/>
        <v>2.6644340027817915E-5</v>
      </c>
      <c r="S48" s="1"/>
      <c r="T48" s="1">
        <f>SUM(OSRRefT22_3x_0)</f>
        <v>100</v>
      </c>
      <c r="U48" s="1"/>
      <c r="V48" s="5">
        <f t="shared" si="33"/>
        <v>1.8406037180195104E-4</v>
      </c>
      <c r="W48" s="1"/>
      <c r="X48" s="1">
        <f t="shared" si="34"/>
        <v>-88.68</v>
      </c>
      <c r="Y48" s="1"/>
      <c r="Z48" s="5">
        <f t="shared" si="35"/>
        <v>-0.88680000000000003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6">
        <v>17.260000000000002</v>
      </c>
      <c r="E49" s="2"/>
      <c r="F49" s="7">
        <f t="shared" si="28"/>
        <v>1.7430385504382443E-4</v>
      </c>
      <c r="G49" s="2"/>
      <c r="H49" s="6">
        <v>20</v>
      </c>
      <c r="I49" s="2"/>
      <c r="J49" s="7">
        <f t="shared" si="29"/>
        <v>1.9047619047619048E-4</v>
      </c>
      <c r="K49" s="2"/>
      <c r="L49" s="6">
        <f t="shared" si="30"/>
        <v>-2.7399999999999984</v>
      </c>
      <c r="M49" s="2"/>
      <c r="N49" s="7">
        <f t="shared" si="31"/>
        <v>-0.13699999999999993</v>
      </c>
      <c r="O49" s="11"/>
      <c r="P49" s="6">
        <v>11.32</v>
      </c>
      <c r="Q49" s="2"/>
      <c r="R49" s="7">
        <f t="shared" si="32"/>
        <v>2.6644340027817915E-5</v>
      </c>
      <c r="S49" s="2"/>
      <c r="T49" s="6">
        <v>100</v>
      </c>
      <c r="U49" s="2"/>
      <c r="V49" s="7">
        <f t="shared" si="33"/>
        <v>1.8406037180195104E-4</v>
      </c>
      <c r="W49" s="2"/>
      <c r="X49" s="6">
        <f t="shared" si="34"/>
        <v>-88.68</v>
      </c>
      <c r="Y49" s="2"/>
      <c r="Z49" s="7">
        <f t="shared" si="35"/>
        <v>-0.88680000000000003</v>
      </c>
    </row>
    <row r="50" spans="1:26" s="26" customFormat="1" outlineLevel="1" collapsed="1" x14ac:dyDescent="0.25">
      <c r="A50" s="27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2480.62</v>
      </c>
      <c r="E50" s="1"/>
      <c r="F50" s="5">
        <f t="shared" si="28"/>
        <v>2.5051079310475764E-2</v>
      </c>
      <c r="G50" s="1"/>
      <c r="H50" s="1">
        <f>SUM(OSRRefH22_4x_0)</f>
        <v>0</v>
      </c>
      <c r="I50" s="1"/>
      <c r="J50" s="5">
        <f t="shared" si="29"/>
        <v>0</v>
      </c>
      <c r="K50" s="1"/>
      <c r="L50" s="1">
        <f t="shared" si="30"/>
        <v>2480.62</v>
      </c>
      <c r="M50" s="1"/>
      <c r="N50" s="5">
        <f t="shared" si="31"/>
        <v>0</v>
      </c>
      <c r="O50" s="13"/>
      <c r="P50" s="1">
        <f>SUM(OSRRefP22_4x_0)</f>
        <v>12121.64</v>
      </c>
      <c r="Q50" s="1"/>
      <c r="R50" s="5">
        <f t="shared" si="32"/>
        <v>2.8531192389999887E-2</v>
      </c>
      <c r="S50" s="1"/>
      <c r="T50" s="1">
        <f>SUM(OSRRefT22_4x_0)</f>
        <v>0</v>
      </c>
      <c r="U50" s="1"/>
      <c r="V50" s="5">
        <f t="shared" si="33"/>
        <v>0</v>
      </c>
      <c r="W50" s="1"/>
      <c r="X50" s="1">
        <f t="shared" si="34"/>
        <v>12121.64</v>
      </c>
      <c r="Y50" s="1"/>
      <c r="Z50" s="5">
        <f t="shared" si="35"/>
        <v>0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6">
        <v>2480.62</v>
      </c>
      <c r="E51" s="2"/>
      <c r="F51" s="7">
        <f t="shared" si="28"/>
        <v>2.5051079310475764E-2</v>
      </c>
      <c r="G51" s="2"/>
      <c r="H51" s="6"/>
      <c r="I51" s="2"/>
      <c r="J51" s="7">
        <f t="shared" si="29"/>
        <v>0</v>
      </c>
      <c r="K51" s="2"/>
      <c r="L51" s="6">
        <f t="shared" si="30"/>
        <v>2480.62</v>
      </c>
      <c r="M51" s="2"/>
      <c r="N51" s="7">
        <f t="shared" si="31"/>
        <v>0</v>
      </c>
      <c r="O51" s="11"/>
      <c r="P51" s="6">
        <v>12121.64</v>
      </c>
      <c r="Q51" s="2"/>
      <c r="R51" s="7">
        <f t="shared" si="32"/>
        <v>2.8531192389999887E-2</v>
      </c>
      <c r="S51" s="2"/>
      <c r="T51" s="6"/>
      <c r="U51" s="2"/>
      <c r="V51" s="7">
        <f t="shared" si="33"/>
        <v>0</v>
      </c>
      <c r="W51" s="2"/>
      <c r="X51" s="6">
        <f t="shared" si="34"/>
        <v>12121.64</v>
      </c>
      <c r="Y51" s="2"/>
      <c r="Z51" s="7">
        <f t="shared" si="35"/>
        <v>0</v>
      </c>
    </row>
    <row r="52" spans="1:26" s="26" customFormat="1" outlineLevel="1" collapsed="1" x14ac:dyDescent="0.25">
      <c r="A52" s="27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5612.57</v>
      </c>
      <c r="E52" s="1"/>
      <c r="F52" s="5">
        <f t="shared" si="28"/>
        <v>5.667975595036602E-2</v>
      </c>
      <c r="G52" s="1"/>
      <c r="H52" s="1">
        <f>SUM(OSRRefH22_5x_0)</f>
        <v>6318</v>
      </c>
      <c r="I52" s="1"/>
      <c r="J52" s="5">
        <f t="shared" si="29"/>
        <v>6.017142857142857E-2</v>
      </c>
      <c r="K52" s="1"/>
      <c r="L52" s="1">
        <f t="shared" si="30"/>
        <v>-705.43000000000029</v>
      </c>
      <c r="M52" s="1"/>
      <c r="N52" s="5">
        <f t="shared" si="31"/>
        <v>-0.11165400443178225</v>
      </c>
      <c r="O52" s="13"/>
      <c r="P52" s="1">
        <f>SUM(OSRRefP22_5x_0)</f>
        <v>28062.85</v>
      </c>
      <c r="Q52" s="1"/>
      <c r="R52" s="5">
        <f t="shared" si="32"/>
        <v>6.605266056092314E-2</v>
      </c>
      <c r="S52" s="1"/>
      <c r="T52" s="1">
        <f>SUM(OSRRefT22_5x_0)</f>
        <v>30256</v>
      </c>
      <c r="U52" s="1"/>
      <c r="V52" s="5">
        <f t="shared" si="33"/>
        <v>5.5689306092398305E-2</v>
      </c>
      <c r="W52" s="1"/>
      <c r="X52" s="1">
        <f t="shared" si="34"/>
        <v>-2193.1500000000015</v>
      </c>
      <c r="Y52" s="1"/>
      <c r="Z52" s="5">
        <f t="shared" si="35"/>
        <v>-7.2486448968799619E-2</v>
      </c>
    </row>
    <row r="53" spans="1:26" s="24" customFormat="1" hidden="1" outlineLevel="2" x14ac:dyDescent="0.25">
      <c r="A53" s="25"/>
      <c r="B53" s="11" t="str">
        <f>CONCATENATE("          ", "6321", " - ", "BUILDING DEPRECIATION")</f>
        <v xml:space="preserve">          6321 - BUILDING DEPRECIATION</v>
      </c>
      <c r="C53" s="11"/>
      <c r="D53" s="6">
        <v>4626.5</v>
      </c>
      <c r="E53" s="2"/>
      <c r="F53" s="7">
        <f t="shared" si="28"/>
        <v>4.6721714099667071E-2</v>
      </c>
      <c r="G53" s="2"/>
      <c r="H53" s="6">
        <v>5165</v>
      </c>
      <c r="I53" s="2"/>
      <c r="J53" s="7">
        <f t="shared" si="29"/>
        <v>4.9190476190476187E-2</v>
      </c>
      <c r="K53" s="2"/>
      <c r="L53" s="6">
        <f t="shared" si="30"/>
        <v>-538.5</v>
      </c>
      <c r="M53" s="2"/>
      <c r="N53" s="7">
        <f t="shared" si="31"/>
        <v>-0.1042594385285576</v>
      </c>
      <c r="O53" s="11"/>
      <c r="P53" s="6">
        <v>23132.5</v>
      </c>
      <c r="Q53" s="2"/>
      <c r="R53" s="7">
        <f t="shared" si="32"/>
        <v>5.4447897146068715E-2</v>
      </c>
      <c r="S53" s="2"/>
      <c r="T53" s="6">
        <v>25825</v>
      </c>
      <c r="U53" s="2"/>
      <c r="V53" s="7">
        <f t="shared" si="33"/>
        <v>4.7533591017853857E-2</v>
      </c>
      <c r="W53" s="2"/>
      <c r="X53" s="6">
        <f t="shared" si="34"/>
        <v>-2692.5</v>
      </c>
      <c r="Y53" s="2"/>
      <c r="Z53" s="7">
        <f t="shared" si="35"/>
        <v>-0.1042594385285576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986.07</v>
      </c>
      <c r="E54" s="2"/>
      <c r="F54" s="7">
        <f t="shared" si="28"/>
        <v>9.9580418506989531E-3</v>
      </c>
      <c r="G54" s="2"/>
      <c r="H54" s="6">
        <v>486</v>
      </c>
      <c r="I54" s="2"/>
      <c r="J54" s="7">
        <f t="shared" si="29"/>
        <v>4.6285714285714289E-3</v>
      </c>
      <c r="K54" s="2"/>
      <c r="L54" s="6">
        <f t="shared" si="30"/>
        <v>500.07000000000005</v>
      </c>
      <c r="M54" s="2"/>
      <c r="N54" s="7">
        <f t="shared" si="31"/>
        <v>1.0289506172839507</v>
      </c>
      <c r="O54" s="11"/>
      <c r="P54" s="6">
        <v>4930.3500000000004</v>
      </c>
      <c r="Q54" s="2"/>
      <c r="R54" s="7">
        <f t="shared" si="32"/>
        <v>1.1604763414854422E-2</v>
      </c>
      <c r="S54" s="2"/>
      <c r="T54" s="6">
        <v>2430</v>
      </c>
      <c r="U54" s="2"/>
      <c r="V54" s="7">
        <f t="shared" si="33"/>
        <v>4.4726670347874104E-3</v>
      </c>
      <c r="W54" s="2"/>
      <c r="X54" s="6">
        <f t="shared" si="34"/>
        <v>2500.3500000000004</v>
      </c>
      <c r="Y54" s="2"/>
      <c r="Z54" s="7">
        <f t="shared" si="35"/>
        <v>1.0289506172839509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667</v>
      </c>
      <c r="I55" s="2"/>
      <c r="J55" s="7">
        <f t="shared" si="29"/>
        <v>6.3523809523809522E-3</v>
      </c>
      <c r="K55" s="2"/>
      <c r="L55" s="6">
        <f t="shared" si="30"/>
        <v>-667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2001</v>
      </c>
      <c r="U55" s="2"/>
      <c r="V55" s="7">
        <f t="shared" si="33"/>
        <v>3.6830480397570405E-3</v>
      </c>
      <c r="W55" s="2"/>
      <c r="X55" s="6">
        <f t="shared" si="34"/>
        <v>-2001</v>
      </c>
      <c r="Y55" s="2"/>
      <c r="Z55" s="7">
        <f t="shared" si="35"/>
        <v>-1</v>
      </c>
    </row>
    <row r="56" spans="1:26" s="26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186.48</v>
      </c>
      <c r="E56" s="1"/>
      <c r="F56" s="5">
        <f t="shared" ref="F56:F67" si="36">IF(D$12=0,0,D56/D$12)</f>
        <v>1.8832087420957342E-3</v>
      </c>
      <c r="G56" s="1"/>
      <c r="H56" s="1">
        <f>SUM(OSRRefH22_6x_0)</f>
        <v>50</v>
      </c>
      <c r="I56" s="1"/>
      <c r="J56" s="5">
        <f t="shared" ref="J56:J67" si="37">IF(H$12=0,0,H56/H$12)</f>
        <v>4.7619047619047619E-4</v>
      </c>
      <c r="K56" s="1"/>
      <c r="L56" s="1">
        <f t="shared" ref="L56:L67" si="38">+D56-H56</f>
        <v>136.47999999999999</v>
      </c>
      <c r="M56" s="1"/>
      <c r="N56" s="5">
        <f t="shared" ref="N56:N67" si="39">IF(H56=0,0,L56/H56)</f>
        <v>2.7295999999999996</v>
      </c>
      <c r="O56" s="13"/>
      <c r="P56" s="1">
        <f>SUM(OSRRefP22_6x_0)</f>
        <v>186.48</v>
      </c>
      <c r="Q56" s="1"/>
      <c r="R56" s="5">
        <f t="shared" ref="R56:R67" si="40">IF(P$12=0,0,P56/P$12)</f>
        <v>4.3892548837345268E-4</v>
      </c>
      <c r="S56" s="1"/>
      <c r="T56" s="1">
        <f>SUM(OSRRefT22_6x_0)</f>
        <v>350</v>
      </c>
      <c r="U56" s="1"/>
      <c r="V56" s="5">
        <f t="shared" ref="V56:V67" si="41">IF(T$12=0,0,T56/T$12)</f>
        <v>6.4421130130682866E-4</v>
      </c>
      <c r="W56" s="1"/>
      <c r="X56" s="1">
        <f t="shared" ref="X56:X67" si="42">+P56-T56</f>
        <v>-163.52000000000001</v>
      </c>
      <c r="Y56" s="1"/>
      <c r="Z56" s="5">
        <f t="shared" ref="Z56:Z67" si="43">IF(T56=0,0,X56/T56)</f>
        <v>-0.4672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6">
        <v>186.48</v>
      </c>
      <c r="E57" s="2"/>
      <c r="F57" s="7">
        <f t="shared" si="36"/>
        <v>1.8832087420957342E-3</v>
      </c>
      <c r="G57" s="2"/>
      <c r="H57" s="6">
        <v>50</v>
      </c>
      <c r="I57" s="2"/>
      <c r="J57" s="7">
        <f t="shared" si="37"/>
        <v>4.7619047619047619E-4</v>
      </c>
      <c r="K57" s="2"/>
      <c r="L57" s="6">
        <f t="shared" si="38"/>
        <v>136.47999999999999</v>
      </c>
      <c r="M57" s="2"/>
      <c r="N57" s="7">
        <f t="shared" si="39"/>
        <v>2.7295999999999996</v>
      </c>
      <c r="O57" s="11"/>
      <c r="P57" s="6">
        <v>186.48</v>
      </c>
      <c r="Q57" s="2"/>
      <c r="R57" s="7">
        <f t="shared" si="40"/>
        <v>4.3892548837345268E-4</v>
      </c>
      <c r="S57" s="2"/>
      <c r="T57" s="6">
        <v>350</v>
      </c>
      <c r="U57" s="2"/>
      <c r="V57" s="7">
        <f t="shared" si="41"/>
        <v>6.4421130130682866E-4</v>
      </c>
      <c r="W57" s="2"/>
      <c r="X57" s="6">
        <f t="shared" si="42"/>
        <v>-163.52000000000001</v>
      </c>
      <c r="Y57" s="2"/>
      <c r="Z57" s="7">
        <f t="shared" si="43"/>
        <v>-0.4672</v>
      </c>
    </row>
    <row r="58" spans="1:26" s="26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327.23</v>
      </c>
      <c r="E58" s="1"/>
      <c r="F58" s="5">
        <f t="shared" si="36"/>
        <v>3.3046031567781379E-3</v>
      </c>
      <c r="G58" s="1"/>
      <c r="H58" s="1">
        <f>SUM(OSRRefH22_7x_0)</f>
        <v>115</v>
      </c>
      <c r="I58" s="1"/>
      <c r="J58" s="5">
        <f t="shared" si="37"/>
        <v>1.0952380952380953E-3</v>
      </c>
      <c r="K58" s="1"/>
      <c r="L58" s="1">
        <f t="shared" si="38"/>
        <v>212.23000000000002</v>
      </c>
      <c r="M58" s="1"/>
      <c r="N58" s="5">
        <f t="shared" si="39"/>
        <v>1.8454782608695655</v>
      </c>
      <c r="O58" s="13"/>
      <c r="P58" s="1">
        <f>SUM(OSRRefP22_7x_0)</f>
        <v>1935.51</v>
      </c>
      <c r="Q58" s="1"/>
      <c r="R58" s="5">
        <f t="shared" si="40"/>
        <v>4.5556878592969835E-3</v>
      </c>
      <c r="S58" s="1"/>
      <c r="T58" s="1">
        <f>SUM(OSRRefT22_7x_0)</f>
        <v>575</v>
      </c>
      <c r="U58" s="1"/>
      <c r="V58" s="5">
        <f t="shared" si="41"/>
        <v>1.0583471378612184E-3</v>
      </c>
      <c r="W58" s="1"/>
      <c r="X58" s="1">
        <f t="shared" si="42"/>
        <v>1360.51</v>
      </c>
      <c r="Y58" s="1"/>
      <c r="Z58" s="5">
        <f t="shared" si="43"/>
        <v>2.366104347826087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6">
        <v>327.23</v>
      </c>
      <c r="E59" s="2"/>
      <c r="F59" s="7">
        <f t="shared" si="36"/>
        <v>3.3046031567781379E-3</v>
      </c>
      <c r="G59" s="2"/>
      <c r="H59" s="6">
        <v>115</v>
      </c>
      <c r="I59" s="2"/>
      <c r="J59" s="7">
        <f t="shared" si="37"/>
        <v>1.0952380952380953E-3</v>
      </c>
      <c r="K59" s="2"/>
      <c r="L59" s="6">
        <f t="shared" si="38"/>
        <v>212.23000000000002</v>
      </c>
      <c r="M59" s="2"/>
      <c r="N59" s="7">
        <f t="shared" si="39"/>
        <v>1.8454782608695655</v>
      </c>
      <c r="O59" s="11"/>
      <c r="P59" s="6">
        <v>1935.51</v>
      </c>
      <c r="Q59" s="2"/>
      <c r="R59" s="7">
        <f t="shared" si="40"/>
        <v>4.5556878592969835E-3</v>
      </c>
      <c r="S59" s="2"/>
      <c r="T59" s="6">
        <v>575</v>
      </c>
      <c r="U59" s="2"/>
      <c r="V59" s="7">
        <f t="shared" si="41"/>
        <v>1.0583471378612184E-3</v>
      </c>
      <c r="W59" s="2"/>
      <c r="X59" s="6">
        <f t="shared" si="42"/>
        <v>1360.51</v>
      </c>
      <c r="Y59" s="2"/>
      <c r="Z59" s="7">
        <f t="shared" si="43"/>
        <v>2.366104347826087</v>
      </c>
    </row>
    <row r="60" spans="1:26" s="26" customFormat="1" outlineLevel="1" collapsed="1" x14ac:dyDescent="0.25">
      <c r="A60" s="27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1033.96</v>
      </c>
      <c r="E60" s="1"/>
      <c r="F60" s="5">
        <f t="shared" si="36"/>
        <v>1.0441669406785207E-2</v>
      </c>
      <c r="G60" s="1"/>
      <c r="H60" s="1">
        <f>SUM(OSRRefH22_8x_0)</f>
        <v>1000</v>
      </c>
      <c r="I60" s="1"/>
      <c r="J60" s="5">
        <f t="shared" si="37"/>
        <v>9.5238095238095247E-3</v>
      </c>
      <c r="K60" s="1"/>
      <c r="L60" s="1">
        <f t="shared" si="38"/>
        <v>33.960000000000036</v>
      </c>
      <c r="M60" s="1"/>
      <c r="N60" s="5">
        <f t="shared" si="39"/>
        <v>3.3960000000000039E-2</v>
      </c>
      <c r="O60" s="13"/>
      <c r="P60" s="1">
        <f>SUM(OSRRefP22_8x_0)</f>
        <v>5721.78</v>
      </c>
      <c r="Q60" s="1"/>
      <c r="R60" s="5">
        <f t="shared" si="40"/>
        <v>1.3467584088725086E-2</v>
      </c>
      <c r="S60" s="1"/>
      <c r="T60" s="1">
        <f>SUM(OSRRefT22_8x_0)</f>
        <v>5000</v>
      </c>
      <c r="U60" s="1"/>
      <c r="V60" s="5">
        <f t="shared" si="41"/>
        <v>9.2030185900975527E-3</v>
      </c>
      <c r="W60" s="1"/>
      <c r="X60" s="1">
        <f t="shared" si="42"/>
        <v>721.77999999999975</v>
      </c>
      <c r="Y60" s="1"/>
      <c r="Z60" s="5">
        <f t="shared" si="43"/>
        <v>0.14435599999999996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6">
        <v>1033.96</v>
      </c>
      <c r="E61" s="2"/>
      <c r="F61" s="7">
        <f t="shared" si="36"/>
        <v>1.0441669406785207E-2</v>
      </c>
      <c r="G61" s="2"/>
      <c r="H61" s="6">
        <v>1000</v>
      </c>
      <c r="I61" s="2"/>
      <c r="J61" s="7">
        <f t="shared" si="37"/>
        <v>9.5238095238095247E-3</v>
      </c>
      <c r="K61" s="2"/>
      <c r="L61" s="6">
        <f t="shared" si="38"/>
        <v>33.960000000000036</v>
      </c>
      <c r="M61" s="2"/>
      <c r="N61" s="7">
        <f t="shared" si="39"/>
        <v>3.3960000000000039E-2</v>
      </c>
      <c r="O61" s="11"/>
      <c r="P61" s="6">
        <v>5721.78</v>
      </c>
      <c r="Q61" s="2"/>
      <c r="R61" s="7">
        <f t="shared" si="40"/>
        <v>1.3467584088725086E-2</v>
      </c>
      <c r="S61" s="2"/>
      <c r="T61" s="6">
        <v>5000</v>
      </c>
      <c r="U61" s="2"/>
      <c r="V61" s="7">
        <f t="shared" si="41"/>
        <v>9.2030185900975527E-3</v>
      </c>
      <c r="W61" s="2"/>
      <c r="X61" s="6">
        <f t="shared" si="42"/>
        <v>721.77999999999975</v>
      </c>
      <c r="Y61" s="2"/>
      <c r="Z61" s="7">
        <f t="shared" si="43"/>
        <v>0.14435599999999996</v>
      </c>
    </row>
    <row r="62" spans="1:26" s="26" customFormat="1" outlineLevel="1" collapsed="1" x14ac:dyDescent="0.25">
      <c r="A62" s="27"/>
      <c r="B62" s="13" t="str">
        <f>CONCATENATE("     ","Rent                                              ")</f>
        <v xml:space="preserve">     Rent                                              </v>
      </c>
      <c r="C62" s="13"/>
      <c r="D62" s="1">
        <f>SUM(OSRRefD22_9x_0)</f>
        <v>1850</v>
      </c>
      <c r="E62" s="1"/>
      <c r="F62" s="5">
        <f t="shared" si="36"/>
        <v>1.8682626409679905E-2</v>
      </c>
      <c r="G62" s="1"/>
      <c r="H62" s="1">
        <f>SUM(OSRRefH22_9x_0)</f>
        <v>1850</v>
      </c>
      <c r="I62" s="1"/>
      <c r="J62" s="5">
        <f t="shared" si="37"/>
        <v>1.7619047619047618E-2</v>
      </c>
      <c r="K62" s="1"/>
      <c r="L62" s="1">
        <f t="shared" si="38"/>
        <v>0</v>
      </c>
      <c r="M62" s="1"/>
      <c r="N62" s="5">
        <f t="shared" si="39"/>
        <v>0</v>
      </c>
      <c r="O62" s="13"/>
      <c r="P62" s="1">
        <f>SUM(OSRRefP22_9x_0)</f>
        <v>9250</v>
      </c>
      <c r="Q62" s="1"/>
      <c r="R62" s="5">
        <f t="shared" si="40"/>
        <v>2.1772097637572058E-2</v>
      </c>
      <c r="S62" s="1"/>
      <c r="T62" s="1">
        <f>SUM(OSRRefT22_9x_0)</f>
        <v>9250</v>
      </c>
      <c r="U62" s="1"/>
      <c r="V62" s="5">
        <f t="shared" si="41"/>
        <v>1.7025584391680473E-2</v>
      </c>
      <c r="W62" s="1"/>
      <c r="X62" s="1">
        <f t="shared" si="42"/>
        <v>0</v>
      </c>
      <c r="Y62" s="1"/>
      <c r="Z62" s="5">
        <f t="shared" si="43"/>
        <v>0</v>
      </c>
    </row>
    <row r="63" spans="1:26" s="24" customFormat="1" hidden="1" outlineLevel="2" x14ac:dyDescent="0.25">
      <c r="A63" s="25"/>
      <c r="B63" s="11" t="str">
        <f>CONCATENATE("          ", "6273", " - ", "RENT")</f>
        <v xml:space="preserve">          6273 - RENT</v>
      </c>
      <c r="C63" s="11"/>
      <c r="D63" s="6">
        <v>1850</v>
      </c>
      <c r="E63" s="2"/>
      <c r="F63" s="7">
        <f t="shared" si="36"/>
        <v>1.8682626409679905E-2</v>
      </c>
      <c r="G63" s="2"/>
      <c r="H63" s="6">
        <v>1850</v>
      </c>
      <c r="I63" s="2"/>
      <c r="J63" s="7">
        <f t="shared" si="37"/>
        <v>1.7619047619047618E-2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9250</v>
      </c>
      <c r="Q63" s="2"/>
      <c r="R63" s="7">
        <f t="shared" si="40"/>
        <v>2.1772097637572058E-2</v>
      </c>
      <c r="S63" s="2"/>
      <c r="T63" s="6">
        <v>9250</v>
      </c>
      <c r="U63" s="2"/>
      <c r="V63" s="7">
        <f t="shared" si="41"/>
        <v>1.7025584391680473E-2</v>
      </c>
      <c r="W63" s="2"/>
      <c r="X63" s="6">
        <f t="shared" si="42"/>
        <v>0</v>
      </c>
      <c r="Y63" s="2"/>
      <c r="Z63" s="7">
        <f t="shared" si="43"/>
        <v>0</v>
      </c>
    </row>
    <row r="64" spans="1:26" s="26" customFormat="1" outlineLevel="1" collapsed="1" x14ac:dyDescent="0.25">
      <c r="A64" s="27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SUM(OSRRefD22_10x_0)</f>
        <v>2586.9499999999998</v>
      </c>
      <c r="E64" s="1"/>
      <c r="F64" s="5">
        <f t="shared" si="36"/>
        <v>2.6124875886768338E-2</v>
      </c>
      <c r="G64" s="1"/>
      <c r="H64" s="1">
        <f>SUM(OSRRefH22_10x_0)</f>
        <v>1300</v>
      </c>
      <c r="I64" s="1"/>
      <c r="J64" s="5">
        <f t="shared" si="37"/>
        <v>1.2380952380952381E-2</v>
      </c>
      <c r="K64" s="1"/>
      <c r="L64" s="1">
        <f t="shared" si="38"/>
        <v>1286.9499999999998</v>
      </c>
      <c r="M64" s="1"/>
      <c r="N64" s="5">
        <f t="shared" si="39"/>
        <v>0.98996153846153834</v>
      </c>
      <c r="O64" s="13"/>
      <c r="P64" s="1">
        <f>SUM(OSRRefP22_10x_0)</f>
        <v>15691.619999999999</v>
      </c>
      <c r="Q64" s="1"/>
      <c r="R64" s="5">
        <f t="shared" si="40"/>
        <v>3.6933998133154428E-2</v>
      </c>
      <c r="S64" s="1"/>
      <c r="T64" s="1">
        <f>SUM(OSRRefT22_10x_0)</f>
        <v>6100</v>
      </c>
      <c r="U64" s="1"/>
      <c r="V64" s="5">
        <f t="shared" si="41"/>
        <v>1.1227682679919013E-2</v>
      </c>
      <c r="W64" s="1"/>
      <c r="X64" s="1">
        <f t="shared" si="42"/>
        <v>9591.619999999999</v>
      </c>
      <c r="Y64" s="1"/>
      <c r="Z64" s="5">
        <f t="shared" si="43"/>
        <v>1.5723967213114753</v>
      </c>
    </row>
    <row r="65" spans="1:26" s="24" customFormat="1" hidden="1" outlineLevel="2" x14ac:dyDescent="0.25">
      <c r="A65" s="25"/>
      <c r="B65" s="11" t="str">
        <f>CONCATENATE("          ", "6372", " - ", "COMPUTER HARDWARE MAINTENANCE")</f>
        <v xml:space="preserve">          6372 - COMPUTER HARDWARE MAINTENANCE</v>
      </c>
      <c r="C65" s="11"/>
      <c r="D65" s="6"/>
      <c r="E65" s="2"/>
      <c r="F65" s="7">
        <f t="shared" si="36"/>
        <v>0</v>
      </c>
      <c r="G65" s="2"/>
      <c r="H65" s="6"/>
      <c r="I65" s="2"/>
      <c r="J65" s="7">
        <f t="shared" si="37"/>
        <v>0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/>
      <c r="Q65" s="2"/>
      <c r="R65" s="7">
        <f t="shared" si="40"/>
        <v>0</v>
      </c>
      <c r="S65" s="2"/>
      <c r="T65" s="6">
        <v>200</v>
      </c>
      <c r="U65" s="2"/>
      <c r="V65" s="7">
        <f t="shared" si="41"/>
        <v>3.6812074360390208E-4</v>
      </c>
      <c r="W65" s="2"/>
      <c r="X65" s="6">
        <f t="shared" si="42"/>
        <v>-200</v>
      </c>
      <c r="Y65" s="2"/>
      <c r="Z65" s="7">
        <f t="shared" si="43"/>
        <v>-1</v>
      </c>
    </row>
    <row r="66" spans="1:26" s="24" customFormat="1" hidden="1" outlineLevel="2" x14ac:dyDescent="0.25">
      <c r="A66" s="25"/>
      <c r="B66" s="11" t="str">
        <f>CONCATENATE("          ", "6373", " - ", "MAINTENANCE CONTRACTS")</f>
        <v xml:space="preserve">          6373 - MAINTENANCE CONTRACTS</v>
      </c>
      <c r="C66" s="11"/>
      <c r="D66" s="6">
        <v>1799</v>
      </c>
      <c r="E66" s="2"/>
      <c r="F66" s="7">
        <f t="shared" si="36"/>
        <v>1.8167591843791429E-2</v>
      </c>
      <c r="G66" s="2"/>
      <c r="H66" s="6">
        <v>1000</v>
      </c>
      <c r="I66" s="2"/>
      <c r="J66" s="7">
        <f t="shared" si="37"/>
        <v>9.5238095238095247E-3</v>
      </c>
      <c r="K66" s="2"/>
      <c r="L66" s="6">
        <f t="shared" si="38"/>
        <v>799</v>
      </c>
      <c r="M66" s="2"/>
      <c r="N66" s="7">
        <f t="shared" si="39"/>
        <v>0.79900000000000004</v>
      </c>
      <c r="O66" s="11"/>
      <c r="P66" s="6">
        <v>9051.06</v>
      </c>
      <c r="Q66" s="2"/>
      <c r="R66" s="7">
        <f t="shared" si="40"/>
        <v>2.1303844545245722E-2</v>
      </c>
      <c r="S66" s="2"/>
      <c r="T66" s="6">
        <v>5000</v>
      </c>
      <c r="U66" s="2"/>
      <c r="V66" s="7">
        <f t="shared" si="41"/>
        <v>9.2030185900975527E-3</v>
      </c>
      <c r="W66" s="2"/>
      <c r="X66" s="6">
        <f t="shared" si="42"/>
        <v>4051.0599999999995</v>
      </c>
      <c r="Y66" s="2"/>
      <c r="Z66" s="7">
        <f t="shared" si="43"/>
        <v>0.81021199999999993</v>
      </c>
    </row>
    <row r="67" spans="1:26" s="24" customFormat="1" hidden="1" outlineLevel="2" x14ac:dyDescent="0.25">
      <c r="A67" s="25"/>
      <c r="B67" s="11" t="str">
        <f>CONCATENATE("          ", "6375", " - ", "OUTSIDE REPAIRS &amp; MAINTENANCE")</f>
        <v xml:space="preserve">          6375 - OUTSIDE REPAIRS &amp; MAINTENANCE</v>
      </c>
      <c r="C67" s="11"/>
      <c r="D67" s="6">
        <v>787.95</v>
      </c>
      <c r="E67" s="2"/>
      <c r="F67" s="7">
        <f t="shared" si="36"/>
        <v>7.9572840429769087E-3</v>
      </c>
      <c r="G67" s="2"/>
      <c r="H67" s="6">
        <v>300</v>
      </c>
      <c r="I67" s="2"/>
      <c r="J67" s="7">
        <f t="shared" si="37"/>
        <v>2.8571428571428571E-3</v>
      </c>
      <c r="K67" s="2"/>
      <c r="L67" s="6">
        <f t="shared" si="38"/>
        <v>487.95000000000005</v>
      </c>
      <c r="M67" s="2"/>
      <c r="N67" s="7">
        <f t="shared" si="39"/>
        <v>1.6265000000000001</v>
      </c>
      <c r="O67" s="11"/>
      <c r="P67" s="6">
        <v>6640.56</v>
      </c>
      <c r="Q67" s="2"/>
      <c r="R67" s="7">
        <f t="shared" si="40"/>
        <v>1.5630153587908705E-2</v>
      </c>
      <c r="S67" s="2"/>
      <c r="T67" s="6">
        <v>900</v>
      </c>
      <c r="U67" s="2"/>
      <c r="V67" s="7">
        <f t="shared" si="41"/>
        <v>1.6565433462175593E-3</v>
      </c>
      <c r="W67" s="2"/>
      <c r="X67" s="6">
        <f t="shared" si="42"/>
        <v>5740.56</v>
      </c>
      <c r="Y67" s="2"/>
      <c r="Z67" s="7">
        <f t="shared" si="43"/>
        <v>6.3784000000000001</v>
      </c>
    </row>
    <row r="68" spans="1:26" s="26" customFormat="1" outlineLevel="1" collapsed="1" x14ac:dyDescent="0.25">
      <c r="A68" s="27"/>
      <c r="B68" s="13" t="str">
        <f>CONCATENATE("     ","Royalty &amp; Commissions                             ")</f>
        <v xml:space="preserve">     Royalty &amp; Commissions                             </v>
      </c>
      <c r="C68" s="13"/>
      <c r="D68" s="1">
        <f>SUM(OSRRefD22_11x_0)</f>
        <v>7977.68</v>
      </c>
      <c r="E68" s="1"/>
      <c r="F68" s="5">
        <f t="shared" ref="F68:F73" si="44">IF(D$12=0,0,D68/D$12)</f>
        <v>8.0564332462689292E-2</v>
      </c>
      <c r="G68" s="1"/>
      <c r="H68" s="1">
        <f>SUM(OSRRefH22_11x_0)</f>
        <v>8400</v>
      </c>
      <c r="I68" s="1"/>
      <c r="J68" s="5">
        <f t="shared" ref="J68:J73" si="45">IF(H$12=0,0,H68/H$12)</f>
        <v>0.08</v>
      </c>
      <c r="K68" s="1"/>
      <c r="L68" s="1">
        <f t="shared" ref="L68:L73" si="46">+D68-H68</f>
        <v>-422.31999999999971</v>
      </c>
      <c r="M68" s="1"/>
      <c r="N68" s="5">
        <f t="shared" ref="N68:N73" si="47">IF(H68=0,0,L68/H68)</f>
        <v>-5.027619047619044E-2</v>
      </c>
      <c r="O68" s="13"/>
      <c r="P68" s="1">
        <f>SUM(OSRRefP22_11x_0)</f>
        <v>36817.519999999997</v>
      </c>
      <c r="Q68" s="1"/>
      <c r="R68" s="5">
        <f t="shared" ref="R68:R73" si="48">IF(P$12=0,0,P68/P$12)</f>
        <v>8.6658880023055343E-2</v>
      </c>
      <c r="S68" s="1"/>
      <c r="T68" s="1">
        <f>SUM(OSRRefT22_11x_0)</f>
        <v>43464</v>
      </c>
      <c r="U68" s="1"/>
      <c r="V68" s="5">
        <f t="shared" ref="V68:V73" si="49">IF(T$12=0,0,T68/T$12)</f>
        <v>0.08</v>
      </c>
      <c r="W68" s="1"/>
      <c r="X68" s="1">
        <f t="shared" ref="X68:X73" si="50">+P68-T68</f>
        <v>-6646.4800000000032</v>
      </c>
      <c r="Y68" s="1"/>
      <c r="Z68" s="5">
        <f t="shared" ref="Z68:Z73" si="51">IF(T68=0,0,X68/T68)</f>
        <v>-0.15291919749677901</v>
      </c>
    </row>
    <row r="69" spans="1:26" s="24" customFormat="1" hidden="1" outlineLevel="2" x14ac:dyDescent="0.25">
      <c r="A69" s="25"/>
      <c r="B69" s="11" t="str">
        <f>CONCATENATE("          ", "6259", " - ", "ROYALTY &amp; COMMISSIONS")</f>
        <v xml:space="preserve">          6259 - ROYALTY &amp; COMMISSIONS</v>
      </c>
      <c r="C69" s="11"/>
      <c r="D69" s="6">
        <v>7977.68</v>
      </c>
      <c r="E69" s="2"/>
      <c r="F69" s="7">
        <f t="shared" si="44"/>
        <v>8.0564332462689292E-2</v>
      </c>
      <c r="G69" s="2"/>
      <c r="H69" s="6">
        <v>8400</v>
      </c>
      <c r="I69" s="2"/>
      <c r="J69" s="7">
        <f t="shared" si="45"/>
        <v>0.08</v>
      </c>
      <c r="K69" s="2"/>
      <c r="L69" s="6">
        <f t="shared" si="46"/>
        <v>-422.31999999999971</v>
      </c>
      <c r="M69" s="2"/>
      <c r="N69" s="7">
        <f t="shared" si="47"/>
        <v>-5.027619047619044E-2</v>
      </c>
      <c r="O69" s="11"/>
      <c r="P69" s="6">
        <v>36817.519999999997</v>
      </c>
      <c r="Q69" s="2"/>
      <c r="R69" s="7">
        <f t="shared" si="48"/>
        <v>8.6658880023055343E-2</v>
      </c>
      <c r="S69" s="2"/>
      <c r="T69" s="6">
        <v>43464</v>
      </c>
      <c r="U69" s="2"/>
      <c r="V69" s="7">
        <f t="shared" si="49"/>
        <v>0.08</v>
      </c>
      <c r="W69" s="2"/>
      <c r="X69" s="6">
        <f t="shared" si="50"/>
        <v>-6646.4800000000032</v>
      </c>
      <c r="Y69" s="2"/>
      <c r="Z69" s="7">
        <f t="shared" si="51"/>
        <v>-0.15291919749677901</v>
      </c>
    </row>
    <row r="70" spans="1:26" s="26" customFormat="1" outlineLevel="1" collapsed="1" x14ac:dyDescent="0.25">
      <c r="A70" s="27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574.30999999999995</v>
      </c>
      <c r="E70" s="1"/>
      <c r="F70" s="5">
        <f t="shared" si="44"/>
        <v>5.7997941477531158E-3</v>
      </c>
      <c r="G70" s="1"/>
      <c r="H70" s="1">
        <f>SUM(OSRRefH22_12x_0)</f>
        <v>360</v>
      </c>
      <c r="I70" s="1"/>
      <c r="J70" s="5">
        <f t="shared" si="45"/>
        <v>3.4285714285714284E-3</v>
      </c>
      <c r="K70" s="1"/>
      <c r="L70" s="1">
        <f t="shared" si="46"/>
        <v>214.30999999999995</v>
      </c>
      <c r="M70" s="1"/>
      <c r="N70" s="5">
        <f t="shared" si="47"/>
        <v>0.59530555555555542</v>
      </c>
      <c r="O70" s="13"/>
      <c r="P70" s="1">
        <f>SUM(OSRRefP22_12x_0)</f>
        <v>2068.8599999999997</v>
      </c>
      <c r="Q70" s="1"/>
      <c r="R70" s="5">
        <f t="shared" si="48"/>
        <v>4.8695591263207914E-3</v>
      </c>
      <c r="S70" s="1"/>
      <c r="T70" s="1">
        <f>SUM(OSRRefT22_12x_0)</f>
        <v>1800</v>
      </c>
      <c r="U70" s="1"/>
      <c r="V70" s="5">
        <f t="shared" si="49"/>
        <v>3.3130866924351186E-3</v>
      </c>
      <c r="W70" s="1"/>
      <c r="X70" s="1">
        <f t="shared" si="50"/>
        <v>268.85999999999967</v>
      </c>
      <c r="Y70" s="1"/>
      <c r="Z70" s="5">
        <f t="shared" si="51"/>
        <v>0.14936666666666648</v>
      </c>
    </row>
    <row r="71" spans="1:26" s="24" customFormat="1" hidden="1" outlineLevel="2" x14ac:dyDescent="0.25">
      <c r="A71" s="25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96.96</v>
      </c>
      <c r="E71" s="2"/>
      <c r="F71" s="7">
        <f t="shared" si="44"/>
        <v>9.7917159820679099E-4</v>
      </c>
      <c r="G71" s="2"/>
      <c r="H71" s="6">
        <v>100</v>
      </c>
      <c r="I71" s="2"/>
      <c r="J71" s="7">
        <f t="shared" si="45"/>
        <v>9.5238095238095238E-4</v>
      </c>
      <c r="K71" s="2"/>
      <c r="L71" s="6">
        <f t="shared" si="46"/>
        <v>-3.0400000000000063</v>
      </c>
      <c r="M71" s="2"/>
      <c r="N71" s="7">
        <f t="shared" si="47"/>
        <v>-3.0400000000000062E-2</v>
      </c>
      <c r="O71" s="11"/>
      <c r="P71" s="6">
        <v>484.8</v>
      </c>
      <c r="Q71" s="2"/>
      <c r="R71" s="7">
        <f t="shared" si="48"/>
        <v>1.1410932902372901E-3</v>
      </c>
      <c r="S71" s="2"/>
      <c r="T71" s="6">
        <v>500</v>
      </c>
      <c r="U71" s="2"/>
      <c r="V71" s="7">
        <f t="shared" si="49"/>
        <v>9.2030185900975525E-4</v>
      </c>
      <c r="W71" s="2"/>
      <c r="X71" s="6">
        <f t="shared" si="50"/>
        <v>-15.199999999999989</v>
      </c>
      <c r="Y71" s="2"/>
      <c r="Z71" s="7">
        <f t="shared" si="51"/>
        <v>-3.0399999999999976E-2</v>
      </c>
    </row>
    <row r="72" spans="1:26" s="24" customFormat="1" hidden="1" outlineLevel="2" x14ac:dyDescent="0.25">
      <c r="A72" s="25"/>
      <c r="B72" s="11" t="str">
        <f>CONCATENATE("          ", "6284", " - ", "TRASH REMOVAL EXPENSE")</f>
        <v xml:space="preserve">          6284 - TRASH REMOVAL EXPENSE</v>
      </c>
      <c r="C72" s="11"/>
      <c r="D72" s="6">
        <v>94</v>
      </c>
      <c r="E72" s="2"/>
      <c r="F72" s="7">
        <f t="shared" si="44"/>
        <v>9.4927939595130324E-4</v>
      </c>
      <c r="G72" s="2"/>
      <c r="H72" s="6">
        <v>40</v>
      </c>
      <c r="I72" s="2"/>
      <c r="J72" s="7">
        <f t="shared" si="45"/>
        <v>3.8095238095238096E-4</v>
      </c>
      <c r="K72" s="2"/>
      <c r="L72" s="6">
        <f t="shared" si="46"/>
        <v>54</v>
      </c>
      <c r="M72" s="2"/>
      <c r="N72" s="7">
        <f t="shared" si="47"/>
        <v>1.35</v>
      </c>
      <c r="O72" s="11"/>
      <c r="P72" s="6">
        <v>282</v>
      </c>
      <c r="Q72" s="2"/>
      <c r="R72" s="7">
        <f t="shared" si="48"/>
        <v>6.6375476041030494E-4</v>
      </c>
      <c r="S72" s="2"/>
      <c r="T72" s="6">
        <v>200</v>
      </c>
      <c r="U72" s="2"/>
      <c r="V72" s="7">
        <f t="shared" si="49"/>
        <v>3.6812074360390208E-4</v>
      </c>
      <c r="W72" s="2"/>
      <c r="X72" s="6">
        <f t="shared" si="50"/>
        <v>82</v>
      </c>
      <c r="Y72" s="2"/>
      <c r="Z72" s="7">
        <f t="shared" si="51"/>
        <v>0.41</v>
      </c>
    </row>
    <row r="73" spans="1:26" s="24" customFormat="1" hidden="1" outlineLevel="2" x14ac:dyDescent="0.25">
      <c r="A73" s="25"/>
      <c r="B73" s="11" t="str">
        <f>CONCATENATE("          ", "6286", " - ", "LAUNDRY EXPENSE")</f>
        <v xml:space="preserve">          6286 - LAUNDRY EXPENSE</v>
      </c>
      <c r="C73" s="11"/>
      <c r="D73" s="6">
        <v>383.35</v>
      </c>
      <c r="E73" s="2"/>
      <c r="F73" s="7">
        <f t="shared" si="44"/>
        <v>3.8713431535950223E-3</v>
      </c>
      <c r="G73" s="2"/>
      <c r="H73" s="6">
        <v>220</v>
      </c>
      <c r="I73" s="2"/>
      <c r="J73" s="7">
        <f t="shared" si="45"/>
        <v>2.0952380952380953E-3</v>
      </c>
      <c r="K73" s="2"/>
      <c r="L73" s="6">
        <f t="shared" si="46"/>
        <v>163.35000000000002</v>
      </c>
      <c r="M73" s="2"/>
      <c r="N73" s="7">
        <f t="shared" si="47"/>
        <v>0.74250000000000005</v>
      </c>
      <c r="O73" s="11"/>
      <c r="P73" s="6">
        <v>1302.06</v>
      </c>
      <c r="Q73" s="2"/>
      <c r="R73" s="7">
        <f t="shared" si="48"/>
        <v>3.0647110756731972E-3</v>
      </c>
      <c r="S73" s="2"/>
      <c r="T73" s="6">
        <v>1100</v>
      </c>
      <c r="U73" s="2"/>
      <c r="V73" s="7">
        <f t="shared" si="49"/>
        <v>2.0246640898214613E-3</v>
      </c>
      <c r="W73" s="2"/>
      <c r="X73" s="6">
        <f t="shared" si="50"/>
        <v>202.05999999999995</v>
      </c>
      <c r="Y73" s="2"/>
      <c r="Z73" s="7">
        <f t="shared" si="51"/>
        <v>0.18369090909090904</v>
      </c>
    </row>
    <row r="74" spans="1:26" s="26" customFormat="1" outlineLevel="1" collapsed="1" x14ac:dyDescent="0.25">
      <c r="A74" s="27"/>
      <c r="B74" s="13" t="str">
        <f>CONCATENATE("     ","Subscriptions &amp; Dues                              ")</f>
        <v xml:space="preserve">     Subscriptions &amp; Dues                              </v>
      </c>
      <c r="C74" s="13"/>
      <c r="D74" s="1">
        <f>SUM(OSRRefD22_13x_0)</f>
        <v>30.68</v>
      </c>
      <c r="E74" s="1"/>
      <c r="F74" s="5">
        <f t="shared" ref="F74:F85" si="52">IF(D$12=0,0,D74/D$12)</f>
        <v>3.0982863689134023E-4</v>
      </c>
      <c r="G74" s="1"/>
      <c r="H74" s="1">
        <f>SUM(OSRRefH22_13x_0)</f>
        <v>0</v>
      </c>
      <c r="I74" s="1"/>
      <c r="J74" s="5">
        <f t="shared" ref="J74:J85" si="53">IF(H$12=0,0,H74/H$12)</f>
        <v>0</v>
      </c>
      <c r="K74" s="1"/>
      <c r="L74" s="1">
        <f t="shared" ref="L74:L85" si="54">+D74-H74</f>
        <v>30.68</v>
      </c>
      <c r="M74" s="1"/>
      <c r="N74" s="5">
        <f t="shared" ref="N74:N85" si="55">IF(H74=0,0,L74/H74)</f>
        <v>0</v>
      </c>
      <c r="O74" s="13"/>
      <c r="P74" s="1">
        <f>SUM(OSRRefP22_13x_0)</f>
        <v>92.04</v>
      </c>
      <c r="Q74" s="1"/>
      <c r="R74" s="5">
        <f t="shared" ref="R74:R85" si="56">IF(P$12=0,0,P74/P$12)</f>
        <v>2.1663825584455486E-4</v>
      </c>
      <c r="S74" s="1"/>
      <c r="T74" s="1">
        <f>SUM(OSRRefT22_13x_0)</f>
        <v>0</v>
      </c>
      <c r="U74" s="1"/>
      <c r="V74" s="5">
        <f t="shared" ref="V74:V85" si="57">IF(T$12=0,0,T74/T$12)</f>
        <v>0</v>
      </c>
      <c r="W74" s="1"/>
      <c r="X74" s="1">
        <f t="shared" ref="X74:X85" si="58">+P74-T74</f>
        <v>92.04</v>
      </c>
      <c r="Y74" s="1"/>
      <c r="Z74" s="5">
        <f t="shared" ref="Z74:Z85" si="59">IF(T74=0,0,X74/T74)</f>
        <v>0</v>
      </c>
    </row>
    <row r="75" spans="1:26" s="24" customFormat="1" hidden="1" outlineLevel="2" x14ac:dyDescent="0.25">
      <c r="A75" s="25"/>
      <c r="B75" s="11" t="str">
        <f>CONCATENATE("          ", "6275", " - ", "SUBSCRIPTIONS")</f>
        <v xml:space="preserve">          6275 - SUBSCRIPTIONS</v>
      </c>
      <c r="C75" s="11"/>
      <c r="D75" s="6">
        <v>30.68</v>
      </c>
      <c r="E75" s="2"/>
      <c r="F75" s="7">
        <f t="shared" si="52"/>
        <v>3.0982863689134023E-4</v>
      </c>
      <c r="G75" s="2"/>
      <c r="H75" s="6"/>
      <c r="I75" s="2"/>
      <c r="J75" s="7">
        <f t="shared" si="53"/>
        <v>0</v>
      </c>
      <c r="K75" s="2"/>
      <c r="L75" s="6">
        <f t="shared" si="54"/>
        <v>30.68</v>
      </c>
      <c r="M75" s="2"/>
      <c r="N75" s="7">
        <f t="shared" si="55"/>
        <v>0</v>
      </c>
      <c r="O75" s="11"/>
      <c r="P75" s="6">
        <v>92.04</v>
      </c>
      <c r="Q75" s="2"/>
      <c r="R75" s="7">
        <f t="shared" si="56"/>
        <v>2.1663825584455486E-4</v>
      </c>
      <c r="S75" s="2"/>
      <c r="T75" s="6"/>
      <c r="U75" s="2"/>
      <c r="V75" s="7">
        <f t="shared" si="57"/>
        <v>0</v>
      </c>
      <c r="W75" s="2"/>
      <c r="X75" s="6">
        <f t="shared" si="58"/>
        <v>92.04</v>
      </c>
      <c r="Y75" s="2"/>
      <c r="Z75" s="7">
        <f t="shared" si="59"/>
        <v>0</v>
      </c>
    </row>
    <row r="76" spans="1:26" s="26" customFormat="1" outlineLevel="1" collapsed="1" x14ac:dyDescent="0.25">
      <c r="A76" s="27"/>
      <c r="B76" s="13" t="str">
        <f>CONCATENATE("     ","Supplies                                          ")</f>
        <v xml:space="preserve">     Supplies                                          </v>
      </c>
      <c r="C76" s="13"/>
      <c r="D76" s="1">
        <f>SUM(OSRRefD22_14x_0)</f>
        <v>1096.6499999999999</v>
      </c>
      <c r="E76" s="1"/>
      <c r="F76" s="5">
        <f t="shared" si="52"/>
        <v>1.10747579741489E-2</v>
      </c>
      <c r="G76" s="1"/>
      <c r="H76" s="1">
        <f>SUM(OSRRefH22_14x_0)</f>
        <v>400</v>
      </c>
      <c r="I76" s="1"/>
      <c r="J76" s="5">
        <f t="shared" si="53"/>
        <v>3.8095238095238095E-3</v>
      </c>
      <c r="K76" s="1"/>
      <c r="L76" s="1">
        <f t="shared" si="54"/>
        <v>696.64999999999986</v>
      </c>
      <c r="M76" s="1"/>
      <c r="N76" s="5">
        <f t="shared" si="55"/>
        <v>1.7416249999999998</v>
      </c>
      <c r="O76" s="13"/>
      <c r="P76" s="1">
        <f>SUM(OSRRefP22_14x_0)</f>
        <v>8270.9</v>
      </c>
      <c r="Q76" s="1"/>
      <c r="R76" s="5">
        <f t="shared" si="56"/>
        <v>1.9467550524388619E-2</v>
      </c>
      <c r="S76" s="1"/>
      <c r="T76" s="1">
        <f>SUM(OSRRefT22_14x_0)</f>
        <v>9350</v>
      </c>
      <c r="U76" s="1"/>
      <c r="V76" s="5">
        <f t="shared" si="57"/>
        <v>1.7209644763482423E-2</v>
      </c>
      <c r="W76" s="1"/>
      <c r="X76" s="1">
        <f t="shared" si="58"/>
        <v>-1079.1000000000004</v>
      </c>
      <c r="Y76" s="1"/>
      <c r="Z76" s="5">
        <f t="shared" si="59"/>
        <v>-0.11541176470588239</v>
      </c>
    </row>
    <row r="77" spans="1:26" s="24" customFormat="1" hidden="1" outlineLevel="2" x14ac:dyDescent="0.25">
      <c r="A77" s="25"/>
      <c r="B77" s="11" t="str">
        <f>CONCATENATE("          ", "6237", " - ", "JANITORIAL SUPPLIES")</f>
        <v xml:space="preserve">          6237 - JANITORIAL SUPPLIES</v>
      </c>
      <c r="C77" s="11"/>
      <c r="D77" s="6">
        <v>312.95999999999998</v>
      </c>
      <c r="E77" s="2"/>
      <c r="F77" s="7">
        <f t="shared" si="52"/>
        <v>3.1604944654991473E-3</v>
      </c>
      <c r="G77" s="2"/>
      <c r="H77" s="6">
        <v>100</v>
      </c>
      <c r="I77" s="2"/>
      <c r="J77" s="7">
        <f t="shared" si="53"/>
        <v>9.5238095238095238E-4</v>
      </c>
      <c r="K77" s="2"/>
      <c r="L77" s="6">
        <f t="shared" si="54"/>
        <v>212.95999999999998</v>
      </c>
      <c r="M77" s="2"/>
      <c r="N77" s="7">
        <f t="shared" si="55"/>
        <v>2.1295999999999999</v>
      </c>
      <c r="O77" s="11"/>
      <c r="P77" s="6">
        <v>1057.93</v>
      </c>
      <c r="Q77" s="2"/>
      <c r="R77" s="7">
        <f t="shared" si="56"/>
        <v>2.4900924598612552E-3</v>
      </c>
      <c r="S77" s="2"/>
      <c r="T77" s="6">
        <v>500</v>
      </c>
      <c r="U77" s="2"/>
      <c r="V77" s="7">
        <f t="shared" si="57"/>
        <v>9.2030185900975525E-4</v>
      </c>
      <c r="W77" s="2"/>
      <c r="X77" s="6">
        <f t="shared" si="58"/>
        <v>557.93000000000006</v>
      </c>
      <c r="Y77" s="2"/>
      <c r="Z77" s="7">
        <f t="shared" si="59"/>
        <v>1.1158600000000001</v>
      </c>
    </row>
    <row r="78" spans="1:26" s="24" customFormat="1" hidden="1" outlineLevel="2" x14ac:dyDescent="0.25">
      <c r="A78" s="25"/>
      <c r="B78" s="11" t="str">
        <f>CONCATENATE("          ", "6239", " - ", "KITCHEN SUPPLIES")</f>
        <v xml:space="preserve">          6239 - KITCHEN SUPPLIES</v>
      </c>
      <c r="C78" s="11"/>
      <c r="D78" s="6">
        <v>91.82</v>
      </c>
      <c r="E78" s="2"/>
      <c r="F78" s="7">
        <f t="shared" si="52"/>
        <v>9.2726419293881544E-4</v>
      </c>
      <c r="G78" s="2"/>
      <c r="H78" s="6"/>
      <c r="I78" s="2"/>
      <c r="J78" s="7">
        <f t="shared" si="53"/>
        <v>0</v>
      </c>
      <c r="K78" s="2"/>
      <c r="L78" s="6">
        <f t="shared" si="54"/>
        <v>91.82</v>
      </c>
      <c r="M78" s="2"/>
      <c r="N78" s="7">
        <f t="shared" si="55"/>
        <v>0</v>
      </c>
      <c r="O78" s="11"/>
      <c r="P78" s="6">
        <v>3472.75</v>
      </c>
      <c r="Q78" s="2"/>
      <c r="R78" s="7">
        <f t="shared" si="56"/>
        <v>8.1739515752300932E-3</v>
      </c>
      <c r="S78" s="2"/>
      <c r="T78" s="6">
        <v>4900</v>
      </c>
      <c r="U78" s="2"/>
      <c r="V78" s="7">
        <f t="shared" si="57"/>
        <v>9.0189582182956009E-3</v>
      </c>
      <c r="W78" s="2"/>
      <c r="X78" s="6">
        <f t="shared" si="58"/>
        <v>-1427.25</v>
      </c>
      <c r="Y78" s="2"/>
      <c r="Z78" s="7">
        <f t="shared" si="59"/>
        <v>-0.29127551020408166</v>
      </c>
    </row>
    <row r="79" spans="1:26" s="24" customFormat="1" hidden="1" outlineLevel="2" x14ac:dyDescent="0.25">
      <c r="A79" s="25"/>
      <c r="B79" s="11" t="str">
        <f>CONCATENATE("          ", "6241", " - ", "OFFICE EXPENSE")</f>
        <v xml:space="preserve">          6241 - OFFICE EXPENSE</v>
      </c>
      <c r="C79" s="11"/>
      <c r="D79" s="6">
        <v>315.51</v>
      </c>
      <c r="E79" s="2"/>
      <c r="F79" s="7">
        <f t="shared" si="52"/>
        <v>3.1862461937935708E-3</v>
      </c>
      <c r="G79" s="2"/>
      <c r="H79" s="6">
        <v>100</v>
      </c>
      <c r="I79" s="2"/>
      <c r="J79" s="7">
        <f t="shared" si="53"/>
        <v>9.5238095238095238E-4</v>
      </c>
      <c r="K79" s="2"/>
      <c r="L79" s="6">
        <f t="shared" si="54"/>
        <v>215.51</v>
      </c>
      <c r="M79" s="2"/>
      <c r="N79" s="7">
        <f t="shared" si="55"/>
        <v>2.1551</v>
      </c>
      <c r="O79" s="11"/>
      <c r="P79" s="6">
        <v>1015.09</v>
      </c>
      <c r="Q79" s="2"/>
      <c r="R79" s="7">
        <f t="shared" si="56"/>
        <v>2.3892582260457321E-3</v>
      </c>
      <c r="S79" s="2"/>
      <c r="T79" s="6">
        <v>550</v>
      </c>
      <c r="U79" s="2"/>
      <c r="V79" s="7">
        <f t="shared" si="57"/>
        <v>1.0123320449107306E-3</v>
      </c>
      <c r="W79" s="2"/>
      <c r="X79" s="6">
        <f t="shared" si="58"/>
        <v>465.09000000000003</v>
      </c>
      <c r="Y79" s="2"/>
      <c r="Z79" s="7">
        <f t="shared" si="59"/>
        <v>0.84561818181818182</v>
      </c>
    </row>
    <row r="80" spans="1:26" s="24" customFormat="1" hidden="1" outlineLevel="2" x14ac:dyDescent="0.25">
      <c r="A80" s="25"/>
      <c r="B80" s="11" t="str">
        <f>CONCATENATE("          ", "6243", " - ", "PAPER SUPPLIES")</f>
        <v xml:space="preserve">          6243 - PAPER SUPPLIES</v>
      </c>
      <c r="C80" s="11"/>
      <c r="D80" s="6">
        <v>233.9</v>
      </c>
      <c r="E80" s="2"/>
      <c r="F80" s="7">
        <f t="shared" si="52"/>
        <v>2.3620899012022321E-3</v>
      </c>
      <c r="G80" s="2"/>
      <c r="H80" s="6"/>
      <c r="I80" s="2"/>
      <c r="J80" s="7">
        <f t="shared" si="53"/>
        <v>0</v>
      </c>
      <c r="K80" s="2"/>
      <c r="L80" s="6">
        <f t="shared" si="54"/>
        <v>233.9</v>
      </c>
      <c r="M80" s="2"/>
      <c r="N80" s="7">
        <f t="shared" si="55"/>
        <v>0</v>
      </c>
      <c r="O80" s="11"/>
      <c r="P80" s="6">
        <v>3051.39</v>
      </c>
      <c r="Q80" s="2"/>
      <c r="R80" s="7">
        <f t="shared" si="56"/>
        <v>7.18217956868227E-3</v>
      </c>
      <c r="S80" s="2"/>
      <c r="T80" s="6"/>
      <c r="U80" s="2"/>
      <c r="V80" s="7">
        <f t="shared" si="57"/>
        <v>0</v>
      </c>
      <c r="W80" s="2"/>
      <c r="X80" s="6">
        <f t="shared" si="58"/>
        <v>3051.39</v>
      </c>
      <c r="Y80" s="2"/>
      <c r="Z80" s="7">
        <f t="shared" si="59"/>
        <v>0</v>
      </c>
    </row>
    <row r="81" spans="1:26" s="24" customFormat="1" hidden="1" outlineLevel="2" x14ac:dyDescent="0.25">
      <c r="A81" s="25"/>
      <c r="B81" s="11" t="str">
        <f>CONCATENATE("          ", "6244", " - ", "SAFETY SUPPLY EXPENSE")</f>
        <v xml:space="preserve">          6244 - SAFETY SUPPLY EXPENSE</v>
      </c>
      <c r="C81" s="11"/>
      <c r="D81" s="6"/>
      <c r="E81" s="2"/>
      <c r="F81" s="7">
        <f t="shared" si="52"/>
        <v>0</v>
      </c>
      <c r="G81" s="2"/>
      <c r="H81" s="6">
        <v>50</v>
      </c>
      <c r="I81" s="2"/>
      <c r="J81" s="7">
        <f t="shared" si="53"/>
        <v>4.7619047619047619E-4</v>
      </c>
      <c r="K81" s="2"/>
      <c r="L81" s="6">
        <f t="shared" si="54"/>
        <v>-50</v>
      </c>
      <c r="M81" s="2"/>
      <c r="N81" s="7">
        <f t="shared" si="55"/>
        <v>-1</v>
      </c>
      <c r="O81" s="11"/>
      <c r="P81" s="6"/>
      <c r="Q81" s="2"/>
      <c r="R81" s="7">
        <f t="shared" si="56"/>
        <v>0</v>
      </c>
      <c r="S81" s="2"/>
      <c r="T81" s="6">
        <v>250</v>
      </c>
      <c r="U81" s="2"/>
      <c r="V81" s="7">
        <f t="shared" si="57"/>
        <v>4.6015092950487763E-4</v>
      </c>
      <c r="W81" s="2"/>
      <c r="X81" s="6">
        <f t="shared" si="58"/>
        <v>-250</v>
      </c>
      <c r="Y81" s="2"/>
      <c r="Z81" s="7">
        <f t="shared" si="59"/>
        <v>-1</v>
      </c>
    </row>
    <row r="82" spans="1:26" s="24" customFormat="1" hidden="1" outlineLevel="2" x14ac:dyDescent="0.25">
      <c r="A82" s="25"/>
      <c r="B82" s="11" t="str">
        <f>CONCATENATE("          ", "6245", " - ", "PRINTING")</f>
        <v xml:space="preserve">          6245 - PRINTING</v>
      </c>
      <c r="C82" s="11"/>
      <c r="D82" s="6">
        <v>15.99</v>
      </c>
      <c r="E82" s="2"/>
      <c r="F82" s="7">
        <f t="shared" si="52"/>
        <v>1.6147848448150361E-4</v>
      </c>
      <c r="G82" s="2"/>
      <c r="H82" s="6">
        <v>50</v>
      </c>
      <c r="I82" s="2"/>
      <c r="J82" s="7">
        <f t="shared" si="53"/>
        <v>4.7619047619047619E-4</v>
      </c>
      <c r="K82" s="2"/>
      <c r="L82" s="6">
        <f t="shared" si="54"/>
        <v>-34.01</v>
      </c>
      <c r="M82" s="2"/>
      <c r="N82" s="7">
        <f t="shared" si="55"/>
        <v>-0.68019999999999992</v>
      </c>
      <c r="O82" s="11"/>
      <c r="P82" s="6">
        <v>66.930000000000007</v>
      </c>
      <c r="Q82" s="2"/>
      <c r="R82" s="7">
        <f t="shared" si="56"/>
        <v>1.57535837284616E-4</v>
      </c>
      <c r="S82" s="2"/>
      <c r="T82" s="6">
        <v>300</v>
      </c>
      <c r="U82" s="2"/>
      <c r="V82" s="7">
        <f t="shared" si="57"/>
        <v>5.5218111540585317E-4</v>
      </c>
      <c r="W82" s="2"/>
      <c r="X82" s="6">
        <f t="shared" si="58"/>
        <v>-233.07</v>
      </c>
      <c r="Y82" s="2"/>
      <c r="Z82" s="7">
        <f t="shared" si="59"/>
        <v>-0.77689999999999992</v>
      </c>
    </row>
    <row r="83" spans="1:26" s="24" customFormat="1" hidden="1" outlineLevel="2" x14ac:dyDescent="0.25">
      <c r="A83" s="25"/>
      <c r="B83" s="11" t="str">
        <f>CONCATENATE("          ", "6246", " - ", "REPLACEMENTS")</f>
        <v xml:space="preserve">          6246 - REPLACEMENTS</v>
      </c>
      <c r="C83" s="11"/>
      <c r="D83" s="6"/>
      <c r="E83" s="2"/>
      <c r="F83" s="7">
        <f t="shared" si="52"/>
        <v>0</v>
      </c>
      <c r="G83" s="2"/>
      <c r="H83" s="6"/>
      <c r="I83" s="2"/>
      <c r="J83" s="7">
        <f t="shared" si="53"/>
        <v>0</v>
      </c>
      <c r="K83" s="2"/>
      <c r="L83" s="6">
        <f t="shared" si="54"/>
        <v>0</v>
      </c>
      <c r="M83" s="2"/>
      <c r="N83" s="7">
        <f t="shared" si="55"/>
        <v>0</v>
      </c>
      <c r="O83" s="11"/>
      <c r="P83" s="6"/>
      <c r="Q83" s="2"/>
      <c r="R83" s="7">
        <f t="shared" si="56"/>
        <v>0</v>
      </c>
      <c r="S83" s="2"/>
      <c r="T83" s="6">
        <v>2400</v>
      </c>
      <c r="U83" s="2"/>
      <c r="V83" s="7">
        <f t="shared" si="57"/>
        <v>4.4174489232468254E-3</v>
      </c>
      <c r="W83" s="2"/>
      <c r="X83" s="6">
        <f t="shared" si="58"/>
        <v>-2400</v>
      </c>
      <c r="Y83" s="2"/>
      <c r="Z83" s="7">
        <f t="shared" si="59"/>
        <v>-1</v>
      </c>
    </row>
    <row r="84" spans="1:26" s="24" customFormat="1" hidden="1" outlineLevel="2" x14ac:dyDescent="0.25">
      <c r="A84" s="25"/>
      <c r="B84" s="11" t="str">
        <f>CONCATENATE("          ", "6247", " - ", "STORE SUPPLIES")</f>
        <v xml:space="preserve">          6247 - STORE SUPPLIES</v>
      </c>
      <c r="C84" s="11"/>
      <c r="D84" s="6">
        <v>126.47</v>
      </c>
      <c r="E84" s="2"/>
      <c r="F84" s="7">
        <f t="shared" si="52"/>
        <v>1.2771847362336311E-3</v>
      </c>
      <c r="G84" s="2"/>
      <c r="H84" s="6">
        <v>100</v>
      </c>
      <c r="I84" s="2"/>
      <c r="J84" s="7">
        <f t="shared" si="53"/>
        <v>9.5238095238095238E-4</v>
      </c>
      <c r="K84" s="2"/>
      <c r="L84" s="6">
        <f t="shared" si="54"/>
        <v>26.47</v>
      </c>
      <c r="M84" s="2"/>
      <c r="N84" s="7">
        <f t="shared" si="55"/>
        <v>0.26469999999999999</v>
      </c>
      <c r="O84" s="11"/>
      <c r="P84" s="6">
        <v>-527.27</v>
      </c>
      <c r="Q84" s="2"/>
      <c r="R84" s="7">
        <f t="shared" si="56"/>
        <v>-1.2410566401473101E-3</v>
      </c>
      <c r="S84" s="2"/>
      <c r="T84" s="6">
        <v>450</v>
      </c>
      <c r="U84" s="2"/>
      <c r="V84" s="7">
        <f t="shared" si="57"/>
        <v>8.2827167310877965E-4</v>
      </c>
      <c r="W84" s="2"/>
      <c r="X84" s="6">
        <f t="shared" si="58"/>
        <v>-977.27</v>
      </c>
      <c r="Y84" s="2"/>
      <c r="Z84" s="7">
        <f t="shared" si="59"/>
        <v>-2.1717111111111111</v>
      </c>
    </row>
    <row r="85" spans="1:26" s="24" customFormat="1" hidden="1" outlineLevel="2" x14ac:dyDescent="0.25">
      <c r="A85" s="25"/>
      <c r="B85" s="11" t="str">
        <f>CONCATENATE("          ", "6248", " - ", "UNIFORMS")</f>
        <v xml:space="preserve">          6248 - UNIFORMS</v>
      </c>
      <c r="C85" s="11"/>
      <c r="D85" s="6"/>
      <c r="E85" s="2"/>
      <c r="F85" s="7">
        <f t="shared" si="52"/>
        <v>0</v>
      </c>
      <c r="G85" s="2"/>
      <c r="H85" s="6"/>
      <c r="I85" s="2"/>
      <c r="J85" s="7">
        <f t="shared" si="53"/>
        <v>0</v>
      </c>
      <c r="K85" s="2"/>
      <c r="L85" s="6">
        <f t="shared" si="54"/>
        <v>0</v>
      </c>
      <c r="M85" s="2"/>
      <c r="N85" s="7">
        <f t="shared" si="55"/>
        <v>0</v>
      </c>
      <c r="O85" s="11"/>
      <c r="P85" s="6">
        <v>134.08000000000001</v>
      </c>
      <c r="Q85" s="2"/>
      <c r="R85" s="7">
        <f t="shared" si="56"/>
        <v>3.1558949743196342E-4</v>
      </c>
      <c r="S85" s="2"/>
      <c r="T85" s="6"/>
      <c r="U85" s="2"/>
      <c r="V85" s="7">
        <f t="shared" si="57"/>
        <v>0</v>
      </c>
      <c r="W85" s="2"/>
      <c r="X85" s="6">
        <f t="shared" si="58"/>
        <v>134.08000000000001</v>
      </c>
      <c r="Y85" s="2"/>
      <c r="Z85" s="7">
        <f t="shared" si="59"/>
        <v>0</v>
      </c>
    </row>
    <row r="86" spans="1:26" s="26" customFormat="1" outlineLevel="1" collapsed="1" x14ac:dyDescent="0.25">
      <c r="A86" s="27"/>
      <c r="B86" s="13" t="str">
        <f>CONCATENATE("     ","Telephone/Data Lines                              ")</f>
        <v xml:space="preserve">     Telephone/Data Lines                              </v>
      </c>
      <c r="C86" s="13"/>
      <c r="D86" s="1">
        <f>SUM(OSRRefD22_15x_0)</f>
        <v>73.2</v>
      </c>
      <c r="E86" s="1"/>
      <c r="F86" s="5">
        <f t="shared" ref="F86:F91" si="60">IF(D$12=0,0,D86/D$12)</f>
        <v>7.3922608280463191E-4</v>
      </c>
      <c r="G86" s="1"/>
      <c r="H86" s="1">
        <f>SUM(OSRRefH22_15x_0)</f>
        <v>50</v>
      </c>
      <c r="I86" s="1"/>
      <c r="J86" s="5">
        <f t="shared" ref="J86:J91" si="61">IF(H$12=0,0,H86/H$12)</f>
        <v>4.7619047619047619E-4</v>
      </c>
      <c r="K86" s="1"/>
      <c r="L86" s="1">
        <f t="shared" ref="L86:L91" si="62">+D86-H86</f>
        <v>23.200000000000003</v>
      </c>
      <c r="M86" s="1"/>
      <c r="N86" s="5">
        <f t="shared" ref="N86:N91" si="63">IF(H86=0,0,L86/H86)</f>
        <v>0.46400000000000008</v>
      </c>
      <c r="O86" s="13"/>
      <c r="P86" s="1">
        <f>SUM(OSRRefP22_15x_0)</f>
        <v>419.3</v>
      </c>
      <c r="Q86" s="1"/>
      <c r="R86" s="5">
        <f t="shared" ref="R86:R91" si="64">IF(P$12=0,0,P86/P$12)</f>
        <v>9.8692330156042855E-4</v>
      </c>
      <c r="S86" s="1"/>
      <c r="T86" s="1">
        <f>SUM(OSRRefT22_15x_0)</f>
        <v>250</v>
      </c>
      <c r="U86" s="1"/>
      <c r="V86" s="5">
        <f t="shared" ref="V86:V91" si="65">IF(T$12=0,0,T86/T$12)</f>
        <v>4.6015092950487763E-4</v>
      </c>
      <c r="W86" s="1"/>
      <c r="X86" s="1">
        <f t="shared" ref="X86:X91" si="66">+P86-T86</f>
        <v>169.3</v>
      </c>
      <c r="Y86" s="1"/>
      <c r="Z86" s="5">
        <f t="shared" ref="Z86:Z91" si="67">IF(T86=0,0,X86/T86)</f>
        <v>0.67720000000000002</v>
      </c>
    </row>
    <row r="87" spans="1:26" s="24" customFormat="1" hidden="1" outlineLevel="2" x14ac:dyDescent="0.25">
      <c r="A87" s="25"/>
      <c r="B87" s="11" t="str">
        <f>CONCATENATE("          ", "6309", " - ", "TELEPHONE")</f>
        <v xml:space="preserve">          6309 - TELEPHONE</v>
      </c>
      <c r="C87" s="11"/>
      <c r="D87" s="6">
        <v>73.2</v>
      </c>
      <c r="E87" s="2"/>
      <c r="F87" s="7">
        <f t="shared" si="60"/>
        <v>7.3922608280463191E-4</v>
      </c>
      <c r="G87" s="2"/>
      <c r="H87" s="6">
        <v>50</v>
      </c>
      <c r="I87" s="2"/>
      <c r="J87" s="7">
        <f t="shared" si="61"/>
        <v>4.7619047619047619E-4</v>
      </c>
      <c r="K87" s="2"/>
      <c r="L87" s="6">
        <f t="shared" si="62"/>
        <v>23.200000000000003</v>
      </c>
      <c r="M87" s="2"/>
      <c r="N87" s="7">
        <f t="shared" si="63"/>
        <v>0.46400000000000008</v>
      </c>
      <c r="O87" s="11"/>
      <c r="P87" s="6">
        <v>419.3</v>
      </c>
      <c r="Q87" s="2"/>
      <c r="R87" s="7">
        <f t="shared" si="64"/>
        <v>9.8692330156042855E-4</v>
      </c>
      <c r="S87" s="2"/>
      <c r="T87" s="6">
        <v>250</v>
      </c>
      <c r="U87" s="2"/>
      <c r="V87" s="7">
        <f t="shared" si="65"/>
        <v>4.6015092950487763E-4</v>
      </c>
      <c r="W87" s="2"/>
      <c r="X87" s="6">
        <f t="shared" si="66"/>
        <v>169.3</v>
      </c>
      <c r="Y87" s="2"/>
      <c r="Z87" s="7">
        <f t="shared" si="67"/>
        <v>0.67720000000000002</v>
      </c>
    </row>
    <row r="88" spans="1:26" s="26" customFormat="1" outlineLevel="1" collapsed="1" x14ac:dyDescent="0.25">
      <c r="A88" s="27"/>
      <c r="B88" s="13" t="str">
        <f>CONCATENATE("     ","Training                                          ")</f>
        <v xml:space="preserve">     Training                                          </v>
      </c>
      <c r="C88" s="13"/>
      <c r="D88" s="1">
        <f>SUM(OSRRefD22_16x_0)</f>
        <v>85</v>
      </c>
      <c r="E88" s="1"/>
      <c r="F88" s="5">
        <f t="shared" si="60"/>
        <v>8.5839094314745499E-4</v>
      </c>
      <c r="G88" s="1"/>
      <c r="H88" s="1">
        <f>SUM(OSRRefH22_16x_0)</f>
        <v>0</v>
      </c>
      <c r="I88" s="1"/>
      <c r="J88" s="5">
        <f t="shared" si="61"/>
        <v>0</v>
      </c>
      <c r="K88" s="1"/>
      <c r="L88" s="1">
        <f t="shared" si="62"/>
        <v>85</v>
      </c>
      <c r="M88" s="1"/>
      <c r="N88" s="5">
        <f t="shared" si="63"/>
        <v>0</v>
      </c>
      <c r="O88" s="13"/>
      <c r="P88" s="1">
        <f>SUM(OSRRefP22_16x_0)</f>
        <v>465.65</v>
      </c>
      <c r="Q88" s="1"/>
      <c r="R88" s="5">
        <f t="shared" si="64"/>
        <v>1.096019163776803E-3</v>
      </c>
      <c r="S88" s="1"/>
      <c r="T88" s="1">
        <f>SUM(OSRRefT22_16x_0)</f>
        <v>500</v>
      </c>
      <c r="U88" s="1"/>
      <c r="V88" s="5">
        <f t="shared" si="65"/>
        <v>9.2030185900975525E-4</v>
      </c>
      <c r="W88" s="1"/>
      <c r="X88" s="1">
        <f t="shared" si="66"/>
        <v>-34.350000000000023</v>
      </c>
      <c r="Y88" s="1"/>
      <c r="Z88" s="5">
        <f t="shared" si="67"/>
        <v>-6.8700000000000039E-2</v>
      </c>
    </row>
    <row r="89" spans="1:26" s="24" customFormat="1" hidden="1" outlineLevel="2" x14ac:dyDescent="0.25">
      <c r="A89" s="25"/>
      <c r="B89" s="11" t="str">
        <f>CONCATENATE("          ", "6376", " - ", "TRAINING")</f>
        <v xml:space="preserve">          6376 - TRAINING</v>
      </c>
      <c r="C89" s="11"/>
      <c r="D89" s="6">
        <v>85</v>
      </c>
      <c r="E89" s="2"/>
      <c r="F89" s="7">
        <f t="shared" si="60"/>
        <v>8.5839094314745499E-4</v>
      </c>
      <c r="G89" s="2"/>
      <c r="H89" s="6"/>
      <c r="I89" s="2"/>
      <c r="J89" s="7">
        <f t="shared" si="61"/>
        <v>0</v>
      </c>
      <c r="K89" s="2"/>
      <c r="L89" s="6">
        <f t="shared" si="62"/>
        <v>85</v>
      </c>
      <c r="M89" s="2"/>
      <c r="N89" s="7">
        <f t="shared" si="63"/>
        <v>0</v>
      </c>
      <c r="O89" s="11"/>
      <c r="P89" s="6">
        <v>465.65</v>
      </c>
      <c r="Q89" s="2"/>
      <c r="R89" s="7">
        <f t="shared" si="64"/>
        <v>1.096019163776803E-3</v>
      </c>
      <c r="S89" s="2"/>
      <c r="T89" s="6">
        <v>500</v>
      </c>
      <c r="U89" s="2"/>
      <c r="V89" s="7">
        <f t="shared" si="65"/>
        <v>9.2030185900975525E-4</v>
      </c>
      <c r="W89" s="2"/>
      <c r="X89" s="6">
        <f t="shared" si="66"/>
        <v>-34.350000000000023</v>
      </c>
      <c r="Y89" s="2"/>
      <c r="Z89" s="7">
        <f t="shared" si="67"/>
        <v>-6.8700000000000039E-2</v>
      </c>
    </row>
    <row r="90" spans="1:26" s="26" customFormat="1" outlineLevel="1" collapsed="1" x14ac:dyDescent="0.25">
      <c r="A90" s="27"/>
      <c r="B90" s="13" t="str">
        <f>CONCATENATE("     ","Utilities                                         ")</f>
        <v xml:space="preserve">     Utilities                                         </v>
      </c>
      <c r="C90" s="13"/>
      <c r="D90" s="1">
        <f>SUM(OSRRefD22_17x_0)</f>
        <v>306</v>
      </c>
      <c r="E90" s="1"/>
      <c r="F90" s="5">
        <f t="shared" si="60"/>
        <v>3.0902073953308381E-3</v>
      </c>
      <c r="G90" s="1"/>
      <c r="H90" s="1">
        <f>SUM(OSRRefH22_17x_0)</f>
        <v>350</v>
      </c>
      <c r="I90" s="1"/>
      <c r="J90" s="5">
        <f t="shared" si="61"/>
        <v>3.3333333333333335E-3</v>
      </c>
      <c r="K90" s="1"/>
      <c r="L90" s="1">
        <f t="shared" si="62"/>
        <v>-44</v>
      </c>
      <c r="M90" s="1"/>
      <c r="N90" s="5">
        <f t="shared" si="63"/>
        <v>-0.12571428571428572</v>
      </c>
      <c r="O90" s="13"/>
      <c r="P90" s="1">
        <f>SUM(OSRRefP22_17x_0)</f>
        <v>1318</v>
      </c>
      <c r="Q90" s="1"/>
      <c r="R90" s="5">
        <f t="shared" si="64"/>
        <v>3.1022296958183753E-3</v>
      </c>
      <c r="S90" s="1"/>
      <c r="T90" s="1">
        <f>SUM(OSRRefT22_17x_0)</f>
        <v>1750</v>
      </c>
      <c r="U90" s="1"/>
      <c r="V90" s="5">
        <f t="shared" si="65"/>
        <v>3.2210565065341431E-3</v>
      </c>
      <c r="W90" s="1"/>
      <c r="X90" s="1">
        <f t="shared" si="66"/>
        <v>-432</v>
      </c>
      <c r="Y90" s="1"/>
      <c r="Z90" s="5">
        <f t="shared" si="67"/>
        <v>-0.24685714285714286</v>
      </c>
    </row>
    <row r="91" spans="1:26" s="24" customFormat="1" hidden="1" outlineLevel="2" x14ac:dyDescent="0.25">
      <c r="A91" s="25"/>
      <c r="B91" s="11" t="str">
        <f>CONCATENATE("          ", "6274", " - ", "UTILITIES")</f>
        <v xml:space="preserve">          6274 - UTILITIES</v>
      </c>
      <c r="C91" s="11"/>
      <c r="D91" s="6">
        <v>306</v>
      </c>
      <c r="E91" s="2"/>
      <c r="F91" s="7">
        <f t="shared" si="60"/>
        <v>3.0902073953308381E-3</v>
      </c>
      <c r="G91" s="2"/>
      <c r="H91" s="6">
        <v>350</v>
      </c>
      <c r="I91" s="2"/>
      <c r="J91" s="7">
        <f t="shared" si="61"/>
        <v>3.3333333333333335E-3</v>
      </c>
      <c r="K91" s="2"/>
      <c r="L91" s="6">
        <f t="shared" si="62"/>
        <v>-44</v>
      </c>
      <c r="M91" s="2"/>
      <c r="N91" s="7">
        <f t="shared" si="63"/>
        <v>-0.12571428571428572</v>
      </c>
      <c r="O91" s="11"/>
      <c r="P91" s="6">
        <v>1318</v>
      </c>
      <c r="Q91" s="2"/>
      <c r="R91" s="7">
        <f t="shared" si="64"/>
        <v>3.1022296958183753E-3</v>
      </c>
      <c r="S91" s="2"/>
      <c r="T91" s="6">
        <v>1750</v>
      </c>
      <c r="U91" s="2"/>
      <c r="V91" s="7">
        <f t="shared" si="65"/>
        <v>3.2210565065341431E-3</v>
      </c>
      <c r="W91" s="2"/>
      <c r="X91" s="6">
        <f t="shared" si="66"/>
        <v>-432</v>
      </c>
      <c r="Y91" s="2"/>
      <c r="Z91" s="7">
        <f t="shared" si="67"/>
        <v>-0.24685714285714286</v>
      </c>
    </row>
    <row r="92" spans="1:26" s="59" customFormat="1" x14ac:dyDescent="0.25">
      <c r="A92" s="36"/>
      <c r="B92" s="36"/>
      <c r="C92" s="36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6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x14ac:dyDescent="0.25">
      <c r="A93" s="10"/>
      <c r="B93" s="29" t="s">
        <v>0</v>
      </c>
      <c r="C93" s="10"/>
      <c r="D93" s="4">
        <f>SUM(0)</f>
        <v>0</v>
      </c>
      <c r="E93" s="4"/>
      <c r="F93" s="12">
        <f>IF(D$12=0,0,D93/D$12)</f>
        <v>0</v>
      </c>
      <c r="G93" s="4"/>
      <c r="H93" s="4">
        <f>SUM(0)</f>
        <v>0</v>
      </c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>
        <f>SUM(0)</f>
        <v>0</v>
      </c>
      <c r="Q93" s="4"/>
      <c r="R93" s="12">
        <f>IF(P$12=0,0,P93/P$12)</f>
        <v>0</v>
      </c>
      <c r="S93" s="4"/>
      <c r="T93" s="4">
        <f>SUM(0)</f>
        <v>0</v>
      </c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10"/>
      <c r="B95" s="28" t="s">
        <v>3</v>
      </c>
      <c r="C95" s="28"/>
      <c r="D95" s="20">
        <f>+D22-D24+D93</f>
        <v>4332.2699999999968</v>
      </c>
      <c r="E95" s="14"/>
      <c r="F95" s="22">
        <f>IF(D$12=0,0,D95/D$12)</f>
        <v>4.3750368603169672E-2</v>
      </c>
      <c r="G95" s="14"/>
      <c r="H95" s="20">
        <f>+H22-H24+H93</f>
        <v>17780.866530399995</v>
      </c>
      <c r="I95" s="14"/>
      <c r="J95" s="22">
        <f>IF(H$12=0,0,H95/H$12)</f>
        <v>0.16934158600380947</v>
      </c>
      <c r="K95" s="16"/>
      <c r="L95" s="20">
        <f>+D95-H95</f>
        <v>-13448.596530399998</v>
      </c>
      <c r="M95" s="16"/>
      <c r="N95" s="22">
        <f>IF(H95=0,0,L95/H95)</f>
        <v>-0.75635214444734156</v>
      </c>
      <c r="O95" s="29"/>
      <c r="P95" s="20">
        <f>+P22-P24+P93</f>
        <v>-21119.550000000017</v>
      </c>
      <c r="Q95" s="14"/>
      <c r="R95" s="22">
        <f>IF(P$12=0,0,P95/P$12)</f>
        <v>-4.9709935639090305E-2</v>
      </c>
      <c r="S95" s="14"/>
      <c r="T95" s="20">
        <f>+T22-T24+T93</f>
        <v>87024.715917199966</v>
      </c>
      <c r="U95" s="14"/>
      <c r="V95" s="22">
        <f>IF(T$12=0,0,T95/T$12)</f>
        <v>0.16017801567678994</v>
      </c>
      <c r="W95" s="16"/>
      <c r="X95" s="20">
        <f>+P95-T95</f>
        <v>-108144.26591719998</v>
      </c>
      <c r="Y95" s="16"/>
      <c r="Z95" s="22">
        <f>IF(T95=0,0,X95/T95)</f>
        <v>-1.2426845037919376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52"/>
      <c r="B97" s="10" t="s">
        <v>14</v>
      </c>
      <c r="C97" s="10"/>
      <c r="D97" s="4">
        <v>12190.15</v>
      </c>
      <c r="E97" s="4"/>
      <c r="F97" s="12">
        <f>IF(D$12=0,0,D97/D$12)</f>
        <v>0.12310487477186999</v>
      </c>
      <c r="G97" s="4"/>
      <c r="H97" s="4">
        <v>16072</v>
      </c>
      <c r="I97" s="4"/>
      <c r="J97" s="12">
        <f>IF(H$12=0,0,H97/H$12)</f>
        <v>0.15306666666666666</v>
      </c>
      <c r="K97" s="4"/>
      <c r="L97" s="4">
        <f>+D97-H97</f>
        <v>-3881.8500000000004</v>
      </c>
      <c r="M97" s="4"/>
      <c r="N97" s="12">
        <f>IF(H97=0,0,L97/H97)</f>
        <v>-0.24152874564459934</v>
      </c>
      <c r="O97" s="10"/>
      <c r="P97" s="4">
        <v>44989.35</v>
      </c>
      <c r="Q97" s="4"/>
      <c r="R97" s="12">
        <f>IF(P$12=0,0,P97/P$12)</f>
        <v>0.10589324549739486</v>
      </c>
      <c r="S97" s="4"/>
      <c r="T97" s="4">
        <v>68854</v>
      </c>
      <c r="U97" s="4"/>
      <c r="V97" s="12">
        <f>IF(T$12=0,0,T97/T$12)</f>
        <v>0.12673292840051537</v>
      </c>
      <c r="W97" s="4"/>
      <c r="X97" s="4">
        <f>+P97-T97</f>
        <v>-23864.65</v>
      </c>
      <c r="Y97" s="4"/>
      <c r="Z97" s="12">
        <f>IF(T97=0,0,X97/T97)</f>
        <v>-0.34659787376187295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8" t="s">
        <v>4</v>
      </c>
      <c r="C99" s="28"/>
      <c r="D99" s="30">
        <f>+D95-D97</f>
        <v>-7857.8800000000028</v>
      </c>
      <c r="E99" s="14"/>
      <c r="F99" s="32">
        <f>IF(D$12=0,0,D99/D$12)</f>
        <v>-7.9354506168700309E-2</v>
      </c>
      <c r="G99" s="14"/>
      <c r="H99" s="30">
        <f>+H95-H97</f>
        <v>1708.8665303999951</v>
      </c>
      <c r="I99" s="14"/>
      <c r="J99" s="32">
        <f>IF(H$12=0,0,H99/H$12)</f>
        <v>1.6274919337142809E-2</v>
      </c>
      <c r="K99" s="16"/>
      <c r="L99" s="30">
        <f>D99-H99</f>
        <v>-9566.7465303999979</v>
      </c>
      <c r="M99" s="16"/>
      <c r="N99" s="32">
        <f>IF(H99=0,0,L99/H99)</f>
        <v>-5.5982994342809826</v>
      </c>
      <c r="O99" s="29"/>
      <c r="P99" s="30">
        <f>+P95-P97</f>
        <v>-66108.900000000023</v>
      </c>
      <c r="Q99" s="14"/>
      <c r="R99" s="32">
        <f>IF(P$12=0,0,P99/P$12)</f>
        <v>-0.15560318113648519</v>
      </c>
      <c r="S99" s="14"/>
      <c r="T99" s="30">
        <f>+T95-T97</f>
        <v>18170.715917199966</v>
      </c>
      <c r="U99" s="14"/>
      <c r="V99" s="32">
        <f>IF(T$12=0,0,T99/T$12)</f>
        <v>3.3445087276274557E-2</v>
      </c>
      <c r="W99" s="16"/>
      <c r="X99" s="30">
        <f>P99-T99</f>
        <v>-84279.61591719999</v>
      </c>
      <c r="Y99" s="16"/>
      <c r="Z99" s="32">
        <f>IF(T99=0,0,X99/T99)</f>
        <v>-4.6382110810187127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8" t="s">
        <v>5</v>
      </c>
      <c r="C102" s="28"/>
      <c r="D102" s="31">
        <f>SUM(D99:D101)</f>
        <v>-7857.8800000000028</v>
      </c>
      <c r="E102" s="14"/>
      <c r="F102" s="35">
        <f>IF(D$12=0,0,D102/D$12)</f>
        <v>-7.9354506168700309E-2</v>
      </c>
      <c r="G102" s="14"/>
      <c r="H102" s="31">
        <f>SUM(H99:H101)</f>
        <v>1708.8665303999951</v>
      </c>
      <c r="I102" s="14"/>
      <c r="J102" s="35">
        <f>IF(H$12=0,0,H102/H$12)</f>
        <v>1.6274919337142809E-2</v>
      </c>
      <c r="K102" s="16"/>
      <c r="L102" s="31">
        <f>+D102-H102</f>
        <v>-9566.7465303999979</v>
      </c>
      <c r="M102" s="16"/>
      <c r="N102" s="35">
        <f>IF(H102=0,0,L102/H102)</f>
        <v>-5.5982994342809826</v>
      </c>
      <c r="O102" s="29"/>
      <c r="P102" s="31">
        <f>SUM(P99:P101)</f>
        <v>-66108.900000000023</v>
      </c>
      <c r="Q102" s="14"/>
      <c r="R102" s="35">
        <f>IF(P$12=0,0,P102/P$12)</f>
        <v>-0.15560318113648519</v>
      </c>
      <c r="S102" s="14"/>
      <c r="T102" s="31">
        <f>SUM(T99:T101)</f>
        <v>18170.715917199966</v>
      </c>
      <c r="U102" s="14"/>
      <c r="V102" s="35">
        <f>IF(T$12=0,0,T102/T$12)</f>
        <v>3.3445087276274557E-2</v>
      </c>
      <c r="W102" s="16"/>
      <c r="X102" s="31">
        <f>+P102-T102</f>
        <v>-84279.61591719999</v>
      </c>
      <c r="Y102" s="16"/>
      <c r="Z102" s="35">
        <f>IF(T102=0,0,X102/T102)</f>
        <v>-4.6382110810187127</v>
      </c>
    </row>
    <row r="103" spans="1:26" ht="15.75" thickTop="1" x14ac:dyDescent="0.25">
      <c r="A103" s="9"/>
      <c r="C103" s="9"/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56">
        <v>43815.483935567128</v>
      </c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A105" s="9"/>
      <c r="B105" s="62" t="s">
        <v>314</v>
      </c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25">
      <c r="A106" s="9"/>
      <c r="B106" s="58"/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25"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","406", " - ", "OPA! Greek")</f>
        <v>Department 406 - OPA! Greek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24578.789999999997</v>
      </c>
      <c r="E12" s="4"/>
      <c r="F12" s="12"/>
      <c r="G12" s="4"/>
      <c r="H12" s="4">
        <f>SUM(OSRRefH13x_0)</f>
        <v>38000</v>
      </c>
      <c r="I12" s="4"/>
      <c r="J12" s="12"/>
      <c r="K12" s="4"/>
      <c r="L12" s="4">
        <f t="shared" ref="L12:L16" si="0">+D12-H12</f>
        <v>-13421.210000000003</v>
      </c>
      <c r="M12" s="4"/>
      <c r="N12" s="12">
        <f t="shared" ref="N12:N16" si="1">IF(H12=0,0,L12/H12)</f>
        <v>-0.35318973684210536</v>
      </c>
      <c r="O12" s="10"/>
      <c r="P12" s="4">
        <f>SUM(OSRRefP13x_0)</f>
        <v>123671.07</v>
      </c>
      <c r="Q12" s="4"/>
      <c r="R12" s="12"/>
      <c r="S12" s="4"/>
      <c r="T12" s="4">
        <f>SUM(OSRRefT13x_0)</f>
        <v>184000</v>
      </c>
      <c r="U12" s="4"/>
      <c r="V12" s="12"/>
      <c r="W12" s="4"/>
      <c r="X12" s="4">
        <f t="shared" ref="X12:X16" si="2">+P12-T12</f>
        <v>-60328.929999999993</v>
      </c>
      <c r="Y12" s="4"/>
      <c r="Z12" s="12">
        <f t="shared" ref="Z12:Z16" si="3">IF(T12=0,0,X12/T12)</f>
        <v>-0.32787461956521735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7000</v>
      </c>
      <c r="I13" s="2"/>
      <c r="J13" s="19"/>
      <c r="K13" s="2"/>
      <c r="L13" s="2">
        <f t="shared" si="0"/>
        <v>-7000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32000</v>
      </c>
      <c r="U13" s="2"/>
      <c r="V13" s="19"/>
      <c r="W13" s="2"/>
      <c r="X13" s="2">
        <f t="shared" si="2"/>
        <v>-32000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--5855.03</f>
        <v>5855.03</v>
      </c>
      <c r="E14" s="2"/>
      <c r="F14" s="19"/>
      <c r="G14" s="2"/>
      <c r="H14" s="2"/>
      <c r="I14" s="2"/>
      <c r="J14" s="19"/>
      <c r="K14" s="2"/>
      <c r="L14" s="2">
        <f t="shared" si="0"/>
        <v>5855.03</v>
      </c>
      <c r="M14" s="2"/>
      <c r="N14" s="19">
        <f t="shared" si="1"/>
        <v>0</v>
      </c>
      <c r="O14" s="11"/>
      <c r="P14" s="2">
        <f>--30496.9</f>
        <v>30496.9</v>
      </c>
      <c r="Q14" s="2"/>
      <c r="R14" s="19"/>
      <c r="S14" s="2"/>
      <c r="T14" s="2"/>
      <c r="U14" s="2"/>
      <c r="V14" s="19"/>
      <c r="W14" s="2"/>
      <c r="X14" s="2">
        <f t="shared" si="2"/>
        <v>30496.9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31000</v>
      </c>
      <c r="I15" s="2"/>
      <c r="J15" s="19"/>
      <c r="K15" s="2"/>
      <c r="L15" s="2">
        <f t="shared" si="0"/>
        <v>-31000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152000</v>
      </c>
      <c r="U15" s="2"/>
      <c r="V15" s="19"/>
      <c r="W15" s="2"/>
      <c r="X15" s="2">
        <f t="shared" si="2"/>
        <v>-152000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--18723.76</f>
        <v>18723.759999999998</v>
      </c>
      <c r="E16" s="2"/>
      <c r="F16" s="19"/>
      <c r="G16" s="2"/>
      <c r="H16" s="2"/>
      <c r="I16" s="2"/>
      <c r="J16" s="19"/>
      <c r="K16" s="2"/>
      <c r="L16" s="2">
        <f t="shared" si="0"/>
        <v>18723.759999999998</v>
      </c>
      <c r="M16" s="2"/>
      <c r="N16" s="19">
        <f t="shared" si="1"/>
        <v>0</v>
      </c>
      <c r="O16" s="11"/>
      <c r="P16" s="2">
        <f>--93174.17</f>
        <v>93174.17</v>
      </c>
      <c r="Q16" s="2"/>
      <c r="R16" s="19"/>
      <c r="S16" s="2"/>
      <c r="T16" s="2"/>
      <c r="U16" s="2"/>
      <c r="V16" s="19"/>
      <c r="W16" s="2"/>
      <c r="X16" s="2">
        <f t="shared" si="2"/>
        <v>93174.17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9440.7200000000012</v>
      </c>
      <c r="E18" s="4"/>
      <c r="F18" s="12">
        <f t="shared" ref="F18:F21" si="4">IF(D$12=0,0,D18/D$12)</f>
        <v>0.3841002750745664</v>
      </c>
      <c r="G18" s="4"/>
      <c r="H18" s="4">
        <f>SUM(OSRRefH16x_0)</f>
        <v>12160</v>
      </c>
      <c r="I18" s="4"/>
      <c r="J18" s="12">
        <f t="shared" ref="J18:J21" si="5">IF(H$12=0,0,H18/H$12)</f>
        <v>0.32</v>
      </c>
      <c r="K18" s="4"/>
      <c r="L18" s="4">
        <f t="shared" ref="L18:L21" si="6">+D18-H18</f>
        <v>-2719.2799999999988</v>
      </c>
      <c r="M18" s="4"/>
      <c r="N18" s="12">
        <f t="shared" ref="N18:N21" si="7">IF(H18=0,0,L18/H18)</f>
        <v>-0.22362499999999991</v>
      </c>
      <c r="O18" s="10"/>
      <c r="P18" s="4">
        <f>SUM(OSRRefP16x_0)</f>
        <v>43080.17</v>
      </c>
      <c r="Q18" s="4"/>
      <c r="R18" s="12">
        <f t="shared" ref="R18:R21" si="8">IF(P$12=0,0,P18/P$12)</f>
        <v>0.34834476648419066</v>
      </c>
      <c r="S18" s="4"/>
      <c r="T18" s="4">
        <f>SUM(OSRRefT16x_0)</f>
        <v>58880</v>
      </c>
      <c r="U18" s="4"/>
      <c r="V18" s="12">
        <f t="shared" ref="V18:V21" si="9">IF(T$12=0,0,T18/T$12)</f>
        <v>0.32</v>
      </c>
      <c r="W18" s="4"/>
      <c r="X18" s="4">
        <f t="shared" ref="X18:X21" si="10">+P18-T18</f>
        <v>-15799.830000000002</v>
      </c>
      <c r="Y18" s="4"/>
      <c r="Z18" s="12">
        <f t="shared" ref="Z18:Z21" si="11">IF(T18=0,0,X18/T18)</f>
        <v>-0.26833950407608698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12160</v>
      </c>
      <c r="I19" s="2"/>
      <c r="J19" s="19">
        <f t="shared" si="5"/>
        <v>0.32</v>
      </c>
      <c r="K19" s="2"/>
      <c r="L19" s="2">
        <f t="shared" si="6"/>
        <v>-12160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58880</v>
      </c>
      <c r="U19" s="2"/>
      <c r="V19" s="19">
        <f t="shared" si="9"/>
        <v>0.32</v>
      </c>
      <c r="W19" s="2"/>
      <c r="X19" s="2">
        <f t="shared" si="10"/>
        <v>-58880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7815.34</v>
      </c>
      <c r="E20" s="2"/>
      <c r="F20" s="19">
        <f t="shared" si="4"/>
        <v>0.31797090092718155</v>
      </c>
      <c r="G20" s="2"/>
      <c r="H20" s="2"/>
      <c r="I20" s="2"/>
      <c r="J20" s="19">
        <f t="shared" si="5"/>
        <v>0</v>
      </c>
      <c r="K20" s="2"/>
      <c r="L20" s="2">
        <f t="shared" si="6"/>
        <v>7815.34</v>
      </c>
      <c r="M20" s="2"/>
      <c r="N20" s="19">
        <f t="shared" si="7"/>
        <v>0</v>
      </c>
      <c r="O20" s="11"/>
      <c r="P20" s="2">
        <v>45579.79</v>
      </c>
      <c r="Q20" s="2"/>
      <c r="R20" s="19">
        <f t="shared" si="8"/>
        <v>0.36855660745880181</v>
      </c>
      <c r="S20" s="2"/>
      <c r="T20" s="2"/>
      <c r="U20" s="2"/>
      <c r="V20" s="19">
        <f t="shared" si="9"/>
        <v>0</v>
      </c>
      <c r="W20" s="2"/>
      <c r="X20" s="2">
        <f t="shared" si="10"/>
        <v>45579.79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1625.38</v>
      </c>
      <c r="E21" s="2"/>
      <c r="F21" s="19">
        <f t="shared" si="4"/>
        <v>6.6129374147384803E-2</v>
      </c>
      <c r="G21" s="2"/>
      <c r="H21" s="2"/>
      <c r="I21" s="2"/>
      <c r="J21" s="19">
        <f t="shared" si="5"/>
        <v>0</v>
      </c>
      <c r="K21" s="2"/>
      <c r="L21" s="2">
        <f t="shared" si="6"/>
        <v>1625.38</v>
      </c>
      <c r="M21" s="2"/>
      <c r="N21" s="19">
        <f t="shared" si="7"/>
        <v>0</v>
      </c>
      <c r="O21" s="11"/>
      <c r="P21" s="2">
        <v>-2499.62</v>
      </c>
      <c r="Q21" s="2"/>
      <c r="R21" s="19">
        <f t="shared" si="8"/>
        <v>-2.0211840974611119E-2</v>
      </c>
      <c r="S21" s="2"/>
      <c r="T21" s="2"/>
      <c r="U21" s="2"/>
      <c r="V21" s="19">
        <f t="shared" si="9"/>
        <v>0</v>
      </c>
      <c r="W21" s="2"/>
      <c r="X21" s="2">
        <f t="shared" si="10"/>
        <v>-2499.62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D12-D18</f>
        <v>15138.069999999996</v>
      </c>
      <c r="E23" s="14"/>
      <c r="F23" s="22">
        <f>IF(D$12=0,0,D23/D$12)</f>
        <v>0.61589972492543354</v>
      </c>
      <c r="G23" s="14"/>
      <c r="H23" s="20">
        <f>H12-H18</f>
        <v>25840</v>
      </c>
      <c r="I23" s="14"/>
      <c r="J23" s="22">
        <f>IF(H$12=0,0,H23/H$12)</f>
        <v>0.68</v>
      </c>
      <c r="K23" s="16"/>
      <c r="L23" s="20">
        <f>+D23-H23</f>
        <v>-10701.930000000004</v>
      </c>
      <c r="M23" s="16"/>
      <c r="N23" s="22">
        <f>IF(H23=0,0,L23/H23)</f>
        <v>-0.41416137770897848</v>
      </c>
      <c r="O23" s="29"/>
      <c r="P23" s="20">
        <f>P12-P18</f>
        <v>80590.900000000009</v>
      </c>
      <c r="Q23" s="14"/>
      <c r="R23" s="22">
        <f>IF(P$12=0,0,P23/P$12)</f>
        <v>0.65165523351580934</v>
      </c>
      <c r="S23" s="14"/>
      <c r="T23" s="20">
        <f>T12-T18</f>
        <v>125120</v>
      </c>
      <c r="U23" s="14"/>
      <c r="V23" s="22">
        <f>IF(T$12=0,0,T23/T$12)</f>
        <v>0.68</v>
      </c>
      <c r="W23" s="16"/>
      <c r="X23" s="20">
        <f>+P23-T23</f>
        <v>-44529.099999999991</v>
      </c>
      <c r="Y23" s="16"/>
      <c r="Z23" s="22">
        <f>IF(T23=0,0,X23/T23)</f>
        <v>-0.35589114450127868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21007.16</v>
      </c>
      <c r="E25" s="21"/>
      <c r="F25" s="33">
        <f t="shared" ref="F25:F35" si="12">IF(D$12=0,0,D25/D$12)</f>
        <v>0.85468650002705593</v>
      </c>
      <c r="G25" s="21"/>
      <c r="H25" s="21">
        <f>SUM(OSRRefH22x_0)</f>
        <v>17342.098259999999</v>
      </c>
      <c r="I25" s="21"/>
      <c r="J25" s="33">
        <f t="shared" ref="J25:J35" si="13">IF(H$12=0,0,H25/H$12)</f>
        <v>0.45637100684210524</v>
      </c>
      <c r="K25" s="4"/>
      <c r="L25" s="21">
        <f t="shared" ref="L25:L35" si="14">+D25-H25</f>
        <v>3665.061740000001</v>
      </c>
      <c r="M25" s="4"/>
      <c r="N25" s="33">
        <f t="shared" ref="N25:N35" si="15">IF(H25=0,0,L25/H25)</f>
        <v>0.21133900206606263</v>
      </c>
      <c r="O25" s="10"/>
      <c r="P25" s="21">
        <f>SUM(OSRRefP22x_0)</f>
        <v>109438.24</v>
      </c>
      <c r="Q25" s="21"/>
      <c r="R25" s="33">
        <f t="shared" ref="R25:R35" si="16">IF(P$12=0,0,P25/P$12)</f>
        <v>0.88491382827042731</v>
      </c>
      <c r="S25" s="21"/>
      <c r="T25" s="21">
        <f>SUM(OSRRefT22x_0)</f>
        <v>90028.616410000002</v>
      </c>
      <c r="U25" s="21"/>
      <c r="V25" s="33">
        <f t="shared" ref="V25:V35" si="17">IF(T$12=0,0,T25/T$12)</f>
        <v>0.48928595875000003</v>
      </c>
      <c r="W25" s="4"/>
      <c r="X25" s="21">
        <f t="shared" ref="X25:X35" si="18">+P25-T25</f>
        <v>19409.623590000003</v>
      </c>
      <c r="Y25" s="4"/>
      <c r="Z25" s="33">
        <f t="shared" ref="Z25:Z35" si="19">IF(T25=0,0,X25/T25)</f>
        <v>0.21559393406210409</v>
      </c>
    </row>
    <row r="26" spans="1:26" s="26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2250.7200000000003</v>
      </c>
      <c r="E26" s="1"/>
      <c r="F26" s="5">
        <f t="shared" si="12"/>
        <v>9.1571635544304683E-2</v>
      </c>
      <c r="G26" s="1"/>
      <c r="H26" s="1">
        <f>SUM(OSRRefH22_0x_0)</f>
        <v>2132.5597984615379</v>
      </c>
      <c r="I26" s="1"/>
      <c r="J26" s="5">
        <f t="shared" si="13"/>
        <v>5.6119994696356257E-2</v>
      </c>
      <c r="K26" s="1"/>
      <c r="L26" s="1">
        <f t="shared" si="14"/>
        <v>118.16020153846239</v>
      </c>
      <c r="M26" s="1"/>
      <c r="N26" s="5">
        <f t="shared" si="15"/>
        <v>5.5407684991391572E-2</v>
      </c>
      <c r="O26" s="13"/>
      <c r="P26" s="1">
        <f>SUM(OSRRefP22_0x_0)</f>
        <v>10899.88</v>
      </c>
      <c r="Q26" s="1"/>
      <c r="R26" s="5">
        <f t="shared" si="16"/>
        <v>8.8136053161018163E-2</v>
      </c>
      <c r="S26" s="1"/>
      <c r="T26" s="1">
        <f>SUM(OSRRefT22_0x_0)</f>
        <v>11119.65487153846</v>
      </c>
      <c r="U26" s="1"/>
      <c r="V26" s="5">
        <f t="shared" si="17"/>
        <v>6.0432906910535107E-2</v>
      </c>
      <c r="W26" s="1"/>
      <c r="X26" s="1">
        <f t="shared" si="18"/>
        <v>-219.7748715384605</v>
      </c>
      <c r="Y26" s="1"/>
      <c r="Z26" s="5">
        <f t="shared" si="19"/>
        <v>-1.9764540723380703E-2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719.82</v>
      </c>
      <c r="E27" s="2"/>
      <c r="F27" s="7">
        <f t="shared" si="12"/>
        <v>2.9286226050997635E-2</v>
      </c>
      <c r="G27" s="2"/>
      <c r="H27" s="6">
        <v>514.90561384615398</v>
      </c>
      <c r="I27" s="2"/>
      <c r="J27" s="7">
        <f t="shared" si="13"/>
        <v>1.3550147732793526E-2</v>
      </c>
      <c r="K27" s="2"/>
      <c r="L27" s="6">
        <f t="shared" si="14"/>
        <v>204.91438615384607</v>
      </c>
      <c r="M27" s="2"/>
      <c r="N27" s="7">
        <f t="shared" si="15"/>
        <v>0.39796494861108933</v>
      </c>
      <c r="O27" s="11"/>
      <c r="P27" s="6">
        <v>3912.05</v>
      </c>
      <c r="Q27" s="2"/>
      <c r="R27" s="7">
        <f t="shared" si="16"/>
        <v>3.1632701164467973E-2</v>
      </c>
      <c r="S27" s="2"/>
      <c r="T27" s="6">
        <v>2792.6444561538456</v>
      </c>
      <c r="U27" s="2"/>
      <c r="V27" s="7">
        <f t="shared" si="17"/>
        <v>1.5177415522575248E-2</v>
      </c>
      <c r="W27" s="2"/>
      <c r="X27" s="6">
        <f t="shared" si="18"/>
        <v>1119.4055438461546</v>
      </c>
      <c r="Y27" s="2"/>
      <c r="Z27" s="7">
        <f t="shared" si="19"/>
        <v>0.40084069469690026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585</v>
      </c>
      <c r="E28" s="2"/>
      <c r="F28" s="7">
        <f t="shared" si="12"/>
        <v>2.3801008918665243E-2</v>
      </c>
      <c r="G28" s="2"/>
      <c r="H28" s="6">
        <v>414.70036923076901</v>
      </c>
      <c r="I28" s="2"/>
      <c r="J28" s="7">
        <f t="shared" si="13"/>
        <v>1.0913167611336027E-2</v>
      </c>
      <c r="K28" s="2"/>
      <c r="L28" s="6">
        <f t="shared" si="14"/>
        <v>170.29963076923099</v>
      </c>
      <c r="M28" s="2"/>
      <c r="N28" s="7">
        <f t="shared" si="15"/>
        <v>0.41065705122259988</v>
      </c>
      <c r="O28" s="11"/>
      <c r="P28" s="6">
        <v>1855.69</v>
      </c>
      <c r="Q28" s="2"/>
      <c r="R28" s="7">
        <f t="shared" si="16"/>
        <v>1.5005045238146641E-2</v>
      </c>
      <c r="S28" s="2"/>
      <c r="T28" s="6">
        <v>2011.8128307692311</v>
      </c>
      <c r="U28" s="2"/>
      <c r="V28" s="7">
        <f t="shared" si="17"/>
        <v>1.0933765384615386E-2</v>
      </c>
      <c r="W28" s="2"/>
      <c r="X28" s="6">
        <f t="shared" si="18"/>
        <v>-156.12283076923109</v>
      </c>
      <c r="Y28" s="2"/>
      <c r="Z28" s="7">
        <f t="shared" si="19"/>
        <v>-7.7603059480208403E-2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34.97</v>
      </c>
      <c r="E29" s="2"/>
      <c r="F29" s="7">
        <f t="shared" si="12"/>
        <v>1.4227714220268778E-3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34.97</v>
      </c>
      <c r="M29" s="2"/>
      <c r="N29" s="7">
        <f t="shared" si="15"/>
        <v>0</v>
      </c>
      <c r="O29" s="11"/>
      <c r="P29" s="6">
        <v>174.85</v>
      </c>
      <c r="Q29" s="2"/>
      <c r="R29" s="7">
        <f t="shared" si="16"/>
        <v>1.4138310600854346E-3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174.85</v>
      </c>
      <c r="Y29" s="2"/>
      <c r="Z29" s="7">
        <f t="shared" si="19"/>
        <v>0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39.200000000000003</v>
      </c>
      <c r="E30" s="2"/>
      <c r="F30" s="7">
        <f t="shared" si="12"/>
        <v>1.5948710249772265E-3</v>
      </c>
      <c r="G30" s="2"/>
      <c r="H30" s="6">
        <v>27.789200000000001</v>
      </c>
      <c r="I30" s="2"/>
      <c r="J30" s="7">
        <f t="shared" si="13"/>
        <v>7.312947368421053E-4</v>
      </c>
      <c r="K30" s="2"/>
      <c r="L30" s="6">
        <f t="shared" si="14"/>
        <v>11.410800000000002</v>
      </c>
      <c r="M30" s="2"/>
      <c r="N30" s="7">
        <f t="shared" si="15"/>
        <v>0.41061995307529547</v>
      </c>
      <c r="O30" s="11"/>
      <c r="P30" s="6">
        <v>174.85</v>
      </c>
      <c r="Q30" s="2"/>
      <c r="R30" s="7">
        <f t="shared" si="16"/>
        <v>1.4138310600854346E-3</v>
      </c>
      <c r="S30" s="2"/>
      <c r="T30" s="6">
        <v>134.81219999999999</v>
      </c>
      <c r="U30" s="2"/>
      <c r="V30" s="7">
        <f t="shared" si="17"/>
        <v>7.3267499999999991E-4</v>
      </c>
      <c r="W30" s="2"/>
      <c r="X30" s="6">
        <f t="shared" si="18"/>
        <v>40.037800000000004</v>
      </c>
      <c r="Y30" s="2"/>
      <c r="Z30" s="7">
        <f t="shared" si="19"/>
        <v>0.29698944160840046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315.45</v>
      </c>
      <c r="E31" s="2"/>
      <c r="F31" s="7">
        <f t="shared" si="12"/>
        <v>1.2834236347680257E-2</v>
      </c>
      <c r="G31" s="2"/>
      <c r="H31" s="6">
        <v>388.38923076923101</v>
      </c>
      <c r="I31" s="2"/>
      <c r="J31" s="7">
        <f t="shared" si="13"/>
        <v>1.0220769230769236E-2</v>
      </c>
      <c r="K31" s="2"/>
      <c r="L31" s="6">
        <f t="shared" si="14"/>
        <v>-72.939230769231017</v>
      </c>
      <c r="M31" s="2"/>
      <c r="N31" s="7">
        <f t="shared" si="15"/>
        <v>-0.18779931313947598</v>
      </c>
      <c r="O31" s="11"/>
      <c r="P31" s="6">
        <v>1577.25</v>
      </c>
      <c r="Q31" s="2"/>
      <c r="R31" s="7">
        <f t="shared" si="16"/>
        <v>1.275358901641265E-2</v>
      </c>
      <c r="S31" s="2"/>
      <c r="T31" s="6">
        <v>2136.1407692307712</v>
      </c>
      <c r="U31" s="2"/>
      <c r="V31" s="7">
        <f t="shared" si="17"/>
        <v>1.1609460702341147E-2</v>
      </c>
      <c r="W31" s="2"/>
      <c r="X31" s="6">
        <f t="shared" si="18"/>
        <v>-558.89076923077118</v>
      </c>
      <c r="Y31" s="2"/>
      <c r="Z31" s="7">
        <f t="shared" si="19"/>
        <v>-0.26163573921770567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>
        <v>173.88</v>
      </c>
      <c r="E33" s="2"/>
      <c r="F33" s="7">
        <f t="shared" si="12"/>
        <v>7.0743921893632686E-3</v>
      </c>
      <c r="G33" s="2"/>
      <c r="H33" s="6">
        <v>225.80769230769201</v>
      </c>
      <c r="I33" s="2"/>
      <c r="J33" s="7">
        <f t="shared" si="13"/>
        <v>5.9423076923076842E-3</v>
      </c>
      <c r="K33" s="2"/>
      <c r="L33" s="6">
        <f t="shared" si="14"/>
        <v>-51.927692307692013</v>
      </c>
      <c r="M33" s="2"/>
      <c r="N33" s="7">
        <f t="shared" si="15"/>
        <v>-0.22996423096576293</v>
      </c>
      <c r="O33" s="11"/>
      <c r="P33" s="6">
        <v>1026.29</v>
      </c>
      <c r="Q33" s="2"/>
      <c r="R33" s="7">
        <f t="shared" si="16"/>
        <v>8.2985454884477016E-3</v>
      </c>
      <c r="S33" s="2"/>
      <c r="T33" s="6">
        <v>1241.942307692306</v>
      </c>
      <c r="U33" s="2"/>
      <c r="V33" s="7">
        <f t="shared" si="17"/>
        <v>6.7496864548494892E-3</v>
      </c>
      <c r="W33" s="2"/>
      <c r="X33" s="6">
        <f t="shared" si="18"/>
        <v>-215.65230769230607</v>
      </c>
      <c r="Y33" s="2"/>
      <c r="Z33" s="7">
        <f t="shared" si="19"/>
        <v>-0.17364116380978817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>
        <v>208.3</v>
      </c>
      <c r="E34" s="2"/>
      <c r="F34" s="7">
        <f t="shared" si="12"/>
        <v>8.4747865944580694E-3</v>
      </c>
      <c r="G34" s="2"/>
      <c r="H34" s="6">
        <v>410.967692307692</v>
      </c>
      <c r="I34" s="2"/>
      <c r="J34" s="7">
        <f t="shared" si="13"/>
        <v>1.0814939271255052E-2</v>
      </c>
      <c r="K34" s="2"/>
      <c r="L34" s="6">
        <f t="shared" si="14"/>
        <v>-202.66769230769199</v>
      </c>
      <c r="M34" s="2"/>
      <c r="N34" s="7">
        <f t="shared" si="15"/>
        <v>-0.49314750551231762</v>
      </c>
      <c r="O34" s="11"/>
      <c r="P34" s="6">
        <v>1267.48</v>
      </c>
      <c r="Q34" s="2"/>
      <c r="R34" s="7">
        <f t="shared" si="16"/>
        <v>1.0248799496923573E-2</v>
      </c>
      <c r="S34" s="2"/>
      <c r="T34" s="6">
        <v>2052.3023076923059</v>
      </c>
      <c r="U34" s="2"/>
      <c r="V34" s="7">
        <f t="shared" si="17"/>
        <v>1.1153816889632098E-2</v>
      </c>
      <c r="W34" s="2"/>
      <c r="X34" s="6">
        <f t="shared" si="18"/>
        <v>-784.82230769230591</v>
      </c>
      <c r="Y34" s="2"/>
      <c r="Z34" s="7">
        <f t="shared" si="19"/>
        <v>-0.38241067349127172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6">
        <v>174.1</v>
      </c>
      <c r="E35" s="2"/>
      <c r="F35" s="7">
        <f t="shared" si="12"/>
        <v>7.0833429961361001E-3</v>
      </c>
      <c r="G35" s="2"/>
      <c r="H35" s="6">
        <v>150</v>
      </c>
      <c r="I35" s="2"/>
      <c r="J35" s="7">
        <f t="shared" si="13"/>
        <v>3.9473684210526317E-3</v>
      </c>
      <c r="K35" s="2"/>
      <c r="L35" s="6">
        <f t="shared" si="14"/>
        <v>24.099999999999994</v>
      </c>
      <c r="M35" s="2"/>
      <c r="N35" s="7">
        <f t="shared" si="15"/>
        <v>0.16066666666666662</v>
      </c>
      <c r="O35" s="11"/>
      <c r="P35" s="6">
        <v>911.42</v>
      </c>
      <c r="Q35" s="2"/>
      <c r="R35" s="7">
        <f t="shared" si="16"/>
        <v>7.3697106364487659E-3</v>
      </c>
      <c r="S35" s="2"/>
      <c r="T35" s="6">
        <v>750</v>
      </c>
      <c r="U35" s="2"/>
      <c r="V35" s="7">
        <f t="shared" si="17"/>
        <v>4.076086956521739E-3</v>
      </c>
      <c r="W35" s="2"/>
      <c r="X35" s="6">
        <f t="shared" si="18"/>
        <v>161.41999999999996</v>
      </c>
      <c r="Y35" s="2"/>
      <c r="Z35" s="7">
        <f t="shared" si="19"/>
        <v>0.21522666666666662</v>
      </c>
    </row>
    <row r="36" spans="1:26" s="26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13085.779999999999</v>
      </c>
      <c r="E36" s="1"/>
      <c r="F36" s="5">
        <f t="shared" ref="F36:F46" si="20">IF(D$12=0,0,D36/D$12)</f>
        <v>0.53240131023536963</v>
      </c>
      <c r="G36" s="1"/>
      <c r="H36" s="1">
        <f>SUM(OSRRefH22_1x_0)</f>
        <v>10236.538461538459</v>
      </c>
      <c r="I36" s="1"/>
      <c r="J36" s="5">
        <f t="shared" ref="J36:J46" si="21">IF(H$12=0,0,H36/H$12)</f>
        <v>0.26938259109311735</v>
      </c>
      <c r="K36" s="1"/>
      <c r="L36" s="1">
        <f t="shared" ref="L36:L46" si="22">+D36-H36</f>
        <v>2849.2415384615397</v>
      </c>
      <c r="M36" s="1"/>
      <c r="N36" s="5">
        <f t="shared" ref="N36:N46" si="23">IF(H36=0,0,L36/H36)</f>
        <v>0.27834033439789613</v>
      </c>
      <c r="O36" s="13"/>
      <c r="P36" s="1">
        <f>SUM(OSRRefP22_1x_0)</f>
        <v>66036.100000000006</v>
      </c>
      <c r="Q36" s="1"/>
      <c r="R36" s="5">
        <f t="shared" ref="R36:R46" si="24">IF(P$12=0,0,P36/P$12)</f>
        <v>0.53396562348817711</v>
      </c>
      <c r="S36" s="1"/>
      <c r="T36" s="1">
        <f>SUM(OSRRefT22_1x_0)</f>
        <v>49366.961538461539</v>
      </c>
      <c r="U36" s="1"/>
      <c r="V36" s="5">
        <f t="shared" ref="V36:V46" si="25">IF(T$12=0,0,T36/T$12)</f>
        <v>0.26829870401337791</v>
      </c>
      <c r="W36" s="1"/>
      <c r="X36" s="1">
        <f t="shared" ref="X36:X46" si="26">+P36-T36</f>
        <v>16669.138461538467</v>
      </c>
      <c r="Y36" s="1"/>
      <c r="Z36" s="5">
        <f t="shared" ref="Z36:Z46" si="27">IF(T36=0,0,X36/T36)</f>
        <v>0.3376577764169591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4064.5384615384596</v>
      </c>
      <c r="I37" s="2"/>
      <c r="J37" s="7">
        <f t="shared" si="21"/>
        <v>0.10696153846153841</v>
      </c>
      <c r="K37" s="2"/>
      <c r="L37" s="6">
        <f t="shared" si="22"/>
        <v>-4064.5384615384596</v>
      </c>
      <c r="M37" s="2"/>
      <c r="N37" s="7">
        <f t="shared" si="23"/>
        <v>-1</v>
      </c>
      <c r="O37" s="11"/>
      <c r="P37" s="6"/>
      <c r="Q37" s="2"/>
      <c r="R37" s="7">
        <f t="shared" si="24"/>
        <v>0</v>
      </c>
      <c r="S37" s="2"/>
      <c r="T37" s="6">
        <v>22354.961538461539</v>
      </c>
      <c r="U37" s="2"/>
      <c r="V37" s="7">
        <f t="shared" si="25"/>
        <v>0.12149435618729097</v>
      </c>
      <c r="W37" s="2"/>
      <c r="X37" s="6">
        <f t="shared" si="26"/>
        <v>-22354.961538461539</v>
      </c>
      <c r="Y37" s="2"/>
      <c r="Z37" s="7">
        <f t="shared" si="27"/>
        <v>-1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6">
        <v>4193.78</v>
      </c>
      <c r="E38" s="2"/>
      <c r="F38" s="7">
        <f t="shared" si="20"/>
        <v>0.17062597467165797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4193.78</v>
      </c>
      <c r="M38" s="2"/>
      <c r="N38" s="7">
        <f t="shared" si="23"/>
        <v>0</v>
      </c>
      <c r="O38" s="11"/>
      <c r="P38" s="6">
        <v>22783.53</v>
      </c>
      <c r="Q38" s="2"/>
      <c r="R38" s="7">
        <f t="shared" si="24"/>
        <v>0.18422683655926966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22783.53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0"/>
        <v>0</v>
      </c>
      <c r="G40" s="2"/>
      <c r="H40" s="6">
        <v>2212</v>
      </c>
      <c r="I40" s="2"/>
      <c r="J40" s="7">
        <f t="shared" si="21"/>
        <v>5.8210526315789476E-2</v>
      </c>
      <c r="K40" s="2"/>
      <c r="L40" s="6">
        <f t="shared" si="22"/>
        <v>-2212</v>
      </c>
      <c r="M40" s="2"/>
      <c r="N40" s="7">
        <f t="shared" si="23"/>
        <v>-1</v>
      </c>
      <c r="O40" s="11"/>
      <c r="P40" s="6"/>
      <c r="Q40" s="2"/>
      <c r="R40" s="7">
        <f t="shared" si="24"/>
        <v>0</v>
      </c>
      <c r="S40" s="2"/>
      <c r="T40" s="6">
        <v>11652</v>
      </c>
      <c r="U40" s="2"/>
      <c r="V40" s="7">
        <f t="shared" si="25"/>
        <v>6.332608695652174E-2</v>
      </c>
      <c r="W40" s="2"/>
      <c r="X40" s="6">
        <f t="shared" si="26"/>
        <v>-11652</v>
      </c>
      <c r="Y40" s="2"/>
      <c r="Z40" s="7">
        <f t="shared" si="27"/>
        <v>-1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6">
        <v>4764</v>
      </c>
      <c r="E41" s="2"/>
      <c r="F41" s="7">
        <f t="shared" si="20"/>
        <v>0.19382565211713029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4764</v>
      </c>
      <c r="M41" s="2"/>
      <c r="N41" s="7">
        <f t="shared" si="23"/>
        <v>0</v>
      </c>
      <c r="O41" s="11"/>
      <c r="P41" s="6">
        <v>21893.070000000003</v>
      </c>
      <c r="Q41" s="2"/>
      <c r="R41" s="7">
        <f t="shared" si="24"/>
        <v>0.17702660775879114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21893.070000000003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110.5</v>
      </c>
      <c r="Q42" s="2"/>
      <c r="R42" s="7">
        <f t="shared" si="24"/>
        <v>8.9349918295362043E-4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110.5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6">
        <v>3894</v>
      </c>
      <c r="E43" s="2"/>
      <c r="F43" s="7">
        <f t="shared" si="20"/>
        <v>0.15842927987911531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3894</v>
      </c>
      <c r="M43" s="2"/>
      <c r="N43" s="7">
        <f t="shared" si="23"/>
        <v>0</v>
      </c>
      <c r="O43" s="11"/>
      <c r="P43" s="6">
        <v>19719</v>
      </c>
      <c r="Q43" s="2"/>
      <c r="R43" s="7">
        <f t="shared" si="24"/>
        <v>0.15944715283857411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19719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6">
        <v>234</v>
      </c>
      <c r="E44" s="2"/>
      <c r="F44" s="7">
        <f t="shared" si="20"/>
        <v>9.5204035674660969E-3</v>
      </c>
      <c r="G44" s="2"/>
      <c r="H44" s="6">
        <v>3960</v>
      </c>
      <c r="I44" s="2"/>
      <c r="J44" s="7">
        <f t="shared" si="21"/>
        <v>0.10421052631578948</v>
      </c>
      <c r="K44" s="2"/>
      <c r="L44" s="6">
        <f t="shared" si="22"/>
        <v>-3726</v>
      </c>
      <c r="M44" s="2"/>
      <c r="N44" s="7">
        <f t="shared" si="23"/>
        <v>-0.94090909090909092</v>
      </c>
      <c r="O44" s="11"/>
      <c r="P44" s="6">
        <v>1530</v>
      </c>
      <c r="Q44" s="2"/>
      <c r="R44" s="7">
        <f t="shared" si="24"/>
        <v>1.237152714858859E-2</v>
      </c>
      <c r="S44" s="2"/>
      <c r="T44" s="6">
        <v>15360</v>
      </c>
      <c r="U44" s="2"/>
      <c r="V44" s="7">
        <f t="shared" si="25"/>
        <v>8.3478260869565224E-2</v>
      </c>
      <c r="W44" s="2"/>
      <c r="X44" s="6">
        <f t="shared" si="26"/>
        <v>-13830</v>
      </c>
      <c r="Y44" s="2"/>
      <c r="Z44" s="7">
        <f t="shared" si="27"/>
        <v>-0.900390625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6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1526.48</v>
      </c>
      <c r="E47" s="1"/>
      <c r="F47" s="5">
        <f t="shared" ref="F47:F55" si="28">IF(D$12=0,0,D47/D$12)</f>
        <v>6.2105579648143797E-2</v>
      </c>
      <c r="G47" s="1"/>
      <c r="H47" s="1">
        <f>SUM(OSRRefH22_2x_0)</f>
        <v>200</v>
      </c>
      <c r="I47" s="1"/>
      <c r="J47" s="5">
        <f t="shared" ref="J47:J55" si="29">IF(H$12=0,0,H47/H$12)</f>
        <v>5.263157894736842E-3</v>
      </c>
      <c r="K47" s="1"/>
      <c r="L47" s="1">
        <f t="shared" ref="L47:L55" si="30">+D47-H47</f>
        <v>1326.48</v>
      </c>
      <c r="M47" s="1"/>
      <c r="N47" s="5">
        <f t="shared" ref="N47:N55" si="31">IF(H47=0,0,L47/H47)</f>
        <v>6.6324000000000005</v>
      </c>
      <c r="O47" s="13"/>
      <c r="P47" s="1">
        <f>SUM(OSRRefP22_2x_0)</f>
        <v>2424.71</v>
      </c>
      <c r="Q47" s="1"/>
      <c r="R47" s="5">
        <f t="shared" ref="R47:R55" si="32">IF(P$12=0,0,P47/P$12)</f>
        <v>1.9606121302257674E-2</v>
      </c>
      <c r="S47" s="1"/>
      <c r="T47" s="1">
        <f>SUM(OSRRefT22_2x_0)</f>
        <v>800</v>
      </c>
      <c r="U47" s="1"/>
      <c r="V47" s="5">
        <f t="shared" ref="V47:V55" si="33">IF(T$12=0,0,T47/T$12)</f>
        <v>4.3478260869565218E-3</v>
      </c>
      <c r="W47" s="1"/>
      <c r="X47" s="1">
        <f t="shared" ref="X47:X55" si="34">+P47-T47</f>
        <v>1624.71</v>
      </c>
      <c r="Y47" s="1"/>
      <c r="Z47" s="5">
        <f t="shared" ref="Z47:Z55" si="35">IF(T47=0,0,X47/T47)</f>
        <v>2.0308875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6">
        <v>1526.48</v>
      </c>
      <c r="E48" s="2"/>
      <c r="F48" s="7">
        <f t="shared" si="28"/>
        <v>6.2105579648143797E-2</v>
      </c>
      <c r="G48" s="2"/>
      <c r="H48" s="6">
        <v>200</v>
      </c>
      <c r="I48" s="2"/>
      <c r="J48" s="7">
        <f t="shared" si="29"/>
        <v>5.263157894736842E-3</v>
      </c>
      <c r="K48" s="2"/>
      <c r="L48" s="6">
        <f t="shared" si="30"/>
        <v>1326.48</v>
      </c>
      <c r="M48" s="2"/>
      <c r="N48" s="7">
        <f t="shared" si="31"/>
        <v>6.6324000000000005</v>
      </c>
      <c r="O48" s="11"/>
      <c r="P48" s="6">
        <v>2424.71</v>
      </c>
      <c r="Q48" s="2"/>
      <c r="R48" s="7">
        <f t="shared" si="32"/>
        <v>1.9606121302257674E-2</v>
      </c>
      <c r="S48" s="2"/>
      <c r="T48" s="6">
        <v>800</v>
      </c>
      <c r="U48" s="2"/>
      <c r="V48" s="7">
        <f t="shared" si="33"/>
        <v>4.3478260869565218E-3</v>
      </c>
      <c r="W48" s="2"/>
      <c r="X48" s="6">
        <f t="shared" si="34"/>
        <v>1624.71</v>
      </c>
      <c r="Y48" s="2"/>
      <c r="Z48" s="7">
        <f t="shared" si="35"/>
        <v>2.0308875</v>
      </c>
    </row>
    <row r="49" spans="1:26" s="26" customFormat="1" outlineLevel="1" collapsed="1" x14ac:dyDescent="0.25">
      <c r="A49" s="27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4.8099999999999996</v>
      </c>
      <c r="E49" s="1"/>
      <c r="F49" s="5">
        <f t="shared" si="28"/>
        <v>1.9569718444235865E-4</v>
      </c>
      <c r="G49" s="1"/>
      <c r="H49" s="1">
        <f>SUM(OSRRefH22_3x_0)</f>
        <v>25</v>
      </c>
      <c r="I49" s="1"/>
      <c r="J49" s="5">
        <f t="shared" si="29"/>
        <v>6.5789473684210525E-4</v>
      </c>
      <c r="K49" s="1"/>
      <c r="L49" s="1">
        <f t="shared" si="30"/>
        <v>-20.190000000000001</v>
      </c>
      <c r="M49" s="1"/>
      <c r="N49" s="5">
        <f t="shared" si="31"/>
        <v>-0.8076000000000001</v>
      </c>
      <c r="O49" s="13"/>
      <c r="P49" s="1">
        <f>SUM(OSRRefP22_3x_0)</f>
        <v>-8.7200000000000006</v>
      </c>
      <c r="Q49" s="1"/>
      <c r="R49" s="5">
        <f t="shared" si="32"/>
        <v>-7.050961878149837E-5</v>
      </c>
      <c r="S49" s="1"/>
      <c r="T49" s="1">
        <f>SUM(OSRRefT22_3x_0)</f>
        <v>100</v>
      </c>
      <c r="U49" s="1"/>
      <c r="V49" s="5">
        <f t="shared" si="33"/>
        <v>5.4347826086956522E-4</v>
      </c>
      <c r="W49" s="1"/>
      <c r="X49" s="1">
        <f t="shared" si="34"/>
        <v>-108.72</v>
      </c>
      <c r="Y49" s="1"/>
      <c r="Z49" s="5">
        <f t="shared" si="35"/>
        <v>-1.0871999999999999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6">
        <v>4.8099999999999996</v>
      </c>
      <c r="E50" s="2"/>
      <c r="F50" s="7">
        <f t="shared" si="28"/>
        <v>1.9569718444235865E-4</v>
      </c>
      <c r="G50" s="2"/>
      <c r="H50" s="6">
        <v>25</v>
      </c>
      <c r="I50" s="2"/>
      <c r="J50" s="7">
        <f t="shared" si="29"/>
        <v>6.5789473684210525E-4</v>
      </c>
      <c r="K50" s="2"/>
      <c r="L50" s="6">
        <f t="shared" si="30"/>
        <v>-20.190000000000001</v>
      </c>
      <c r="M50" s="2"/>
      <c r="N50" s="7">
        <f t="shared" si="31"/>
        <v>-0.8076000000000001</v>
      </c>
      <c r="O50" s="11"/>
      <c r="P50" s="6">
        <v>-8.7200000000000006</v>
      </c>
      <c r="Q50" s="2"/>
      <c r="R50" s="7">
        <f t="shared" si="32"/>
        <v>-7.050961878149837E-5</v>
      </c>
      <c r="S50" s="2"/>
      <c r="T50" s="6">
        <v>100</v>
      </c>
      <c r="U50" s="2"/>
      <c r="V50" s="7">
        <f t="shared" si="33"/>
        <v>5.4347826086956522E-4</v>
      </c>
      <c r="W50" s="2"/>
      <c r="X50" s="6">
        <f t="shared" si="34"/>
        <v>-108.72</v>
      </c>
      <c r="Y50" s="2"/>
      <c r="Z50" s="7">
        <f t="shared" si="35"/>
        <v>-1.0871999999999999</v>
      </c>
    </row>
    <row r="51" spans="1:26" s="26" customFormat="1" outlineLevel="1" collapsed="1" x14ac:dyDescent="0.25">
      <c r="A51" s="27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850.3</v>
      </c>
      <c r="E51" s="1"/>
      <c r="F51" s="5">
        <f t="shared" si="28"/>
        <v>3.4594868176993254E-2</v>
      </c>
      <c r="G51" s="1"/>
      <c r="H51" s="1">
        <f>SUM(OSRRefH22_4x_0)</f>
        <v>840</v>
      </c>
      <c r="I51" s="1"/>
      <c r="J51" s="5">
        <f t="shared" si="29"/>
        <v>2.2105263157894735E-2</v>
      </c>
      <c r="K51" s="1"/>
      <c r="L51" s="1">
        <f t="shared" si="30"/>
        <v>10.299999999999955</v>
      </c>
      <c r="M51" s="1"/>
      <c r="N51" s="5">
        <f t="shared" si="31"/>
        <v>1.2261904761904708E-2</v>
      </c>
      <c r="O51" s="13"/>
      <c r="P51" s="1">
        <f>SUM(OSRRefP22_4x_0)</f>
        <v>4379.26</v>
      </c>
      <c r="Q51" s="1"/>
      <c r="R51" s="5">
        <f t="shared" si="32"/>
        <v>3.5410545085443182E-2</v>
      </c>
      <c r="S51" s="1"/>
      <c r="T51" s="1">
        <f>SUM(OSRRefT22_4x_0)</f>
        <v>4352</v>
      </c>
      <c r="U51" s="1"/>
      <c r="V51" s="5">
        <f t="shared" si="33"/>
        <v>2.365217391304348E-2</v>
      </c>
      <c r="W51" s="1"/>
      <c r="X51" s="1">
        <f t="shared" si="34"/>
        <v>27.260000000000218</v>
      </c>
      <c r="Y51" s="1"/>
      <c r="Z51" s="5">
        <f t="shared" si="35"/>
        <v>6.2637867647059326E-3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6">
        <v>850.3</v>
      </c>
      <c r="E52" s="2"/>
      <c r="F52" s="7">
        <f t="shared" si="28"/>
        <v>3.4594868176993254E-2</v>
      </c>
      <c r="G52" s="2"/>
      <c r="H52" s="6">
        <v>840</v>
      </c>
      <c r="I52" s="2"/>
      <c r="J52" s="7">
        <f t="shared" si="29"/>
        <v>2.2105263157894735E-2</v>
      </c>
      <c r="K52" s="2"/>
      <c r="L52" s="6">
        <f t="shared" si="30"/>
        <v>10.299999999999955</v>
      </c>
      <c r="M52" s="2"/>
      <c r="N52" s="7">
        <f t="shared" si="31"/>
        <v>1.2261904761904708E-2</v>
      </c>
      <c r="O52" s="11"/>
      <c r="P52" s="6">
        <v>4379.26</v>
      </c>
      <c r="Q52" s="2"/>
      <c r="R52" s="7">
        <f t="shared" si="32"/>
        <v>3.5410545085443182E-2</v>
      </c>
      <c r="S52" s="2"/>
      <c r="T52" s="6">
        <v>4352</v>
      </c>
      <c r="U52" s="2"/>
      <c r="V52" s="7">
        <f t="shared" si="33"/>
        <v>2.365217391304348E-2</v>
      </c>
      <c r="W52" s="2"/>
      <c r="X52" s="6">
        <f t="shared" si="34"/>
        <v>27.260000000000218</v>
      </c>
      <c r="Y52" s="2"/>
      <c r="Z52" s="7">
        <f t="shared" si="35"/>
        <v>6.2637867647059326E-3</v>
      </c>
    </row>
    <row r="53" spans="1:26" s="26" customFormat="1" outlineLevel="1" collapsed="1" x14ac:dyDescent="0.25">
      <c r="A53" s="27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2775.32</v>
      </c>
      <c r="E53" s="1"/>
      <c r="F53" s="5">
        <f t="shared" si="28"/>
        <v>0.1129152411489744</v>
      </c>
      <c r="G53" s="1"/>
      <c r="H53" s="1">
        <f>SUM(OSRRefH22_5x_0)</f>
        <v>2906</v>
      </c>
      <c r="I53" s="1"/>
      <c r="J53" s="5">
        <f t="shared" si="29"/>
        <v>7.6473684210526319E-2</v>
      </c>
      <c r="K53" s="1"/>
      <c r="L53" s="1">
        <f t="shared" si="30"/>
        <v>-130.67999999999984</v>
      </c>
      <c r="M53" s="1"/>
      <c r="N53" s="5">
        <f t="shared" si="31"/>
        <v>-4.4969029593943506E-2</v>
      </c>
      <c r="O53" s="13"/>
      <c r="P53" s="1">
        <f>SUM(OSRRefP22_5x_0)</f>
        <v>13876.6</v>
      </c>
      <c r="Q53" s="1"/>
      <c r="R53" s="5">
        <f t="shared" si="32"/>
        <v>0.11220570825497021</v>
      </c>
      <c r="S53" s="1"/>
      <c r="T53" s="1">
        <f>SUM(OSRRefT22_5x_0)</f>
        <v>13780</v>
      </c>
      <c r="U53" s="1"/>
      <c r="V53" s="5">
        <f t="shared" si="33"/>
        <v>7.4891304347826093E-2</v>
      </c>
      <c r="W53" s="1"/>
      <c r="X53" s="1">
        <f t="shared" si="34"/>
        <v>96.600000000000364</v>
      </c>
      <c r="Y53" s="1"/>
      <c r="Z53" s="5">
        <f t="shared" si="35"/>
        <v>7.0101596516691121E-3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2775.32</v>
      </c>
      <c r="E54" s="2"/>
      <c r="F54" s="7">
        <f t="shared" si="28"/>
        <v>0.1129152411489744</v>
      </c>
      <c r="G54" s="2"/>
      <c r="H54" s="6">
        <v>2656</v>
      </c>
      <c r="I54" s="2"/>
      <c r="J54" s="7">
        <f t="shared" si="29"/>
        <v>6.989473684210526E-2</v>
      </c>
      <c r="K54" s="2"/>
      <c r="L54" s="6">
        <f t="shared" si="30"/>
        <v>119.32000000000016</v>
      </c>
      <c r="M54" s="2"/>
      <c r="N54" s="7">
        <f t="shared" si="31"/>
        <v>4.4924698795180781E-2</v>
      </c>
      <c r="O54" s="11"/>
      <c r="P54" s="6">
        <v>13876.6</v>
      </c>
      <c r="Q54" s="2"/>
      <c r="R54" s="7">
        <f t="shared" si="32"/>
        <v>0.11220570825497021</v>
      </c>
      <c r="S54" s="2"/>
      <c r="T54" s="6">
        <v>13280</v>
      </c>
      <c r="U54" s="2"/>
      <c r="V54" s="7">
        <f t="shared" si="33"/>
        <v>7.2173913043478255E-2</v>
      </c>
      <c r="W54" s="2"/>
      <c r="X54" s="6">
        <f t="shared" si="34"/>
        <v>596.60000000000036</v>
      </c>
      <c r="Y54" s="2"/>
      <c r="Z54" s="7">
        <f t="shared" si="35"/>
        <v>4.4924698795180754E-2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250</v>
      </c>
      <c r="I55" s="2"/>
      <c r="J55" s="7">
        <f t="shared" si="29"/>
        <v>6.5789473684210523E-3</v>
      </c>
      <c r="K55" s="2"/>
      <c r="L55" s="6">
        <f t="shared" si="30"/>
        <v>-250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500</v>
      </c>
      <c r="U55" s="2"/>
      <c r="V55" s="7">
        <f t="shared" si="33"/>
        <v>2.717391304347826E-3</v>
      </c>
      <c r="W55" s="2"/>
      <c r="X55" s="6">
        <f t="shared" si="34"/>
        <v>-500</v>
      </c>
      <c r="Y55" s="2"/>
      <c r="Z55" s="7">
        <f t="shared" si="35"/>
        <v>-1</v>
      </c>
    </row>
    <row r="56" spans="1:26" s="26" customFormat="1" outlineLevel="1" collapsed="1" x14ac:dyDescent="0.25">
      <c r="A56" s="27"/>
      <c r="B56" s="13" t="str">
        <f>CONCATENATE("     ","Equipment Rental                                  ")</f>
        <v xml:space="preserve">     Equipment Rental                                  </v>
      </c>
      <c r="C56" s="13"/>
      <c r="D56" s="1">
        <f>SUM(OSRRefD22_6x_0)</f>
        <v>61.04</v>
      </c>
      <c r="E56" s="1"/>
      <c r="F56" s="5">
        <f t="shared" ref="F56:F63" si="36">IF(D$12=0,0,D56/D$12)</f>
        <v>2.4834420246073953E-3</v>
      </c>
      <c r="G56" s="1"/>
      <c r="H56" s="1">
        <f>SUM(OSRRefH22_6x_0)</f>
        <v>0</v>
      </c>
      <c r="I56" s="1"/>
      <c r="J56" s="5">
        <f t="shared" ref="J56:J63" si="37">IF(H$12=0,0,H56/H$12)</f>
        <v>0</v>
      </c>
      <c r="K56" s="1"/>
      <c r="L56" s="1">
        <f t="shared" ref="L56:L63" si="38">+D56-H56</f>
        <v>61.04</v>
      </c>
      <c r="M56" s="1"/>
      <c r="N56" s="5">
        <f t="shared" ref="N56:N63" si="39">IF(H56=0,0,L56/H56)</f>
        <v>0</v>
      </c>
      <c r="O56" s="13"/>
      <c r="P56" s="1">
        <f>SUM(OSRRefP22_6x_0)</f>
        <v>522.76</v>
      </c>
      <c r="Q56" s="1"/>
      <c r="R56" s="5">
        <f t="shared" ref="R56:R63" si="40">IF(P$12=0,0,P56/P$12)</f>
        <v>4.2270193020890008E-3</v>
      </c>
      <c r="S56" s="1"/>
      <c r="T56" s="1">
        <f>SUM(OSRRefT22_6x_0)</f>
        <v>0</v>
      </c>
      <c r="U56" s="1"/>
      <c r="V56" s="5">
        <f t="shared" ref="V56:V63" si="41">IF(T$12=0,0,T56/T$12)</f>
        <v>0</v>
      </c>
      <c r="W56" s="1"/>
      <c r="X56" s="1">
        <f t="shared" ref="X56:X63" si="42">+P56-T56</f>
        <v>522.76</v>
      </c>
      <c r="Y56" s="1"/>
      <c r="Z56" s="5">
        <f t="shared" ref="Z56:Z63" si="43">IF(T56=0,0,X56/T56)</f>
        <v>0</v>
      </c>
    </row>
    <row r="57" spans="1:26" s="24" customFormat="1" hidden="1" outlineLevel="2" x14ac:dyDescent="0.25">
      <c r="A57" s="25"/>
      <c r="B57" s="11" t="str">
        <f>CONCATENATE("          ", "6351", " - ", "EQUIPMENT RENTAL")</f>
        <v xml:space="preserve">          6351 - EQUIPMENT RENTAL</v>
      </c>
      <c r="C57" s="11"/>
      <c r="D57" s="6">
        <v>61.04</v>
      </c>
      <c r="E57" s="2"/>
      <c r="F57" s="7">
        <f t="shared" si="36"/>
        <v>2.4834420246073953E-3</v>
      </c>
      <c r="G57" s="2"/>
      <c r="H57" s="6"/>
      <c r="I57" s="2"/>
      <c r="J57" s="7">
        <f t="shared" si="37"/>
        <v>0</v>
      </c>
      <c r="K57" s="2"/>
      <c r="L57" s="6">
        <f t="shared" si="38"/>
        <v>61.04</v>
      </c>
      <c r="M57" s="2"/>
      <c r="N57" s="7">
        <f t="shared" si="39"/>
        <v>0</v>
      </c>
      <c r="O57" s="11"/>
      <c r="P57" s="6">
        <v>522.76</v>
      </c>
      <c r="Q57" s="2"/>
      <c r="R57" s="7">
        <f t="shared" si="40"/>
        <v>4.2270193020890008E-3</v>
      </c>
      <c r="S57" s="2"/>
      <c r="T57" s="6"/>
      <c r="U57" s="2"/>
      <c r="V57" s="7">
        <f t="shared" si="41"/>
        <v>0</v>
      </c>
      <c r="W57" s="2"/>
      <c r="X57" s="6">
        <f t="shared" si="42"/>
        <v>522.76</v>
      </c>
      <c r="Y57" s="2"/>
      <c r="Z57" s="7">
        <f t="shared" si="43"/>
        <v>0</v>
      </c>
    </row>
    <row r="58" spans="1:26" s="26" customFormat="1" outlineLevel="1" collapsed="1" x14ac:dyDescent="0.25">
      <c r="A58" s="27"/>
      <c r="B58" s="13" t="str">
        <f>CONCATENATE("     ","General                                           ")</f>
        <v xml:space="preserve">     General                                           </v>
      </c>
      <c r="C58" s="13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0</v>
      </c>
      <c r="M58" s="1"/>
      <c r="N58" s="5">
        <f t="shared" si="39"/>
        <v>0</v>
      </c>
      <c r="O58" s="13"/>
      <c r="P58" s="1">
        <f>SUM(OSRRefP22_7x_0)</f>
        <v>749.55</v>
      </c>
      <c r="Q58" s="1"/>
      <c r="R58" s="5">
        <f t="shared" si="40"/>
        <v>6.0608354079899193E-3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749.55</v>
      </c>
      <c r="Y58" s="1"/>
      <c r="Z58" s="5">
        <f t="shared" si="43"/>
        <v>0</v>
      </c>
    </row>
    <row r="59" spans="1:26" s="24" customFormat="1" hidden="1" outlineLevel="2" x14ac:dyDescent="0.25">
      <c r="A59" s="25"/>
      <c r="B59" s="11" t="str">
        <f>CONCATENATE("          ", "6279", " - ", "GENERAL EXPENSE")</f>
        <v xml:space="preserve">          6279 - GENERAL EXPENSE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749.55</v>
      </c>
      <c r="Q59" s="2"/>
      <c r="R59" s="7">
        <f t="shared" si="40"/>
        <v>6.0608354079899193E-3</v>
      </c>
      <c r="S59" s="2"/>
      <c r="T59" s="6"/>
      <c r="U59" s="2"/>
      <c r="V59" s="7">
        <f t="shared" si="41"/>
        <v>0</v>
      </c>
      <c r="W59" s="2"/>
      <c r="X59" s="6">
        <f t="shared" si="42"/>
        <v>749.55</v>
      </c>
      <c r="Y59" s="2"/>
      <c r="Z59" s="7">
        <f t="shared" si="43"/>
        <v>0</v>
      </c>
    </row>
    <row r="60" spans="1:26" s="26" customFormat="1" outlineLevel="1" collapsed="1" x14ac:dyDescent="0.25">
      <c r="A60" s="27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SUM(OSRRefD22_8x_0)</f>
        <v>0</v>
      </c>
      <c r="E60" s="1"/>
      <c r="F60" s="5">
        <f t="shared" si="36"/>
        <v>0</v>
      </c>
      <c r="G60" s="1"/>
      <c r="H60" s="1">
        <f>SUM(OSRRefH22_8x_0)</f>
        <v>50</v>
      </c>
      <c r="I60" s="1"/>
      <c r="J60" s="5">
        <f t="shared" si="37"/>
        <v>1.3157894736842105E-3</v>
      </c>
      <c r="K60" s="1"/>
      <c r="L60" s="1">
        <f t="shared" si="38"/>
        <v>-50</v>
      </c>
      <c r="M60" s="1"/>
      <c r="N60" s="5">
        <f t="shared" si="39"/>
        <v>-1</v>
      </c>
      <c r="O60" s="13"/>
      <c r="P60" s="1">
        <f>SUM(OSRRefP22_8x_0)</f>
        <v>4631.76</v>
      </c>
      <c r="Q60" s="1"/>
      <c r="R60" s="5">
        <f t="shared" si="40"/>
        <v>3.745225136323313E-2</v>
      </c>
      <c r="S60" s="1"/>
      <c r="T60" s="1">
        <f>SUM(OSRRefT22_8x_0)</f>
        <v>650</v>
      </c>
      <c r="U60" s="1"/>
      <c r="V60" s="5">
        <f t="shared" si="41"/>
        <v>3.5326086956521739E-3</v>
      </c>
      <c r="W60" s="1"/>
      <c r="X60" s="1">
        <f t="shared" si="42"/>
        <v>3981.76</v>
      </c>
      <c r="Y60" s="1"/>
      <c r="Z60" s="5">
        <f t="shared" si="43"/>
        <v>6.1257846153846156</v>
      </c>
    </row>
    <row r="61" spans="1:26" s="24" customFormat="1" hidden="1" outlineLevel="2" x14ac:dyDescent="0.25">
      <c r="A61" s="25"/>
      <c r="B61" s="11" t="str">
        <f>CONCATENATE("          ", "6371", " - ", "COMPUTER SOFTWARE MAINTENANCE")</f>
        <v xml:space="preserve">          6371 - COMPUTER SOFTWARE MAINTENANCE</v>
      </c>
      <c r="C61" s="11"/>
      <c r="D61" s="6"/>
      <c r="E61" s="2"/>
      <c r="F61" s="7">
        <f t="shared" si="36"/>
        <v>0</v>
      </c>
      <c r="G61" s="2"/>
      <c r="H61" s="6">
        <v>50</v>
      </c>
      <c r="I61" s="2"/>
      <c r="J61" s="7">
        <f t="shared" si="37"/>
        <v>1.3157894736842105E-3</v>
      </c>
      <c r="K61" s="2"/>
      <c r="L61" s="6">
        <f t="shared" si="38"/>
        <v>-50</v>
      </c>
      <c r="M61" s="2"/>
      <c r="N61" s="7">
        <f t="shared" si="39"/>
        <v>-1</v>
      </c>
      <c r="O61" s="11"/>
      <c r="P61" s="6">
        <v>2186.54</v>
      </c>
      <c r="Q61" s="2"/>
      <c r="R61" s="7">
        <f t="shared" si="40"/>
        <v>1.7680286909460715E-2</v>
      </c>
      <c r="S61" s="2"/>
      <c r="T61" s="6">
        <v>250</v>
      </c>
      <c r="U61" s="2"/>
      <c r="V61" s="7">
        <f t="shared" si="41"/>
        <v>1.358695652173913E-3</v>
      </c>
      <c r="W61" s="2"/>
      <c r="X61" s="6">
        <f t="shared" si="42"/>
        <v>1936.54</v>
      </c>
      <c r="Y61" s="2"/>
      <c r="Z61" s="7">
        <f t="shared" si="43"/>
        <v>7.7461599999999997</v>
      </c>
    </row>
    <row r="62" spans="1:26" s="24" customFormat="1" hidden="1" outlineLevel="2" x14ac:dyDescent="0.25">
      <c r="A62" s="25"/>
      <c r="B62" s="11" t="str">
        <f>CONCATENATE("          ", "6373", " - ", "MAINTENANCE CONTRACTS")</f>
        <v xml:space="preserve">          6373 - MAINTENANCE CONTRACTS</v>
      </c>
      <c r="C62" s="11"/>
      <c r="D62" s="6"/>
      <c r="E62" s="2"/>
      <c r="F62" s="7">
        <f t="shared" si="36"/>
        <v>0</v>
      </c>
      <c r="G62" s="2"/>
      <c r="H62" s="6"/>
      <c r="I62" s="2"/>
      <c r="J62" s="7">
        <f t="shared" si="37"/>
        <v>0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>
        <v>65.989999999999995</v>
      </c>
      <c r="Q62" s="2"/>
      <c r="R62" s="7">
        <f t="shared" si="40"/>
        <v>5.335928604806281E-4</v>
      </c>
      <c r="S62" s="2"/>
      <c r="T62" s="6"/>
      <c r="U62" s="2"/>
      <c r="V62" s="7">
        <f t="shared" si="41"/>
        <v>0</v>
      </c>
      <c r="W62" s="2"/>
      <c r="X62" s="6">
        <f t="shared" si="42"/>
        <v>65.989999999999995</v>
      </c>
      <c r="Y62" s="2"/>
      <c r="Z62" s="7">
        <f t="shared" si="43"/>
        <v>0</v>
      </c>
    </row>
    <row r="63" spans="1:26" s="24" customFormat="1" hidden="1" outlineLevel="2" x14ac:dyDescent="0.25">
      <c r="A63" s="25"/>
      <c r="B63" s="11" t="str">
        <f>CONCATENATE("          ", "6375", " - ", "OUTSIDE REPAIRS &amp; MAINTENANCE")</f>
        <v xml:space="preserve">          6375 - OUTSIDE REPAIRS &amp; MAINTENANCE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2379.23</v>
      </c>
      <c r="Q63" s="2"/>
      <c r="R63" s="7">
        <f t="shared" si="40"/>
        <v>1.9238371593291784E-2</v>
      </c>
      <c r="S63" s="2"/>
      <c r="T63" s="6">
        <v>400</v>
      </c>
      <c r="U63" s="2"/>
      <c r="V63" s="7">
        <f t="shared" si="41"/>
        <v>2.1739130434782609E-3</v>
      </c>
      <c r="W63" s="2"/>
      <c r="X63" s="6">
        <f t="shared" si="42"/>
        <v>1979.23</v>
      </c>
      <c r="Y63" s="2"/>
      <c r="Z63" s="7">
        <f t="shared" si="43"/>
        <v>4.9480750000000002</v>
      </c>
    </row>
    <row r="64" spans="1:26" s="26" customFormat="1" outlineLevel="1" collapsed="1" x14ac:dyDescent="0.25">
      <c r="A64" s="27"/>
      <c r="B64" s="13" t="str">
        <f>CONCATENATE("     ","Services                                          ")</f>
        <v xml:space="preserve">     Services                                          </v>
      </c>
      <c r="C64" s="13"/>
      <c r="D64" s="1">
        <f>SUM(OSRRefD22_9x_0)</f>
        <v>49.2</v>
      </c>
      <c r="E64" s="1"/>
      <c r="F64" s="5">
        <f t="shared" ref="F64:F67" si="44">IF(D$12=0,0,D64/D$12)</f>
        <v>2.0017258782877435E-3</v>
      </c>
      <c r="G64" s="1"/>
      <c r="H64" s="1">
        <f>SUM(OSRRefH22_9x_0)</f>
        <v>546</v>
      </c>
      <c r="I64" s="1"/>
      <c r="J64" s="5">
        <f t="shared" ref="J64:J67" si="45">IF(H$12=0,0,H64/H$12)</f>
        <v>1.4368421052631579E-2</v>
      </c>
      <c r="K64" s="1"/>
      <c r="L64" s="1">
        <f t="shared" ref="L64:L67" si="46">+D64-H64</f>
        <v>-496.8</v>
      </c>
      <c r="M64" s="1"/>
      <c r="N64" s="5">
        <f t="shared" ref="N64:N67" si="47">IF(H64=0,0,L64/H64)</f>
        <v>-0.90989010989010988</v>
      </c>
      <c r="O64" s="13"/>
      <c r="P64" s="1">
        <f>SUM(OSRRefP22_9x_0)</f>
        <v>237.72</v>
      </c>
      <c r="Q64" s="1"/>
      <c r="R64" s="5">
        <f t="shared" ref="R64:R67" si="48">IF(P$12=0,0,P64/P$12)</f>
        <v>1.9221957083414899E-3</v>
      </c>
      <c r="S64" s="1"/>
      <c r="T64" s="1">
        <f>SUM(OSRRefT22_9x_0)</f>
        <v>2730</v>
      </c>
      <c r="U64" s="1"/>
      <c r="V64" s="5">
        <f t="shared" ref="V64:V67" si="49">IF(T$12=0,0,T64/T$12)</f>
        <v>1.4836956521739131E-2</v>
      </c>
      <c r="W64" s="1"/>
      <c r="X64" s="1">
        <f t="shared" ref="X64:X67" si="50">+P64-T64</f>
        <v>-2492.2800000000002</v>
      </c>
      <c r="Y64" s="1"/>
      <c r="Z64" s="5">
        <f t="shared" ref="Z64:Z67" si="51">IF(T64=0,0,X64/T64)</f>
        <v>-0.91292307692307695</v>
      </c>
    </row>
    <row r="65" spans="1:26" s="24" customFormat="1" hidden="1" outlineLevel="2" x14ac:dyDescent="0.25">
      <c r="A65" s="25"/>
      <c r="B65" s="11" t="str">
        <f>CONCATENATE("          ", "6282", " - ", "JANITORIAL/EXTERMINATOR EXPENS")</f>
        <v xml:space="preserve">          6282 - JANITORIAL/EXTERMINATOR EXPENS</v>
      </c>
      <c r="C65" s="11"/>
      <c r="D65" s="6"/>
      <c r="E65" s="2"/>
      <c r="F65" s="7">
        <f t="shared" si="44"/>
        <v>0</v>
      </c>
      <c r="G65" s="2"/>
      <c r="H65" s="6">
        <v>50</v>
      </c>
      <c r="I65" s="2"/>
      <c r="J65" s="7">
        <f t="shared" si="45"/>
        <v>1.3157894736842105E-3</v>
      </c>
      <c r="K65" s="2"/>
      <c r="L65" s="6">
        <f t="shared" si="46"/>
        <v>-50</v>
      </c>
      <c r="M65" s="2"/>
      <c r="N65" s="7">
        <f t="shared" si="47"/>
        <v>-1</v>
      </c>
      <c r="O65" s="11"/>
      <c r="P65" s="6"/>
      <c r="Q65" s="2"/>
      <c r="R65" s="7">
        <f t="shared" si="48"/>
        <v>0</v>
      </c>
      <c r="S65" s="2"/>
      <c r="T65" s="6">
        <v>250</v>
      </c>
      <c r="U65" s="2"/>
      <c r="V65" s="7">
        <f t="shared" si="49"/>
        <v>1.358695652173913E-3</v>
      </c>
      <c r="W65" s="2"/>
      <c r="X65" s="6">
        <f t="shared" si="50"/>
        <v>-250</v>
      </c>
      <c r="Y65" s="2"/>
      <c r="Z65" s="7">
        <f t="shared" si="51"/>
        <v>-1</v>
      </c>
    </row>
    <row r="66" spans="1:26" s="24" customFormat="1" hidden="1" outlineLevel="2" x14ac:dyDescent="0.25">
      <c r="A66" s="25"/>
      <c r="B66" s="11" t="str">
        <f>CONCATENATE("          ", "6285", " - ", "JANITORIAL SERVICES")</f>
        <v xml:space="preserve">          6285 - JANITORIAL SERVICES</v>
      </c>
      <c r="C66" s="11"/>
      <c r="D66" s="6"/>
      <c r="E66" s="2"/>
      <c r="F66" s="7">
        <f t="shared" si="44"/>
        <v>0</v>
      </c>
      <c r="G66" s="2"/>
      <c r="H66" s="6">
        <v>396</v>
      </c>
      <c r="I66" s="2"/>
      <c r="J66" s="7">
        <f t="shared" si="45"/>
        <v>1.0421052631578947E-2</v>
      </c>
      <c r="K66" s="2"/>
      <c r="L66" s="6">
        <f t="shared" si="46"/>
        <v>-396</v>
      </c>
      <c r="M66" s="2"/>
      <c r="N66" s="7">
        <f t="shared" si="47"/>
        <v>-1</v>
      </c>
      <c r="O66" s="11"/>
      <c r="P66" s="6"/>
      <c r="Q66" s="2"/>
      <c r="R66" s="7">
        <f t="shared" si="48"/>
        <v>0</v>
      </c>
      <c r="S66" s="2"/>
      <c r="T66" s="6">
        <v>1980</v>
      </c>
      <c r="U66" s="2"/>
      <c r="V66" s="7">
        <f t="shared" si="49"/>
        <v>1.0760869565217391E-2</v>
      </c>
      <c r="W66" s="2"/>
      <c r="X66" s="6">
        <f t="shared" si="50"/>
        <v>-1980</v>
      </c>
      <c r="Y66" s="2"/>
      <c r="Z66" s="7">
        <f t="shared" si="51"/>
        <v>-1</v>
      </c>
    </row>
    <row r="67" spans="1:26" s="24" customFormat="1" hidden="1" outlineLevel="2" x14ac:dyDescent="0.25">
      <c r="A67" s="25"/>
      <c r="B67" s="11" t="str">
        <f>CONCATENATE("          ", "6286", " - ", "LAUNDRY EXPENSE")</f>
        <v xml:space="preserve">          6286 - LAUNDRY EXPENSE</v>
      </c>
      <c r="C67" s="11"/>
      <c r="D67" s="6">
        <v>49.2</v>
      </c>
      <c r="E67" s="2"/>
      <c r="F67" s="7">
        <f t="shared" si="44"/>
        <v>2.0017258782877435E-3</v>
      </c>
      <c r="G67" s="2"/>
      <c r="H67" s="6">
        <v>100</v>
      </c>
      <c r="I67" s="2"/>
      <c r="J67" s="7">
        <f t="shared" si="45"/>
        <v>2.631578947368421E-3</v>
      </c>
      <c r="K67" s="2"/>
      <c r="L67" s="6">
        <f t="shared" si="46"/>
        <v>-50.8</v>
      </c>
      <c r="M67" s="2"/>
      <c r="N67" s="7">
        <f t="shared" si="47"/>
        <v>-0.50800000000000001</v>
      </c>
      <c r="O67" s="11"/>
      <c r="P67" s="6">
        <v>237.72</v>
      </c>
      <c r="Q67" s="2"/>
      <c r="R67" s="7">
        <f t="shared" si="48"/>
        <v>1.9221957083414899E-3</v>
      </c>
      <c r="S67" s="2"/>
      <c r="T67" s="6">
        <v>500</v>
      </c>
      <c r="U67" s="2"/>
      <c r="V67" s="7">
        <f t="shared" si="49"/>
        <v>2.717391304347826E-3</v>
      </c>
      <c r="W67" s="2"/>
      <c r="X67" s="6">
        <f t="shared" si="50"/>
        <v>-262.27999999999997</v>
      </c>
      <c r="Y67" s="2"/>
      <c r="Z67" s="7">
        <f t="shared" si="51"/>
        <v>-0.52455999999999992</v>
      </c>
    </row>
    <row r="68" spans="1:26" s="26" customFormat="1" outlineLevel="1" collapsed="1" x14ac:dyDescent="0.25">
      <c r="A68" s="27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SUM(OSRRefD22_10x_0)</f>
        <v>317.51</v>
      </c>
      <c r="E68" s="1"/>
      <c r="F68" s="5">
        <f t="shared" ref="F68:F74" si="52">IF(D$12=0,0,D68/D$12)</f>
        <v>1.2918048447462223E-2</v>
      </c>
      <c r="G68" s="1"/>
      <c r="H68" s="1">
        <f>SUM(OSRRefH22_10x_0)</f>
        <v>311</v>
      </c>
      <c r="I68" s="1"/>
      <c r="J68" s="5">
        <f t="shared" ref="J68:J74" si="53">IF(H$12=0,0,H68/H$12)</f>
        <v>8.1842105263157886E-3</v>
      </c>
      <c r="K68" s="1"/>
      <c r="L68" s="1">
        <f t="shared" ref="L68:L74" si="54">+D68-H68</f>
        <v>6.5099999999999909</v>
      </c>
      <c r="M68" s="1"/>
      <c r="N68" s="5">
        <f t="shared" ref="N68:N74" si="55">IF(H68=0,0,L68/H68)</f>
        <v>2.0932475884244343E-2</v>
      </c>
      <c r="O68" s="13"/>
      <c r="P68" s="1">
        <f>SUM(OSRRefP22_10x_0)</f>
        <v>5100.67</v>
      </c>
      <c r="Q68" s="1"/>
      <c r="R68" s="5">
        <f t="shared" ref="R68:R74" si="56">IF(P$12=0,0,P68/P$12)</f>
        <v>4.1243841425484554E-2</v>
      </c>
      <c r="S68" s="1"/>
      <c r="T68" s="1">
        <f>SUM(OSRRefT22_10x_0)</f>
        <v>2655</v>
      </c>
      <c r="U68" s="1"/>
      <c r="V68" s="5">
        <f t="shared" ref="V68:V74" si="57">IF(T$12=0,0,T68/T$12)</f>
        <v>1.4429347826086956E-2</v>
      </c>
      <c r="W68" s="1"/>
      <c r="X68" s="1">
        <f t="shared" ref="X68:X74" si="58">+P68-T68</f>
        <v>2445.67</v>
      </c>
      <c r="Y68" s="1"/>
      <c r="Z68" s="5">
        <f t="shared" ref="Z68:Z74" si="59">IF(T68=0,0,X68/T68)</f>
        <v>0.92115630885122413</v>
      </c>
    </row>
    <row r="69" spans="1:26" s="24" customFormat="1" hidden="1" outlineLevel="2" x14ac:dyDescent="0.25">
      <c r="A69" s="25"/>
      <c r="B69" s="11" t="str">
        <f>CONCATENATE("          ", "6237", " - ", "JANITORIAL SUPPLIES")</f>
        <v xml:space="preserve">          6237 - JANITORIAL SUPPLIES</v>
      </c>
      <c r="C69" s="11"/>
      <c r="D69" s="6"/>
      <c r="E69" s="2"/>
      <c r="F69" s="7">
        <f t="shared" si="52"/>
        <v>0</v>
      </c>
      <c r="G69" s="2"/>
      <c r="H69" s="6">
        <v>11</v>
      </c>
      <c r="I69" s="2"/>
      <c r="J69" s="7">
        <f t="shared" si="53"/>
        <v>2.8947368421052634E-4</v>
      </c>
      <c r="K69" s="2"/>
      <c r="L69" s="6">
        <f t="shared" si="54"/>
        <v>-11</v>
      </c>
      <c r="M69" s="2"/>
      <c r="N69" s="7">
        <f t="shared" si="55"/>
        <v>-1</v>
      </c>
      <c r="O69" s="11"/>
      <c r="P69" s="6"/>
      <c r="Q69" s="2"/>
      <c r="R69" s="7">
        <f t="shared" si="56"/>
        <v>0</v>
      </c>
      <c r="S69" s="2"/>
      <c r="T69" s="6">
        <v>55</v>
      </c>
      <c r="U69" s="2"/>
      <c r="V69" s="7">
        <f t="shared" si="57"/>
        <v>2.9891304347826086E-4</v>
      </c>
      <c r="W69" s="2"/>
      <c r="X69" s="6">
        <f t="shared" si="58"/>
        <v>-55</v>
      </c>
      <c r="Y69" s="2"/>
      <c r="Z69" s="7">
        <f t="shared" si="59"/>
        <v>-1</v>
      </c>
    </row>
    <row r="70" spans="1:26" s="24" customFormat="1" hidden="1" outlineLevel="2" x14ac:dyDescent="0.25">
      <c r="A70" s="25"/>
      <c r="B70" s="11" t="str">
        <f>CONCATENATE("          ", "6239", " - ", "KITCHEN SUPPLIES")</f>
        <v xml:space="preserve">          6239 - KITCHEN SUPPLIES</v>
      </c>
      <c r="C70" s="11"/>
      <c r="D70" s="6"/>
      <c r="E70" s="2"/>
      <c r="F70" s="7">
        <f t="shared" si="52"/>
        <v>0</v>
      </c>
      <c r="G70" s="2"/>
      <c r="H70" s="6"/>
      <c r="I70" s="2"/>
      <c r="J70" s="7">
        <f t="shared" si="53"/>
        <v>0</v>
      </c>
      <c r="K70" s="2"/>
      <c r="L70" s="6">
        <f t="shared" si="54"/>
        <v>0</v>
      </c>
      <c r="M70" s="2"/>
      <c r="N70" s="7">
        <f t="shared" si="55"/>
        <v>0</v>
      </c>
      <c r="O70" s="11"/>
      <c r="P70" s="6">
        <v>2672.21</v>
      </c>
      <c r="Q70" s="2"/>
      <c r="R70" s="7">
        <f t="shared" si="56"/>
        <v>2.160739775276465E-2</v>
      </c>
      <c r="S70" s="2"/>
      <c r="T70" s="6">
        <v>300</v>
      </c>
      <c r="U70" s="2"/>
      <c r="V70" s="7">
        <f t="shared" si="57"/>
        <v>1.6304347826086956E-3</v>
      </c>
      <c r="W70" s="2"/>
      <c r="X70" s="6">
        <f t="shared" si="58"/>
        <v>2372.21</v>
      </c>
      <c r="Y70" s="2"/>
      <c r="Z70" s="7">
        <f t="shared" si="59"/>
        <v>7.9073666666666664</v>
      </c>
    </row>
    <row r="71" spans="1:26" s="24" customFormat="1" hidden="1" outlineLevel="2" x14ac:dyDescent="0.25">
      <c r="A71" s="25"/>
      <c r="B71" s="11" t="str">
        <f>CONCATENATE("          ", "6241", " - ", "OFFICE EXPENSE")</f>
        <v xml:space="preserve">          6241 - OFFICE EXPENSE</v>
      </c>
      <c r="C71" s="11"/>
      <c r="D71" s="6">
        <v>59.48</v>
      </c>
      <c r="E71" s="2"/>
      <c r="F71" s="7">
        <f t="shared" si="52"/>
        <v>2.4199726674909547E-3</v>
      </c>
      <c r="G71" s="2"/>
      <c r="H71" s="6"/>
      <c r="I71" s="2"/>
      <c r="J71" s="7">
        <f t="shared" si="53"/>
        <v>0</v>
      </c>
      <c r="K71" s="2"/>
      <c r="L71" s="6">
        <f t="shared" si="54"/>
        <v>59.48</v>
      </c>
      <c r="M71" s="2"/>
      <c r="N71" s="7">
        <f t="shared" si="55"/>
        <v>0</v>
      </c>
      <c r="O71" s="11"/>
      <c r="P71" s="6">
        <v>549.44000000000005</v>
      </c>
      <c r="Q71" s="2"/>
      <c r="R71" s="7">
        <f t="shared" si="56"/>
        <v>4.4427528604709249E-3</v>
      </c>
      <c r="S71" s="2"/>
      <c r="T71" s="6"/>
      <c r="U71" s="2"/>
      <c r="V71" s="7">
        <f t="shared" si="57"/>
        <v>0</v>
      </c>
      <c r="W71" s="2"/>
      <c r="X71" s="6">
        <f t="shared" si="58"/>
        <v>549.44000000000005</v>
      </c>
      <c r="Y71" s="2"/>
      <c r="Z71" s="7">
        <f t="shared" si="59"/>
        <v>0</v>
      </c>
    </row>
    <row r="72" spans="1:26" s="24" customFormat="1" hidden="1" outlineLevel="2" x14ac:dyDescent="0.25">
      <c r="A72" s="25"/>
      <c r="B72" s="11" t="str">
        <f>CONCATENATE("          ", "6243", " - ", "PAPER SUPPLIES")</f>
        <v xml:space="preserve">          6243 - PAPER SUPPLIES</v>
      </c>
      <c r="C72" s="11"/>
      <c r="D72" s="6">
        <v>258.02999999999997</v>
      </c>
      <c r="E72" s="2"/>
      <c r="F72" s="7">
        <f t="shared" si="52"/>
        <v>1.0498075779971267E-2</v>
      </c>
      <c r="G72" s="2"/>
      <c r="H72" s="6">
        <v>300</v>
      </c>
      <c r="I72" s="2"/>
      <c r="J72" s="7">
        <f t="shared" si="53"/>
        <v>7.8947368421052634E-3</v>
      </c>
      <c r="K72" s="2"/>
      <c r="L72" s="6">
        <f t="shared" si="54"/>
        <v>-41.970000000000027</v>
      </c>
      <c r="M72" s="2"/>
      <c r="N72" s="7">
        <f t="shared" si="55"/>
        <v>-0.13990000000000008</v>
      </c>
      <c r="O72" s="11"/>
      <c r="P72" s="6">
        <v>1139.3499999999999</v>
      </c>
      <c r="Q72" s="2"/>
      <c r="R72" s="7">
        <f t="shared" si="56"/>
        <v>9.2127447429702011E-3</v>
      </c>
      <c r="S72" s="2"/>
      <c r="T72" s="6">
        <v>1700</v>
      </c>
      <c r="U72" s="2"/>
      <c r="V72" s="7">
        <f t="shared" si="57"/>
        <v>9.2391304347826091E-3</v>
      </c>
      <c r="W72" s="2"/>
      <c r="X72" s="6">
        <f t="shared" si="58"/>
        <v>-560.65000000000009</v>
      </c>
      <c r="Y72" s="2"/>
      <c r="Z72" s="7">
        <f t="shared" si="59"/>
        <v>-0.3297941176470589</v>
      </c>
    </row>
    <row r="73" spans="1:26" s="24" customFormat="1" hidden="1" outlineLevel="2" x14ac:dyDescent="0.25">
      <c r="A73" s="25"/>
      <c r="B73" s="11" t="str">
        <f>CONCATENATE("          ", "6247", " - ", "STORE SUPPLIES")</f>
        <v xml:space="preserve">          6247 - STORE SUPPLIES</v>
      </c>
      <c r="C73" s="11"/>
      <c r="D73" s="6"/>
      <c r="E73" s="2"/>
      <c r="F73" s="7">
        <f t="shared" si="52"/>
        <v>0</v>
      </c>
      <c r="G73" s="2"/>
      <c r="H73" s="6"/>
      <c r="I73" s="2"/>
      <c r="J73" s="7">
        <f t="shared" si="53"/>
        <v>0</v>
      </c>
      <c r="K73" s="2"/>
      <c r="L73" s="6">
        <f t="shared" si="54"/>
        <v>0</v>
      </c>
      <c r="M73" s="2"/>
      <c r="N73" s="7">
        <f t="shared" si="55"/>
        <v>0</v>
      </c>
      <c r="O73" s="11"/>
      <c r="P73" s="6">
        <v>102.64</v>
      </c>
      <c r="Q73" s="2"/>
      <c r="R73" s="7">
        <f t="shared" si="56"/>
        <v>8.2994349446479277E-4</v>
      </c>
      <c r="S73" s="2"/>
      <c r="T73" s="6"/>
      <c r="U73" s="2"/>
      <c r="V73" s="7">
        <f t="shared" si="57"/>
        <v>0</v>
      </c>
      <c r="W73" s="2"/>
      <c r="X73" s="6">
        <f t="shared" si="58"/>
        <v>102.64</v>
      </c>
      <c r="Y73" s="2"/>
      <c r="Z73" s="7">
        <f t="shared" si="59"/>
        <v>0</v>
      </c>
    </row>
    <row r="74" spans="1:26" s="24" customFormat="1" hidden="1" outlineLevel="2" x14ac:dyDescent="0.25">
      <c r="A74" s="25"/>
      <c r="B74" s="11" t="str">
        <f>CONCATENATE("          ", "6248", " - ", "UNIFORMS")</f>
        <v xml:space="preserve">          6248 - UNIFORMS</v>
      </c>
      <c r="C74" s="11"/>
      <c r="D74" s="6"/>
      <c r="E74" s="2"/>
      <c r="F74" s="7">
        <f t="shared" si="52"/>
        <v>0</v>
      </c>
      <c r="G74" s="2"/>
      <c r="H74" s="6"/>
      <c r="I74" s="2"/>
      <c r="J74" s="7">
        <f t="shared" si="53"/>
        <v>0</v>
      </c>
      <c r="K74" s="2"/>
      <c r="L74" s="6">
        <f t="shared" si="54"/>
        <v>0</v>
      </c>
      <c r="M74" s="2"/>
      <c r="N74" s="7">
        <f t="shared" si="55"/>
        <v>0</v>
      </c>
      <c r="O74" s="11"/>
      <c r="P74" s="6">
        <v>637.03</v>
      </c>
      <c r="Q74" s="2"/>
      <c r="R74" s="7">
        <f t="shared" si="56"/>
        <v>5.1510025748139794E-3</v>
      </c>
      <c r="S74" s="2"/>
      <c r="T74" s="6">
        <v>600</v>
      </c>
      <c r="U74" s="2"/>
      <c r="V74" s="7">
        <f t="shared" si="57"/>
        <v>3.2608695652173911E-3</v>
      </c>
      <c r="W74" s="2"/>
      <c r="X74" s="6">
        <f t="shared" si="58"/>
        <v>37.029999999999973</v>
      </c>
      <c r="Y74" s="2"/>
      <c r="Z74" s="7">
        <f t="shared" si="59"/>
        <v>6.1716666666666621E-2</v>
      </c>
    </row>
    <row r="75" spans="1:26" s="26" customFormat="1" outlineLevel="1" collapsed="1" x14ac:dyDescent="0.25">
      <c r="A75" s="27"/>
      <c r="B75" s="13" t="str">
        <f>CONCATENATE("     ","Telephone/Data Lines                              ")</f>
        <v xml:space="preserve">     Telephone/Data Lines                              </v>
      </c>
      <c r="C75" s="13"/>
      <c r="D75" s="1">
        <f>SUM(OSRRefD22_11x_0)</f>
        <v>86</v>
      </c>
      <c r="E75" s="1"/>
      <c r="F75" s="5">
        <f t="shared" ref="F75:F77" si="60">IF(D$12=0,0,D75/D$12)</f>
        <v>3.498951738470446E-3</v>
      </c>
      <c r="G75" s="1"/>
      <c r="H75" s="1">
        <f>SUM(OSRRefH22_11x_0)</f>
        <v>95</v>
      </c>
      <c r="I75" s="1"/>
      <c r="J75" s="5">
        <f t="shared" ref="J75:J77" si="61">IF(H$12=0,0,H75/H$12)</f>
        <v>2.5000000000000001E-3</v>
      </c>
      <c r="K75" s="1"/>
      <c r="L75" s="1">
        <f t="shared" ref="L75:L77" si="62">+D75-H75</f>
        <v>-9</v>
      </c>
      <c r="M75" s="1"/>
      <c r="N75" s="5">
        <f t="shared" ref="N75:N77" si="63">IF(H75=0,0,L75/H75)</f>
        <v>-9.4736842105263161E-2</v>
      </c>
      <c r="O75" s="13"/>
      <c r="P75" s="1">
        <f>SUM(OSRRefP22_11x_0)</f>
        <v>435</v>
      </c>
      <c r="Q75" s="1"/>
      <c r="R75" s="5">
        <f t="shared" ref="R75:R77" si="64">IF(P$12=0,0,P75/P$12)</f>
        <v>3.5173949736183245E-3</v>
      </c>
      <c r="S75" s="1"/>
      <c r="T75" s="1">
        <f>SUM(OSRRefT22_11x_0)</f>
        <v>475</v>
      </c>
      <c r="U75" s="1"/>
      <c r="V75" s="5">
        <f t="shared" ref="V75:V77" si="65">IF(T$12=0,0,T75/T$12)</f>
        <v>2.5815217391304346E-3</v>
      </c>
      <c r="W75" s="1"/>
      <c r="X75" s="1">
        <f t="shared" ref="X75:X77" si="66">+P75-T75</f>
        <v>-40</v>
      </c>
      <c r="Y75" s="1"/>
      <c r="Z75" s="5">
        <f t="shared" ref="Z75:Z77" si="67">IF(T75=0,0,X75/T75)</f>
        <v>-8.4210526315789472E-2</v>
      </c>
    </row>
    <row r="76" spans="1:26" s="24" customFormat="1" hidden="1" outlineLevel="2" x14ac:dyDescent="0.25">
      <c r="A76" s="25"/>
      <c r="B76" s="11" t="str">
        <f>CONCATENATE("          ", "6303", " - ", "DATA PHONE LINES")</f>
        <v xml:space="preserve">          6303 - DATA PHONE LINES</v>
      </c>
      <c r="C76" s="11"/>
      <c r="D76" s="6"/>
      <c r="E76" s="2"/>
      <c r="F76" s="7">
        <f t="shared" si="60"/>
        <v>0</v>
      </c>
      <c r="G76" s="2"/>
      <c r="H76" s="6">
        <v>50</v>
      </c>
      <c r="I76" s="2"/>
      <c r="J76" s="7">
        <f t="shared" si="61"/>
        <v>1.3157894736842105E-3</v>
      </c>
      <c r="K76" s="2"/>
      <c r="L76" s="6">
        <f t="shared" si="62"/>
        <v>-50</v>
      </c>
      <c r="M76" s="2"/>
      <c r="N76" s="7">
        <f t="shared" si="63"/>
        <v>-1</v>
      </c>
      <c r="O76" s="11"/>
      <c r="P76" s="6"/>
      <c r="Q76" s="2"/>
      <c r="R76" s="7">
        <f t="shared" si="64"/>
        <v>0</v>
      </c>
      <c r="S76" s="2"/>
      <c r="T76" s="6">
        <v>250</v>
      </c>
      <c r="U76" s="2"/>
      <c r="V76" s="7">
        <f t="shared" si="65"/>
        <v>1.358695652173913E-3</v>
      </c>
      <c r="W76" s="2"/>
      <c r="X76" s="6">
        <f t="shared" si="66"/>
        <v>-250</v>
      </c>
      <c r="Y76" s="2"/>
      <c r="Z76" s="7">
        <f t="shared" si="67"/>
        <v>-1</v>
      </c>
    </row>
    <row r="77" spans="1:26" s="24" customFormat="1" hidden="1" outlineLevel="2" x14ac:dyDescent="0.25">
      <c r="A77" s="25"/>
      <c r="B77" s="11" t="str">
        <f>CONCATENATE("          ", "6309", " - ", "TELEPHONE")</f>
        <v xml:space="preserve">          6309 - TELEPHONE</v>
      </c>
      <c r="C77" s="11"/>
      <c r="D77" s="6">
        <v>86</v>
      </c>
      <c r="E77" s="2"/>
      <c r="F77" s="7">
        <f t="shared" si="60"/>
        <v>3.498951738470446E-3</v>
      </c>
      <c r="G77" s="2"/>
      <c r="H77" s="6">
        <v>45</v>
      </c>
      <c r="I77" s="2"/>
      <c r="J77" s="7">
        <f t="shared" si="61"/>
        <v>1.1842105263157896E-3</v>
      </c>
      <c r="K77" s="2"/>
      <c r="L77" s="6">
        <f t="shared" si="62"/>
        <v>41</v>
      </c>
      <c r="M77" s="2"/>
      <c r="N77" s="7">
        <f t="shared" si="63"/>
        <v>0.91111111111111109</v>
      </c>
      <c r="O77" s="11"/>
      <c r="P77" s="6">
        <v>435</v>
      </c>
      <c r="Q77" s="2"/>
      <c r="R77" s="7">
        <f t="shared" si="64"/>
        <v>3.5173949736183245E-3</v>
      </c>
      <c r="S77" s="2"/>
      <c r="T77" s="6">
        <v>225</v>
      </c>
      <c r="U77" s="2"/>
      <c r="V77" s="7">
        <f t="shared" si="65"/>
        <v>1.2228260869565218E-3</v>
      </c>
      <c r="W77" s="2"/>
      <c r="X77" s="6">
        <f t="shared" si="66"/>
        <v>210</v>
      </c>
      <c r="Y77" s="2"/>
      <c r="Z77" s="7">
        <f t="shared" si="67"/>
        <v>0.93333333333333335</v>
      </c>
    </row>
    <row r="78" spans="1:26" s="26" customFormat="1" outlineLevel="1" collapsed="1" x14ac:dyDescent="0.25">
      <c r="A78" s="27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SUM(OSRRefD22_12x_0)</f>
        <v>0</v>
      </c>
      <c r="E78" s="1"/>
      <c r="F78" s="5">
        <f t="shared" ref="F78:F81" si="68">IF(D$12=0,0,D78/D$12)</f>
        <v>0</v>
      </c>
      <c r="G78" s="1"/>
      <c r="H78" s="1">
        <f>SUM(OSRRefH22_12x_0)</f>
        <v>0</v>
      </c>
      <c r="I78" s="1"/>
      <c r="J78" s="5">
        <f t="shared" ref="J78:J81" si="69">IF(H$12=0,0,H78/H$12)</f>
        <v>0</v>
      </c>
      <c r="K78" s="1"/>
      <c r="L78" s="1">
        <f t="shared" ref="L78:L81" si="70">+D78-H78</f>
        <v>0</v>
      </c>
      <c r="M78" s="1"/>
      <c r="N78" s="5">
        <f t="shared" ref="N78:N81" si="71">IF(H78=0,0,L78/H78)</f>
        <v>0</v>
      </c>
      <c r="O78" s="13"/>
      <c r="P78" s="1">
        <f>SUM(OSRRefP22_12x_0)</f>
        <v>152.94999999999999</v>
      </c>
      <c r="Q78" s="1"/>
      <c r="R78" s="5">
        <f t="shared" ref="R78:R81" si="72">IF(P$12=0,0,P78/P$12)</f>
        <v>1.2367484165860293E-3</v>
      </c>
      <c r="S78" s="1"/>
      <c r="T78" s="1">
        <f>SUM(OSRRefT22_12x_0)</f>
        <v>2000</v>
      </c>
      <c r="U78" s="1"/>
      <c r="V78" s="5">
        <f t="shared" ref="V78:V81" si="73">IF(T$12=0,0,T78/T$12)</f>
        <v>1.0869565217391304E-2</v>
      </c>
      <c r="W78" s="1"/>
      <c r="X78" s="1">
        <f t="shared" ref="X78:X81" si="74">+P78-T78</f>
        <v>-1847.05</v>
      </c>
      <c r="Y78" s="1"/>
      <c r="Z78" s="5">
        <f t="shared" ref="Z78:Z81" si="75">IF(T78=0,0,X78/T78)</f>
        <v>-0.92352499999999993</v>
      </c>
    </row>
    <row r="79" spans="1:26" s="24" customFormat="1" hidden="1" outlineLevel="2" x14ac:dyDescent="0.25">
      <c r="A79" s="25"/>
      <c r="B79" s="11" t="str">
        <f>CONCATENATE("          ", "6376", " - ", "TRAINING")</f>
        <v xml:space="preserve">          6376 - TRAINING</v>
      </c>
      <c r="C79" s="11"/>
      <c r="D79" s="6"/>
      <c r="E79" s="2"/>
      <c r="F79" s="7">
        <f t="shared" si="68"/>
        <v>0</v>
      </c>
      <c r="G79" s="2"/>
      <c r="H79" s="6"/>
      <c r="I79" s="2"/>
      <c r="J79" s="7">
        <f t="shared" si="69"/>
        <v>0</v>
      </c>
      <c r="K79" s="2"/>
      <c r="L79" s="6">
        <f t="shared" si="70"/>
        <v>0</v>
      </c>
      <c r="M79" s="2"/>
      <c r="N79" s="7">
        <f t="shared" si="71"/>
        <v>0</v>
      </c>
      <c r="O79" s="11"/>
      <c r="P79" s="6">
        <v>152.94999999999999</v>
      </c>
      <c r="Q79" s="2"/>
      <c r="R79" s="7">
        <f t="shared" si="72"/>
        <v>1.2367484165860293E-3</v>
      </c>
      <c r="S79" s="2"/>
      <c r="T79" s="6">
        <v>2000</v>
      </c>
      <c r="U79" s="2"/>
      <c r="V79" s="7">
        <f t="shared" si="73"/>
        <v>1.0869565217391304E-2</v>
      </c>
      <c r="W79" s="2"/>
      <c r="X79" s="6">
        <f t="shared" si="74"/>
        <v>-1847.05</v>
      </c>
      <c r="Y79" s="2"/>
      <c r="Z79" s="7">
        <f t="shared" si="75"/>
        <v>-0.92352499999999993</v>
      </c>
    </row>
    <row r="80" spans="1:26" s="26" customFormat="1" outlineLevel="1" collapsed="1" x14ac:dyDescent="0.25">
      <c r="A80" s="27"/>
      <c r="B80" s="13" t="str">
        <f>CONCATENATE("     ","Travel                                            ")</f>
        <v xml:space="preserve">     Travel                                            </v>
      </c>
      <c r="C80" s="13"/>
      <c r="D80" s="1">
        <f>SUM(OSRRefD22_13x_0)</f>
        <v>0</v>
      </c>
      <c r="E80" s="1"/>
      <c r="F80" s="5">
        <f t="shared" si="68"/>
        <v>0</v>
      </c>
      <c r="G80" s="1"/>
      <c r="H80" s="1">
        <f>SUM(OSRRefH22_13x_0)</f>
        <v>0</v>
      </c>
      <c r="I80" s="1"/>
      <c r="J80" s="5">
        <f t="shared" si="69"/>
        <v>0</v>
      </c>
      <c r="K80" s="1"/>
      <c r="L80" s="1">
        <f t="shared" si="70"/>
        <v>0</v>
      </c>
      <c r="M80" s="1"/>
      <c r="N80" s="5">
        <f t="shared" si="71"/>
        <v>0</v>
      </c>
      <c r="O80" s="13"/>
      <c r="P80" s="1">
        <f>SUM(OSRRefP22_13x_0)</f>
        <v>0</v>
      </c>
      <c r="Q80" s="1"/>
      <c r="R80" s="5">
        <f t="shared" si="72"/>
        <v>0</v>
      </c>
      <c r="S80" s="1"/>
      <c r="T80" s="1">
        <f>SUM(OSRRefT22_13x_0)</f>
        <v>2000</v>
      </c>
      <c r="U80" s="1"/>
      <c r="V80" s="5">
        <f t="shared" si="73"/>
        <v>1.0869565217391304E-2</v>
      </c>
      <c r="W80" s="1"/>
      <c r="X80" s="1">
        <f t="shared" si="74"/>
        <v>-2000</v>
      </c>
      <c r="Y80" s="1"/>
      <c r="Z80" s="5">
        <f t="shared" si="75"/>
        <v>-1</v>
      </c>
    </row>
    <row r="81" spans="1:26" s="24" customFormat="1" hidden="1" outlineLevel="2" x14ac:dyDescent="0.25">
      <c r="A81" s="25"/>
      <c r="B81" s="11" t="str">
        <f>CONCATENATE("          ", "6292", " - ", "TRAVEL/CONFERENCE")</f>
        <v xml:space="preserve">          6292 - TRAVEL/CONFERENCE</v>
      </c>
      <c r="C81" s="11"/>
      <c r="D81" s="6"/>
      <c r="E81" s="2"/>
      <c r="F81" s="7">
        <f t="shared" si="68"/>
        <v>0</v>
      </c>
      <c r="G81" s="2"/>
      <c r="H81" s="6"/>
      <c r="I81" s="2"/>
      <c r="J81" s="7">
        <f t="shared" si="69"/>
        <v>0</v>
      </c>
      <c r="K81" s="2"/>
      <c r="L81" s="6">
        <f t="shared" si="70"/>
        <v>0</v>
      </c>
      <c r="M81" s="2"/>
      <c r="N81" s="7">
        <f t="shared" si="71"/>
        <v>0</v>
      </c>
      <c r="O81" s="11"/>
      <c r="P81" s="6"/>
      <c r="Q81" s="2"/>
      <c r="R81" s="7">
        <f t="shared" si="72"/>
        <v>0</v>
      </c>
      <c r="S81" s="2"/>
      <c r="T81" s="6">
        <v>2000</v>
      </c>
      <c r="U81" s="2"/>
      <c r="V81" s="7">
        <f t="shared" si="73"/>
        <v>1.0869565217391304E-2</v>
      </c>
      <c r="W81" s="2"/>
      <c r="X81" s="6">
        <f t="shared" si="74"/>
        <v>-2000</v>
      </c>
      <c r="Y81" s="2"/>
      <c r="Z81" s="7">
        <f t="shared" si="75"/>
        <v>-1</v>
      </c>
    </row>
    <row r="82" spans="1:26" s="59" customFormat="1" x14ac:dyDescent="0.25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9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8" t="s">
        <v>3</v>
      </c>
      <c r="C85" s="28"/>
      <c r="D85" s="20">
        <f>+D23-D25+D83</f>
        <v>-5869.0900000000038</v>
      </c>
      <c r="E85" s="14"/>
      <c r="F85" s="22">
        <f>IF(D$12=0,0,D85/D$12)</f>
        <v>-0.23878677510162236</v>
      </c>
      <c r="G85" s="14"/>
      <c r="H85" s="20">
        <f>+H23-H25+H83</f>
        <v>8497.9017400000012</v>
      </c>
      <c r="I85" s="14"/>
      <c r="J85" s="22">
        <f>IF(H$12=0,0,H85/H$12)</f>
        <v>0.22362899315789478</v>
      </c>
      <c r="K85" s="16"/>
      <c r="L85" s="20">
        <f>+D85-H85</f>
        <v>-14366.991740000005</v>
      </c>
      <c r="M85" s="16"/>
      <c r="N85" s="22">
        <f>IF(H85=0,0,L85/H85)</f>
        <v>-1.690651666678368</v>
      </c>
      <c r="O85" s="29"/>
      <c r="P85" s="20">
        <f>+P23-P25+P83</f>
        <v>-28847.339999999997</v>
      </c>
      <c r="Q85" s="14"/>
      <c r="R85" s="22">
        <f>IF(P$12=0,0,P85/P$12)</f>
        <v>-0.23325859475461799</v>
      </c>
      <c r="S85" s="14"/>
      <c r="T85" s="20">
        <f>+T23-T25+T83</f>
        <v>35091.383589999998</v>
      </c>
      <c r="U85" s="14"/>
      <c r="V85" s="22">
        <f>IF(T$12=0,0,T85/T$12)</f>
        <v>0.19071404124999999</v>
      </c>
      <c r="W85" s="16"/>
      <c r="X85" s="20">
        <f>+P85-T85</f>
        <v>-63938.723589999994</v>
      </c>
      <c r="Y85" s="16"/>
      <c r="Z85" s="22">
        <f>IF(T85=0,0,X85/T85)</f>
        <v>-1.8220633400223247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2"/>
      <c r="B87" s="10" t="s">
        <v>14</v>
      </c>
      <c r="C87" s="10"/>
      <c r="D87" s="4">
        <v>3121.05</v>
      </c>
      <c r="E87" s="4"/>
      <c r="F87" s="12">
        <f>IF(D$12=0,0,D87/D$12)</f>
        <v>0.12698143399247891</v>
      </c>
      <c r="G87" s="4"/>
      <c r="H87" s="4">
        <v>5737</v>
      </c>
      <c r="I87" s="4"/>
      <c r="J87" s="12">
        <f>IF(H$12=0,0,H87/H$12)</f>
        <v>0.15097368421052632</v>
      </c>
      <c r="K87" s="4"/>
      <c r="L87" s="4">
        <f>+D87-H87</f>
        <v>-2615.9499999999998</v>
      </c>
      <c r="M87" s="4"/>
      <c r="N87" s="12">
        <f>IF(H87=0,0,L87/H87)</f>
        <v>-0.45597873453024224</v>
      </c>
      <c r="O87" s="10"/>
      <c r="P87" s="4">
        <v>13095.93</v>
      </c>
      <c r="Q87" s="4"/>
      <c r="R87" s="12">
        <f>IF(P$12=0,0,P87/P$12)</f>
        <v>0.1058932376019711</v>
      </c>
      <c r="S87" s="4"/>
      <c r="T87" s="4">
        <v>23319</v>
      </c>
      <c r="U87" s="4"/>
      <c r="V87" s="12">
        <f>IF(T$12=0,0,T87/T$12)</f>
        <v>0.12673369565217391</v>
      </c>
      <c r="W87" s="4"/>
      <c r="X87" s="4">
        <f>+P87-T87</f>
        <v>-10223.07</v>
      </c>
      <c r="Y87" s="4"/>
      <c r="Z87" s="12">
        <f>IF(T87=0,0,X87/T87)</f>
        <v>-0.43840087482310564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8" t="s">
        <v>4</v>
      </c>
      <c r="C89" s="28"/>
      <c r="D89" s="30">
        <f>+D85-D87</f>
        <v>-8990.1400000000031</v>
      </c>
      <c r="E89" s="14"/>
      <c r="F89" s="32">
        <f>IF(D$12=0,0,D89/D$12)</f>
        <v>-0.36576820909410124</v>
      </c>
      <c r="G89" s="14"/>
      <c r="H89" s="30">
        <f>+H85-H87</f>
        <v>2760.9017400000012</v>
      </c>
      <c r="I89" s="14"/>
      <c r="J89" s="32">
        <f>IF(H$12=0,0,H89/H$12)</f>
        <v>7.2655308947368449E-2</v>
      </c>
      <c r="K89" s="16"/>
      <c r="L89" s="30">
        <f>D89-H89</f>
        <v>-11751.041740000004</v>
      </c>
      <c r="M89" s="16"/>
      <c r="N89" s="32">
        <f>IF(H89=0,0,L89/H89)</f>
        <v>-4.2562332334217734</v>
      </c>
      <c r="O89" s="29"/>
      <c r="P89" s="30">
        <f>+P85-P87</f>
        <v>-41943.27</v>
      </c>
      <c r="Q89" s="14"/>
      <c r="R89" s="32">
        <f>IF(P$12=0,0,P89/P$12)</f>
        <v>-0.33915183235658908</v>
      </c>
      <c r="S89" s="14"/>
      <c r="T89" s="30">
        <f>+T85-T87</f>
        <v>11772.383589999998</v>
      </c>
      <c r="U89" s="14"/>
      <c r="V89" s="32">
        <f>IF(T$12=0,0,T89/T$12)</f>
        <v>6.3980345597826074E-2</v>
      </c>
      <c r="W89" s="16"/>
      <c r="X89" s="30">
        <f>P89-T89</f>
        <v>-53715.653589999994</v>
      </c>
      <c r="Y89" s="16"/>
      <c r="Z89" s="32">
        <f>IF(T89=0,0,X89/T89)</f>
        <v>-4.5628528139049545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8" t="s">
        <v>5</v>
      </c>
      <c r="C92" s="28"/>
      <c r="D92" s="31">
        <f>SUM(D89:D91)</f>
        <v>-8990.1400000000031</v>
      </c>
      <c r="E92" s="14"/>
      <c r="F92" s="35">
        <f>IF(D$12=0,0,D92/D$12)</f>
        <v>-0.36576820909410124</v>
      </c>
      <c r="G92" s="14"/>
      <c r="H92" s="31">
        <f>SUM(H89:H91)</f>
        <v>2760.9017400000012</v>
      </c>
      <c r="I92" s="14"/>
      <c r="J92" s="35">
        <f>IF(H$12=0,0,H92/H$12)</f>
        <v>7.2655308947368449E-2</v>
      </c>
      <c r="K92" s="16"/>
      <c r="L92" s="31">
        <f>+D92-H92</f>
        <v>-11751.041740000004</v>
      </c>
      <c r="M92" s="16"/>
      <c r="N92" s="35">
        <f>IF(H92=0,0,L92/H92)</f>
        <v>-4.2562332334217734</v>
      </c>
      <c r="O92" s="29"/>
      <c r="P92" s="31">
        <f>SUM(P89:P91)</f>
        <v>-41943.27</v>
      </c>
      <c r="Q92" s="14"/>
      <c r="R92" s="35">
        <f>IF(P$12=0,0,P92/P$12)</f>
        <v>-0.33915183235658908</v>
      </c>
      <c r="S92" s="14"/>
      <c r="T92" s="31">
        <f>SUM(T89:T91)</f>
        <v>11772.383589999998</v>
      </c>
      <c r="U92" s="14"/>
      <c r="V92" s="35">
        <f>IF(T$12=0,0,T92/T$12)</f>
        <v>6.3980345597826074E-2</v>
      </c>
      <c r="W92" s="16"/>
      <c r="X92" s="31">
        <f>+P92-T92</f>
        <v>-53715.653589999994</v>
      </c>
      <c r="Y92" s="16"/>
      <c r="Z92" s="35">
        <f>IF(T92=0,0,X92/T92)</f>
        <v>-4.5628528139049545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56">
        <v>43815.483949421294</v>
      </c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62" t="s">
        <v>314</v>
      </c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58"/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4:24" x14ac:dyDescent="0.25"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300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","411", " - ", "University Dining")</f>
        <v>Department 411 - University Dining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104677.00999999998</v>
      </c>
      <c r="E18" s="21"/>
      <c r="F18" s="33">
        <f t="shared" ref="F18:F29" si="0">IF(D$12=0,0,D18/D$12)</f>
        <v>0</v>
      </c>
      <c r="G18" s="21"/>
      <c r="H18" s="21">
        <f>SUM(OSRRefH22x_0)</f>
        <v>93545.465736985236</v>
      </c>
      <c r="I18" s="21"/>
      <c r="J18" s="33">
        <f t="shared" ref="J18:J29" si="1">IF(H$12=0,0,H18/H$12)</f>
        <v>0</v>
      </c>
      <c r="K18" s="4"/>
      <c r="L18" s="21">
        <f t="shared" ref="L18:L29" si="2">+D18-H18</f>
        <v>11131.544263014745</v>
      </c>
      <c r="M18" s="4"/>
      <c r="N18" s="33">
        <f t="shared" ref="N18:N29" si="3">IF(H18=0,0,L18/H18)</f>
        <v>0.11899608575697802</v>
      </c>
      <c r="O18" s="10"/>
      <c r="P18" s="21">
        <f>SUM(OSRRefP22x_0)</f>
        <v>483347.72</v>
      </c>
      <c r="Q18" s="21"/>
      <c r="R18" s="33">
        <f t="shared" ref="R18:R29" si="4">IF(P$12=0,0,P18/P$12)</f>
        <v>0</v>
      </c>
      <c r="S18" s="21"/>
      <c r="T18" s="21">
        <f>SUM(OSRRefT22x_0)</f>
        <v>515135.85266276676</v>
      </c>
      <c r="U18" s="21"/>
      <c r="V18" s="33">
        <f t="shared" ref="V18:V29" si="5">IF(T$12=0,0,T18/T$12)</f>
        <v>0</v>
      </c>
      <c r="W18" s="4"/>
      <c r="X18" s="21">
        <f t="shared" ref="X18:X29" si="6">+P18-T18</f>
        <v>-31788.132662766788</v>
      </c>
      <c r="Y18" s="4"/>
      <c r="Z18" s="33">
        <f t="shared" ref="Z18:Z29" si="7">IF(T18=0,0,X18/T18)</f>
        <v>-6.1708251325261303E-2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10218.700000000001</v>
      </c>
      <c r="E19" s="1"/>
      <c r="F19" s="5">
        <f t="shared" si="0"/>
        <v>0</v>
      </c>
      <c r="G19" s="1"/>
      <c r="H19" s="1">
        <f>SUM(OSRRefH22_0x_0)</f>
        <v>8760.7614600621455</v>
      </c>
      <c r="I19" s="1"/>
      <c r="J19" s="5">
        <f t="shared" si="1"/>
        <v>0</v>
      </c>
      <c r="K19" s="1"/>
      <c r="L19" s="1">
        <f t="shared" si="2"/>
        <v>1457.9385399378552</v>
      </c>
      <c r="M19" s="1"/>
      <c r="N19" s="5">
        <f t="shared" si="3"/>
        <v>0.16641687444455464</v>
      </c>
      <c r="O19" s="13"/>
      <c r="P19" s="1">
        <f>SUM(OSRRefP22_0x_0)</f>
        <v>56496.750000000007</v>
      </c>
      <c r="Q19" s="1"/>
      <c r="R19" s="5">
        <f t="shared" si="4"/>
        <v>0</v>
      </c>
      <c r="S19" s="1"/>
      <c r="T19" s="1">
        <f>SUM(OSRRefT22_0x_0)</f>
        <v>47018.215539689831</v>
      </c>
      <c r="U19" s="1"/>
      <c r="V19" s="5">
        <f t="shared" si="5"/>
        <v>0</v>
      </c>
      <c r="W19" s="1"/>
      <c r="X19" s="1">
        <f t="shared" si="6"/>
        <v>9478.5344603101767</v>
      </c>
      <c r="Y19" s="1"/>
      <c r="Z19" s="5">
        <f t="shared" si="7"/>
        <v>0.20159281571009413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1896.75</v>
      </c>
      <c r="E20" s="2"/>
      <c r="F20" s="7">
        <f t="shared" si="0"/>
        <v>0</v>
      </c>
      <c r="G20" s="2"/>
      <c r="H20" s="6">
        <v>1412.2297868436899</v>
      </c>
      <c r="I20" s="2"/>
      <c r="J20" s="7">
        <f t="shared" si="1"/>
        <v>0</v>
      </c>
      <c r="K20" s="2"/>
      <c r="L20" s="6">
        <f t="shared" si="2"/>
        <v>484.52021315631009</v>
      </c>
      <c r="M20" s="2"/>
      <c r="N20" s="7">
        <f t="shared" si="3"/>
        <v>0.34308879310583351</v>
      </c>
      <c r="O20" s="11"/>
      <c r="P20" s="6">
        <v>12146.52</v>
      </c>
      <c r="Q20" s="2"/>
      <c r="R20" s="7">
        <f t="shared" si="4"/>
        <v>0</v>
      </c>
      <c r="S20" s="2"/>
      <c r="T20" s="6">
        <v>7991.9378159483094</v>
      </c>
      <c r="U20" s="2"/>
      <c r="V20" s="7">
        <f t="shared" si="5"/>
        <v>0</v>
      </c>
      <c r="W20" s="2"/>
      <c r="X20" s="6">
        <f t="shared" si="6"/>
        <v>4154.582184051691</v>
      </c>
      <c r="Y20" s="2"/>
      <c r="Z20" s="7">
        <f t="shared" si="7"/>
        <v>0.51984666043835026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892.61</v>
      </c>
      <c r="E21" s="2"/>
      <c r="F21" s="7">
        <f t="shared" si="0"/>
        <v>0</v>
      </c>
      <c r="G21" s="2"/>
      <c r="H21" s="6">
        <v>1107.0914000984601</v>
      </c>
      <c r="I21" s="2"/>
      <c r="J21" s="7">
        <f t="shared" si="1"/>
        <v>0</v>
      </c>
      <c r="K21" s="2"/>
      <c r="L21" s="6">
        <f t="shared" si="2"/>
        <v>-214.48140009846009</v>
      </c>
      <c r="M21" s="2"/>
      <c r="N21" s="7">
        <f t="shared" si="3"/>
        <v>-0.19373413981843324</v>
      </c>
      <c r="O21" s="11"/>
      <c r="P21" s="6">
        <v>3480.35</v>
      </c>
      <c r="Q21" s="2"/>
      <c r="R21" s="7">
        <f t="shared" si="4"/>
        <v>0</v>
      </c>
      <c r="S21" s="2"/>
      <c r="T21" s="6">
        <v>5876.99032822154</v>
      </c>
      <c r="U21" s="2"/>
      <c r="V21" s="7">
        <f t="shared" si="5"/>
        <v>0</v>
      </c>
      <c r="W21" s="2"/>
      <c r="X21" s="6">
        <f t="shared" si="6"/>
        <v>-2396.6403282215401</v>
      </c>
      <c r="Y21" s="2"/>
      <c r="Z21" s="7">
        <f t="shared" si="7"/>
        <v>-0.4078006248730372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3654.92</v>
      </c>
      <c r="E22" s="2"/>
      <c r="F22" s="7">
        <f t="shared" si="0"/>
        <v>0</v>
      </c>
      <c r="G22" s="2"/>
      <c r="H22" s="6">
        <v>2600.76923076923</v>
      </c>
      <c r="I22" s="2"/>
      <c r="J22" s="7">
        <f t="shared" si="1"/>
        <v>0</v>
      </c>
      <c r="K22" s="2"/>
      <c r="L22" s="6">
        <f t="shared" si="2"/>
        <v>1054.15076923077</v>
      </c>
      <c r="M22" s="2"/>
      <c r="N22" s="7">
        <f t="shared" si="3"/>
        <v>0.40532268559597795</v>
      </c>
      <c r="O22" s="11"/>
      <c r="P22" s="6">
        <v>18274.36</v>
      </c>
      <c r="Q22" s="2"/>
      <c r="R22" s="7">
        <f t="shared" si="4"/>
        <v>0</v>
      </c>
      <c r="S22" s="2"/>
      <c r="T22" s="6">
        <v>13641.23076923077</v>
      </c>
      <c r="U22" s="2"/>
      <c r="V22" s="7">
        <f t="shared" si="5"/>
        <v>0</v>
      </c>
      <c r="W22" s="2"/>
      <c r="X22" s="6">
        <f t="shared" si="6"/>
        <v>4633.1292307692311</v>
      </c>
      <c r="Y22" s="2"/>
      <c r="Z22" s="7">
        <f t="shared" si="7"/>
        <v>0.33964158433707764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71.94</v>
      </c>
      <c r="E23" s="2"/>
      <c r="F23" s="7">
        <f t="shared" si="0"/>
        <v>0</v>
      </c>
      <c r="G23" s="2"/>
      <c r="H23" s="6">
        <v>74.186537119999997</v>
      </c>
      <c r="I23" s="2"/>
      <c r="J23" s="7">
        <f t="shared" si="1"/>
        <v>0</v>
      </c>
      <c r="K23" s="2"/>
      <c r="L23" s="6">
        <f t="shared" si="2"/>
        <v>-2.2465371199999993</v>
      </c>
      <c r="M23" s="2"/>
      <c r="N23" s="7">
        <f t="shared" si="3"/>
        <v>-3.0282275022031645E-2</v>
      </c>
      <c r="O23" s="11"/>
      <c r="P23" s="6">
        <v>381.56</v>
      </c>
      <c r="Q23" s="2"/>
      <c r="R23" s="7">
        <f t="shared" si="4"/>
        <v>0</v>
      </c>
      <c r="S23" s="2"/>
      <c r="T23" s="6">
        <v>393.81893952000001</v>
      </c>
      <c r="U23" s="2"/>
      <c r="V23" s="7">
        <f t="shared" si="5"/>
        <v>0</v>
      </c>
      <c r="W23" s="2"/>
      <c r="X23" s="6">
        <f t="shared" si="6"/>
        <v>-12.258939520000013</v>
      </c>
      <c r="Y23" s="2"/>
      <c r="Z23" s="7">
        <f t="shared" si="7"/>
        <v>-3.1128364559971713E-2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1227.27</v>
      </c>
      <c r="E24" s="2"/>
      <c r="F24" s="7">
        <f t="shared" si="0"/>
        <v>0</v>
      </c>
      <c r="G24" s="2"/>
      <c r="H24" s="6">
        <v>1096.68853846154</v>
      </c>
      <c r="I24" s="2"/>
      <c r="J24" s="7">
        <f t="shared" si="1"/>
        <v>0</v>
      </c>
      <c r="K24" s="2"/>
      <c r="L24" s="6">
        <f t="shared" si="2"/>
        <v>130.58146153845996</v>
      </c>
      <c r="M24" s="2"/>
      <c r="N24" s="7">
        <f t="shared" si="3"/>
        <v>0.11906886682853698</v>
      </c>
      <c r="O24" s="11"/>
      <c r="P24" s="6">
        <v>7233.09</v>
      </c>
      <c r="Q24" s="2"/>
      <c r="R24" s="7">
        <f t="shared" si="4"/>
        <v>0</v>
      </c>
      <c r="S24" s="2"/>
      <c r="T24" s="6">
        <v>6031.7869615384598</v>
      </c>
      <c r="U24" s="2"/>
      <c r="V24" s="7">
        <f t="shared" si="5"/>
        <v>0</v>
      </c>
      <c r="W24" s="2"/>
      <c r="X24" s="6">
        <f t="shared" si="6"/>
        <v>1201.3030384615404</v>
      </c>
      <c r="Y24" s="2"/>
      <c r="Z24" s="7">
        <f t="shared" si="7"/>
        <v>0.19916204702215437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"6117", " - ", "RETIREMENT STAFF HOURLY")</f>
        <v xml:space="preserve">          6117 - RETIREMENT STAFF HOURLY</v>
      </c>
      <c r="C26" s="11"/>
      <c r="D26" s="6">
        <v>56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56</v>
      </c>
      <c r="M26" s="2"/>
      <c r="N26" s="7">
        <f t="shared" si="3"/>
        <v>0</v>
      </c>
      <c r="O26" s="11"/>
      <c r="P26" s="6">
        <v>308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308</v>
      </c>
      <c r="Y26" s="2"/>
      <c r="Z26" s="7">
        <f t="shared" si="7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1401.17</v>
      </c>
      <c r="E27" s="2"/>
      <c r="F27" s="7">
        <f t="shared" si="0"/>
        <v>0</v>
      </c>
      <c r="G27" s="2"/>
      <c r="H27" s="6">
        <v>1066.3193846153799</v>
      </c>
      <c r="I27" s="2"/>
      <c r="J27" s="7">
        <f t="shared" si="1"/>
        <v>0</v>
      </c>
      <c r="K27" s="2"/>
      <c r="L27" s="6">
        <f t="shared" si="2"/>
        <v>334.85061538462014</v>
      </c>
      <c r="M27" s="2"/>
      <c r="N27" s="7">
        <f t="shared" si="3"/>
        <v>0.3140246911157864</v>
      </c>
      <c r="O27" s="11"/>
      <c r="P27" s="6">
        <v>7715.76</v>
      </c>
      <c r="Q27" s="2"/>
      <c r="R27" s="7">
        <f t="shared" si="4"/>
        <v>0</v>
      </c>
      <c r="S27" s="2"/>
      <c r="T27" s="6">
        <v>5864.7566153846001</v>
      </c>
      <c r="U27" s="2"/>
      <c r="V27" s="7">
        <f t="shared" si="5"/>
        <v>0</v>
      </c>
      <c r="W27" s="2"/>
      <c r="X27" s="6">
        <f t="shared" si="6"/>
        <v>1851.0033846154001</v>
      </c>
      <c r="Y27" s="2"/>
      <c r="Z27" s="7">
        <f t="shared" si="7"/>
        <v>0.31561469742150838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716.34</v>
      </c>
      <c r="E28" s="2"/>
      <c r="F28" s="7">
        <f t="shared" si="0"/>
        <v>0</v>
      </c>
      <c r="G28" s="2"/>
      <c r="H28" s="6">
        <v>728.47658215384592</v>
      </c>
      <c r="I28" s="2"/>
      <c r="J28" s="7">
        <f t="shared" si="1"/>
        <v>0</v>
      </c>
      <c r="K28" s="2"/>
      <c r="L28" s="6">
        <f t="shared" si="2"/>
        <v>-12.136582153845893</v>
      </c>
      <c r="M28" s="2"/>
      <c r="N28" s="7">
        <f t="shared" si="3"/>
        <v>-1.6660222787069339E-2</v>
      </c>
      <c r="O28" s="11"/>
      <c r="P28" s="6">
        <v>5186.0600000000004</v>
      </c>
      <c r="Q28" s="2"/>
      <c r="R28" s="7">
        <f t="shared" si="4"/>
        <v>0</v>
      </c>
      <c r="S28" s="2"/>
      <c r="T28" s="6">
        <v>3842.6941098461534</v>
      </c>
      <c r="U28" s="2"/>
      <c r="V28" s="7">
        <f t="shared" si="5"/>
        <v>0</v>
      </c>
      <c r="W28" s="2"/>
      <c r="X28" s="6">
        <f t="shared" si="6"/>
        <v>1343.365890153847</v>
      </c>
      <c r="Y28" s="2"/>
      <c r="Z28" s="7">
        <f t="shared" si="7"/>
        <v>0.34958959827474534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301.7</v>
      </c>
      <c r="E29" s="2"/>
      <c r="F29" s="7">
        <f t="shared" si="0"/>
        <v>0</v>
      </c>
      <c r="G29" s="2"/>
      <c r="H29" s="6">
        <v>675</v>
      </c>
      <c r="I29" s="2"/>
      <c r="J29" s="7">
        <f t="shared" si="1"/>
        <v>0</v>
      </c>
      <c r="K29" s="2"/>
      <c r="L29" s="6">
        <f t="shared" si="2"/>
        <v>-373.3</v>
      </c>
      <c r="M29" s="2"/>
      <c r="N29" s="7">
        <f t="shared" si="3"/>
        <v>-0.5530370370370371</v>
      </c>
      <c r="O29" s="11"/>
      <c r="P29" s="6">
        <v>1771.05</v>
      </c>
      <c r="Q29" s="2"/>
      <c r="R29" s="7">
        <f t="shared" si="4"/>
        <v>0</v>
      </c>
      <c r="S29" s="2"/>
      <c r="T29" s="6">
        <v>3375</v>
      </c>
      <c r="U29" s="2"/>
      <c r="V29" s="7">
        <f t="shared" si="5"/>
        <v>0</v>
      </c>
      <c r="W29" s="2"/>
      <c r="X29" s="6">
        <f t="shared" si="6"/>
        <v>-1603.95</v>
      </c>
      <c r="Y29" s="2"/>
      <c r="Z29" s="7">
        <f t="shared" si="7"/>
        <v>-0.47524444444444447</v>
      </c>
    </row>
    <row r="30" spans="1:26" s="26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25163.07</v>
      </c>
      <c r="E30" s="1"/>
      <c r="F30" s="5">
        <f t="shared" ref="F30:F40" si="8">IF(D$12=0,0,D30/D$12)</f>
        <v>0</v>
      </c>
      <c r="G30" s="1"/>
      <c r="H30" s="1">
        <f>SUM(OSRRefH22_1x_0)</f>
        <v>27142.704276923083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-1979.6342769230832</v>
      </c>
      <c r="M30" s="1"/>
      <c r="N30" s="5">
        <f t="shared" ref="N30:N40" si="11">IF(H30=0,0,L30/H30)</f>
        <v>-7.2934305171875671E-2</v>
      </c>
      <c r="O30" s="13"/>
      <c r="P30" s="1">
        <f>SUM(OSRRefP22_1x_0)</f>
        <v>139357.35</v>
      </c>
      <c r="Q30" s="1"/>
      <c r="R30" s="5">
        <f t="shared" ref="R30:R40" si="12">IF(P$12=0,0,P30/P$12)</f>
        <v>0</v>
      </c>
      <c r="S30" s="1"/>
      <c r="T30" s="1">
        <f>SUM(OSRRefT22_1x_0)</f>
        <v>143820.63712307694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-4463.2871230769379</v>
      </c>
      <c r="Y30" s="1"/>
      <c r="Z30" s="5">
        <f t="shared" ref="Z30:Z40" si="15">IF(T30=0,0,X30/T30)</f>
        <v>-3.103370428860918E-2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>
        <v>7932.5</v>
      </c>
      <c r="E31" s="2"/>
      <c r="F31" s="7">
        <f t="shared" si="8"/>
        <v>0</v>
      </c>
      <c r="G31" s="2"/>
      <c r="H31" s="6">
        <v>7915.1538461538503</v>
      </c>
      <c r="I31" s="2"/>
      <c r="J31" s="7">
        <f t="shared" si="9"/>
        <v>0</v>
      </c>
      <c r="K31" s="2"/>
      <c r="L31" s="6">
        <f t="shared" si="10"/>
        <v>17.346153846149718</v>
      </c>
      <c r="M31" s="2"/>
      <c r="N31" s="7">
        <f t="shared" si="11"/>
        <v>2.1915119002492416E-3</v>
      </c>
      <c r="O31" s="11"/>
      <c r="P31" s="6">
        <v>40543.85</v>
      </c>
      <c r="Q31" s="2"/>
      <c r="R31" s="7">
        <f t="shared" si="12"/>
        <v>0</v>
      </c>
      <c r="S31" s="2"/>
      <c r="T31" s="6">
        <v>43533.346153846171</v>
      </c>
      <c r="U31" s="2"/>
      <c r="V31" s="7">
        <f t="shared" si="13"/>
        <v>0</v>
      </c>
      <c r="W31" s="2"/>
      <c r="X31" s="6">
        <f t="shared" si="14"/>
        <v>-2989.4961538461721</v>
      </c>
      <c r="Y31" s="2"/>
      <c r="Z31" s="7">
        <f t="shared" si="15"/>
        <v>-6.8671407506359361E-2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>
        <v>4380.7700000000004</v>
      </c>
      <c r="E32" s="2"/>
      <c r="F32" s="7">
        <f t="shared" si="8"/>
        <v>0</v>
      </c>
      <c r="G32" s="2"/>
      <c r="H32" s="6">
        <v>3561.8192307692298</v>
      </c>
      <c r="I32" s="2"/>
      <c r="J32" s="7">
        <f t="shared" si="9"/>
        <v>0</v>
      </c>
      <c r="K32" s="2"/>
      <c r="L32" s="6">
        <f t="shared" si="10"/>
        <v>818.95076923077067</v>
      </c>
      <c r="M32" s="2"/>
      <c r="N32" s="7">
        <f t="shared" si="11"/>
        <v>0.22992485473607419</v>
      </c>
      <c r="O32" s="11"/>
      <c r="P32" s="6">
        <v>22686.350000000002</v>
      </c>
      <c r="Q32" s="2"/>
      <c r="R32" s="7">
        <f t="shared" si="12"/>
        <v>0</v>
      </c>
      <c r="S32" s="2"/>
      <c r="T32" s="6">
        <v>19590.005769230767</v>
      </c>
      <c r="U32" s="2"/>
      <c r="V32" s="7">
        <f t="shared" si="13"/>
        <v>0</v>
      </c>
      <c r="W32" s="2"/>
      <c r="X32" s="6">
        <f t="shared" si="14"/>
        <v>3096.3442307692349</v>
      </c>
      <c r="Y32" s="2"/>
      <c r="Z32" s="7">
        <f t="shared" si="15"/>
        <v>0.15805734144461245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>
        <v>2307.1999999999998</v>
      </c>
      <c r="E34" s="2"/>
      <c r="F34" s="7">
        <f t="shared" si="8"/>
        <v>0</v>
      </c>
      <c r="G34" s="2"/>
      <c r="H34" s="6">
        <v>5585.7312000000002</v>
      </c>
      <c r="I34" s="2"/>
      <c r="J34" s="7">
        <f t="shared" si="9"/>
        <v>0</v>
      </c>
      <c r="K34" s="2"/>
      <c r="L34" s="6">
        <f t="shared" si="10"/>
        <v>-3278.5312000000004</v>
      </c>
      <c r="M34" s="2"/>
      <c r="N34" s="7">
        <f t="shared" si="11"/>
        <v>-0.58694754233787694</v>
      </c>
      <c r="O34" s="11"/>
      <c r="P34" s="6">
        <v>11997.44</v>
      </c>
      <c r="Q34" s="2"/>
      <c r="R34" s="7">
        <f t="shared" si="12"/>
        <v>0</v>
      </c>
      <c r="S34" s="2"/>
      <c r="T34" s="6">
        <v>30297.285199999998</v>
      </c>
      <c r="U34" s="2"/>
      <c r="V34" s="7">
        <f t="shared" si="13"/>
        <v>0</v>
      </c>
      <c r="W34" s="2"/>
      <c r="X34" s="6">
        <f t="shared" si="14"/>
        <v>-18299.845199999996</v>
      </c>
      <c r="Y34" s="2"/>
      <c r="Z34" s="7">
        <f t="shared" si="15"/>
        <v>-0.60400940477663645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>
        <v>9385.6</v>
      </c>
      <c r="E35" s="2"/>
      <c r="F35" s="7">
        <f t="shared" si="8"/>
        <v>0</v>
      </c>
      <c r="G35" s="2"/>
      <c r="H35" s="6">
        <v>8400</v>
      </c>
      <c r="I35" s="2"/>
      <c r="J35" s="7">
        <f t="shared" si="9"/>
        <v>0</v>
      </c>
      <c r="K35" s="2"/>
      <c r="L35" s="6">
        <f t="shared" si="10"/>
        <v>985.60000000000036</v>
      </c>
      <c r="M35" s="2"/>
      <c r="N35" s="7">
        <f t="shared" si="11"/>
        <v>0.11733333333333337</v>
      </c>
      <c r="O35" s="11"/>
      <c r="P35" s="6">
        <v>53558.89</v>
      </c>
      <c r="Q35" s="2"/>
      <c r="R35" s="7">
        <f t="shared" si="12"/>
        <v>0</v>
      </c>
      <c r="S35" s="2"/>
      <c r="T35" s="6">
        <v>42000</v>
      </c>
      <c r="U35" s="2"/>
      <c r="V35" s="7">
        <f t="shared" si="13"/>
        <v>0</v>
      </c>
      <c r="W35" s="2"/>
      <c r="X35" s="6">
        <f t="shared" si="14"/>
        <v>11558.89</v>
      </c>
      <c r="Y35" s="2"/>
      <c r="Z35" s="7">
        <f t="shared" si="15"/>
        <v>0.27521166666666663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>
        <v>1236.8800000000001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1236.8800000000001</v>
      </c>
      <c r="Y36" s="2"/>
      <c r="Z36" s="7">
        <f t="shared" si="15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>
        <v>1157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1157</v>
      </c>
      <c r="M37" s="2"/>
      <c r="N37" s="7">
        <f t="shared" si="11"/>
        <v>0</v>
      </c>
      <c r="O37" s="11"/>
      <c r="P37" s="6">
        <v>9333.94</v>
      </c>
      <c r="Q37" s="2"/>
      <c r="R37" s="7">
        <f t="shared" si="12"/>
        <v>0</v>
      </c>
      <c r="S37" s="2"/>
      <c r="T37" s="6">
        <v>3360</v>
      </c>
      <c r="U37" s="2"/>
      <c r="V37" s="7">
        <f t="shared" si="13"/>
        <v>0</v>
      </c>
      <c r="W37" s="2"/>
      <c r="X37" s="6">
        <f t="shared" si="14"/>
        <v>5973.9400000000005</v>
      </c>
      <c r="Y37" s="2"/>
      <c r="Z37" s="7">
        <f t="shared" si="15"/>
        <v>1.7779583333333335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1680</v>
      </c>
      <c r="I38" s="2"/>
      <c r="J38" s="7">
        <f t="shared" si="9"/>
        <v>0</v>
      </c>
      <c r="K38" s="2"/>
      <c r="L38" s="6">
        <f t="shared" si="10"/>
        <v>-1680</v>
      </c>
      <c r="M38" s="2"/>
      <c r="N38" s="7">
        <f t="shared" si="11"/>
        <v>-1</v>
      </c>
      <c r="O38" s="11"/>
      <c r="P38" s="6"/>
      <c r="Q38" s="2"/>
      <c r="R38" s="7">
        <f t="shared" si="12"/>
        <v>0</v>
      </c>
      <c r="S38" s="2"/>
      <c r="T38" s="6">
        <v>5040</v>
      </c>
      <c r="U38" s="2"/>
      <c r="V38" s="7">
        <f t="shared" si="13"/>
        <v>0</v>
      </c>
      <c r="W38" s="2"/>
      <c r="X38" s="6">
        <f t="shared" si="14"/>
        <v>-5040</v>
      </c>
      <c r="Y38" s="2"/>
      <c r="Z38" s="7">
        <f t="shared" si="15"/>
        <v>-1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6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225.35</v>
      </c>
      <c r="E41" s="1"/>
      <c r="F41" s="5">
        <f t="shared" ref="F41:F47" si="16">IF(D$12=0,0,D41/D$12)</f>
        <v>0</v>
      </c>
      <c r="G41" s="1"/>
      <c r="H41" s="1">
        <f>SUM(OSRRefH22_2x_0)</f>
        <v>400</v>
      </c>
      <c r="I41" s="1"/>
      <c r="J41" s="5">
        <f t="shared" ref="J41:J47" si="17">IF(H$12=0,0,H41/H$12)</f>
        <v>0</v>
      </c>
      <c r="K41" s="1"/>
      <c r="L41" s="1">
        <f t="shared" ref="L41:L47" si="18">+D41-H41</f>
        <v>-174.65</v>
      </c>
      <c r="M41" s="1"/>
      <c r="N41" s="5">
        <f t="shared" ref="N41:N47" si="19">IF(H41=0,0,L41/H41)</f>
        <v>-0.43662500000000004</v>
      </c>
      <c r="O41" s="13"/>
      <c r="P41" s="1">
        <f>SUM(OSRRefP22_2x_0)</f>
        <v>2673.91</v>
      </c>
      <c r="Q41" s="1"/>
      <c r="R41" s="5">
        <f t="shared" ref="R41:R47" si="20">IF(P$12=0,0,P41/P$12)</f>
        <v>0</v>
      </c>
      <c r="S41" s="1"/>
      <c r="T41" s="1">
        <f>SUM(OSRRefT22_2x_0)</f>
        <v>1400</v>
      </c>
      <c r="U41" s="1"/>
      <c r="V41" s="5">
        <f t="shared" ref="V41:V47" si="21">IF(T$12=0,0,T41/T$12)</f>
        <v>0</v>
      </c>
      <c r="W41" s="1"/>
      <c r="X41" s="1">
        <f t="shared" ref="X41:X47" si="22">+P41-T41</f>
        <v>1273.9099999999999</v>
      </c>
      <c r="Y41" s="1"/>
      <c r="Z41" s="5">
        <f t="shared" ref="Z41:Z47" si="23">IF(T41=0,0,X41/T41)</f>
        <v>0.90993571428571418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>
        <v>225.35</v>
      </c>
      <c r="E42" s="2"/>
      <c r="F42" s="7">
        <f t="shared" si="16"/>
        <v>0</v>
      </c>
      <c r="G42" s="2"/>
      <c r="H42" s="6">
        <v>400</v>
      </c>
      <c r="I42" s="2"/>
      <c r="J42" s="7">
        <f t="shared" si="17"/>
        <v>0</v>
      </c>
      <c r="K42" s="2"/>
      <c r="L42" s="6">
        <f t="shared" si="18"/>
        <v>-174.65</v>
      </c>
      <c r="M42" s="2"/>
      <c r="N42" s="7">
        <f t="shared" si="19"/>
        <v>-0.43662500000000004</v>
      </c>
      <c r="O42" s="11"/>
      <c r="P42" s="6">
        <v>2673.91</v>
      </c>
      <c r="Q42" s="2"/>
      <c r="R42" s="7">
        <f t="shared" si="20"/>
        <v>0</v>
      </c>
      <c r="S42" s="2"/>
      <c r="T42" s="6">
        <v>1400</v>
      </c>
      <c r="U42" s="2"/>
      <c r="V42" s="7">
        <f t="shared" si="21"/>
        <v>0</v>
      </c>
      <c r="W42" s="2"/>
      <c r="X42" s="6">
        <f t="shared" si="22"/>
        <v>1273.9099999999999</v>
      </c>
      <c r="Y42" s="2"/>
      <c r="Z42" s="7">
        <f t="shared" si="23"/>
        <v>0.90993571428571418</v>
      </c>
    </row>
    <row r="43" spans="1:26" s="26" customFormat="1" outlineLevel="1" collapsed="1" x14ac:dyDescent="0.25">
      <c r="A43" s="27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6821.6399999999994</v>
      </c>
      <c r="E43" s="1"/>
      <c r="F43" s="5">
        <f t="shared" si="16"/>
        <v>0</v>
      </c>
      <c r="G43" s="1"/>
      <c r="H43" s="1">
        <f>SUM(OSRRefH22_3x_0)</f>
        <v>7307</v>
      </c>
      <c r="I43" s="1"/>
      <c r="J43" s="5">
        <f t="shared" si="17"/>
        <v>0</v>
      </c>
      <c r="K43" s="1"/>
      <c r="L43" s="1">
        <f t="shared" si="18"/>
        <v>-485.36000000000058</v>
      </c>
      <c r="M43" s="1"/>
      <c r="N43" s="5">
        <f t="shared" si="19"/>
        <v>-6.6423977008348234E-2</v>
      </c>
      <c r="O43" s="13"/>
      <c r="P43" s="1">
        <f>SUM(OSRRefP22_3x_0)</f>
        <v>34108.199999999997</v>
      </c>
      <c r="Q43" s="1"/>
      <c r="R43" s="5">
        <f t="shared" si="20"/>
        <v>0</v>
      </c>
      <c r="S43" s="1"/>
      <c r="T43" s="1">
        <f>SUM(OSRRefT22_3x_0)</f>
        <v>33007</v>
      </c>
      <c r="U43" s="1"/>
      <c r="V43" s="5">
        <f t="shared" si="21"/>
        <v>0</v>
      </c>
      <c r="W43" s="1"/>
      <c r="X43" s="1">
        <f t="shared" si="22"/>
        <v>1101.1999999999971</v>
      </c>
      <c r="Y43" s="1"/>
      <c r="Z43" s="5">
        <f t="shared" si="23"/>
        <v>3.3362620050292273E-2</v>
      </c>
    </row>
    <row r="44" spans="1:26" s="24" customFormat="1" hidden="1" outlineLevel="2" x14ac:dyDescent="0.25">
      <c r="A44" s="25"/>
      <c r="B44" s="11" t="str">
        <f>CONCATENATE("          ", "6321", " - ", "BUILDING DEPRECIATION")</f>
        <v xml:space="preserve">          6321 - BUILDING DEPRECIATION</v>
      </c>
      <c r="C44" s="11"/>
      <c r="D44" s="6">
        <v>2266.9499999999998</v>
      </c>
      <c r="E44" s="2"/>
      <c r="F44" s="7">
        <f t="shared" si="16"/>
        <v>0</v>
      </c>
      <c r="G44" s="2"/>
      <c r="H44" s="6">
        <v>723</v>
      </c>
      <c r="I44" s="2"/>
      <c r="J44" s="7">
        <f t="shared" si="17"/>
        <v>0</v>
      </c>
      <c r="K44" s="2"/>
      <c r="L44" s="6">
        <f t="shared" si="18"/>
        <v>1543.9499999999998</v>
      </c>
      <c r="M44" s="2"/>
      <c r="N44" s="7">
        <f t="shared" si="19"/>
        <v>2.1354771784232365</v>
      </c>
      <c r="O44" s="11"/>
      <c r="P44" s="6">
        <v>11334.75</v>
      </c>
      <c r="Q44" s="2"/>
      <c r="R44" s="7">
        <f t="shared" si="20"/>
        <v>0</v>
      </c>
      <c r="S44" s="2"/>
      <c r="T44" s="6">
        <v>3861</v>
      </c>
      <c r="U44" s="2"/>
      <c r="V44" s="7">
        <f t="shared" si="21"/>
        <v>0</v>
      </c>
      <c r="W44" s="2"/>
      <c r="X44" s="6">
        <f t="shared" si="22"/>
        <v>7473.75</v>
      </c>
      <c r="Y44" s="2"/>
      <c r="Z44" s="7">
        <f t="shared" si="23"/>
        <v>1.9357031857031857</v>
      </c>
    </row>
    <row r="45" spans="1:26" s="24" customFormat="1" hidden="1" outlineLevel="2" x14ac:dyDescent="0.25">
      <c r="A45" s="25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4130.4399999999996</v>
      </c>
      <c r="E45" s="2"/>
      <c r="F45" s="7">
        <f t="shared" si="16"/>
        <v>0</v>
      </c>
      <c r="G45" s="2"/>
      <c r="H45" s="6">
        <v>4902</v>
      </c>
      <c r="I45" s="2"/>
      <c r="J45" s="7">
        <f t="shared" si="17"/>
        <v>0</v>
      </c>
      <c r="K45" s="2"/>
      <c r="L45" s="6">
        <f t="shared" si="18"/>
        <v>-771.5600000000004</v>
      </c>
      <c r="M45" s="2"/>
      <c r="N45" s="7">
        <f t="shared" si="19"/>
        <v>-0.15739698082415349</v>
      </c>
      <c r="O45" s="11"/>
      <c r="P45" s="6">
        <v>20652.2</v>
      </c>
      <c r="Q45" s="2"/>
      <c r="R45" s="7">
        <f t="shared" si="20"/>
        <v>0</v>
      </c>
      <c r="S45" s="2"/>
      <c r="T45" s="6">
        <v>24510</v>
      </c>
      <c r="U45" s="2"/>
      <c r="V45" s="7">
        <f t="shared" si="21"/>
        <v>0</v>
      </c>
      <c r="W45" s="2"/>
      <c r="X45" s="6">
        <f t="shared" si="22"/>
        <v>-3857.7999999999993</v>
      </c>
      <c r="Y45" s="2"/>
      <c r="Z45" s="7">
        <f t="shared" si="23"/>
        <v>-0.15739698082415338</v>
      </c>
    </row>
    <row r="46" spans="1:26" s="24" customFormat="1" hidden="1" outlineLevel="2" x14ac:dyDescent="0.25">
      <c r="A46" s="25"/>
      <c r="B46" s="11" t="str">
        <f>CONCATENATE("          ", "6324", " - ", "FURNITURE + FIXT DEPRECIATION")</f>
        <v xml:space="preserve">          6324 - FURNITURE + FIXT DEPRECIATION</v>
      </c>
      <c r="C46" s="11"/>
      <c r="D46" s="6"/>
      <c r="E46" s="2"/>
      <c r="F46" s="7">
        <f t="shared" si="16"/>
        <v>0</v>
      </c>
      <c r="G46" s="2"/>
      <c r="H46" s="6">
        <v>258</v>
      </c>
      <c r="I46" s="2"/>
      <c r="J46" s="7">
        <f t="shared" si="17"/>
        <v>0</v>
      </c>
      <c r="K46" s="2"/>
      <c r="L46" s="6">
        <f t="shared" si="18"/>
        <v>-258</v>
      </c>
      <c r="M46" s="2"/>
      <c r="N46" s="7">
        <f t="shared" si="19"/>
        <v>-1</v>
      </c>
      <c r="O46" s="11"/>
      <c r="P46" s="6"/>
      <c r="Q46" s="2"/>
      <c r="R46" s="7">
        <f t="shared" si="20"/>
        <v>0</v>
      </c>
      <c r="S46" s="2"/>
      <c r="T46" s="6">
        <v>516</v>
      </c>
      <c r="U46" s="2"/>
      <c r="V46" s="7">
        <f t="shared" si="21"/>
        <v>0</v>
      </c>
      <c r="W46" s="2"/>
      <c r="X46" s="6">
        <f t="shared" si="22"/>
        <v>-516</v>
      </c>
      <c r="Y46" s="2"/>
      <c r="Z46" s="7">
        <f t="shared" si="23"/>
        <v>-1</v>
      </c>
    </row>
    <row r="47" spans="1:26" s="24" customFormat="1" hidden="1" outlineLevel="2" x14ac:dyDescent="0.25">
      <c r="A47" s="25"/>
      <c r="B47" s="11" t="str">
        <f>CONCATENATE("          ", "6326", " - ", "VEHICLES DEPRECIATION EXPENSE")</f>
        <v xml:space="preserve">          6326 - VEHICLES DEPRECIATION EXPENSE</v>
      </c>
      <c r="C47" s="11"/>
      <c r="D47" s="6">
        <v>424.25</v>
      </c>
      <c r="E47" s="2"/>
      <c r="F47" s="7">
        <f t="shared" si="16"/>
        <v>0</v>
      </c>
      <c r="G47" s="2"/>
      <c r="H47" s="6">
        <v>1424</v>
      </c>
      <c r="I47" s="2"/>
      <c r="J47" s="7">
        <f t="shared" si="17"/>
        <v>0</v>
      </c>
      <c r="K47" s="2"/>
      <c r="L47" s="6">
        <f t="shared" si="18"/>
        <v>-999.75</v>
      </c>
      <c r="M47" s="2"/>
      <c r="N47" s="7">
        <f t="shared" si="19"/>
        <v>-0.70207162921348309</v>
      </c>
      <c r="O47" s="11"/>
      <c r="P47" s="6">
        <v>2121.25</v>
      </c>
      <c r="Q47" s="2"/>
      <c r="R47" s="7">
        <f t="shared" si="20"/>
        <v>0</v>
      </c>
      <c r="S47" s="2"/>
      <c r="T47" s="6">
        <v>4120</v>
      </c>
      <c r="U47" s="2"/>
      <c r="V47" s="7">
        <f t="shared" si="21"/>
        <v>0</v>
      </c>
      <c r="W47" s="2"/>
      <c r="X47" s="6">
        <f t="shared" si="22"/>
        <v>-1998.75</v>
      </c>
      <c r="Y47" s="2"/>
      <c r="Z47" s="7">
        <f t="shared" si="23"/>
        <v>-0.48513349514563109</v>
      </c>
    </row>
    <row r="48" spans="1:26" s="26" customFormat="1" outlineLevel="1" collapsed="1" x14ac:dyDescent="0.25">
      <c r="A48" s="27"/>
      <c r="B48" s="13" t="str">
        <f>CONCATENATE("     ","Donations                                         ")</f>
        <v xml:space="preserve">     Donations                                         </v>
      </c>
      <c r="C48" s="13"/>
      <c r="D48" s="1">
        <f>SUM(OSRRefD22_4x_0)</f>
        <v>0</v>
      </c>
      <c r="E48" s="1"/>
      <c r="F48" s="5">
        <f t="shared" ref="F48:F63" si="24">IF(D$12=0,0,D48/D$12)</f>
        <v>0</v>
      </c>
      <c r="G48" s="1"/>
      <c r="H48" s="1">
        <f>SUM(OSRRefH22_4x_0)</f>
        <v>200</v>
      </c>
      <c r="I48" s="1"/>
      <c r="J48" s="5">
        <f t="shared" ref="J48:J63" si="25">IF(H$12=0,0,H48/H$12)</f>
        <v>0</v>
      </c>
      <c r="K48" s="1"/>
      <c r="L48" s="1">
        <f t="shared" ref="L48:L63" si="26">+D48-H48</f>
        <v>-200</v>
      </c>
      <c r="M48" s="1"/>
      <c r="N48" s="5">
        <f t="shared" ref="N48:N63" si="27">IF(H48=0,0,L48/H48)</f>
        <v>-1</v>
      </c>
      <c r="O48" s="13"/>
      <c r="P48" s="1">
        <f>SUM(OSRRefP22_4x_0)</f>
        <v>163.68</v>
      </c>
      <c r="Q48" s="1"/>
      <c r="R48" s="5">
        <f t="shared" ref="R48:R63" si="28">IF(P$12=0,0,P48/P$12)</f>
        <v>0</v>
      </c>
      <c r="S48" s="1"/>
      <c r="T48" s="1">
        <f>SUM(OSRRefT22_4x_0)</f>
        <v>1000</v>
      </c>
      <c r="U48" s="1"/>
      <c r="V48" s="5">
        <f t="shared" ref="V48:V63" si="29">IF(T$12=0,0,T48/T$12)</f>
        <v>0</v>
      </c>
      <c r="W48" s="1"/>
      <c r="X48" s="1">
        <f t="shared" ref="X48:X63" si="30">+P48-T48</f>
        <v>-836.31999999999994</v>
      </c>
      <c r="Y48" s="1"/>
      <c r="Z48" s="5">
        <f t="shared" ref="Z48:Z63" si="31">IF(T48=0,0,X48/T48)</f>
        <v>-0.83631999999999995</v>
      </c>
    </row>
    <row r="49" spans="1:26" s="24" customFormat="1" hidden="1" outlineLevel="2" x14ac:dyDescent="0.25">
      <c r="A49" s="25"/>
      <c r="B49" s="11" t="str">
        <f>CONCATENATE("          ", "6399", " - ", "DONATION-ON CAMPUS")</f>
        <v xml:space="preserve">          6399 - DONATION-ON CAMPUS</v>
      </c>
      <c r="C49" s="11"/>
      <c r="D49" s="6"/>
      <c r="E49" s="2"/>
      <c r="F49" s="7">
        <f t="shared" si="24"/>
        <v>0</v>
      </c>
      <c r="G49" s="2"/>
      <c r="H49" s="6">
        <v>200</v>
      </c>
      <c r="I49" s="2"/>
      <c r="J49" s="7">
        <f t="shared" si="25"/>
        <v>0</v>
      </c>
      <c r="K49" s="2"/>
      <c r="L49" s="6">
        <f t="shared" si="26"/>
        <v>-200</v>
      </c>
      <c r="M49" s="2"/>
      <c r="N49" s="7">
        <f t="shared" si="27"/>
        <v>-1</v>
      </c>
      <c r="O49" s="11"/>
      <c r="P49" s="6">
        <v>163.68</v>
      </c>
      <c r="Q49" s="2"/>
      <c r="R49" s="7">
        <f t="shared" si="28"/>
        <v>0</v>
      </c>
      <c r="S49" s="2"/>
      <c r="T49" s="6">
        <v>1000</v>
      </c>
      <c r="U49" s="2"/>
      <c r="V49" s="7">
        <f t="shared" si="29"/>
        <v>0</v>
      </c>
      <c r="W49" s="2"/>
      <c r="X49" s="6">
        <f t="shared" si="30"/>
        <v>-836.31999999999994</v>
      </c>
      <c r="Y49" s="2"/>
      <c r="Z49" s="7">
        <f t="shared" si="31"/>
        <v>-0.83631999999999995</v>
      </c>
    </row>
    <row r="50" spans="1:26" s="26" customFormat="1" outlineLevel="1" collapsed="1" x14ac:dyDescent="0.25">
      <c r="A50" s="27"/>
      <c r="B50" s="13" t="str">
        <f>CONCATENATE("     ","Employees' Appreciation                           ")</f>
        <v xml:space="preserve">     Employees' Appreciation                           </v>
      </c>
      <c r="C50" s="13"/>
      <c r="D50" s="1">
        <f>SUM(OSRRefD22_5x_0)</f>
        <v>126.43</v>
      </c>
      <c r="E50" s="1"/>
      <c r="F50" s="5">
        <f t="shared" si="24"/>
        <v>0</v>
      </c>
      <c r="G50" s="1"/>
      <c r="H50" s="1">
        <f>SUM(OSRRefH22_5x_0)</f>
        <v>50</v>
      </c>
      <c r="I50" s="1"/>
      <c r="J50" s="5">
        <f t="shared" si="25"/>
        <v>0</v>
      </c>
      <c r="K50" s="1"/>
      <c r="L50" s="1">
        <f t="shared" si="26"/>
        <v>76.430000000000007</v>
      </c>
      <c r="M50" s="1"/>
      <c r="N50" s="5">
        <f t="shared" si="27"/>
        <v>1.5286000000000002</v>
      </c>
      <c r="O50" s="13"/>
      <c r="P50" s="1">
        <f>SUM(OSRRefP22_5x_0)</f>
        <v>319.14999999999998</v>
      </c>
      <c r="Q50" s="1"/>
      <c r="R50" s="5">
        <f t="shared" si="28"/>
        <v>0</v>
      </c>
      <c r="S50" s="1"/>
      <c r="T50" s="1">
        <f>SUM(OSRRefT22_5x_0)</f>
        <v>400</v>
      </c>
      <c r="U50" s="1"/>
      <c r="V50" s="5">
        <f t="shared" si="29"/>
        <v>0</v>
      </c>
      <c r="W50" s="1"/>
      <c r="X50" s="1">
        <f t="shared" si="30"/>
        <v>-80.850000000000023</v>
      </c>
      <c r="Y50" s="1"/>
      <c r="Z50" s="5">
        <f t="shared" si="31"/>
        <v>-0.20212500000000005</v>
      </c>
    </row>
    <row r="51" spans="1:26" s="24" customFormat="1" hidden="1" outlineLevel="2" x14ac:dyDescent="0.25">
      <c r="A51" s="25"/>
      <c r="B51" s="11" t="str">
        <f>CONCATENATE("          ", "6277", " - ", "EMPLOYEE APPRECIATION")</f>
        <v xml:space="preserve">          6277 - EMPLOYEE APPRECIATION</v>
      </c>
      <c r="C51" s="11"/>
      <c r="D51" s="6">
        <v>126.43</v>
      </c>
      <c r="E51" s="2"/>
      <c r="F51" s="7">
        <f t="shared" si="24"/>
        <v>0</v>
      </c>
      <c r="G51" s="2"/>
      <c r="H51" s="6">
        <v>50</v>
      </c>
      <c r="I51" s="2"/>
      <c r="J51" s="7">
        <f t="shared" si="25"/>
        <v>0</v>
      </c>
      <c r="K51" s="2"/>
      <c r="L51" s="6">
        <f t="shared" si="26"/>
        <v>76.430000000000007</v>
      </c>
      <c r="M51" s="2"/>
      <c r="N51" s="7">
        <f t="shared" si="27"/>
        <v>1.5286000000000002</v>
      </c>
      <c r="O51" s="11"/>
      <c r="P51" s="6">
        <v>319.14999999999998</v>
      </c>
      <c r="Q51" s="2"/>
      <c r="R51" s="7">
        <f t="shared" si="28"/>
        <v>0</v>
      </c>
      <c r="S51" s="2"/>
      <c r="T51" s="6">
        <v>400</v>
      </c>
      <c r="U51" s="2"/>
      <c r="V51" s="7">
        <f t="shared" si="29"/>
        <v>0</v>
      </c>
      <c r="W51" s="2"/>
      <c r="X51" s="6">
        <f t="shared" si="30"/>
        <v>-80.850000000000023</v>
      </c>
      <c r="Y51" s="2"/>
      <c r="Z51" s="7">
        <f t="shared" si="31"/>
        <v>-0.20212500000000005</v>
      </c>
    </row>
    <row r="52" spans="1:26" s="26" customFormat="1" outlineLevel="1" collapsed="1" x14ac:dyDescent="0.25">
      <c r="A52" s="27"/>
      <c r="B52" s="13" t="str">
        <f>CONCATENATE("     ","Equipment Rental                                  ")</f>
        <v xml:space="preserve">     Equipment Rental                                  </v>
      </c>
      <c r="C52" s="13"/>
      <c r="D52" s="1">
        <f>SUM(OSRRefD22_6x_0)</f>
        <v>864.33</v>
      </c>
      <c r="E52" s="1"/>
      <c r="F52" s="5">
        <f t="shared" si="24"/>
        <v>0</v>
      </c>
      <c r="G52" s="1"/>
      <c r="H52" s="1">
        <f>SUM(OSRRefH22_6x_0)</f>
        <v>1300</v>
      </c>
      <c r="I52" s="1"/>
      <c r="J52" s="5">
        <f t="shared" si="25"/>
        <v>0</v>
      </c>
      <c r="K52" s="1"/>
      <c r="L52" s="1">
        <f t="shared" si="26"/>
        <v>-435.66999999999996</v>
      </c>
      <c r="M52" s="1"/>
      <c r="N52" s="5">
        <f t="shared" si="27"/>
        <v>-0.33513076923076918</v>
      </c>
      <c r="O52" s="13"/>
      <c r="P52" s="1">
        <f>SUM(OSRRefP22_6x_0)</f>
        <v>5510.61</v>
      </c>
      <c r="Q52" s="1"/>
      <c r="R52" s="5">
        <f t="shared" si="28"/>
        <v>0</v>
      </c>
      <c r="S52" s="1"/>
      <c r="T52" s="1">
        <f>SUM(OSRRefT22_6x_0)</f>
        <v>5800</v>
      </c>
      <c r="U52" s="1"/>
      <c r="V52" s="5">
        <f t="shared" si="29"/>
        <v>0</v>
      </c>
      <c r="W52" s="1"/>
      <c r="X52" s="1">
        <f t="shared" si="30"/>
        <v>-289.39000000000033</v>
      </c>
      <c r="Y52" s="1"/>
      <c r="Z52" s="5">
        <f t="shared" si="31"/>
        <v>-4.9894827586206954E-2</v>
      </c>
    </row>
    <row r="53" spans="1:26" s="24" customFormat="1" hidden="1" outlineLevel="2" x14ac:dyDescent="0.25">
      <c r="A53" s="25"/>
      <c r="B53" s="11" t="str">
        <f>CONCATENATE("          ", "6351", " - ", "EQUIPMENT RENTAL")</f>
        <v xml:space="preserve">          6351 - EQUIPMENT RENTAL</v>
      </c>
      <c r="C53" s="11"/>
      <c r="D53" s="6">
        <v>864.33</v>
      </c>
      <c r="E53" s="2"/>
      <c r="F53" s="7">
        <f t="shared" si="24"/>
        <v>0</v>
      </c>
      <c r="G53" s="2"/>
      <c r="H53" s="6">
        <v>1300</v>
      </c>
      <c r="I53" s="2"/>
      <c r="J53" s="7">
        <f t="shared" si="25"/>
        <v>0</v>
      </c>
      <c r="K53" s="2"/>
      <c r="L53" s="6">
        <f t="shared" si="26"/>
        <v>-435.66999999999996</v>
      </c>
      <c r="M53" s="2"/>
      <c r="N53" s="7">
        <f t="shared" si="27"/>
        <v>-0.33513076923076918</v>
      </c>
      <c r="O53" s="11"/>
      <c r="P53" s="6">
        <v>5510.61</v>
      </c>
      <c r="Q53" s="2"/>
      <c r="R53" s="7">
        <f t="shared" si="28"/>
        <v>0</v>
      </c>
      <c r="S53" s="2"/>
      <c r="T53" s="6">
        <v>5800</v>
      </c>
      <c r="U53" s="2"/>
      <c r="V53" s="7">
        <f t="shared" si="29"/>
        <v>0</v>
      </c>
      <c r="W53" s="2"/>
      <c r="X53" s="6">
        <f t="shared" si="30"/>
        <v>-289.39000000000033</v>
      </c>
      <c r="Y53" s="2"/>
      <c r="Z53" s="7">
        <f t="shared" si="31"/>
        <v>-4.9894827586206954E-2</v>
      </c>
    </row>
    <row r="54" spans="1:26" s="26" customFormat="1" outlineLevel="1" collapsed="1" x14ac:dyDescent="0.25">
      <c r="A54" s="27"/>
      <c r="B54" s="13" t="str">
        <f>CONCATENATE("     ","General                                           ")</f>
        <v xml:space="preserve">     General                                           </v>
      </c>
      <c r="C54" s="13"/>
      <c r="D54" s="1">
        <f>SUM(OSRRefD22_7x_0)</f>
        <v>18889.79</v>
      </c>
      <c r="E54" s="1"/>
      <c r="F54" s="5">
        <f t="shared" si="24"/>
        <v>0</v>
      </c>
      <c r="G54" s="1"/>
      <c r="H54" s="1">
        <f>SUM(OSRRefH22_7x_0)</f>
        <v>0</v>
      </c>
      <c r="I54" s="1"/>
      <c r="J54" s="5">
        <f t="shared" si="25"/>
        <v>0</v>
      </c>
      <c r="K54" s="1"/>
      <c r="L54" s="1">
        <f t="shared" si="26"/>
        <v>18889.79</v>
      </c>
      <c r="M54" s="1"/>
      <c r="N54" s="5">
        <f t="shared" si="27"/>
        <v>0</v>
      </c>
      <c r="O54" s="13"/>
      <c r="P54" s="1">
        <f>SUM(OSRRefP22_7x_0)</f>
        <v>20026.230000000003</v>
      </c>
      <c r="Q54" s="1"/>
      <c r="R54" s="5">
        <f t="shared" si="28"/>
        <v>0</v>
      </c>
      <c r="S54" s="1"/>
      <c r="T54" s="1">
        <f>SUM(OSRRefT22_7x_0)</f>
        <v>3000</v>
      </c>
      <c r="U54" s="1"/>
      <c r="V54" s="5">
        <f t="shared" si="29"/>
        <v>0</v>
      </c>
      <c r="W54" s="1"/>
      <c r="X54" s="1">
        <f t="shared" si="30"/>
        <v>17026.230000000003</v>
      </c>
      <c r="Y54" s="1"/>
      <c r="Z54" s="5">
        <f t="shared" si="31"/>
        <v>5.6754100000000012</v>
      </c>
    </row>
    <row r="55" spans="1:26" s="24" customFormat="1" hidden="1" outlineLevel="2" x14ac:dyDescent="0.25">
      <c r="A55" s="25"/>
      <c r="B55" s="11" t="str">
        <f>CONCATENATE("          ", "6279", " - ", "GENERAL EXPENSE")</f>
        <v xml:space="preserve">          6279 - GENERAL EXPENSE</v>
      </c>
      <c r="C55" s="11"/>
      <c r="D55" s="6">
        <v>18889.79</v>
      </c>
      <c r="E55" s="2"/>
      <c r="F55" s="7">
        <f t="shared" si="24"/>
        <v>0</v>
      </c>
      <c r="G55" s="2"/>
      <c r="H55" s="6"/>
      <c r="I55" s="2"/>
      <c r="J55" s="7">
        <f t="shared" si="25"/>
        <v>0</v>
      </c>
      <c r="K55" s="2"/>
      <c r="L55" s="6">
        <f t="shared" si="26"/>
        <v>18889.79</v>
      </c>
      <c r="M55" s="2"/>
      <c r="N55" s="7">
        <f t="shared" si="27"/>
        <v>0</v>
      </c>
      <c r="O55" s="11"/>
      <c r="P55" s="6">
        <v>20026.230000000003</v>
      </c>
      <c r="Q55" s="2"/>
      <c r="R55" s="7">
        <f t="shared" si="28"/>
        <v>0</v>
      </c>
      <c r="S55" s="2"/>
      <c r="T55" s="6">
        <v>3000</v>
      </c>
      <c r="U55" s="2"/>
      <c r="V55" s="7">
        <f t="shared" si="29"/>
        <v>0</v>
      </c>
      <c r="W55" s="2"/>
      <c r="X55" s="6">
        <f t="shared" si="30"/>
        <v>17026.230000000003</v>
      </c>
      <c r="Y55" s="2"/>
      <c r="Z55" s="7">
        <f t="shared" si="31"/>
        <v>5.6754100000000012</v>
      </c>
    </row>
    <row r="56" spans="1:26" s="26" customFormat="1" outlineLevel="1" collapsed="1" x14ac:dyDescent="0.25">
      <c r="A56" s="27"/>
      <c r="B56" s="13" t="str">
        <f>CONCATENATE("     ","Insurance                                         ")</f>
        <v xml:space="preserve">     Insurance                                         </v>
      </c>
      <c r="C56" s="13"/>
      <c r="D56" s="1">
        <f>SUM(OSRRefD22_8x_0)</f>
        <v>3598.85</v>
      </c>
      <c r="E56" s="1"/>
      <c r="F56" s="5">
        <f t="shared" si="24"/>
        <v>0</v>
      </c>
      <c r="G56" s="1"/>
      <c r="H56" s="1">
        <f>SUM(OSRRefH22_8x_0)</f>
        <v>3400</v>
      </c>
      <c r="I56" s="1"/>
      <c r="J56" s="5">
        <f t="shared" si="25"/>
        <v>0</v>
      </c>
      <c r="K56" s="1"/>
      <c r="L56" s="1">
        <f t="shared" si="26"/>
        <v>198.84999999999991</v>
      </c>
      <c r="M56" s="1"/>
      <c r="N56" s="5">
        <f t="shared" si="27"/>
        <v>5.8485294117647031E-2</v>
      </c>
      <c r="O56" s="13"/>
      <c r="P56" s="1">
        <f>SUM(OSRRefP22_8x_0)</f>
        <v>17994.25</v>
      </c>
      <c r="Q56" s="1"/>
      <c r="R56" s="5">
        <f t="shared" si="28"/>
        <v>0</v>
      </c>
      <c r="S56" s="1"/>
      <c r="T56" s="1">
        <f>SUM(OSRRefT22_8x_0)</f>
        <v>17000</v>
      </c>
      <c r="U56" s="1"/>
      <c r="V56" s="5">
        <f t="shared" si="29"/>
        <v>0</v>
      </c>
      <c r="W56" s="1"/>
      <c r="X56" s="1">
        <f t="shared" si="30"/>
        <v>994.25</v>
      </c>
      <c r="Y56" s="1"/>
      <c r="Z56" s="5">
        <f t="shared" si="31"/>
        <v>5.8485294117647059E-2</v>
      </c>
    </row>
    <row r="57" spans="1:26" s="24" customFormat="1" hidden="1" outlineLevel="2" x14ac:dyDescent="0.25">
      <c r="A57" s="25"/>
      <c r="B57" s="11" t="str">
        <f>CONCATENATE("          ", "6314", " - ", "LIABILITY INSURANCE")</f>
        <v xml:space="preserve">          6314 - LIABILITY INSURANCE</v>
      </c>
      <c r="C57" s="11"/>
      <c r="D57" s="6">
        <v>3598.85</v>
      </c>
      <c r="E57" s="2"/>
      <c r="F57" s="7">
        <f t="shared" si="24"/>
        <v>0</v>
      </c>
      <c r="G57" s="2"/>
      <c r="H57" s="6">
        <v>3400</v>
      </c>
      <c r="I57" s="2"/>
      <c r="J57" s="7">
        <f t="shared" si="25"/>
        <v>0</v>
      </c>
      <c r="K57" s="2"/>
      <c r="L57" s="6">
        <f t="shared" si="26"/>
        <v>198.84999999999991</v>
      </c>
      <c r="M57" s="2"/>
      <c r="N57" s="7">
        <f t="shared" si="27"/>
        <v>5.8485294117647031E-2</v>
      </c>
      <c r="O57" s="11"/>
      <c r="P57" s="6">
        <v>17994.25</v>
      </c>
      <c r="Q57" s="2"/>
      <c r="R57" s="7">
        <f t="shared" si="28"/>
        <v>0</v>
      </c>
      <c r="S57" s="2"/>
      <c r="T57" s="6">
        <v>17000</v>
      </c>
      <c r="U57" s="2"/>
      <c r="V57" s="7">
        <f t="shared" si="29"/>
        <v>0</v>
      </c>
      <c r="W57" s="2"/>
      <c r="X57" s="6">
        <f t="shared" si="30"/>
        <v>994.25</v>
      </c>
      <c r="Y57" s="2"/>
      <c r="Z57" s="7">
        <f t="shared" si="31"/>
        <v>5.8485294117647059E-2</v>
      </c>
    </row>
    <row r="58" spans="1:26" s="26" customFormat="1" outlineLevel="1" collapsed="1" x14ac:dyDescent="0.25">
      <c r="A58" s="27"/>
      <c r="B58" s="13" t="str">
        <f>CONCATENATE("     ","Professional Services                             ")</f>
        <v xml:space="preserve">     Professional Services                             </v>
      </c>
      <c r="C58" s="13"/>
      <c r="D58" s="1">
        <f>SUM(OSRRefD22_9x_0)</f>
        <v>0</v>
      </c>
      <c r="E58" s="1"/>
      <c r="F58" s="5">
        <f t="shared" si="24"/>
        <v>0</v>
      </c>
      <c r="G58" s="1"/>
      <c r="H58" s="1">
        <f>SUM(OSRRefH22_9x_0)</f>
        <v>0</v>
      </c>
      <c r="I58" s="1"/>
      <c r="J58" s="5">
        <f t="shared" si="25"/>
        <v>0</v>
      </c>
      <c r="K58" s="1"/>
      <c r="L58" s="1">
        <f t="shared" si="26"/>
        <v>0</v>
      </c>
      <c r="M58" s="1"/>
      <c r="N58" s="5">
        <f t="shared" si="27"/>
        <v>0</v>
      </c>
      <c r="O58" s="13"/>
      <c r="P58" s="1">
        <f>SUM(OSRRefP22_9x_0)</f>
        <v>125</v>
      </c>
      <c r="Q58" s="1"/>
      <c r="R58" s="5">
        <f t="shared" si="28"/>
        <v>0</v>
      </c>
      <c r="S58" s="1"/>
      <c r="T58" s="1">
        <f>SUM(OSRRefT22_9x_0)</f>
        <v>0</v>
      </c>
      <c r="U58" s="1"/>
      <c r="V58" s="5">
        <f t="shared" si="29"/>
        <v>0</v>
      </c>
      <c r="W58" s="1"/>
      <c r="X58" s="1">
        <f t="shared" si="30"/>
        <v>125</v>
      </c>
      <c r="Y58" s="1"/>
      <c r="Z58" s="5">
        <f t="shared" si="31"/>
        <v>0</v>
      </c>
    </row>
    <row r="59" spans="1:26" s="24" customFormat="1" hidden="1" outlineLevel="2" x14ac:dyDescent="0.25">
      <c r="A59" s="25"/>
      <c r="B59" s="11" t="str">
        <f>CONCATENATE("          ", "6336", " - ", "PROFESSIONAL SERVICES")</f>
        <v xml:space="preserve">          6336 - PROFESSIONAL SERVICES</v>
      </c>
      <c r="C59" s="11"/>
      <c r="D59" s="6"/>
      <c r="E59" s="2"/>
      <c r="F59" s="7">
        <f t="shared" si="24"/>
        <v>0</v>
      </c>
      <c r="G59" s="2"/>
      <c r="H59" s="6"/>
      <c r="I59" s="2"/>
      <c r="J59" s="7">
        <f t="shared" si="25"/>
        <v>0</v>
      </c>
      <c r="K59" s="2"/>
      <c r="L59" s="6">
        <f t="shared" si="26"/>
        <v>0</v>
      </c>
      <c r="M59" s="2"/>
      <c r="N59" s="7">
        <f t="shared" si="27"/>
        <v>0</v>
      </c>
      <c r="O59" s="11"/>
      <c r="P59" s="6">
        <v>125</v>
      </c>
      <c r="Q59" s="2"/>
      <c r="R59" s="7">
        <f t="shared" si="28"/>
        <v>0</v>
      </c>
      <c r="S59" s="2"/>
      <c r="T59" s="6"/>
      <c r="U59" s="2"/>
      <c r="V59" s="7">
        <f t="shared" si="29"/>
        <v>0</v>
      </c>
      <c r="W59" s="2"/>
      <c r="X59" s="6">
        <f t="shared" si="30"/>
        <v>125</v>
      </c>
      <c r="Y59" s="2"/>
      <c r="Z59" s="7">
        <f t="shared" si="31"/>
        <v>0</v>
      </c>
    </row>
    <row r="60" spans="1:26" s="26" customFormat="1" outlineLevel="1" collapsed="1" x14ac:dyDescent="0.25">
      <c r="A60" s="27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SUM(OSRRefD22_10x_0)</f>
        <v>5349.65</v>
      </c>
      <c r="E60" s="1"/>
      <c r="F60" s="5">
        <f t="shared" si="24"/>
        <v>0</v>
      </c>
      <c r="G60" s="1"/>
      <c r="H60" s="1">
        <f>SUM(OSRRefH22_10x_0)</f>
        <v>11200</v>
      </c>
      <c r="I60" s="1"/>
      <c r="J60" s="5">
        <f t="shared" si="25"/>
        <v>0</v>
      </c>
      <c r="K60" s="1"/>
      <c r="L60" s="1">
        <f t="shared" si="26"/>
        <v>-5850.35</v>
      </c>
      <c r="M60" s="1"/>
      <c r="N60" s="5">
        <f t="shared" si="27"/>
        <v>-0.52235267857142864</v>
      </c>
      <c r="O60" s="13"/>
      <c r="P60" s="1">
        <f>SUM(OSRRefP22_10x_0)</f>
        <v>48917.56</v>
      </c>
      <c r="Q60" s="1"/>
      <c r="R60" s="5">
        <f t="shared" si="28"/>
        <v>0</v>
      </c>
      <c r="S60" s="1"/>
      <c r="T60" s="1">
        <f>SUM(OSRRefT22_10x_0)</f>
        <v>77000</v>
      </c>
      <c r="U60" s="1"/>
      <c r="V60" s="5">
        <f t="shared" si="29"/>
        <v>0</v>
      </c>
      <c r="W60" s="1"/>
      <c r="X60" s="1">
        <f t="shared" si="30"/>
        <v>-28082.440000000002</v>
      </c>
      <c r="Y60" s="1"/>
      <c r="Z60" s="5">
        <f t="shared" si="31"/>
        <v>-0.36470701298701302</v>
      </c>
    </row>
    <row r="61" spans="1:26" s="24" customFormat="1" hidden="1" outlineLevel="2" x14ac:dyDescent="0.25">
      <c r="A61" s="25"/>
      <c r="B61" s="11" t="str">
        <f>CONCATENATE("          ", "6371", " - ", "COMPUTER SOFTWARE MAINTENANCE")</f>
        <v xml:space="preserve">          6371 - COMPUTER SOFTWARE MAINTENANCE</v>
      </c>
      <c r="C61" s="11"/>
      <c r="D61" s="6"/>
      <c r="E61" s="2"/>
      <c r="F61" s="7">
        <f t="shared" si="24"/>
        <v>0</v>
      </c>
      <c r="G61" s="2"/>
      <c r="H61" s="6"/>
      <c r="I61" s="2"/>
      <c r="J61" s="7">
        <f t="shared" si="25"/>
        <v>0</v>
      </c>
      <c r="K61" s="2"/>
      <c r="L61" s="6">
        <f t="shared" si="26"/>
        <v>0</v>
      </c>
      <c r="M61" s="2"/>
      <c r="N61" s="7">
        <f t="shared" si="27"/>
        <v>0</v>
      </c>
      <c r="O61" s="11"/>
      <c r="P61" s="6"/>
      <c r="Q61" s="2"/>
      <c r="R61" s="7">
        <f t="shared" si="28"/>
        <v>0</v>
      </c>
      <c r="S61" s="2"/>
      <c r="T61" s="6">
        <v>1000</v>
      </c>
      <c r="U61" s="2"/>
      <c r="V61" s="7">
        <f t="shared" si="29"/>
        <v>0</v>
      </c>
      <c r="W61" s="2"/>
      <c r="X61" s="6">
        <f t="shared" si="30"/>
        <v>-1000</v>
      </c>
      <c r="Y61" s="2"/>
      <c r="Z61" s="7">
        <f t="shared" si="31"/>
        <v>-1</v>
      </c>
    </row>
    <row r="62" spans="1:26" s="24" customFormat="1" hidden="1" outlineLevel="2" x14ac:dyDescent="0.25">
      <c r="A62" s="25"/>
      <c r="B62" s="11" t="str">
        <f>CONCATENATE("          ", "6373", " - ", "MAINTENANCE CONTRACTS")</f>
        <v xml:space="preserve">          6373 - MAINTENANCE CONTRACTS</v>
      </c>
      <c r="C62" s="11"/>
      <c r="D62" s="6">
        <v>5017.1499999999996</v>
      </c>
      <c r="E62" s="2"/>
      <c r="F62" s="7">
        <f t="shared" si="24"/>
        <v>0</v>
      </c>
      <c r="G62" s="2"/>
      <c r="H62" s="6">
        <v>1200</v>
      </c>
      <c r="I62" s="2"/>
      <c r="J62" s="7">
        <f t="shared" si="25"/>
        <v>0</v>
      </c>
      <c r="K62" s="2"/>
      <c r="L62" s="6">
        <f t="shared" si="26"/>
        <v>3817.1499999999996</v>
      </c>
      <c r="M62" s="2"/>
      <c r="N62" s="7">
        <f t="shared" si="27"/>
        <v>3.1809583333333329</v>
      </c>
      <c r="O62" s="11"/>
      <c r="P62" s="6">
        <v>29211.14</v>
      </c>
      <c r="Q62" s="2"/>
      <c r="R62" s="7">
        <f t="shared" si="28"/>
        <v>0</v>
      </c>
      <c r="S62" s="2"/>
      <c r="T62" s="6">
        <v>6000</v>
      </c>
      <c r="U62" s="2"/>
      <c r="V62" s="7">
        <f t="shared" si="29"/>
        <v>0</v>
      </c>
      <c r="W62" s="2"/>
      <c r="X62" s="6">
        <f t="shared" si="30"/>
        <v>23211.14</v>
      </c>
      <c r="Y62" s="2"/>
      <c r="Z62" s="7">
        <f t="shared" si="31"/>
        <v>3.8685233333333331</v>
      </c>
    </row>
    <row r="63" spans="1:26" s="24" customFormat="1" hidden="1" outlineLevel="2" x14ac:dyDescent="0.25">
      <c r="A63" s="25"/>
      <c r="B63" s="11" t="str">
        <f>CONCATENATE("          ", "6375", " - ", "OUTSIDE REPAIRS &amp; MAINTENANCE")</f>
        <v xml:space="preserve">          6375 - OUTSIDE REPAIRS &amp; MAINTENANCE</v>
      </c>
      <c r="C63" s="11"/>
      <c r="D63" s="6">
        <v>332.5</v>
      </c>
      <c r="E63" s="2"/>
      <c r="F63" s="7">
        <f t="shared" si="24"/>
        <v>0</v>
      </c>
      <c r="G63" s="2"/>
      <c r="H63" s="6">
        <v>10000</v>
      </c>
      <c r="I63" s="2"/>
      <c r="J63" s="7">
        <f t="shared" si="25"/>
        <v>0</v>
      </c>
      <c r="K63" s="2"/>
      <c r="L63" s="6">
        <f t="shared" si="26"/>
        <v>-9667.5</v>
      </c>
      <c r="M63" s="2"/>
      <c r="N63" s="7">
        <f t="shared" si="27"/>
        <v>-0.96675</v>
      </c>
      <c r="O63" s="11"/>
      <c r="P63" s="6">
        <v>19706.419999999998</v>
      </c>
      <c r="Q63" s="2"/>
      <c r="R63" s="7">
        <f t="shared" si="28"/>
        <v>0</v>
      </c>
      <c r="S63" s="2"/>
      <c r="T63" s="6">
        <v>70000</v>
      </c>
      <c r="U63" s="2"/>
      <c r="V63" s="7">
        <f t="shared" si="29"/>
        <v>0</v>
      </c>
      <c r="W63" s="2"/>
      <c r="X63" s="6">
        <f t="shared" si="30"/>
        <v>-50293.58</v>
      </c>
      <c r="Y63" s="2"/>
      <c r="Z63" s="7">
        <f t="shared" si="31"/>
        <v>-0.71847971428571433</v>
      </c>
    </row>
    <row r="64" spans="1:26" s="26" customFormat="1" outlineLevel="1" collapsed="1" x14ac:dyDescent="0.25">
      <c r="A64" s="27"/>
      <c r="B64" s="13" t="str">
        <f>CONCATENATE("     ","Services                                          ")</f>
        <v xml:space="preserve">     Services                                          </v>
      </c>
      <c r="C64" s="13"/>
      <c r="D64" s="1">
        <f>SUM(OSRRefD22_11x_0)</f>
        <v>14496.82</v>
      </c>
      <c r="E64" s="1"/>
      <c r="F64" s="5">
        <f t="shared" ref="F64:F69" si="32">IF(D$12=0,0,D64/D$12)</f>
        <v>0</v>
      </c>
      <c r="G64" s="1"/>
      <c r="H64" s="1">
        <f>SUM(OSRRefH22_11x_0)</f>
        <v>13685</v>
      </c>
      <c r="I64" s="1"/>
      <c r="J64" s="5">
        <f t="shared" ref="J64:J69" si="33">IF(H$12=0,0,H64/H$12)</f>
        <v>0</v>
      </c>
      <c r="K64" s="1"/>
      <c r="L64" s="1">
        <f t="shared" ref="L64:L69" si="34">+D64-H64</f>
        <v>811.81999999999971</v>
      </c>
      <c r="M64" s="1"/>
      <c r="N64" s="5">
        <f t="shared" ref="N64:N69" si="35">IF(H64=0,0,L64/H64)</f>
        <v>5.9321885275849452E-2</v>
      </c>
      <c r="O64" s="13"/>
      <c r="P64" s="1">
        <f>SUM(OSRRefP22_11x_0)</f>
        <v>64569.49</v>
      </c>
      <c r="Q64" s="1"/>
      <c r="R64" s="5">
        <f t="shared" ref="R64:R69" si="36">IF(P$12=0,0,P64/P$12)</f>
        <v>0</v>
      </c>
      <c r="S64" s="1"/>
      <c r="T64" s="1">
        <f>SUM(OSRRefT22_11x_0)</f>
        <v>68390</v>
      </c>
      <c r="U64" s="1"/>
      <c r="V64" s="5">
        <f t="shared" ref="V64:V69" si="37">IF(T$12=0,0,T64/T$12)</f>
        <v>0</v>
      </c>
      <c r="W64" s="1"/>
      <c r="X64" s="1">
        <f t="shared" ref="X64:X69" si="38">+P64-T64</f>
        <v>-3820.510000000002</v>
      </c>
      <c r="Y64" s="1"/>
      <c r="Z64" s="5">
        <f t="shared" ref="Z64:Z69" si="39">IF(T64=0,0,X64/T64)</f>
        <v>-5.5863576546278729E-2</v>
      </c>
    </row>
    <row r="65" spans="1:26" s="24" customFormat="1" hidden="1" outlineLevel="2" x14ac:dyDescent="0.25">
      <c r="A65" s="25"/>
      <c r="B65" s="11" t="str">
        <f>CONCATENATE("          ", "6282", " - ", "JANITORIAL/EXTERMINATOR EXPENS")</f>
        <v xml:space="preserve">          6282 - JANITORIAL/EXTERMINATOR EXPENS</v>
      </c>
      <c r="C65" s="11"/>
      <c r="D65" s="6">
        <v>626.26</v>
      </c>
      <c r="E65" s="2"/>
      <c r="F65" s="7">
        <f t="shared" si="32"/>
        <v>0</v>
      </c>
      <c r="G65" s="2"/>
      <c r="H65" s="6">
        <v>650</v>
      </c>
      <c r="I65" s="2"/>
      <c r="J65" s="7">
        <f t="shared" si="33"/>
        <v>0</v>
      </c>
      <c r="K65" s="2"/>
      <c r="L65" s="6">
        <f t="shared" si="34"/>
        <v>-23.740000000000009</v>
      </c>
      <c r="M65" s="2"/>
      <c r="N65" s="7">
        <f t="shared" si="35"/>
        <v>-3.6523076923076936E-2</v>
      </c>
      <c r="O65" s="11"/>
      <c r="P65" s="6">
        <v>3131.3</v>
      </c>
      <c r="Q65" s="2"/>
      <c r="R65" s="7">
        <f t="shared" si="36"/>
        <v>0</v>
      </c>
      <c r="S65" s="2"/>
      <c r="T65" s="6">
        <v>3250</v>
      </c>
      <c r="U65" s="2"/>
      <c r="V65" s="7">
        <f t="shared" si="37"/>
        <v>0</v>
      </c>
      <c r="W65" s="2"/>
      <c r="X65" s="6">
        <f t="shared" si="38"/>
        <v>-118.69999999999982</v>
      </c>
      <c r="Y65" s="2"/>
      <c r="Z65" s="7">
        <f t="shared" si="39"/>
        <v>-3.6523076923076866E-2</v>
      </c>
    </row>
    <row r="66" spans="1:26" s="24" customFormat="1" hidden="1" outlineLevel="2" x14ac:dyDescent="0.25">
      <c r="A66" s="25"/>
      <c r="B66" s="11" t="str">
        <f>CONCATENATE("          ", "6283", " - ", "PLANT SERVICE")</f>
        <v xml:space="preserve">          6283 - PLANT SERVICE</v>
      </c>
      <c r="C66" s="11"/>
      <c r="D66" s="6">
        <v>35.53</v>
      </c>
      <c r="E66" s="2"/>
      <c r="F66" s="7">
        <f t="shared" si="32"/>
        <v>0</v>
      </c>
      <c r="G66" s="2"/>
      <c r="H66" s="6">
        <v>35</v>
      </c>
      <c r="I66" s="2"/>
      <c r="J66" s="7">
        <f t="shared" si="33"/>
        <v>0</v>
      </c>
      <c r="K66" s="2"/>
      <c r="L66" s="6">
        <f t="shared" si="34"/>
        <v>0.53000000000000114</v>
      </c>
      <c r="M66" s="2"/>
      <c r="N66" s="7">
        <f t="shared" si="35"/>
        <v>1.5142857142857175E-2</v>
      </c>
      <c r="O66" s="11"/>
      <c r="P66" s="6">
        <v>142.12</v>
      </c>
      <c r="Q66" s="2"/>
      <c r="R66" s="7">
        <f t="shared" si="36"/>
        <v>0</v>
      </c>
      <c r="S66" s="2"/>
      <c r="T66" s="6">
        <v>140</v>
      </c>
      <c r="U66" s="2"/>
      <c r="V66" s="7">
        <f t="shared" si="37"/>
        <v>0</v>
      </c>
      <c r="W66" s="2"/>
      <c r="X66" s="6">
        <f t="shared" si="38"/>
        <v>2.1200000000000045</v>
      </c>
      <c r="Y66" s="2"/>
      <c r="Z66" s="7">
        <f t="shared" si="39"/>
        <v>1.5142857142857175E-2</v>
      </c>
    </row>
    <row r="67" spans="1:26" s="24" customFormat="1" hidden="1" outlineLevel="2" x14ac:dyDescent="0.25">
      <c r="A67" s="25"/>
      <c r="B67" s="11" t="str">
        <f>CONCATENATE("          ", "6284", " - ", "TRASH REMOVAL EXPENSE")</f>
        <v xml:space="preserve">          6284 - TRASH REMOVAL EXPENSE</v>
      </c>
      <c r="C67" s="11"/>
      <c r="D67" s="6">
        <v>3482</v>
      </c>
      <c r="E67" s="2"/>
      <c r="F67" s="7">
        <f t="shared" si="32"/>
        <v>0</v>
      </c>
      <c r="G67" s="2"/>
      <c r="H67" s="6">
        <v>3000</v>
      </c>
      <c r="I67" s="2"/>
      <c r="J67" s="7">
        <f t="shared" si="33"/>
        <v>0</v>
      </c>
      <c r="K67" s="2"/>
      <c r="L67" s="6">
        <f t="shared" si="34"/>
        <v>482</v>
      </c>
      <c r="M67" s="2"/>
      <c r="N67" s="7">
        <f t="shared" si="35"/>
        <v>0.16066666666666668</v>
      </c>
      <c r="O67" s="11"/>
      <c r="P67" s="6">
        <v>10446</v>
      </c>
      <c r="Q67" s="2"/>
      <c r="R67" s="7">
        <f t="shared" si="36"/>
        <v>0</v>
      </c>
      <c r="S67" s="2"/>
      <c r="T67" s="6">
        <v>15000</v>
      </c>
      <c r="U67" s="2"/>
      <c r="V67" s="7">
        <f t="shared" si="37"/>
        <v>0</v>
      </c>
      <c r="W67" s="2"/>
      <c r="X67" s="6">
        <f t="shared" si="38"/>
        <v>-4554</v>
      </c>
      <c r="Y67" s="2"/>
      <c r="Z67" s="7">
        <f t="shared" si="39"/>
        <v>-0.30359999999999998</v>
      </c>
    </row>
    <row r="68" spans="1:26" s="24" customFormat="1" hidden="1" outlineLevel="2" x14ac:dyDescent="0.25">
      <c r="A68" s="25"/>
      <c r="B68" s="11" t="str">
        <f>CONCATENATE("          ", "6285", " - ", "JANITORIAL SERVICES")</f>
        <v xml:space="preserve">          6285 - JANITORIAL SERVICES</v>
      </c>
      <c r="C68" s="11"/>
      <c r="D68" s="6">
        <v>10278.51</v>
      </c>
      <c r="E68" s="2"/>
      <c r="F68" s="7">
        <f t="shared" si="32"/>
        <v>0</v>
      </c>
      <c r="G68" s="2"/>
      <c r="H68" s="6">
        <v>9500</v>
      </c>
      <c r="I68" s="2"/>
      <c r="J68" s="7">
        <f t="shared" si="33"/>
        <v>0</v>
      </c>
      <c r="K68" s="2"/>
      <c r="L68" s="6">
        <f t="shared" si="34"/>
        <v>778.51000000000022</v>
      </c>
      <c r="M68" s="2"/>
      <c r="N68" s="7">
        <f t="shared" si="35"/>
        <v>8.1948421052631601E-2</v>
      </c>
      <c r="O68" s="11"/>
      <c r="P68" s="6">
        <v>50472.55</v>
      </c>
      <c r="Q68" s="2"/>
      <c r="R68" s="7">
        <f t="shared" si="36"/>
        <v>0</v>
      </c>
      <c r="S68" s="2"/>
      <c r="T68" s="6">
        <v>47500</v>
      </c>
      <c r="U68" s="2"/>
      <c r="V68" s="7">
        <f t="shared" si="37"/>
        <v>0</v>
      </c>
      <c r="W68" s="2"/>
      <c r="X68" s="6">
        <f t="shared" si="38"/>
        <v>2972.5500000000029</v>
      </c>
      <c r="Y68" s="2"/>
      <c r="Z68" s="7">
        <f t="shared" si="39"/>
        <v>6.2580000000000066E-2</v>
      </c>
    </row>
    <row r="69" spans="1:26" s="24" customFormat="1" hidden="1" outlineLevel="2" x14ac:dyDescent="0.25">
      <c r="A69" s="25"/>
      <c r="B69" s="11" t="str">
        <f>CONCATENATE("          ", "6286", " - ", "LAUNDRY EXPENSE")</f>
        <v xml:space="preserve">          6286 - LAUNDRY EXPENSE</v>
      </c>
      <c r="C69" s="11"/>
      <c r="D69" s="6">
        <v>74.52</v>
      </c>
      <c r="E69" s="2"/>
      <c r="F69" s="7">
        <f t="shared" si="32"/>
        <v>0</v>
      </c>
      <c r="G69" s="2"/>
      <c r="H69" s="6">
        <v>500</v>
      </c>
      <c r="I69" s="2"/>
      <c r="J69" s="7">
        <f t="shared" si="33"/>
        <v>0</v>
      </c>
      <c r="K69" s="2"/>
      <c r="L69" s="6">
        <f t="shared" si="34"/>
        <v>-425.48</v>
      </c>
      <c r="M69" s="2"/>
      <c r="N69" s="7">
        <f t="shared" si="35"/>
        <v>-0.85096000000000005</v>
      </c>
      <c r="O69" s="11"/>
      <c r="P69" s="6">
        <v>377.52</v>
      </c>
      <c r="Q69" s="2"/>
      <c r="R69" s="7">
        <f t="shared" si="36"/>
        <v>0</v>
      </c>
      <c r="S69" s="2"/>
      <c r="T69" s="6">
        <v>2500</v>
      </c>
      <c r="U69" s="2"/>
      <c r="V69" s="7">
        <f t="shared" si="37"/>
        <v>0</v>
      </c>
      <c r="W69" s="2"/>
      <c r="X69" s="6">
        <f t="shared" si="38"/>
        <v>-2122.48</v>
      </c>
      <c r="Y69" s="2"/>
      <c r="Z69" s="7">
        <f t="shared" si="39"/>
        <v>-0.84899199999999997</v>
      </c>
    </row>
    <row r="70" spans="1:26" s="26" customFormat="1" outlineLevel="1" collapsed="1" x14ac:dyDescent="0.25">
      <c r="A70" s="27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SUM(OSRRefD22_12x_0)</f>
        <v>7003.4</v>
      </c>
      <c r="E70" s="1"/>
      <c r="F70" s="5">
        <f t="shared" ref="F70:F77" si="40">IF(D$12=0,0,D70/D$12)</f>
        <v>0</v>
      </c>
      <c r="G70" s="1"/>
      <c r="H70" s="1">
        <f>SUM(OSRRefH22_12x_0)</f>
        <v>4100</v>
      </c>
      <c r="I70" s="1"/>
      <c r="J70" s="5">
        <f t="shared" ref="J70:J77" si="41">IF(H$12=0,0,H70/H$12)</f>
        <v>0</v>
      </c>
      <c r="K70" s="1"/>
      <c r="L70" s="1">
        <f t="shared" ref="L70:L77" si="42">+D70-H70</f>
        <v>2903.3999999999996</v>
      </c>
      <c r="M70" s="1"/>
      <c r="N70" s="5">
        <f t="shared" ref="N70:N77" si="43">IF(H70=0,0,L70/H70)</f>
        <v>0.7081463414634146</v>
      </c>
      <c r="O70" s="13"/>
      <c r="P70" s="1">
        <f>SUM(OSRRefP22_12x_0)</f>
        <v>40761.83</v>
      </c>
      <c r="Q70" s="1"/>
      <c r="R70" s="5">
        <f t="shared" ref="R70:R77" si="44">IF(P$12=0,0,P70/P$12)</f>
        <v>0</v>
      </c>
      <c r="S70" s="1"/>
      <c r="T70" s="1">
        <f>SUM(OSRRefT22_12x_0)</f>
        <v>26300</v>
      </c>
      <c r="U70" s="1"/>
      <c r="V70" s="5">
        <f t="shared" ref="V70:V77" si="45">IF(T$12=0,0,T70/T$12)</f>
        <v>0</v>
      </c>
      <c r="W70" s="1"/>
      <c r="X70" s="1">
        <f t="shared" ref="X70:X77" si="46">+P70-T70</f>
        <v>14461.830000000002</v>
      </c>
      <c r="Y70" s="1"/>
      <c r="Z70" s="5">
        <f t="shared" ref="Z70:Z77" si="47">IF(T70=0,0,X70/T70)</f>
        <v>0.54987946768060847</v>
      </c>
    </row>
    <row r="71" spans="1:26" s="24" customFormat="1" hidden="1" outlineLevel="2" x14ac:dyDescent="0.25">
      <c r="A71" s="25"/>
      <c r="B71" s="11" t="str">
        <f>CONCATENATE("          ", "6234", " - ", "EXPENDABLE SUPPLIES &amp; EQUIPMEN")</f>
        <v xml:space="preserve">          6234 - EXPENDABLE SUPPLIES &amp; EQUIPMEN</v>
      </c>
      <c r="C71" s="11"/>
      <c r="D71" s="6">
        <v>421.16</v>
      </c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421.16</v>
      </c>
      <c r="M71" s="2"/>
      <c r="N71" s="7">
        <f t="shared" si="43"/>
        <v>0</v>
      </c>
      <c r="O71" s="11"/>
      <c r="P71" s="6">
        <v>8091.25</v>
      </c>
      <c r="Q71" s="2"/>
      <c r="R71" s="7">
        <f t="shared" si="44"/>
        <v>0</v>
      </c>
      <c r="S71" s="2"/>
      <c r="T71" s="6"/>
      <c r="U71" s="2"/>
      <c r="V71" s="7">
        <f t="shared" si="45"/>
        <v>0</v>
      </c>
      <c r="W71" s="2"/>
      <c r="X71" s="6">
        <f t="shared" si="46"/>
        <v>8091.25</v>
      </c>
      <c r="Y71" s="2"/>
      <c r="Z71" s="7">
        <f t="shared" si="47"/>
        <v>0</v>
      </c>
    </row>
    <row r="72" spans="1:26" s="24" customFormat="1" hidden="1" outlineLevel="2" x14ac:dyDescent="0.25">
      <c r="A72" s="25"/>
      <c r="B72" s="11" t="str">
        <f>CONCATENATE("          ", "6237", " - ", "JANITORIAL SUPPLIES")</f>
        <v xml:space="preserve">          6237 - JANITORIAL SUPPLIES</v>
      </c>
      <c r="C72" s="11"/>
      <c r="D72" s="6">
        <v>3875.25</v>
      </c>
      <c r="E72" s="2"/>
      <c r="F72" s="7">
        <f t="shared" si="40"/>
        <v>0</v>
      </c>
      <c r="G72" s="2"/>
      <c r="H72" s="6">
        <v>3000</v>
      </c>
      <c r="I72" s="2"/>
      <c r="J72" s="7">
        <f t="shared" si="41"/>
        <v>0</v>
      </c>
      <c r="K72" s="2"/>
      <c r="L72" s="6">
        <f t="shared" si="42"/>
        <v>875.25</v>
      </c>
      <c r="M72" s="2"/>
      <c r="N72" s="7">
        <f t="shared" si="43"/>
        <v>0.29175000000000001</v>
      </c>
      <c r="O72" s="11"/>
      <c r="P72" s="6">
        <v>19140.969999999998</v>
      </c>
      <c r="Q72" s="2"/>
      <c r="R72" s="7">
        <f t="shared" si="44"/>
        <v>0</v>
      </c>
      <c r="S72" s="2"/>
      <c r="T72" s="6">
        <v>16000</v>
      </c>
      <c r="U72" s="2"/>
      <c r="V72" s="7">
        <f t="shared" si="45"/>
        <v>0</v>
      </c>
      <c r="W72" s="2"/>
      <c r="X72" s="6">
        <f t="shared" si="46"/>
        <v>3140.9699999999975</v>
      </c>
      <c r="Y72" s="2"/>
      <c r="Z72" s="7">
        <f t="shared" si="47"/>
        <v>0.19631062499999985</v>
      </c>
    </row>
    <row r="73" spans="1:26" s="24" customFormat="1" hidden="1" outlineLevel="2" x14ac:dyDescent="0.25">
      <c r="A73" s="25"/>
      <c r="B73" s="11" t="str">
        <f>CONCATENATE("          ", "6239", " - ", "KITCHEN SUPPLIES")</f>
        <v xml:space="preserve">          6239 - KITCHEN SUPPLIES</v>
      </c>
      <c r="C73" s="11"/>
      <c r="D73" s="6">
        <v>1659.78</v>
      </c>
      <c r="E73" s="2"/>
      <c r="F73" s="7">
        <f t="shared" si="40"/>
        <v>0</v>
      </c>
      <c r="G73" s="2"/>
      <c r="H73" s="6"/>
      <c r="I73" s="2"/>
      <c r="J73" s="7">
        <f t="shared" si="41"/>
        <v>0</v>
      </c>
      <c r="K73" s="2"/>
      <c r="L73" s="6">
        <f t="shared" si="42"/>
        <v>1659.78</v>
      </c>
      <c r="M73" s="2"/>
      <c r="N73" s="7">
        <f t="shared" si="43"/>
        <v>0</v>
      </c>
      <c r="O73" s="11"/>
      <c r="P73" s="6">
        <v>12464.34</v>
      </c>
      <c r="Q73" s="2"/>
      <c r="R73" s="7">
        <f t="shared" si="44"/>
        <v>0</v>
      </c>
      <c r="S73" s="2"/>
      <c r="T73" s="6">
        <v>4500</v>
      </c>
      <c r="U73" s="2"/>
      <c r="V73" s="7">
        <f t="shared" si="45"/>
        <v>0</v>
      </c>
      <c r="W73" s="2"/>
      <c r="X73" s="6">
        <f t="shared" si="46"/>
        <v>7964.34</v>
      </c>
      <c r="Y73" s="2"/>
      <c r="Z73" s="7">
        <f t="shared" si="47"/>
        <v>1.7698533333333333</v>
      </c>
    </row>
    <row r="74" spans="1:26" s="24" customFormat="1" hidden="1" outlineLevel="2" x14ac:dyDescent="0.25">
      <c r="A74" s="25"/>
      <c r="B74" s="11" t="str">
        <f>CONCATENATE("          ", "6241", " - ", "OFFICE EXPENSE")</f>
        <v xml:space="preserve">          6241 - OFFICE EXPENSE</v>
      </c>
      <c r="C74" s="11"/>
      <c r="D74" s="6">
        <v>981.12</v>
      </c>
      <c r="E74" s="2"/>
      <c r="F74" s="7">
        <f t="shared" si="40"/>
        <v>0</v>
      </c>
      <c r="G74" s="2"/>
      <c r="H74" s="6">
        <v>200</v>
      </c>
      <c r="I74" s="2"/>
      <c r="J74" s="7">
        <f t="shared" si="41"/>
        <v>0</v>
      </c>
      <c r="K74" s="2"/>
      <c r="L74" s="6">
        <f t="shared" si="42"/>
        <v>781.12</v>
      </c>
      <c r="M74" s="2"/>
      <c r="N74" s="7">
        <f t="shared" si="43"/>
        <v>3.9056000000000002</v>
      </c>
      <c r="O74" s="11"/>
      <c r="P74" s="6">
        <v>766.37</v>
      </c>
      <c r="Q74" s="2"/>
      <c r="R74" s="7">
        <f t="shared" si="44"/>
        <v>0</v>
      </c>
      <c r="S74" s="2"/>
      <c r="T74" s="6">
        <v>1300</v>
      </c>
      <c r="U74" s="2"/>
      <c r="V74" s="7">
        <f t="shared" si="45"/>
        <v>0</v>
      </c>
      <c r="W74" s="2"/>
      <c r="X74" s="6">
        <f t="shared" si="46"/>
        <v>-533.63</v>
      </c>
      <c r="Y74" s="2"/>
      <c r="Z74" s="7">
        <f t="shared" si="47"/>
        <v>-0.41048461538461539</v>
      </c>
    </row>
    <row r="75" spans="1:26" s="24" customFormat="1" hidden="1" outlineLevel="2" x14ac:dyDescent="0.25">
      <c r="A75" s="25"/>
      <c r="B75" s="11" t="str">
        <f>CONCATENATE("          ", "6243", " - ", "PAPER SUPPLIES")</f>
        <v xml:space="preserve">          6243 - PAPER SUPPLIES</v>
      </c>
      <c r="C75" s="11"/>
      <c r="D75" s="6"/>
      <c r="E75" s="2"/>
      <c r="F75" s="7">
        <f t="shared" si="40"/>
        <v>0</v>
      </c>
      <c r="G75" s="2"/>
      <c r="H75" s="6">
        <v>400</v>
      </c>
      <c r="I75" s="2"/>
      <c r="J75" s="7">
        <f t="shared" si="41"/>
        <v>0</v>
      </c>
      <c r="K75" s="2"/>
      <c r="L75" s="6">
        <f t="shared" si="42"/>
        <v>-400</v>
      </c>
      <c r="M75" s="2"/>
      <c r="N75" s="7">
        <f t="shared" si="43"/>
        <v>-1</v>
      </c>
      <c r="O75" s="11"/>
      <c r="P75" s="6"/>
      <c r="Q75" s="2"/>
      <c r="R75" s="7">
        <f t="shared" si="44"/>
        <v>0</v>
      </c>
      <c r="S75" s="2"/>
      <c r="T75" s="6">
        <v>2000</v>
      </c>
      <c r="U75" s="2"/>
      <c r="V75" s="7">
        <f t="shared" si="45"/>
        <v>0</v>
      </c>
      <c r="W75" s="2"/>
      <c r="X75" s="6">
        <f t="shared" si="46"/>
        <v>-2000</v>
      </c>
      <c r="Y75" s="2"/>
      <c r="Z75" s="7">
        <f t="shared" si="47"/>
        <v>-1</v>
      </c>
    </row>
    <row r="76" spans="1:26" s="24" customFormat="1" hidden="1" outlineLevel="2" x14ac:dyDescent="0.25">
      <c r="A76" s="25"/>
      <c r="B76" s="11" t="str">
        <f>CONCATENATE("          ", "6245", " - ", "PRINTING")</f>
        <v xml:space="preserve">          6245 - PRINTING</v>
      </c>
      <c r="C76" s="11"/>
      <c r="D76" s="6"/>
      <c r="E76" s="2"/>
      <c r="F76" s="7">
        <f t="shared" si="40"/>
        <v>0</v>
      </c>
      <c r="G76" s="2"/>
      <c r="H76" s="6">
        <v>500</v>
      </c>
      <c r="I76" s="2"/>
      <c r="J76" s="7">
        <f t="shared" si="41"/>
        <v>0</v>
      </c>
      <c r="K76" s="2"/>
      <c r="L76" s="6">
        <f t="shared" si="42"/>
        <v>-500</v>
      </c>
      <c r="M76" s="2"/>
      <c r="N76" s="7">
        <f t="shared" si="43"/>
        <v>-1</v>
      </c>
      <c r="O76" s="11"/>
      <c r="P76" s="6"/>
      <c r="Q76" s="2"/>
      <c r="R76" s="7">
        <f t="shared" si="44"/>
        <v>0</v>
      </c>
      <c r="S76" s="2"/>
      <c r="T76" s="6">
        <v>1000</v>
      </c>
      <c r="U76" s="2"/>
      <c r="V76" s="7">
        <f t="shared" si="45"/>
        <v>0</v>
      </c>
      <c r="W76" s="2"/>
      <c r="X76" s="6">
        <f t="shared" si="46"/>
        <v>-1000</v>
      </c>
      <c r="Y76" s="2"/>
      <c r="Z76" s="7">
        <f t="shared" si="47"/>
        <v>-1</v>
      </c>
    </row>
    <row r="77" spans="1:26" s="24" customFormat="1" hidden="1" outlineLevel="2" x14ac:dyDescent="0.25">
      <c r="A77" s="25"/>
      <c r="B77" s="11" t="str">
        <f>CONCATENATE("          ", "6248", " - ", "UNIFORMS")</f>
        <v xml:space="preserve">          6248 - UNIFORMS</v>
      </c>
      <c r="C77" s="11"/>
      <c r="D77" s="6">
        <v>66.09</v>
      </c>
      <c r="E77" s="2"/>
      <c r="F77" s="7">
        <f t="shared" si="40"/>
        <v>0</v>
      </c>
      <c r="G77" s="2"/>
      <c r="H77" s="6"/>
      <c r="I77" s="2"/>
      <c r="J77" s="7">
        <f t="shared" si="41"/>
        <v>0</v>
      </c>
      <c r="K77" s="2"/>
      <c r="L77" s="6">
        <f t="shared" si="42"/>
        <v>66.09</v>
      </c>
      <c r="M77" s="2"/>
      <c r="N77" s="7">
        <f t="shared" si="43"/>
        <v>0</v>
      </c>
      <c r="O77" s="11"/>
      <c r="P77" s="6">
        <v>298.89999999999998</v>
      </c>
      <c r="Q77" s="2"/>
      <c r="R77" s="7">
        <f t="shared" si="44"/>
        <v>0</v>
      </c>
      <c r="S77" s="2"/>
      <c r="T77" s="6">
        <v>1500</v>
      </c>
      <c r="U77" s="2"/>
      <c r="V77" s="7">
        <f t="shared" si="45"/>
        <v>0</v>
      </c>
      <c r="W77" s="2"/>
      <c r="X77" s="6">
        <f t="shared" si="46"/>
        <v>-1201.0999999999999</v>
      </c>
      <c r="Y77" s="2"/>
      <c r="Z77" s="7">
        <f t="shared" si="47"/>
        <v>-0.8007333333333333</v>
      </c>
    </row>
    <row r="78" spans="1:26" s="26" customFormat="1" outlineLevel="1" collapsed="1" x14ac:dyDescent="0.25">
      <c r="A78" s="27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SUM(OSRRefD22_13x_0)</f>
        <v>263.25</v>
      </c>
      <c r="E78" s="1"/>
      <c r="F78" s="5">
        <f t="shared" ref="F78:F85" si="48">IF(D$12=0,0,D78/D$12)</f>
        <v>0</v>
      </c>
      <c r="G78" s="1"/>
      <c r="H78" s="1">
        <f>SUM(OSRRefH22_13x_0)</f>
        <v>500</v>
      </c>
      <c r="I78" s="1"/>
      <c r="J78" s="5">
        <f t="shared" ref="J78:J85" si="49">IF(H$12=0,0,H78/H$12)</f>
        <v>0</v>
      </c>
      <c r="K78" s="1"/>
      <c r="L78" s="1">
        <f t="shared" ref="L78:L85" si="50">+D78-H78</f>
        <v>-236.75</v>
      </c>
      <c r="M78" s="1"/>
      <c r="N78" s="5">
        <f t="shared" ref="N78:N85" si="51">IF(H78=0,0,L78/H78)</f>
        <v>-0.47349999999999998</v>
      </c>
      <c r="O78" s="13"/>
      <c r="P78" s="1">
        <f>SUM(OSRRefP22_13x_0)</f>
        <v>1782.8</v>
      </c>
      <c r="Q78" s="1"/>
      <c r="R78" s="5">
        <f t="shared" ref="R78:R85" si="52">IF(P$12=0,0,P78/P$12)</f>
        <v>0</v>
      </c>
      <c r="S78" s="1"/>
      <c r="T78" s="1">
        <f>SUM(OSRRefT22_13x_0)</f>
        <v>2500</v>
      </c>
      <c r="U78" s="1"/>
      <c r="V78" s="5">
        <f t="shared" ref="V78:V85" si="53">IF(T$12=0,0,T78/T$12)</f>
        <v>0</v>
      </c>
      <c r="W78" s="1"/>
      <c r="X78" s="1">
        <f t="shared" ref="X78:X85" si="54">+P78-T78</f>
        <v>-717.2</v>
      </c>
      <c r="Y78" s="1"/>
      <c r="Z78" s="5">
        <f t="shared" ref="Z78:Z85" si="55">IF(T78=0,0,X78/T78)</f>
        <v>-0.28688000000000002</v>
      </c>
    </row>
    <row r="79" spans="1:26" s="24" customFormat="1" hidden="1" outlineLevel="2" x14ac:dyDescent="0.25">
      <c r="A79" s="25"/>
      <c r="B79" s="11" t="str">
        <f>CONCATENATE("          ", "6309", " - ", "TELEPHONE")</f>
        <v xml:space="preserve">          6309 - TELEPHONE</v>
      </c>
      <c r="C79" s="11"/>
      <c r="D79" s="6">
        <v>263.25</v>
      </c>
      <c r="E79" s="2"/>
      <c r="F79" s="7">
        <f t="shared" si="48"/>
        <v>0</v>
      </c>
      <c r="G79" s="2"/>
      <c r="H79" s="6">
        <v>500</v>
      </c>
      <c r="I79" s="2"/>
      <c r="J79" s="7">
        <f t="shared" si="49"/>
        <v>0</v>
      </c>
      <c r="K79" s="2"/>
      <c r="L79" s="6">
        <f t="shared" si="50"/>
        <v>-236.75</v>
      </c>
      <c r="M79" s="2"/>
      <c r="N79" s="7">
        <f t="shared" si="51"/>
        <v>-0.47349999999999998</v>
      </c>
      <c r="O79" s="11"/>
      <c r="P79" s="6">
        <v>1782.8</v>
      </c>
      <c r="Q79" s="2"/>
      <c r="R79" s="7">
        <f t="shared" si="52"/>
        <v>0</v>
      </c>
      <c r="S79" s="2"/>
      <c r="T79" s="6">
        <v>2500</v>
      </c>
      <c r="U79" s="2"/>
      <c r="V79" s="7">
        <f t="shared" si="53"/>
        <v>0</v>
      </c>
      <c r="W79" s="2"/>
      <c r="X79" s="6">
        <f t="shared" si="54"/>
        <v>-717.2</v>
      </c>
      <c r="Y79" s="2"/>
      <c r="Z79" s="7">
        <f t="shared" si="55"/>
        <v>-0.28688000000000002</v>
      </c>
    </row>
    <row r="80" spans="1:26" s="26" customFormat="1" outlineLevel="1" collapsed="1" x14ac:dyDescent="0.25">
      <c r="A80" s="27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SUM(OSRRefD22_14x_0)</f>
        <v>0</v>
      </c>
      <c r="E80" s="1"/>
      <c r="F80" s="5">
        <f t="shared" si="48"/>
        <v>0</v>
      </c>
      <c r="G80" s="1"/>
      <c r="H80" s="1">
        <f>SUM(OSRRefH22_14x_0)</f>
        <v>500</v>
      </c>
      <c r="I80" s="1"/>
      <c r="J80" s="5">
        <f t="shared" si="49"/>
        <v>0</v>
      </c>
      <c r="K80" s="1"/>
      <c r="L80" s="1">
        <f t="shared" si="50"/>
        <v>-500</v>
      </c>
      <c r="M80" s="1"/>
      <c r="N80" s="5">
        <f t="shared" si="51"/>
        <v>-1</v>
      </c>
      <c r="O80" s="13"/>
      <c r="P80" s="1">
        <f>SUM(OSRRefP22_14x_0)</f>
        <v>240</v>
      </c>
      <c r="Q80" s="1"/>
      <c r="R80" s="5">
        <f t="shared" si="52"/>
        <v>0</v>
      </c>
      <c r="S80" s="1"/>
      <c r="T80" s="1">
        <f>SUM(OSRRefT22_14x_0)</f>
        <v>1500</v>
      </c>
      <c r="U80" s="1"/>
      <c r="V80" s="5">
        <f t="shared" si="53"/>
        <v>0</v>
      </c>
      <c r="W80" s="1"/>
      <c r="X80" s="1">
        <f t="shared" si="54"/>
        <v>-1260</v>
      </c>
      <c r="Y80" s="1"/>
      <c r="Z80" s="5">
        <f t="shared" si="55"/>
        <v>-0.84</v>
      </c>
    </row>
    <row r="81" spans="1:26" s="24" customFormat="1" hidden="1" outlineLevel="2" x14ac:dyDescent="0.25">
      <c r="A81" s="25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48"/>
        <v>0</v>
      </c>
      <c r="G81" s="2"/>
      <c r="H81" s="6">
        <v>500</v>
      </c>
      <c r="I81" s="2"/>
      <c r="J81" s="7">
        <f t="shared" si="49"/>
        <v>0</v>
      </c>
      <c r="K81" s="2"/>
      <c r="L81" s="6">
        <f t="shared" si="50"/>
        <v>-500</v>
      </c>
      <c r="M81" s="2"/>
      <c r="N81" s="7">
        <f t="shared" si="51"/>
        <v>-1</v>
      </c>
      <c r="O81" s="11"/>
      <c r="P81" s="6">
        <v>240</v>
      </c>
      <c r="Q81" s="2"/>
      <c r="R81" s="7">
        <f t="shared" si="52"/>
        <v>0</v>
      </c>
      <c r="S81" s="2"/>
      <c r="T81" s="6">
        <v>1500</v>
      </c>
      <c r="U81" s="2"/>
      <c r="V81" s="7">
        <f t="shared" si="53"/>
        <v>0</v>
      </c>
      <c r="W81" s="2"/>
      <c r="X81" s="6">
        <f t="shared" si="54"/>
        <v>-1260</v>
      </c>
      <c r="Y81" s="2"/>
      <c r="Z81" s="7">
        <f t="shared" si="55"/>
        <v>-0.84</v>
      </c>
    </row>
    <row r="82" spans="1:26" s="26" customFormat="1" outlineLevel="1" collapsed="1" x14ac:dyDescent="0.25">
      <c r="A82" s="27"/>
      <c r="B82" s="13" t="str">
        <f>CONCATENATE("     ","Travel                                            ")</f>
        <v xml:space="preserve">     Travel                                            </v>
      </c>
      <c r="C82" s="13"/>
      <c r="D82" s="1">
        <f>SUM(OSRRefD22_15x_0)</f>
        <v>301.73</v>
      </c>
      <c r="E82" s="1"/>
      <c r="F82" s="5">
        <f t="shared" si="48"/>
        <v>0</v>
      </c>
      <c r="G82" s="1"/>
      <c r="H82" s="1">
        <f>SUM(OSRRefH22_15x_0)</f>
        <v>0</v>
      </c>
      <c r="I82" s="1"/>
      <c r="J82" s="5">
        <f t="shared" si="49"/>
        <v>0</v>
      </c>
      <c r="K82" s="1"/>
      <c r="L82" s="1">
        <f t="shared" si="50"/>
        <v>301.73</v>
      </c>
      <c r="M82" s="1"/>
      <c r="N82" s="5">
        <f t="shared" si="51"/>
        <v>0</v>
      </c>
      <c r="O82" s="13"/>
      <c r="P82" s="1">
        <f>SUM(OSRRefP22_15x_0)</f>
        <v>1402.9099999999999</v>
      </c>
      <c r="Q82" s="1"/>
      <c r="R82" s="5">
        <f t="shared" si="52"/>
        <v>0</v>
      </c>
      <c r="S82" s="1"/>
      <c r="T82" s="1">
        <f>SUM(OSRRefT22_15x_0)</f>
        <v>2000</v>
      </c>
      <c r="U82" s="1"/>
      <c r="V82" s="5">
        <f t="shared" si="53"/>
        <v>0</v>
      </c>
      <c r="W82" s="1"/>
      <c r="X82" s="1">
        <f t="shared" si="54"/>
        <v>-597.09000000000015</v>
      </c>
      <c r="Y82" s="1"/>
      <c r="Z82" s="5">
        <f t="shared" si="55"/>
        <v>-0.29854500000000006</v>
      </c>
    </row>
    <row r="83" spans="1:26" s="24" customFormat="1" hidden="1" outlineLevel="2" x14ac:dyDescent="0.25">
      <c r="A83" s="25"/>
      <c r="B83" s="11" t="str">
        <f>CONCATENATE("          ", "6292", " - ", "TRAVEL/CONFERENCE")</f>
        <v xml:space="preserve">          6292 - TRAVEL/CONFERENCE</v>
      </c>
      <c r="C83" s="11"/>
      <c r="D83" s="6">
        <v>153.68</v>
      </c>
      <c r="E83" s="2"/>
      <c r="F83" s="7">
        <f t="shared" si="48"/>
        <v>0</v>
      </c>
      <c r="G83" s="2"/>
      <c r="H83" s="6"/>
      <c r="I83" s="2"/>
      <c r="J83" s="7">
        <f t="shared" si="49"/>
        <v>0</v>
      </c>
      <c r="K83" s="2"/>
      <c r="L83" s="6">
        <f t="shared" si="50"/>
        <v>153.68</v>
      </c>
      <c r="M83" s="2"/>
      <c r="N83" s="7">
        <f t="shared" si="51"/>
        <v>0</v>
      </c>
      <c r="O83" s="11"/>
      <c r="P83" s="6">
        <v>699.37</v>
      </c>
      <c r="Q83" s="2"/>
      <c r="R83" s="7">
        <f t="shared" si="52"/>
        <v>0</v>
      </c>
      <c r="S83" s="2"/>
      <c r="T83" s="6">
        <v>2000</v>
      </c>
      <c r="U83" s="2"/>
      <c r="V83" s="7">
        <f t="shared" si="53"/>
        <v>0</v>
      </c>
      <c r="W83" s="2"/>
      <c r="X83" s="6">
        <f t="shared" si="54"/>
        <v>-1300.6300000000001</v>
      </c>
      <c r="Y83" s="2"/>
      <c r="Z83" s="7">
        <f t="shared" si="55"/>
        <v>-0.65031500000000009</v>
      </c>
    </row>
    <row r="84" spans="1:26" s="24" customFormat="1" hidden="1" outlineLevel="2" x14ac:dyDescent="0.25">
      <c r="A84" s="25"/>
      <c r="B84" s="11" t="str">
        <f>CONCATENATE("          ", "6294", " - ", "TRAVEL OPERATIONAL")</f>
        <v xml:space="preserve">          6294 - TRAVEL OPERATIONAL</v>
      </c>
      <c r="C84" s="11"/>
      <c r="D84" s="6"/>
      <c r="E84" s="2"/>
      <c r="F84" s="7">
        <f t="shared" si="48"/>
        <v>0</v>
      </c>
      <c r="G84" s="2"/>
      <c r="H84" s="6"/>
      <c r="I84" s="2"/>
      <c r="J84" s="7">
        <f t="shared" si="49"/>
        <v>0</v>
      </c>
      <c r="K84" s="2"/>
      <c r="L84" s="6">
        <f t="shared" si="50"/>
        <v>0</v>
      </c>
      <c r="M84" s="2"/>
      <c r="N84" s="7">
        <f t="shared" si="51"/>
        <v>0</v>
      </c>
      <c r="O84" s="11"/>
      <c r="P84" s="6">
        <v>45.49</v>
      </c>
      <c r="Q84" s="2"/>
      <c r="R84" s="7">
        <f t="shared" si="52"/>
        <v>0</v>
      </c>
      <c r="S84" s="2"/>
      <c r="T84" s="6"/>
      <c r="U84" s="2"/>
      <c r="V84" s="7">
        <f t="shared" si="53"/>
        <v>0</v>
      </c>
      <c r="W84" s="2"/>
      <c r="X84" s="6">
        <f t="shared" si="54"/>
        <v>45.49</v>
      </c>
      <c r="Y84" s="2"/>
      <c r="Z84" s="7">
        <f t="shared" si="55"/>
        <v>0</v>
      </c>
    </row>
    <row r="85" spans="1:26" s="24" customFormat="1" hidden="1" outlineLevel="2" x14ac:dyDescent="0.25">
      <c r="A85" s="25"/>
      <c r="B85" s="11" t="str">
        <f>CONCATENATE("          ", "6298", " - ", "VEHICLE MILEAGE")</f>
        <v xml:space="preserve">          6298 - VEHICLE MILEAGE</v>
      </c>
      <c r="C85" s="11"/>
      <c r="D85" s="6">
        <v>148.05000000000001</v>
      </c>
      <c r="E85" s="2"/>
      <c r="F85" s="7">
        <f t="shared" si="48"/>
        <v>0</v>
      </c>
      <c r="G85" s="2"/>
      <c r="H85" s="6"/>
      <c r="I85" s="2"/>
      <c r="J85" s="7">
        <f t="shared" si="49"/>
        <v>0</v>
      </c>
      <c r="K85" s="2"/>
      <c r="L85" s="6">
        <f t="shared" si="50"/>
        <v>148.05000000000001</v>
      </c>
      <c r="M85" s="2"/>
      <c r="N85" s="7">
        <f t="shared" si="51"/>
        <v>0</v>
      </c>
      <c r="O85" s="11"/>
      <c r="P85" s="6">
        <v>658.05</v>
      </c>
      <c r="Q85" s="2"/>
      <c r="R85" s="7">
        <f t="shared" si="52"/>
        <v>0</v>
      </c>
      <c r="S85" s="2"/>
      <c r="T85" s="6"/>
      <c r="U85" s="2"/>
      <c r="V85" s="7">
        <f t="shared" si="53"/>
        <v>0</v>
      </c>
      <c r="W85" s="2"/>
      <c r="X85" s="6">
        <f t="shared" si="54"/>
        <v>658.05</v>
      </c>
      <c r="Y85" s="2"/>
      <c r="Z85" s="7">
        <f t="shared" si="55"/>
        <v>0</v>
      </c>
    </row>
    <row r="86" spans="1:26" s="26" customFormat="1" outlineLevel="1" collapsed="1" x14ac:dyDescent="0.25">
      <c r="A86" s="27"/>
      <c r="B86" s="13" t="str">
        <f>CONCATENATE("     ","Utilities                                         ")</f>
        <v xml:space="preserve">     Utilities                                         </v>
      </c>
      <c r="C86" s="13"/>
      <c r="D86" s="1">
        <f>SUM(OSRRefD22_16x_0)</f>
        <v>11354</v>
      </c>
      <c r="E86" s="1"/>
      <c r="F86" s="5">
        <f t="shared" ref="F86:F87" si="56">IF(D$12=0,0,D86/D$12)</f>
        <v>0</v>
      </c>
      <c r="G86" s="1"/>
      <c r="H86" s="1">
        <f>SUM(OSRRefH22_16x_0)</f>
        <v>15000</v>
      </c>
      <c r="I86" s="1"/>
      <c r="J86" s="5">
        <f t="shared" ref="J86:J87" si="57">IF(H$12=0,0,H86/H$12)</f>
        <v>0</v>
      </c>
      <c r="K86" s="1"/>
      <c r="L86" s="1">
        <f t="shared" ref="L86:L87" si="58">+D86-H86</f>
        <v>-3646</v>
      </c>
      <c r="M86" s="1"/>
      <c r="N86" s="5">
        <f t="shared" ref="N86:N87" si="59">IF(H86=0,0,L86/H86)</f>
        <v>-0.24306666666666665</v>
      </c>
      <c r="O86" s="13"/>
      <c r="P86" s="1">
        <f>SUM(OSRRefP22_16x_0)</f>
        <v>48898</v>
      </c>
      <c r="Q86" s="1"/>
      <c r="R86" s="5">
        <f t="shared" ref="R86:R87" si="60">IF(P$12=0,0,P86/P$12)</f>
        <v>0</v>
      </c>
      <c r="S86" s="1"/>
      <c r="T86" s="1">
        <f>SUM(OSRRefT22_16x_0)</f>
        <v>85000</v>
      </c>
      <c r="U86" s="1"/>
      <c r="V86" s="5">
        <f t="shared" ref="V86:V87" si="61">IF(T$12=0,0,T86/T$12)</f>
        <v>0</v>
      </c>
      <c r="W86" s="1"/>
      <c r="X86" s="1">
        <f t="shared" ref="X86:X87" si="62">+P86-T86</f>
        <v>-36102</v>
      </c>
      <c r="Y86" s="1"/>
      <c r="Z86" s="5">
        <f t="shared" ref="Z86:Z87" si="63">IF(T86=0,0,X86/T86)</f>
        <v>-0.42472941176470586</v>
      </c>
    </row>
    <row r="87" spans="1:26" s="24" customFormat="1" hidden="1" outlineLevel="2" x14ac:dyDescent="0.25">
      <c r="A87" s="25"/>
      <c r="B87" s="11" t="str">
        <f>CONCATENATE("          ", "6274", " - ", "UTILITIES")</f>
        <v xml:space="preserve">          6274 - UTILITIES</v>
      </c>
      <c r="C87" s="11"/>
      <c r="D87" s="6">
        <v>11354</v>
      </c>
      <c r="E87" s="2"/>
      <c r="F87" s="7">
        <f t="shared" si="56"/>
        <v>0</v>
      </c>
      <c r="G87" s="2"/>
      <c r="H87" s="6">
        <v>15000</v>
      </c>
      <c r="I87" s="2"/>
      <c r="J87" s="7">
        <f t="shared" si="57"/>
        <v>0</v>
      </c>
      <c r="K87" s="2"/>
      <c r="L87" s="6">
        <f t="shared" si="58"/>
        <v>-3646</v>
      </c>
      <c r="M87" s="2"/>
      <c r="N87" s="7">
        <f t="shared" si="59"/>
        <v>-0.24306666666666665</v>
      </c>
      <c r="O87" s="11"/>
      <c r="P87" s="6">
        <v>48898</v>
      </c>
      <c r="Q87" s="2"/>
      <c r="R87" s="7">
        <f t="shared" si="60"/>
        <v>0</v>
      </c>
      <c r="S87" s="2"/>
      <c r="T87" s="6">
        <v>85000</v>
      </c>
      <c r="U87" s="2"/>
      <c r="V87" s="7">
        <f t="shared" si="61"/>
        <v>0</v>
      </c>
      <c r="W87" s="2"/>
      <c r="X87" s="6">
        <f t="shared" si="62"/>
        <v>-36102</v>
      </c>
      <c r="Y87" s="2"/>
      <c r="Z87" s="7">
        <f t="shared" si="63"/>
        <v>-0.42472941176470586</v>
      </c>
    </row>
    <row r="88" spans="1:26" s="59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collapsed="1" x14ac:dyDescent="0.25">
      <c r="A89" s="10"/>
      <c r="B89" s="29" t="s">
        <v>0</v>
      </c>
      <c r="C89" s="10"/>
      <c r="D89" s="4">
        <f>SUM(OSRRefD25x_0)</f>
        <v>29997.24</v>
      </c>
      <c r="E89" s="4"/>
      <c r="F89" s="12">
        <f t="shared" ref="F89:F91" si="64">IF(D$12=0,0,D89/D$12)</f>
        <v>0</v>
      </c>
      <c r="G89" s="4"/>
      <c r="H89" s="4">
        <f>SUM(OSRRefH25x_0)</f>
        <v>14097</v>
      </c>
      <c r="I89" s="4"/>
      <c r="J89" s="12">
        <f t="shared" ref="J89:J91" si="65">IF(H$12=0,0,H89/H$12)</f>
        <v>0</v>
      </c>
      <c r="K89" s="4"/>
      <c r="L89" s="4">
        <f t="shared" ref="L89:L91" si="66">+D89-H89</f>
        <v>15900.240000000002</v>
      </c>
      <c r="M89" s="4"/>
      <c r="N89" s="12">
        <f t="shared" ref="N89:N91" si="67">IF(H89=0,0,L89/H89)</f>
        <v>1.1279165779953182</v>
      </c>
      <c r="O89" s="10"/>
      <c r="P89" s="4">
        <f>SUM(OSRRefP25x_0)</f>
        <v>56859.040000000001</v>
      </c>
      <c r="Q89" s="4"/>
      <c r="R89" s="12">
        <f t="shared" ref="R89:R91" si="68">IF(P$12=0,0,P89/P$12)</f>
        <v>0</v>
      </c>
      <c r="S89" s="4"/>
      <c r="T89" s="4">
        <f>SUM(OSRRefT25x_0)</f>
        <v>27112</v>
      </c>
      <c r="U89" s="4"/>
      <c r="V89" s="12">
        <f t="shared" ref="V89:V91" si="69">IF(T$12=0,0,T89/T$12)</f>
        <v>0</v>
      </c>
      <c r="W89" s="4"/>
      <c r="X89" s="4">
        <f t="shared" ref="X89:X91" si="70">+P89-T89</f>
        <v>29747.040000000001</v>
      </c>
      <c r="Y89" s="4"/>
      <c r="Z89" s="12">
        <f t="shared" ref="Z89:Z91" si="71">IF(T89=0,0,X89/T89)</f>
        <v>1.0971909117733845</v>
      </c>
    </row>
    <row r="90" spans="1:26" s="24" customFormat="1" hidden="1" outlineLevel="1" x14ac:dyDescent="0.25">
      <c r="A90" s="44"/>
      <c r="B90" s="11" t="str">
        <f>CONCATENATE("          ", "9150", " - ", "MISC. INCOME")</f>
        <v xml:space="preserve">          9150 - MISC. INCOME</v>
      </c>
      <c r="C90" s="11"/>
      <c r="D90" s="2">
        <f>--29997.24</f>
        <v>29997.24</v>
      </c>
      <c r="E90" s="2"/>
      <c r="F90" s="19">
        <f t="shared" si="64"/>
        <v>0</v>
      </c>
      <c r="G90" s="2"/>
      <c r="H90" s="2">
        <v>14097</v>
      </c>
      <c r="I90" s="2"/>
      <c r="J90" s="19">
        <f t="shared" si="65"/>
        <v>0</v>
      </c>
      <c r="K90" s="2"/>
      <c r="L90" s="2">
        <f t="shared" si="66"/>
        <v>15900.240000000002</v>
      </c>
      <c r="M90" s="2"/>
      <c r="N90" s="19">
        <f t="shared" si="67"/>
        <v>1.1279165779953182</v>
      </c>
      <c r="O90" s="11"/>
      <c r="P90" s="2">
        <f>--55848.11</f>
        <v>55848.11</v>
      </c>
      <c r="Q90" s="2"/>
      <c r="R90" s="19">
        <f t="shared" si="68"/>
        <v>0</v>
      </c>
      <c r="S90" s="2"/>
      <c r="T90" s="2">
        <v>27112</v>
      </c>
      <c r="U90" s="2"/>
      <c r="V90" s="19">
        <f t="shared" si="69"/>
        <v>0</v>
      </c>
      <c r="W90" s="2"/>
      <c r="X90" s="2">
        <f t="shared" si="70"/>
        <v>28736.11</v>
      </c>
      <c r="Y90" s="2"/>
      <c r="Z90" s="19">
        <f t="shared" si="71"/>
        <v>1.0599037326645029</v>
      </c>
    </row>
    <row r="91" spans="1:26" s="24" customFormat="1" hidden="1" outlineLevel="1" x14ac:dyDescent="0.25">
      <c r="A91" s="44"/>
      <c r="B91" s="11" t="str">
        <f>CONCATENATE("          ", "9160", " - ", "MISC. INCOME")</f>
        <v xml:space="preserve">          9160 - MISC. INCOME</v>
      </c>
      <c r="C91" s="11"/>
      <c r="D91" s="2">
        <f>0</f>
        <v>0</v>
      </c>
      <c r="E91" s="2"/>
      <c r="F91" s="19">
        <f t="shared" si="64"/>
        <v>0</v>
      </c>
      <c r="G91" s="2"/>
      <c r="H91" s="2"/>
      <c r="I91" s="2"/>
      <c r="J91" s="19">
        <f t="shared" si="65"/>
        <v>0</v>
      </c>
      <c r="K91" s="2"/>
      <c r="L91" s="2">
        <f t="shared" si="66"/>
        <v>0</v>
      </c>
      <c r="M91" s="2"/>
      <c r="N91" s="19">
        <f t="shared" si="67"/>
        <v>0</v>
      </c>
      <c r="O91" s="11"/>
      <c r="P91" s="2">
        <f>--1010.93</f>
        <v>1010.93</v>
      </c>
      <c r="Q91" s="2"/>
      <c r="R91" s="19">
        <f t="shared" si="68"/>
        <v>0</v>
      </c>
      <c r="S91" s="2"/>
      <c r="T91" s="2"/>
      <c r="U91" s="2"/>
      <c r="V91" s="19">
        <f t="shared" si="69"/>
        <v>0</v>
      </c>
      <c r="W91" s="2"/>
      <c r="X91" s="2">
        <f t="shared" si="70"/>
        <v>1010.93</v>
      </c>
      <c r="Y91" s="2"/>
      <c r="Z91" s="19">
        <f t="shared" si="71"/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8" t="s">
        <v>3</v>
      </c>
      <c r="C93" s="28"/>
      <c r="D93" s="20">
        <f>+D16-D18+D89</f>
        <v>-74679.769999999975</v>
      </c>
      <c r="E93" s="14"/>
      <c r="F93" s="22">
        <f>IF(D$12=0,0,D93/D$12)</f>
        <v>0</v>
      </c>
      <c r="G93" s="14"/>
      <c r="H93" s="20">
        <f>+H16-H18+H89</f>
        <v>-79448.465736985236</v>
      </c>
      <c r="I93" s="14"/>
      <c r="J93" s="22">
        <f>IF(H$12=0,0,H93/H$12)</f>
        <v>0</v>
      </c>
      <c r="K93" s="16"/>
      <c r="L93" s="20">
        <f>+D93-H93</f>
        <v>4768.6957369852607</v>
      </c>
      <c r="M93" s="16"/>
      <c r="N93" s="22">
        <f>IF(H93=0,0,L93/H93)</f>
        <v>-6.0022502546141859E-2</v>
      </c>
      <c r="O93" s="29"/>
      <c r="P93" s="20">
        <f>+P16-P18+P89</f>
        <v>-426488.68</v>
      </c>
      <c r="Q93" s="14"/>
      <c r="R93" s="22">
        <f>IF(P$12=0,0,P93/P$12)</f>
        <v>0</v>
      </c>
      <c r="S93" s="14"/>
      <c r="T93" s="20">
        <f>+T16-T18+T89</f>
        <v>-488023.85266276676</v>
      </c>
      <c r="U93" s="14"/>
      <c r="V93" s="22">
        <f>IF(T$12=0,0,T93/T$12)</f>
        <v>0</v>
      </c>
      <c r="W93" s="16"/>
      <c r="X93" s="20">
        <f>+P93-T93</f>
        <v>61535.172662766767</v>
      </c>
      <c r="Y93" s="16"/>
      <c r="Z93" s="22">
        <f>IF(T93=0,0,X93/T93)</f>
        <v>-0.12609050218963103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2"/>
      <c r="B95" s="10" t="s">
        <v>14</v>
      </c>
      <c r="C95" s="10"/>
      <c r="D95" s="4"/>
      <c r="E95" s="4"/>
      <c r="F95" s="12">
        <f>IF(D$12=0,0,D95/D$12)</f>
        <v>0</v>
      </c>
      <c r="G95" s="4"/>
      <c r="H95" s="4"/>
      <c r="I95" s="4"/>
      <c r="J95" s="12">
        <f>IF(H$12=0,0,H95/H$12)</f>
        <v>0</v>
      </c>
      <c r="K95" s="4"/>
      <c r="L95" s="4">
        <f>+D95-H95</f>
        <v>0</v>
      </c>
      <c r="M95" s="4"/>
      <c r="N95" s="12">
        <f>IF(H95=0,0,L95/H95)</f>
        <v>0</v>
      </c>
      <c r="O95" s="10"/>
      <c r="P95" s="4"/>
      <c r="Q95" s="4"/>
      <c r="R95" s="12">
        <f>IF(P$12=0,0,P95/P$12)</f>
        <v>0</v>
      </c>
      <c r="S95" s="4"/>
      <c r="T95" s="4"/>
      <c r="U95" s="4"/>
      <c r="V95" s="12">
        <f>IF(T$12=0,0,T95/T$12)</f>
        <v>0</v>
      </c>
      <c r="W95" s="4"/>
      <c r="X95" s="4">
        <f>+P95-T95</f>
        <v>0</v>
      </c>
      <c r="Y95" s="4"/>
      <c r="Z95" s="12">
        <f>IF(T95=0,0,X95/T95)</f>
        <v>0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4</v>
      </c>
      <c r="C97" s="28"/>
      <c r="D97" s="30">
        <f>+D93-D95</f>
        <v>-74679.769999999975</v>
      </c>
      <c r="E97" s="14"/>
      <c r="F97" s="32">
        <f>IF(D$12=0,0,D97/D$12)</f>
        <v>0</v>
      </c>
      <c r="G97" s="14"/>
      <c r="H97" s="30">
        <f>+H93-H95</f>
        <v>-79448.465736985236</v>
      </c>
      <c r="I97" s="14"/>
      <c r="J97" s="32">
        <f>IF(H$12=0,0,H97/H$12)</f>
        <v>0</v>
      </c>
      <c r="K97" s="16"/>
      <c r="L97" s="30">
        <f>D97-H97</f>
        <v>4768.6957369852607</v>
      </c>
      <c r="M97" s="16"/>
      <c r="N97" s="32">
        <f>IF(H97=0,0,L97/H97)</f>
        <v>-6.0022502546141859E-2</v>
      </c>
      <c r="O97" s="29"/>
      <c r="P97" s="30">
        <f>+P93-P95</f>
        <v>-426488.68</v>
      </c>
      <c r="Q97" s="14"/>
      <c r="R97" s="32">
        <f>IF(P$12=0,0,P97/P$12)</f>
        <v>0</v>
      </c>
      <c r="S97" s="14"/>
      <c r="T97" s="30">
        <f>+T93-T95</f>
        <v>-488023.85266276676</v>
      </c>
      <c r="U97" s="14"/>
      <c r="V97" s="32">
        <f>IF(T$12=0,0,T97/T$12)</f>
        <v>0</v>
      </c>
      <c r="W97" s="16"/>
      <c r="X97" s="30">
        <f>P97-T97</f>
        <v>61535.172662766767</v>
      </c>
      <c r="Y97" s="16"/>
      <c r="Z97" s="32">
        <f>IF(T97=0,0,X97/T97)</f>
        <v>-0.12609050218963103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5</v>
      </c>
      <c r="C100" s="28"/>
      <c r="D100" s="31">
        <f>SUM(D97:D99)</f>
        <v>-74679.769999999975</v>
      </c>
      <c r="E100" s="14"/>
      <c r="F100" s="35">
        <f>IF(D$12=0,0,D100/D$12)</f>
        <v>0</v>
      </c>
      <c r="G100" s="14"/>
      <c r="H100" s="31">
        <f>SUM(H97:H99)</f>
        <v>-79448.465736985236</v>
      </c>
      <c r="I100" s="14"/>
      <c r="J100" s="35">
        <f>IF(H$12=0,0,H100/H$12)</f>
        <v>0</v>
      </c>
      <c r="K100" s="16"/>
      <c r="L100" s="31">
        <f>+D100-H100</f>
        <v>4768.6957369852607</v>
      </c>
      <c r="M100" s="16"/>
      <c r="N100" s="35">
        <f>IF(H100=0,0,L100/H100)</f>
        <v>-6.0022502546141859E-2</v>
      </c>
      <c r="O100" s="29"/>
      <c r="P100" s="31">
        <f>SUM(P97:P99)</f>
        <v>-426488.68</v>
      </c>
      <c r="Q100" s="14"/>
      <c r="R100" s="35">
        <f>IF(P$12=0,0,P100/P$12)</f>
        <v>0</v>
      </c>
      <c r="S100" s="14"/>
      <c r="T100" s="31">
        <f>SUM(T97:T99)</f>
        <v>-488023.85266276676</v>
      </c>
      <c r="U100" s="14"/>
      <c r="V100" s="35">
        <f>IF(T$12=0,0,T100/T$12)</f>
        <v>0</v>
      </c>
      <c r="W100" s="16"/>
      <c r="X100" s="31">
        <f>+P100-T100</f>
        <v>61535.172662766767</v>
      </c>
      <c r="Y100" s="16"/>
      <c r="Z100" s="35">
        <f>IF(T100=0,0,X100/T100)</f>
        <v>-0.12609050218963103</v>
      </c>
    </row>
    <row r="101" spans="1:26" ht="15.75" thickTop="1" x14ac:dyDescent="0.25">
      <c r="A101" s="9"/>
      <c r="C101" s="9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56">
        <v>43815.483993136571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62" t="s">
        <v>314</v>
      </c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58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","412", " - ", "Chartroom")</f>
        <v>Department 412 - Chartroom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19467.14</v>
      </c>
      <c r="E12" s="4"/>
      <c r="F12" s="12"/>
      <c r="G12" s="4"/>
      <c r="H12" s="4">
        <f>SUM(OSRRefH13x_0)</f>
        <v>97000</v>
      </c>
      <c r="I12" s="4"/>
      <c r="J12" s="12"/>
      <c r="K12" s="4"/>
      <c r="L12" s="4">
        <f t="shared" ref="L12:L16" si="0">+D12-H12</f>
        <v>-77532.86</v>
      </c>
      <c r="M12" s="4"/>
      <c r="N12" s="12">
        <f t="shared" ref="N12:N16" si="1">IF(H12=0,0,L12/H12)</f>
        <v>-0.79930783505154634</v>
      </c>
      <c r="O12" s="10"/>
      <c r="P12" s="4">
        <f>SUM(OSRRefP13x_0)</f>
        <v>310054.60000000003</v>
      </c>
      <c r="Q12" s="4"/>
      <c r="R12" s="12"/>
      <c r="S12" s="4"/>
      <c r="T12" s="4">
        <f>SUM(OSRRefT13x_0)</f>
        <v>503000</v>
      </c>
      <c r="U12" s="4"/>
      <c r="V12" s="12"/>
      <c r="W12" s="4"/>
      <c r="X12" s="4">
        <f t="shared" ref="X12:X16" si="2">+P12-T12</f>
        <v>-192945.39999999997</v>
      </c>
      <c r="Y12" s="4"/>
      <c r="Z12" s="12">
        <f t="shared" ref="Z12:Z16" si="3">IF(T12=0,0,X12/T12)</f>
        <v>-0.38358926441351882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92000</v>
      </c>
      <c r="I13" s="2"/>
      <c r="J13" s="19"/>
      <c r="K13" s="2"/>
      <c r="L13" s="2">
        <f t="shared" si="0"/>
        <v>-92000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478000</v>
      </c>
      <c r="U13" s="2"/>
      <c r="V13" s="19"/>
      <c r="W13" s="2"/>
      <c r="X13" s="2">
        <f t="shared" si="2"/>
        <v>-478000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--14197.47</f>
        <v>14197.47</v>
      </c>
      <c r="E14" s="2"/>
      <c r="F14" s="19"/>
      <c r="G14" s="2"/>
      <c r="H14" s="2"/>
      <c r="I14" s="2"/>
      <c r="J14" s="19"/>
      <c r="K14" s="2"/>
      <c r="L14" s="2">
        <f t="shared" si="0"/>
        <v>14197.47</v>
      </c>
      <c r="M14" s="2"/>
      <c r="N14" s="19">
        <f t="shared" si="1"/>
        <v>0</v>
      </c>
      <c r="O14" s="11"/>
      <c r="P14" s="2">
        <f>--279845.89</f>
        <v>279845.89</v>
      </c>
      <c r="Q14" s="2"/>
      <c r="R14" s="19"/>
      <c r="S14" s="2"/>
      <c r="T14" s="2"/>
      <c r="U14" s="2"/>
      <c r="V14" s="19"/>
      <c r="W14" s="2"/>
      <c r="X14" s="2">
        <f t="shared" si="2"/>
        <v>279845.89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5000</v>
      </c>
      <c r="I15" s="2"/>
      <c r="J15" s="19"/>
      <c r="K15" s="2"/>
      <c r="L15" s="2">
        <f t="shared" si="0"/>
        <v>-5000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25000</v>
      </c>
      <c r="U15" s="2"/>
      <c r="V15" s="19"/>
      <c r="W15" s="2"/>
      <c r="X15" s="2">
        <f t="shared" si="2"/>
        <v>-25000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"4152", " - ", "NON-TAXABLE SALES-FOOD")</f>
        <v xml:space="preserve">          4152 - NON-TAXABLE SALES-FOOD</v>
      </c>
      <c r="C16" s="11"/>
      <c r="D16" s="2">
        <f>--5269.67</f>
        <v>5269.67</v>
      </c>
      <c r="E16" s="2"/>
      <c r="F16" s="19"/>
      <c r="G16" s="2"/>
      <c r="H16" s="2"/>
      <c r="I16" s="2"/>
      <c r="J16" s="19"/>
      <c r="K16" s="2"/>
      <c r="L16" s="2">
        <f t="shared" si="0"/>
        <v>5269.67</v>
      </c>
      <c r="M16" s="2"/>
      <c r="N16" s="19">
        <f t="shared" si="1"/>
        <v>0</v>
      </c>
      <c r="O16" s="11"/>
      <c r="P16" s="2">
        <f>--30208.71</f>
        <v>30208.71</v>
      </c>
      <c r="Q16" s="2"/>
      <c r="R16" s="19"/>
      <c r="S16" s="2"/>
      <c r="T16" s="2"/>
      <c r="U16" s="2"/>
      <c r="V16" s="19"/>
      <c r="W16" s="2"/>
      <c r="X16" s="2">
        <f t="shared" si="2"/>
        <v>30208.71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24429.37</v>
      </c>
      <c r="E18" s="4"/>
      <c r="F18" s="12">
        <f t="shared" ref="F18:F20" si="4">IF(D$12=0,0,D18/D$12)</f>
        <v>1.2549028773615436</v>
      </c>
      <c r="G18" s="4"/>
      <c r="H18" s="4">
        <f>SUM(OSRRefH16x_0)</f>
        <v>30070</v>
      </c>
      <c r="I18" s="4"/>
      <c r="J18" s="12">
        <f t="shared" ref="J18:J20" si="5">IF(H$12=0,0,H18/H$12)</f>
        <v>0.31</v>
      </c>
      <c r="K18" s="4"/>
      <c r="L18" s="4">
        <f t="shared" ref="L18:L20" si="6">+D18-H18</f>
        <v>-5640.630000000001</v>
      </c>
      <c r="M18" s="4"/>
      <c r="N18" s="12">
        <f t="shared" ref="N18:N20" si="7">IF(H18=0,0,L18/H18)</f>
        <v>-0.18758330562021952</v>
      </c>
      <c r="O18" s="10"/>
      <c r="P18" s="4">
        <f>SUM(OSRRefP16x_0)</f>
        <v>117409.39</v>
      </c>
      <c r="Q18" s="4"/>
      <c r="R18" s="12">
        <f t="shared" ref="R18:R20" si="8">IF(P$12=0,0,P18/P$12)</f>
        <v>0.37867327238492826</v>
      </c>
      <c r="S18" s="4"/>
      <c r="T18" s="4">
        <f>SUM(OSRRefT16x_0)</f>
        <v>155930</v>
      </c>
      <c r="U18" s="4"/>
      <c r="V18" s="12">
        <f t="shared" ref="V18:V20" si="9">IF(T$12=0,0,T18/T$12)</f>
        <v>0.31</v>
      </c>
      <c r="W18" s="4"/>
      <c r="X18" s="4">
        <f t="shared" ref="X18:X20" si="10">+P18-T18</f>
        <v>-38520.61</v>
      </c>
      <c r="Y18" s="4"/>
      <c r="Z18" s="12">
        <f t="shared" ref="Z18:Z20" si="11">IF(T18=0,0,X18/T18)</f>
        <v>-0.24703783749118194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30070</v>
      </c>
      <c r="I19" s="2"/>
      <c r="J19" s="19">
        <f t="shared" si="5"/>
        <v>0.31</v>
      </c>
      <c r="K19" s="2"/>
      <c r="L19" s="2">
        <f t="shared" si="6"/>
        <v>-30070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155930</v>
      </c>
      <c r="U19" s="2"/>
      <c r="V19" s="19">
        <f t="shared" si="9"/>
        <v>0.31</v>
      </c>
      <c r="W19" s="2"/>
      <c r="X19" s="2">
        <f t="shared" si="10"/>
        <v>-155930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24429.37</v>
      </c>
      <c r="E20" s="2"/>
      <c r="F20" s="19">
        <f t="shared" si="4"/>
        <v>1.2549028773615436</v>
      </c>
      <c r="G20" s="2"/>
      <c r="H20" s="2"/>
      <c r="I20" s="2"/>
      <c r="J20" s="19">
        <f t="shared" si="5"/>
        <v>0</v>
      </c>
      <c r="K20" s="2"/>
      <c r="L20" s="2">
        <f t="shared" si="6"/>
        <v>24429.37</v>
      </c>
      <c r="M20" s="2"/>
      <c r="N20" s="19">
        <f t="shared" si="7"/>
        <v>0</v>
      </c>
      <c r="O20" s="11"/>
      <c r="P20" s="2">
        <v>117409.39</v>
      </c>
      <c r="Q20" s="2"/>
      <c r="R20" s="19">
        <f t="shared" si="8"/>
        <v>0.37867327238492826</v>
      </c>
      <c r="S20" s="2"/>
      <c r="T20" s="2"/>
      <c r="U20" s="2"/>
      <c r="V20" s="19">
        <f t="shared" si="9"/>
        <v>0</v>
      </c>
      <c r="W20" s="2"/>
      <c r="X20" s="2">
        <f t="shared" si="10"/>
        <v>117409.39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0">
        <f>D12-D18</f>
        <v>-4962.2299999999996</v>
      </c>
      <c r="E22" s="14"/>
      <c r="F22" s="22">
        <f>IF(D$12=0,0,D22/D$12)</f>
        <v>-0.2549028773615436</v>
      </c>
      <c r="G22" s="14"/>
      <c r="H22" s="20">
        <f>H12-H18</f>
        <v>66930</v>
      </c>
      <c r="I22" s="14"/>
      <c r="J22" s="22">
        <f>IF(H$12=0,0,H22/H$12)</f>
        <v>0.69</v>
      </c>
      <c r="K22" s="16"/>
      <c r="L22" s="20">
        <f>+D22-H22</f>
        <v>-71892.23</v>
      </c>
      <c r="M22" s="16"/>
      <c r="N22" s="22">
        <f>IF(H22=0,0,L22/H22)</f>
        <v>-1.074140594651128</v>
      </c>
      <c r="O22" s="29"/>
      <c r="P22" s="20">
        <f>P12-P18</f>
        <v>192645.21000000002</v>
      </c>
      <c r="Q22" s="14"/>
      <c r="R22" s="22">
        <f>IF(P$12=0,0,P22/P$12)</f>
        <v>0.62132672761507168</v>
      </c>
      <c r="S22" s="14"/>
      <c r="T22" s="20">
        <f>T12-T18</f>
        <v>347070</v>
      </c>
      <c r="U22" s="14"/>
      <c r="V22" s="22">
        <f>IF(T$12=0,0,T22/T$12)</f>
        <v>0.69</v>
      </c>
      <c r="W22" s="16"/>
      <c r="X22" s="20">
        <f>+P22-T22</f>
        <v>-154424.78999999998</v>
      </c>
      <c r="Y22" s="16"/>
      <c r="Z22" s="22">
        <f>IF(T22=0,0,X22/T22)</f>
        <v>-0.44493845621920641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26454.220000000005</v>
      </c>
      <c r="E24" s="21"/>
      <c r="F24" s="33">
        <f t="shared" ref="F24:F34" si="12">IF(D$12=0,0,D24/D$12)</f>
        <v>1.3589166153836674</v>
      </c>
      <c r="G24" s="21"/>
      <c r="H24" s="21">
        <f>SUM(OSRRefH22x_0)</f>
        <v>60464.043783153873</v>
      </c>
      <c r="I24" s="21"/>
      <c r="J24" s="33">
        <f t="shared" ref="J24:J34" si="13">IF(H$12=0,0,H24/H$12)</f>
        <v>0.62334065755828738</v>
      </c>
      <c r="K24" s="4"/>
      <c r="L24" s="21">
        <f t="shared" ref="L24:L34" si="14">+D24-H24</f>
        <v>-34009.823783153872</v>
      </c>
      <c r="M24" s="4"/>
      <c r="N24" s="33">
        <f t="shared" ref="N24:N34" si="15">IF(H24=0,0,L24/H24)</f>
        <v>-0.56248013952102693</v>
      </c>
      <c r="O24" s="10"/>
      <c r="P24" s="21">
        <f>SUM(OSRRefP22x_0)</f>
        <v>229156.41999999998</v>
      </c>
      <c r="Q24" s="21"/>
      <c r="R24" s="33">
        <f t="shared" ref="R24:R34" si="16">IF(P$12=0,0,P24/P$12)</f>
        <v>0.73908408390006131</v>
      </c>
      <c r="S24" s="21"/>
      <c r="T24" s="21">
        <f>SUM(OSRRefT22x_0)</f>
        <v>337846.87950401154</v>
      </c>
      <c r="U24" s="21"/>
      <c r="V24" s="33">
        <f t="shared" ref="V24:V34" si="17">IF(T$12=0,0,T24/T$12)</f>
        <v>0.67166377634992358</v>
      </c>
      <c r="W24" s="4"/>
      <c r="X24" s="21">
        <f t="shared" ref="X24:X34" si="18">+P24-T24</f>
        <v>-108690.45950401155</v>
      </c>
      <c r="Y24" s="4"/>
      <c r="Z24" s="33">
        <f t="shared" ref="Z24:Z34" si="19">IF(T24=0,0,X24/T24)</f>
        <v>-0.3217151499625468</v>
      </c>
    </row>
    <row r="25" spans="1:26" s="26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8071.420000000001</v>
      </c>
      <c r="E25" s="1"/>
      <c r="F25" s="5">
        <f t="shared" si="12"/>
        <v>0.41461765826926816</v>
      </c>
      <c r="G25" s="1"/>
      <c r="H25" s="1">
        <f>SUM(OSRRefH22_0x_0)</f>
        <v>13742.801706230781</v>
      </c>
      <c r="I25" s="1"/>
      <c r="J25" s="5">
        <f t="shared" si="13"/>
        <v>0.14167836810547196</v>
      </c>
      <c r="K25" s="1"/>
      <c r="L25" s="1">
        <f t="shared" si="14"/>
        <v>-5671.3817062307799</v>
      </c>
      <c r="M25" s="1"/>
      <c r="N25" s="5">
        <f t="shared" si="15"/>
        <v>-0.41268016722234013</v>
      </c>
      <c r="O25" s="13"/>
      <c r="P25" s="1">
        <f>SUM(OSRRefP22_0x_0)</f>
        <v>60940.44000000001</v>
      </c>
      <c r="Q25" s="1"/>
      <c r="R25" s="5">
        <f t="shared" si="16"/>
        <v>0.19654744680453057</v>
      </c>
      <c r="S25" s="1"/>
      <c r="T25" s="1">
        <f>SUM(OSRRefT22_0x_0)</f>
        <v>74832.257330934648</v>
      </c>
      <c r="U25" s="1"/>
      <c r="V25" s="5">
        <f t="shared" si="17"/>
        <v>0.14877188336169911</v>
      </c>
      <c r="W25" s="1"/>
      <c r="X25" s="1">
        <f t="shared" si="18"/>
        <v>-13891.817330934638</v>
      </c>
      <c r="Y25" s="1"/>
      <c r="Z25" s="5">
        <f t="shared" si="19"/>
        <v>-0.1856394264508168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6">
        <v>848.1</v>
      </c>
      <c r="E26" s="2"/>
      <c r="F26" s="7">
        <f t="shared" si="12"/>
        <v>4.3565721518415139E-2</v>
      </c>
      <c r="G26" s="2"/>
      <c r="H26" s="6">
        <v>2894.6689539230802</v>
      </c>
      <c r="I26" s="2"/>
      <c r="J26" s="7">
        <f t="shared" si="13"/>
        <v>2.9841947978588454E-2</v>
      </c>
      <c r="K26" s="2"/>
      <c r="L26" s="6">
        <f t="shared" si="14"/>
        <v>-2046.5689539230802</v>
      </c>
      <c r="M26" s="2"/>
      <c r="N26" s="7">
        <f t="shared" si="15"/>
        <v>-0.7070131287895326</v>
      </c>
      <c r="O26" s="11"/>
      <c r="P26" s="6">
        <v>9232.2099999999991</v>
      </c>
      <c r="Q26" s="2"/>
      <c r="R26" s="7">
        <f t="shared" si="16"/>
        <v>2.9776078148816363E-2</v>
      </c>
      <c r="S26" s="2"/>
      <c r="T26" s="6">
        <v>17361.86809962694</v>
      </c>
      <c r="U26" s="2"/>
      <c r="V26" s="7">
        <f t="shared" si="17"/>
        <v>3.4516636380968073E-2</v>
      </c>
      <c r="W26" s="2"/>
      <c r="X26" s="6">
        <f t="shared" si="18"/>
        <v>-8129.6580996269404</v>
      </c>
      <c r="Y26" s="2"/>
      <c r="Z26" s="7">
        <f t="shared" si="19"/>
        <v>-0.46824788974186626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6">
        <v>568.63</v>
      </c>
      <c r="E27" s="2"/>
      <c r="F27" s="7">
        <f t="shared" si="12"/>
        <v>2.9209734968773021E-2</v>
      </c>
      <c r="G27" s="2"/>
      <c r="H27" s="6">
        <v>1596.3863046153799</v>
      </c>
      <c r="I27" s="2"/>
      <c r="J27" s="7">
        <f t="shared" si="13"/>
        <v>1.6457590769230722E-2</v>
      </c>
      <c r="K27" s="2"/>
      <c r="L27" s="6">
        <f t="shared" si="14"/>
        <v>-1027.75630461538</v>
      </c>
      <c r="M27" s="2"/>
      <c r="N27" s="7">
        <f t="shared" si="15"/>
        <v>-0.6438017550288363</v>
      </c>
      <c r="O27" s="11"/>
      <c r="P27" s="6">
        <v>2409.04</v>
      </c>
      <c r="Q27" s="2"/>
      <c r="R27" s="7">
        <f t="shared" si="16"/>
        <v>7.769728299467254E-3</v>
      </c>
      <c r="S27" s="2"/>
      <c r="T27" s="6">
        <v>9227.5540533845997</v>
      </c>
      <c r="U27" s="2"/>
      <c r="V27" s="7">
        <f t="shared" si="17"/>
        <v>1.8345037879492244E-2</v>
      </c>
      <c r="W27" s="2"/>
      <c r="X27" s="6">
        <f t="shared" si="18"/>
        <v>-6818.5140533845997</v>
      </c>
      <c r="Y27" s="2"/>
      <c r="Z27" s="7">
        <f t="shared" si="19"/>
        <v>-0.73892973305137333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6">
        <v>5245.28</v>
      </c>
      <c r="E28" s="2"/>
      <c r="F28" s="7">
        <f t="shared" si="12"/>
        <v>0.26944276354924246</v>
      </c>
      <c r="G28" s="2"/>
      <c r="H28" s="6">
        <v>5639.1538461538503</v>
      </c>
      <c r="I28" s="2"/>
      <c r="J28" s="7">
        <f t="shared" si="13"/>
        <v>5.8135606661379902E-2</v>
      </c>
      <c r="K28" s="2"/>
      <c r="L28" s="6">
        <f t="shared" si="14"/>
        <v>-393.87384615385054</v>
      </c>
      <c r="M28" s="2"/>
      <c r="N28" s="7">
        <f t="shared" si="15"/>
        <v>-6.9846267170470933E-2</v>
      </c>
      <c r="O28" s="11"/>
      <c r="P28" s="6">
        <v>26493.64</v>
      </c>
      <c r="Q28" s="2"/>
      <c r="R28" s="7">
        <f t="shared" si="16"/>
        <v>8.5448304911457523E-2</v>
      </c>
      <c r="S28" s="2"/>
      <c r="T28" s="6">
        <v>28081.71153846155</v>
      </c>
      <c r="U28" s="2"/>
      <c r="V28" s="7">
        <f t="shared" si="17"/>
        <v>5.5828452362746618E-2</v>
      </c>
      <c r="W28" s="2"/>
      <c r="X28" s="6">
        <f t="shared" si="18"/>
        <v>-1588.0715384615505</v>
      </c>
      <c r="Y28" s="2"/>
      <c r="Z28" s="7">
        <f t="shared" si="19"/>
        <v>-5.6551807260269031E-2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6">
        <v>42.38</v>
      </c>
      <c r="E29" s="2"/>
      <c r="F29" s="7">
        <f t="shared" si="12"/>
        <v>2.1770018605711985E-3</v>
      </c>
      <c r="G29" s="2"/>
      <c r="H29" s="6">
        <v>106.97434</v>
      </c>
      <c r="I29" s="2"/>
      <c r="J29" s="7">
        <f t="shared" si="13"/>
        <v>1.1028282474226804E-3</v>
      </c>
      <c r="K29" s="2"/>
      <c r="L29" s="6">
        <f t="shared" si="14"/>
        <v>-64.594339999999988</v>
      </c>
      <c r="M29" s="2"/>
      <c r="N29" s="7">
        <f t="shared" si="15"/>
        <v>-0.60383022694975252</v>
      </c>
      <c r="O29" s="11"/>
      <c r="P29" s="6">
        <v>328.39</v>
      </c>
      <c r="Q29" s="2"/>
      <c r="R29" s="7">
        <f t="shared" si="16"/>
        <v>1.0591360360401036E-3</v>
      </c>
      <c r="S29" s="2"/>
      <c r="T29" s="6">
        <v>618.34125100000006</v>
      </c>
      <c r="U29" s="2"/>
      <c r="V29" s="7">
        <f t="shared" si="17"/>
        <v>1.229306662027833E-3</v>
      </c>
      <c r="W29" s="2"/>
      <c r="X29" s="6">
        <f t="shared" si="18"/>
        <v>-289.95125100000007</v>
      </c>
      <c r="Y29" s="2"/>
      <c r="Z29" s="7">
        <f t="shared" si="19"/>
        <v>-0.46891785164111593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6">
        <v>214.92</v>
      </c>
      <c r="E30" s="2"/>
      <c r="F30" s="7">
        <f t="shared" si="12"/>
        <v>1.1040142517082633E-2</v>
      </c>
      <c r="G30" s="2"/>
      <c r="H30" s="6">
        <v>1244.75341538462</v>
      </c>
      <c r="I30" s="2"/>
      <c r="J30" s="7">
        <f t="shared" si="13"/>
        <v>1.2832509436954844E-2</v>
      </c>
      <c r="K30" s="2"/>
      <c r="L30" s="6">
        <f t="shared" si="14"/>
        <v>-1029.8334153846199</v>
      </c>
      <c r="M30" s="2"/>
      <c r="N30" s="7">
        <f t="shared" si="15"/>
        <v>-0.82733929680876483</v>
      </c>
      <c r="O30" s="11"/>
      <c r="P30" s="6">
        <v>5248.41</v>
      </c>
      <c r="Q30" s="2"/>
      <c r="R30" s="7">
        <f t="shared" si="16"/>
        <v>1.6927373436807579E-2</v>
      </c>
      <c r="S30" s="2"/>
      <c r="T30" s="6">
        <v>6846.1437846154004</v>
      </c>
      <c r="U30" s="2"/>
      <c r="V30" s="7">
        <f t="shared" si="17"/>
        <v>1.3610623826273162E-2</v>
      </c>
      <c r="W30" s="2"/>
      <c r="X30" s="6">
        <f t="shared" si="18"/>
        <v>-1597.7337846154005</v>
      </c>
      <c r="Y30" s="2"/>
      <c r="Z30" s="7">
        <f t="shared" si="19"/>
        <v>-0.23337718792962181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>
        <v>294.56</v>
      </c>
      <c r="E32" s="2"/>
      <c r="F32" s="7">
        <f t="shared" si="12"/>
        <v>1.5131138934635495E-2</v>
      </c>
      <c r="G32" s="2"/>
      <c r="H32" s="6">
        <v>1026.54553846154</v>
      </c>
      <c r="I32" s="2"/>
      <c r="J32" s="7">
        <f t="shared" si="13"/>
        <v>1.0582943695479794E-2</v>
      </c>
      <c r="K32" s="2"/>
      <c r="L32" s="6">
        <f t="shared" si="14"/>
        <v>-731.98553846154005</v>
      </c>
      <c r="M32" s="2"/>
      <c r="N32" s="7">
        <f t="shared" si="15"/>
        <v>-0.71305705498321081</v>
      </c>
      <c r="O32" s="11"/>
      <c r="P32" s="6">
        <v>6188.27</v>
      </c>
      <c r="Q32" s="2"/>
      <c r="R32" s="7">
        <f t="shared" si="16"/>
        <v>1.9958645993318595E-2</v>
      </c>
      <c r="S32" s="2"/>
      <c r="T32" s="6">
        <v>5561.9318615384591</v>
      </c>
      <c r="U32" s="2"/>
      <c r="V32" s="7">
        <f t="shared" si="17"/>
        <v>1.1057518611408468E-2</v>
      </c>
      <c r="W32" s="2"/>
      <c r="X32" s="6">
        <f t="shared" si="18"/>
        <v>626.33813846154135</v>
      </c>
      <c r="Y32" s="2"/>
      <c r="Z32" s="7">
        <f t="shared" si="19"/>
        <v>0.112611616620613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>
        <v>282.88</v>
      </c>
      <c r="E33" s="2"/>
      <c r="F33" s="7">
        <f t="shared" si="12"/>
        <v>1.4531153523321865E-2</v>
      </c>
      <c r="G33" s="2"/>
      <c r="H33" s="6">
        <v>1234.3193076923101</v>
      </c>
      <c r="I33" s="2"/>
      <c r="J33" s="7">
        <f t="shared" si="13"/>
        <v>1.2724941316415567E-2</v>
      </c>
      <c r="K33" s="2"/>
      <c r="L33" s="6">
        <f t="shared" si="14"/>
        <v>-951.43930769231008</v>
      </c>
      <c r="M33" s="2"/>
      <c r="N33" s="7">
        <f t="shared" si="15"/>
        <v>-0.77082105235081033</v>
      </c>
      <c r="O33" s="11"/>
      <c r="P33" s="6">
        <v>8535.61</v>
      </c>
      <c r="Q33" s="2"/>
      <c r="R33" s="7">
        <f t="shared" si="16"/>
        <v>2.7529377083907156E-2</v>
      </c>
      <c r="S33" s="2"/>
      <c r="T33" s="6">
        <v>7134.7067423076896</v>
      </c>
      <c r="U33" s="2"/>
      <c r="V33" s="7">
        <f t="shared" si="17"/>
        <v>1.4184307638782683E-2</v>
      </c>
      <c r="W33" s="2"/>
      <c r="X33" s="6">
        <f t="shared" si="18"/>
        <v>1400.9032576923109</v>
      </c>
      <c r="Y33" s="2"/>
      <c r="Z33" s="7">
        <f t="shared" si="19"/>
        <v>0.19635050301159188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6">
        <v>574.66999999999996</v>
      </c>
      <c r="E34" s="2"/>
      <c r="F34" s="7">
        <f t="shared" si="12"/>
        <v>2.9520001397226298E-2</v>
      </c>
      <c r="G34" s="2"/>
      <c r="H34" s="6"/>
      <c r="I34" s="2"/>
      <c r="J34" s="7">
        <f t="shared" si="13"/>
        <v>0</v>
      </c>
      <c r="K34" s="2"/>
      <c r="L34" s="6">
        <f t="shared" si="14"/>
        <v>574.66999999999996</v>
      </c>
      <c r="M34" s="2"/>
      <c r="N34" s="7">
        <f t="shared" si="15"/>
        <v>0</v>
      </c>
      <c r="O34" s="11"/>
      <c r="P34" s="6">
        <v>2504.87</v>
      </c>
      <c r="Q34" s="2"/>
      <c r="R34" s="7">
        <f t="shared" si="16"/>
        <v>8.0788028947159623E-3</v>
      </c>
      <c r="S34" s="2"/>
      <c r="T34" s="6"/>
      <c r="U34" s="2"/>
      <c r="V34" s="7">
        <f t="shared" si="17"/>
        <v>0</v>
      </c>
      <c r="W34" s="2"/>
      <c r="X34" s="6">
        <f t="shared" si="18"/>
        <v>2504.87</v>
      </c>
      <c r="Y34" s="2"/>
      <c r="Z34" s="7">
        <f t="shared" si="19"/>
        <v>0</v>
      </c>
    </row>
    <row r="35" spans="1:26" s="26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14272.71</v>
      </c>
      <c r="E35" s="1"/>
      <c r="F35" s="5">
        <f t="shared" ref="F35:F45" si="20">IF(D$12=0,0,D35/D$12)</f>
        <v>0.73316933047175903</v>
      </c>
      <c r="G35" s="1"/>
      <c r="H35" s="1">
        <f>SUM(OSRRefH22_1x_0)</f>
        <v>36325.002076923098</v>
      </c>
      <c r="I35" s="1"/>
      <c r="J35" s="5">
        <f t="shared" ref="J35:J45" si="21">IF(H$12=0,0,H35/H$12)</f>
        <v>0.37448455749405257</v>
      </c>
      <c r="K35" s="1"/>
      <c r="L35" s="1">
        <f t="shared" ref="L35:L45" si="22">+D35-H35</f>
        <v>-22052.292076923099</v>
      </c>
      <c r="M35" s="1"/>
      <c r="N35" s="5">
        <f t="shared" ref="N35:N45" si="23">IF(H35=0,0,L35/H35)</f>
        <v>-0.60708302315370533</v>
      </c>
      <c r="O35" s="13"/>
      <c r="P35" s="1">
        <f>SUM(OSRRefP22_1x_0)</f>
        <v>134187.77000000002</v>
      </c>
      <c r="Q35" s="1"/>
      <c r="R35" s="5">
        <f t="shared" ref="R35:R45" si="24">IF(P$12=0,0,P35/P$12)</f>
        <v>0.43278754774159134</v>
      </c>
      <c r="S35" s="1"/>
      <c r="T35" s="1">
        <f>SUM(OSRRefT22_1x_0)</f>
        <v>214044.28217307688</v>
      </c>
      <c r="U35" s="1"/>
      <c r="V35" s="5">
        <f t="shared" ref="V35:V45" si="25">IF(T$12=0,0,T35/T$12)</f>
        <v>0.42553535223275724</v>
      </c>
      <c r="W35" s="1"/>
      <c r="X35" s="1">
        <f t="shared" ref="X35:X45" si="26">+P35-T35</f>
        <v>-79856.512173076859</v>
      </c>
      <c r="Y35" s="1"/>
      <c r="Z35" s="5">
        <f t="shared" ref="Z35:Z45" si="27">IF(T35=0,0,X35/T35)</f>
        <v>-0.37308407102650204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>
        <v>3076.94</v>
      </c>
      <c r="E37" s="2"/>
      <c r="F37" s="7">
        <f t="shared" si="20"/>
        <v>0.15805814310679434</v>
      </c>
      <c r="G37" s="2"/>
      <c r="H37" s="6">
        <v>13165.9670769231</v>
      </c>
      <c r="I37" s="2"/>
      <c r="J37" s="7">
        <f t="shared" si="21"/>
        <v>0.13573161934972267</v>
      </c>
      <c r="K37" s="2"/>
      <c r="L37" s="6">
        <f t="shared" si="22"/>
        <v>-10089.027076923099</v>
      </c>
      <c r="M37" s="2"/>
      <c r="N37" s="7">
        <f t="shared" si="23"/>
        <v>-0.76629593693932552</v>
      </c>
      <c r="O37" s="11"/>
      <c r="P37" s="6">
        <v>47207.07</v>
      </c>
      <c r="Q37" s="2"/>
      <c r="R37" s="7">
        <f t="shared" si="24"/>
        <v>0.15225405460844638</v>
      </c>
      <c r="S37" s="2"/>
      <c r="T37" s="6">
        <v>72412.818923076891</v>
      </c>
      <c r="U37" s="2"/>
      <c r="V37" s="7">
        <f t="shared" si="25"/>
        <v>0.14396186664627614</v>
      </c>
      <c r="W37" s="2"/>
      <c r="X37" s="6">
        <f t="shared" si="26"/>
        <v>-25205.748923076892</v>
      </c>
      <c r="Y37" s="2"/>
      <c r="Z37" s="7">
        <f t="shared" si="27"/>
        <v>-0.3480840726536637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>
        <v>4586.96</v>
      </c>
      <c r="E39" s="2"/>
      <c r="F39" s="7">
        <f t="shared" si="20"/>
        <v>0.23562577759239417</v>
      </c>
      <c r="G39" s="2"/>
      <c r="H39" s="6">
        <v>23159.035</v>
      </c>
      <c r="I39" s="2"/>
      <c r="J39" s="7">
        <f t="shared" si="21"/>
        <v>0.23875293814432991</v>
      </c>
      <c r="K39" s="2"/>
      <c r="L39" s="6">
        <f t="shared" si="22"/>
        <v>-18572.075000000001</v>
      </c>
      <c r="M39" s="2"/>
      <c r="N39" s="7">
        <f t="shared" si="23"/>
        <v>-0.80193647965038273</v>
      </c>
      <c r="O39" s="11"/>
      <c r="P39" s="6">
        <v>27276.75</v>
      </c>
      <c r="Q39" s="2"/>
      <c r="R39" s="7">
        <f t="shared" si="24"/>
        <v>8.7974021349788059E-2</v>
      </c>
      <c r="S39" s="2"/>
      <c r="T39" s="6">
        <v>141631.46325</v>
      </c>
      <c r="U39" s="2"/>
      <c r="V39" s="7">
        <f t="shared" si="25"/>
        <v>0.2815734855864811</v>
      </c>
      <c r="W39" s="2"/>
      <c r="X39" s="6">
        <f t="shared" si="26"/>
        <v>-114354.71325</v>
      </c>
      <c r="Y39" s="2"/>
      <c r="Z39" s="7">
        <f t="shared" si="27"/>
        <v>-0.80741037779259117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>
        <v>3422.24</v>
      </c>
      <c r="E40" s="2"/>
      <c r="F40" s="7">
        <f t="shared" si="20"/>
        <v>0.17579572551489331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3422.24</v>
      </c>
      <c r="M40" s="2"/>
      <c r="N40" s="7">
        <f t="shared" si="23"/>
        <v>0</v>
      </c>
      <c r="O40" s="11"/>
      <c r="P40" s="6">
        <v>29198.609999999997</v>
      </c>
      <c r="Q40" s="2"/>
      <c r="R40" s="7">
        <f t="shared" si="24"/>
        <v>9.4172478008711993E-2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29198.609999999997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1299.6300000000001</v>
      </c>
      <c r="Q41" s="2"/>
      <c r="R41" s="7">
        <f t="shared" si="24"/>
        <v>4.1916165733390182E-3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1299.6300000000001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3186.57</v>
      </c>
      <c r="E42" s="2"/>
      <c r="F42" s="7">
        <f t="shared" si="20"/>
        <v>0.1636896842576773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3186.57</v>
      </c>
      <c r="M42" s="2"/>
      <c r="N42" s="7">
        <f t="shared" si="23"/>
        <v>0</v>
      </c>
      <c r="O42" s="11"/>
      <c r="P42" s="6">
        <v>25800.489999999998</v>
      </c>
      <c r="Q42" s="2"/>
      <c r="R42" s="7">
        <f t="shared" si="24"/>
        <v>8.3212730919005856E-2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25800.489999999998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>
        <v>3405.22</v>
      </c>
      <c r="Q43" s="2"/>
      <c r="R43" s="7">
        <f t="shared" si="24"/>
        <v>1.0982646282299955E-2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3405.22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6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55" si="28">IF(D$12=0,0,D46/D$12)</f>
        <v>0</v>
      </c>
      <c r="G46" s="1"/>
      <c r="H46" s="1">
        <f>SUM(OSRRefH22_2x_0)</f>
        <v>100</v>
      </c>
      <c r="I46" s="1"/>
      <c r="J46" s="5">
        <f t="shared" ref="J46:J55" si="29">IF(H$12=0,0,H46/H$12)</f>
        <v>1.0309278350515464E-3</v>
      </c>
      <c r="K46" s="1"/>
      <c r="L46" s="1">
        <f t="shared" ref="L46:L55" si="30">+D46-H46</f>
        <v>-100</v>
      </c>
      <c r="M46" s="1"/>
      <c r="N46" s="5">
        <f t="shared" ref="N46:N55" si="31">IF(H46=0,0,L46/H46)</f>
        <v>-1</v>
      </c>
      <c r="O46" s="13"/>
      <c r="P46" s="1">
        <f>SUM(OSRRefP22_2x_0)</f>
        <v>339.52</v>
      </c>
      <c r="Q46" s="1"/>
      <c r="R46" s="5">
        <f t="shared" ref="R46:R55" si="32">IF(P$12=0,0,P46/P$12)</f>
        <v>1.0950329393597125E-3</v>
      </c>
      <c r="S46" s="1"/>
      <c r="T46" s="1">
        <f>SUM(OSRRefT22_2x_0)</f>
        <v>1000</v>
      </c>
      <c r="U46" s="1"/>
      <c r="V46" s="5">
        <f t="shared" ref="V46:V55" si="33">IF(T$12=0,0,T46/T$12)</f>
        <v>1.9880715705765406E-3</v>
      </c>
      <c r="W46" s="1"/>
      <c r="X46" s="1">
        <f t="shared" ref="X46:X55" si="34">+P46-T46</f>
        <v>-660.48</v>
      </c>
      <c r="Y46" s="1"/>
      <c r="Z46" s="5">
        <f t="shared" ref="Z46:Z55" si="35">IF(T46=0,0,X46/T46)</f>
        <v>-0.66048000000000007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8"/>
        <v>0</v>
      </c>
      <c r="G47" s="2"/>
      <c r="H47" s="6">
        <v>100</v>
      </c>
      <c r="I47" s="2"/>
      <c r="J47" s="7">
        <f t="shared" si="29"/>
        <v>1.0309278350515464E-3</v>
      </c>
      <c r="K47" s="2"/>
      <c r="L47" s="6">
        <f t="shared" si="30"/>
        <v>-100</v>
      </c>
      <c r="M47" s="2"/>
      <c r="N47" s="7">
        <f t="shared" si="31"/>
        <v>-1</v>
      </c>
      <c r="O47" s="11"/>
      <c r="P47" s="6">
        <v>339.52</v>
      </c>
      <c r="Q47" s="2"/>
      <c r="R47" s="7">
        <f t="shared" si="32"/>
        <v>1.0950329393597125E-3</v>
      </c>
      <c r="S47" s="2"/>
      <c r="T47" s="6">
        <v>1000</v>
      </c>
      <c r="U47" s="2"/>
      <c r="V47" s="7">
        <f t="shared" si="33"/>
        <v>1.9880715705765406E-3</v>
      </c>
      <c r="W47" s="2"/>
      <c r="X47" s="6">
        <f t="shared" si="34"/>
        <v>-660.48</v>
      </c>
      <c r="Y47" s="2"/>
      <c r="Z47" s="7">
        <f t="shared" si="35"/>
        <v>-0.66048000000000007</v>
      </c>
    </row>
    <row r="48" spans="1:26" s="26" customFormat="1" outlineLevel="1" collapsed="1" x14ac:dyDescent="0.25">
      <c r="A48" s="27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-0.51</v>
      </c>
      <c r="E48" s="1"/>
      <c r="F48" s="5">
        <f t="shared" si="28"/>
        <v>-2.6197993130988939E-5</v>
      </c>
      <c r="G48" s="1"/>
      <c r="H48" s="1">
        <f>SUM(OSRRefH22_3x_0)</f>
        <v>-1</v>
      </c>
      <c r="I48" s="1"/>
      <c r="J48" s="5">
        <f t="shared" si="29"/>
        <v>-1.0309278350515464E-5</v>
      </c>
      <c r="K48" s="1"/>
      <c r="L48" s="1">
        <f t="shared" si="30"/>
        <v>0.49</v>
      </c>
      <c r="M48" s="1"/>
      <c r="N48" s="5">
        <f t="shared" si="31"/>
        <v>-0.49</v>
      </c>
      <c r="O48" s="13"/>
      <c r="P48" s="1">
        <f>SUM(OSRRefP22_3x_0)</f>
        <v>-0.34</v>
      </c>
      <c r="Q48" s="1"/>
      <c r="R48" s="5">
        <f t="shared" si="32"/>
        <v>-1.0965810537885906E-6</v>
      </c>
      <c r="S48" s="1"/>
      <c r="T48" s="1">
        <f>SUM(OSRRefT22_3x_0)</f>
        <v>-5</v>
      </c>
      <c r="U48" s="1"/>
      <c r="V48" s="5">
        <f t="shared" si="33"/>
        <v>-9.9403578528827038E-6</v>
      </c>
      <c r="W48" s="1"/>
      <c r="X48" s="1">
        <f t="shared" si="34"/>
        <v>4.66</v>
      </c>
      <c r="Y48" s="1"/>
      <c r="Z48" s="5">
        <f t="shared" si="35"/>
        <v>-0.93200000000000005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6">
        <v>-0.51</v>
      </c>
      <c r="E49" s="2"/>
      <c r="F49" s="7">
        <f t="shared" si="28"/>
        <v>-2.6197993130988939E-5</v>
      </c>
      <c r="G49" s="2"/>
      <c r="H49" s="6">
        <v>-1</v>
      </c>
      <c r="I49" s="2"/>
      <c r="J49" s="7">
        <f t="shared" si="29"/>
        <v>-1.0309278350515464E-5</v>
      </c>
      <c r="K49" s="2"/>
      <c r="L49" s="6">
        <f t="shared" si="30"/>
        <v>0.49</v>
      </c>
      <c r="M49" s="2"/>
      <c r="N49" s="7">
        <f t="shared" si="31"/>
        <v>-0.49</v>
      </c>
      <c r="O49" s="11"/>
      <c r="P49" s="6">
        <v>-0.34</v>
      </c>
      <c r="Q49" s="2"/>
      <c r="R49" s="7">
        <f t="shared" si="32"/>
        <v>-1.0965810537885906E-6</v>
      </c>
      <c r="S49" s="2"/>
      <c r="T49" s="6">
        <v>-5</v>
      </c>
      <c r="U49" s="2"/>
      <c r="V49" s="7">
        <f t="shared" si="33"/>
        <v>-9.9403578528827038E-6</v>
      </c>
      <c r="W49" s="2"/>
      <c r="X49" s="6">
        <f t="shared" si="34"/>
        <v>4.66</v>
      </c>
      <c r="Y49" s="2"/>
      <c r="Z49" s="7">
        <f t="shared" si="35"/>
        <v>-0.93200000000000005</v>
      </c>
    </row>
    <row r="50" spans="1:26" s="26" customFormat="1" outlineLevel="1" collapsed="1" x14ac:dyDescent="0.25">
      <c r="A50" s="27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577.13</v>
      </c>
      <c r="E50" s="1"/>
      <c r="F50" s="5">
        <f t="shared" si="28"/>
        <v>2.9646368187622837E-2</v>
      </c>
      <c r="G50" s="1"/>
      <c r="H50" s="1">
        <f>SUM(OSRRefH22_4x_0)</f>
        <v>1600</v>
      </c>
      <c r="I50" s="1"/>
      <c r="J50" s="5">
        <f t="shared" si="29"/>
        <v>1.6494845360824743E-2</v>
      </c>
      <c r="K50" s="1"/>
      <c r="L50" s="1">
        <f t="shared" si="30"/>
        <v>-1022.87</v>
      </c>
      <c r="M50" s="1"/>
      <c r="N50" s="5">
        <f t="shared" si="31"/>
        <v>-0.63929374999999999</v>
      </c>
      <c r="O50" s="13"/>
      <c r="P50" s="1">
        <f>SUM(OSRRefP22_4x_0)</f>
        <v>4107.07</v>
      </c>
      <c r="Q50" s="1"/>
      <c r="R50" s="5">
        <f t="shared" si="32"/>
        <v>1.324627984877502E-2</v>
      </c>
      <c r="S50" s="1"/>
      <c r="T50" s="1">
        <f>SUM(OSRRefT22_4x_0)</f>
        <v>6350</v>
      </c>
      <c r="U50" s="1"/>
      <c r="V50" s="5">
        <f t="shared" si="33"/>
        <v>1.2624254473161034E-2</v>
      </c>
      <c r="W50" s="1"/>
      <c r="X50" s="1">
        <f t="shared" si="34"/>
        <v>-2242.9300000000003</v>
      </c>
      <c r="Y50" s="1"/>
      <c r="Z50" s="5">
        <f t="shared" si="35"/>
        <v>-0.35321732283464574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6">
        <v>577.13</v>
      </c>
      <c r="E51" s="2"/>
      <c r="F51" s="7">
        <f t="shared" si="28"/>
        <v>2.9646368187622837E-2</v>
      </c>
      <c r="G51" s="2"/>
      <c r="H51" s="6">
        <v>1600</v>
      </c>
      <c r="I51" s="2"/>
      <c r="J51" s="7">
        <f t="shared" si="29"/>
        <v>1.6494845360824743E-2</v>
      </c>
      <c r="K51" s="2"/>
      <c r="L51" s="6">
        <f t="shared" si="30"/>
        <v>-1022.87</v>
      </c>
      <c r="M51" s="2"/>
      <c r="N51" s="7">
        <f t="shared" si="31"/>
        <v>-0.63929374999999999</v>
      </c>
      <c r="O51" s="11"/>
      <c r="P51" s="6">
        <v>4107.07</v>
      </c>
      <c r="Q51" s="2"/>
      <c r="R51" s="7">
        <f t="shared" si="32"/>
        <v>1.324627984877502E-2</v>
      </c>
      <c r="S51" s="2"/>
      <c r="T51" s="6">
        <v>6350</v>
      </c>
      <c r="U51" s="2"/>
      <c r="V51" s="7">
        <f t="shared" si="33"/>
        <v>1.2624254473161034E-2</v>
      </c>
      <c r="W51" s="2"/>
      <c r="X51" s="6">
        <f t="shared" si="34"/>
        <v>-2242.9300000000003</v>
      </c>
      <c r="Y51" s="2"/>
      <c r="Z51" s="7">
        <f t="shared" si="35"/>
        <v>-0.35321732283464574</v>
      </c>
    </row>
    <row r="52" spans="1:26" s="26" customFormat="1" outlineLevel="1" collapsed="1" x14ac:dyDescent="0.25">
      <c r="A52" s="27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297.99</v>
      </c>
      <c r="E52" s="1"/>
      <c r="F52" s="5">
        <f t="shared" si="28"/>
        <v>1.530733328059489E-2</v>
      </c>
      <c r="G52" s="1"/>
      <c r="H52" s="1">
        <f>SUM(OSRRefH22_5x_0)</f>
        <v>1621</v>
      </c>
      <c r="I52" s="1"/>
      <c r="J52" s="5">
        <f t="shared" si="29"/>
        <v>1.6711340206185567E-2</v>
      </c>
      <c r="K52" s="1"/>
      <c r="L52" s="1">
        <f t="shared" si="30"/>
        <v>-1323.01</v>
      </c>
      <c r="M52" s="1"/>
      <c r="N52" s="5">
        <f t="shared" si="31"/>
        <v>-0.81616903146206043</v>
      </c>
      <c r="O52" s="13"/>
      <c r="P52" s="1">
        <f>SUM(OSRRefP22_5x_0)</f>
        <v>1489.95</v>
      </c>
      <c r="Q52" s="1"/>
      <c r="R52" s="5">
        <f t="shared" si="32"/>
        <v>4.8054439443891489E-3</v>
      </c>
      <c r="S52" s="1"/>
      <c r="T52" s="1">
        <f>SUM(OSRRefT22_5x_0)</f>
        <v>4469</v>
      </c>
      <c r="U52" s="1"/>
      <c r="V52" s="5">
        <f t="shared" si="33"/>
        <v>8.8846918489065615E-3</v>
      </c>
      <c r="W52" s="1"/>
      <c r="X52" s="1">
        <f t="shared" si="34"/>
        <v>-2979.05</v>
      </c>
      <c r="Y52" s="1"/>
      <c r="Z52" s="5">
        <f t="shared" si="35"/>
        <v>-0.66660326695010075</v>
      </c>
    </row>
    <row r="53" spans="1:26" s="24" customFormat="1" hidden="1" outlineLevel="2" x14ac:dyDescent="0.25">
      <c r="A53" s="25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297.99</v>
      </c>
      <c r="E53" s="2"/>
      <c r="F53" s="7">
        <f t="shared" si="28"/>
        <v>1.530733328059489E-2</v>
      </c>
      <c r="G53" s="2"/>
      <c r="H53" s="6">
        <v>298</v>
      </c>
      <c r="I53" s="2"/>
      <c r="J53" s="7">
        <f t="shared" si="29"/>
        <v>3.0721649484536082E-3</v>
      </c>
      <c r="K53" s="2"/>
      <c r="L53" s="6">
        <f t="shared" si="30"/>
        <v>-9.9999999999909051E-3</v>
      </c>
      <c r="M53" s="2"/>
      <c r="N53" s="7">
        <f t="shared" si="31"/>
        <v>-3.3557046979835255E-5</v>
      </c>
      <c r="O53" s="11"/>
      <c r="P53" s="6">
        <v>1489.95</v>
      </c>
      <c r="Q53" s="2"/>
      <c r="R53" s="7">
        <f t="shared" si="32"/>
        <v>4.8054439443891489E-3</v>
      </c>
      <c r="S53" s="2"/>
      <c r="T53" s="6">
        <v>1490</v>
      </c>
      <c r="U53" s="2"/>
      <c r="V53" s="7">
        <f t="shared" si="33"/>
        <v>2.9622266401590457E-3</v>
      </c>
      <c r="W53" s="2"/>
      <c r="X53" s="6">
        <f t="shared" si="34"/>
        <v>-4.9999999999954525E-2</v>
      </c>
      <c r="Y53" s="2"/>
      <c r="Z53" s="7">
        <f t="shared" si="35"/>
        <v>-3.3557046979835255E-5</v>
      </c>
    </row>
    <row r="54" spans="1:26" s="24" customFormat="1" hidden="1" outlineLevel="2" x14ac:dyDescent="0.25">
      <c r="A54" s="25"/>
      <c r="B54" s="11" t="str">
        <f>CONCATENATE("          ", "6324", " - ", "FURNITURE + FIXT DEPRECIATION")</f>
        <v xml:space="preserve">          6324 - FURNITURE + FIXT DEPRECIATION</v>
      </c>
      <c r="C54" s="11"/>
      <c r="D54" s="6"/>
      <c r="E54" s="2"/>
      <c r="F54" s="7">
        <f t="shared" si="28"/>
        <v>0</v>
      </c>
      <c r="G54" s="2"/>
      <c r="H54" s="6">
        <v>573</v>
      </c>
      <c r="I54" s="2"/>
      <c r="J54" s="7">
        <f t="shared" si="29"/>
        <v>5.9072164948453607E-3</v>
      </c>
      <c r="K54" s="2"/>
      <c r="L54" s="6">
        <f t="shared" si="30"/>
        <v>-573</v>
      </c>
      <c r="M54" s="2"/>
      <c r="N54" s="7">
        <f t="shared" si="31"/>
        <v>-1</v>
      </c>
      <c r="O54" s="11"/>
      <c r="P54" s="6"/>
      <c r="Q54" s="2"/>
      <c r="R54" s="7">
        <f t="shared" si="32"/>
        <v>0</v>
      </c>
      <c r="S54" s="2"/>
      <c r="T54" s="6">
        <v>1479</v>
      </c>
      <c r="U54" s="2"/>
      <c r="V54" s="7">
        <f t="shared" si="33"/>
        <v>2.9403578528827039E-3</v>
      </c>
      <c r="W54" s="2"/>
      <c r="X54" s="6">
        <f t="shared" si="34"/>
        <v>-1479</v>
      </c>
      <c r="Y54" s="2"/>
      <c r="Z54" s="7">
        <f t="shared" si="35"/>
        <v>-1</v>
      </c>
    </row>
    <row r="55" spans="1:26" s="24" customFormat="1" hidden="1" outlineLevel="2" x14ac:dyDescent="0.25">
      <c r="A55" s="25"/>
      <c r="B55" s="11" t="str">
        <f>CONCATENATE("          ", "6326", " - ", "VEHICLES DEPRECIATION EXPENSE")</f>
        <v xml:space="preserve">          6326 - VEHICLES DEPRECIATION EXPENSE</v>
      </c>
      <c r="C55" s="11"/>
      <c r="D55" s="6"/>
      <c r="E55" s="2"/>
      <c r="F55" s="7">
        <f t="shared" si="28"/>
        <v>0</v>
      </c>
      <c r="G55" s="2"/>
      <c r="H55" s="6">
        <v>750</v>
      </c>
      <c r="I55" s="2"/>
      <c r="J55" s="7">
        <f t="shared" si="29"/>
        <v>7.7319587628865982E-3</v>
      </c>
      <c r="K55" s="2"/>
      <c r="L55" s="6">
        <f t="shared" si="30"/>
        <v>-750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1500</v>
      </c>
      <c r="U55" s="2"/>
      <c r="V55" s="7">
        <f t="shared" si="33"/>
        <v>2.982107355864811E-3</v>
      </c>
      <c r="W55" s="2"/>
      <c r="X55" s="6">
        <f t="shared" si="34"/>
        <v>-1500</v>
      </c>
      <c r="Y55" s="2"/>
      <c r="Z55" s="7">
        <f t="shared" si="35"/>
        <v>-1</v>
      </c>
    </row>
    <row r="56" spans="1:26" s="26" customFormat="1" outlineLevel="1" collapsed="1" x14ac:dyDescent="0.25">
      <c r="A56" s="27"/>
      <c r="B56" s="13" t="str">
        <f>CONCATENATE("     ","Equipment Rental                                  ")</f>
        <v xml:space="preserve">     Equipment Rental                                  </v>
      </c>
      <c r="C56" s="13"/>
      <c r="D56" s="1">
        <f>SUM(OSRRefD22_6x_0)</f>
        <v>235.4</v>
      </c>
      <c r="E56" s="1"/>
      <c r="F56" s="5">
        <f t="shared" ref="F56:F62" si="36">IF(D$12=0,0,D56/D$12)</f>
        <v>1.2092171731440777E-2</v>
      </c>
      <c r="G56" s="1"/>
      <c r="H56" s="1">
        <f>SUM(OSRRefH22_6x_0)</f>
        <v>200</v>
      </c>
      <c r="I56" s="1"/>
      <c r="J56" s="5">
        <f t="shared" ref="J56:J62" si="37">IF(H$12=0,0,H56/H$12)</f>
        <v>2.0618556701030928E-3</v>
      </c>
      <c r="K56" s="1"/>
      <c r="L56" s="1">
        <f t="shared" ref="L56:L62" si="38">+D56-H56</f>
        <v>35.400000000000006</v>
      </c>
      <c r="M56" s="1"/>
      <c r="N56" s="5">
        <f t="shared" ref="N56:N62" si="39">IF(H56=0,0,L56/H56)</f>
        <v>0.17700000000000002</v>
      </c>
      <c r="O56" s="13"/>
      <c r="P56" s="1">
        <f>SUM(OSRRefP22_6x_0)</f>
        <v>473.47</v>
      </c>
      <c r="Q56" s="1"/>
      <c r="R56" s="5">
        <f t="shared" ref="R56:R62" si="40">IF(P$12=0,0,P56/P$12)</f>
        <v>1.5270536221684825E-3</v>
      </c>
      <c r="S56" s="1"/>
      <c r="T56" s="1">
        <f>SUM(OSRRefT22_6x_0)</f>
        <v>500</v>
      </c>
      <c r="U56" s="1"/>
      <c r="V56" s="5">
        <f t="shared" ref="V56:V62" si="41">IF(T$12=0,0,T56/T$12)</f>
        <v>9.9403578528827028E-4</v>
      </c>
      <c r="W56" s="1"/>
      <c r="X56" s="1">
        <f t="shared" ref="X56:X62" si="42">+P56-T56</f>
        <v>-26.529999999999973</v>
      </c>
      <c r="Y56" s="1"/>
      <c r="Z56" s="5">
        <f t="shared" ref="Z56:Z62" si="43">IF(T56=0,0,X56/T56)</f>
        <v>-5.3059999999999947E-2</v>
      </c>
    </row>
    <row r="57" spans="1:26" s="24" customFormat="1" hidden="1" outlineLevel="2" x14ac:dyDescent="0.25">
      <c r="A57" s="25"/>
      <c r="B57" s="11" t="str">
        <f>CONCATENATE("          ", "6351", " - ", "EQUIPMENT RENTAL")</f>
        <v xml:space="preserve">          6351 - EQUIPMENT RENTAL</v>
      </c>
      <c r="C57" s="11"/>
      <c r="D57" s="6">
        <v>235.4</v>
      </c>
      <c r="E57" s="2"/>
      <c r="F57" s="7">
        <f t="shared" si="36"/>
        <v>1.2092171731440777E-2</v>
      </c>
      <c r="G57" s="2"/>
      <c r="H57" s="6">
        <v>200</v>
      </c>
      <c r="I57" s="2"/>
      <c r="J57" s="7">
        <f t="shared" si="37"/>
        <v>2.0618556701030928E-3</v>
      </c>
      <c r="K57" s="2"/>
      <c r="L57" s="6">
        <f t="shared" si="38"/>
        <v>35.400000000000006</v>
      </c>
      <c r="M57" s="2"/>
      <c r="N57" s="7">
        <f t="shared" si="39"/>
        <v>0.17700000000000002</v>
      </c>
      <c r="O57" s="11"/>
      <c r="P57" s="6">
        <v>473.47</v>
      </c>
      <c r="Q57" s="2"/>
      <c r="R57" s="7">
        <f t="shared" si="40"/>
        <v>1.5270536221684825E-3</v>
      </c>
      <c r="S57" s="2"/>
      <c r="T57" s="6">
        <v>500</v>
      </c>
      <c r="U57" s="2"/>
      <c r="V57" s="7">
        <f t="shared" si="41"/>
        <v>9.9403578528827028E-4</v>
      </c>
      <c r="W57" s="2"/>
      <c r="X57" s="6">
        <f t="shared" si="42"/>
        <v>-26.529999999999973</v>
      </c>
      <c r="Y57" s="2"/>
      <c r="Z57" s="7">
        <f t="shared" si="43"/>
        <v>-5.3059999999999947E-2</v>
      </c>
    </row>
    <row r="58" spans="1:26" s="26" customFormat="1" outlineLevel="1" collapsed="1" x14ac:dyDescent="0.25">
      <c r="A58" s="27"/>
      <c r="B58" s="13" t="str">
        <f>CONCATENATE("     ","General                                           ")</f>
        <v xml:space="preserve">     General                                           </v>
      </c>
      <c r="C58" s="13"/>
      <c r="D58" s="1">
        <f>SUM(OSRRefD22_7x_0)</f>
        <v>10</v>
      </c>
      <c r="E58" s="1"/>
      <c r="F58" s="5">
        <f t="shared" si="36"/>
        <v>5.136861398233125E-4</v>
      </c>
      <c r="G58" s="1"/>
      <c r="H58" s="1">
        <f>SUM(OSRRefH22_7x_0)</f>
        <v>25</v>
      </c>
      <c r="I58" s="1"/>
      <c r="J58" s="5">
        <f t="shared" si="37"/>
        <v>2.577319587628866E-4</v>
      </c>
      <c r="K58" s="1"/>
      <c r="L58" s="1">
        <f t="shared" si="38"/>
        <v>-15</v>
      </c>
      <c r="M58" s="1"/>
      <c r="N58" s="5">
        <f t="shared" si="39"/>
        <v>-0.6</v>
      </c>
      <c r="O58" s="13"/>
      <c r="P58" s="1">
        <f>SUM(OSRRefP22_7x_0)</f>
        <v>2457.08</v>
      </c>
      <c r="Q58" s="1"/>
      <c r="R58" s="5">
        <f t="shared" si="40"/>
        <v>7.9246687518907954E-3</v>
      </c>
      <c r="S58" s="1"/>
      <c r="T58" s="1">
        <f>SUM(OSRRefT22_7x_0)</f>
        <v>3750</v>
      </c>
      <c r="U58" s="1"/>
      <c r="V58" s="5">
        <f t="shared" si="41"/>
        <v>7.4552683896620276E-3</v>
      </c>
      <c r="W58" s="1"/>
      <c r="X58" s="1">
        <f t="shared" si="42"/>
        <v>-1292.92</v>
      </c>
      <c r="Y58" s="1"/>
      <c r="Z58" s="5">
        <f t="shared" si="43"/>
        <v>-0.34477866666666668</v>
      </c>
    </row>
    <row r="59" spans="1:26" s="24" customFormat="1" hidden="1" outlineLevel="2" x14ac:dyDescent="0.25">
      <c r="A59" s="25"/>
      <c r="B59" s="11" t="str">
        <f>CONCATENATE("          ", "6279", " - ", "GENERAL EXPENSE")</f>
        <v xml:space="preserve">          6279 - GENERAL EXPENSE</v>
      </c>
      <c r="C59" s="11"/>
      <c r="D59" s="6">
        <v>10</v>
      </c>
      <c r="E59" s="2"/>
      <c r="F59" s="7">
        <f t="shared" si="36"/>
        <v>5.136861398233125E-4</v>
      </c>
      <c r="G59" s="2"/>
      <c r="H59" s="6">
        <v>25</v>
      </c>
      <c r="I59" s="2"/>
      <c r="J59" s="7">
        <f t="shared" si="37"/>
        <v>2.577319587628866E-4</v>
      </c>
      <c r="K59" s="2"/>
      <c r="L59" s="6">
        <f t="shared" si="38"/>
        <v>-15</v>
      </c>
      <c r="M59" s="2"/>
      <c r="N59" s="7">
        <f t="shared" si="39"/>
        <v>-0.6</v>
      </c>
      <c r="O59" s="11"/>
      <c r="P59" s="6">
        <v>2457.08</v>
      </c>
      <c r="Q59" s="2"/>
      <c r="R59" s="7">
        <f t="shared" si="40"/>
        <v>7.9246687518907954E-3</v>
      </c>
      <c r="S59" s="2"/>
      <c r="T59" s="6">
        <v>3750</v>
      </c>
      <c r="U59" s="2"/>
      <c r="V59" s="7">
        <f t="shared" si="41"/>
        <v>7.4552683896620276E-3</v>
      </c>
      <c r="W59" s="2"/>
      <c r="X59" s="6">
        <f t="shared" si="42"/>
        <v>-1292.92</v>
      </c>
      <c r="Y59" s="2"/>
      <c r="Z59" s="7">
        <f t="shared" si="43"/>
        <v>-0.34477866666666668</v>
      </c>
    </row>
    <row r="60" spans="1:26" s="26" customFormat="1" outlineLevel="1" collapsed="1" x14ac:dyDescent="0.25">
      <c r="A60" s="27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SUM(OSRRefD22_8x_0)</f>
        <v>507.73</v>
      </c>
      <c r="E60" s="1"/>
      <c r="F60" s="5">
        <f t="shared" si="36"/>
        <v>2.608138637724905E-2</v>
      </c>
      <c r="G60" s="1"/>
      <c r="H60" s="1">
        <f>SUM(OSRRefH22_8x_0)</f>
        <v>500</v>
      </c>
      <c r="I60" s="1"/>
      <c r="J60" s="5">
        <f t="shared" si="37"/>
        <v>5.1546391752577319E-3</v>
      </c>
      <c r="K60" s="1"/>
      <c r="L60" s="1">
        <f t="shared" si="38"/>
        <v>7.7300000000000182</v>
      </c>
      <c r="M60" s="1"/>
      <c r="N60" s="5">
        <f t="shared" si="39"/>
        <v>1.5460000000000036E-2</v>
      </c>
      <c r="O60" s="13"/>
      <c r="P60" s="1">
        <f>SUM(OSRRefP22_8x_0)</f>
        <v>3632.91</v>
      </c>
      <c r="Q60" s="1"/>
      <c r="R60" s="5">
        <f t="shared" si="40"/>
        <v>1.1717000812115026E-2</v>
      </c>
      <c r="S60" s="1"/>
      <c r="T60" s="1">
        <f>SUM(OSRRefT22_8x_0)</f>
        <v>3560</v>
      </c>
      <c r="U60" s="1"/>
      <c r="V60" s="5">
        <f t="shared" si="41"/>
        <v>7.0775347912524853E-3</v>
      </c>
      <c r="W60" s="1"/>
      <c r="X60" s="1">
        <f t="shared" si="42"/>
        <v>72.909999999999854</v>
      </c>
      <c r="Y60" s="1"/>
      <c r="Z60" s="5">
        <f t="shared" si="43"/>
        <v>2.0480337078651645E-2</v>
      </c>
    </row>
    <row r="61" spans="1:26" s="24" customFormat="1" hidden="1" outlineLevel="2" x14ac:dyDescent="0.25">
      <c r="A61" s="25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36"/>
        <v>0</v>
      </c>
      <c r="G61" s="2"/>
      <c r="H61" s="6"/>
      <c r="I61" s="2"/>
      <c r="J61" s="7">
        <f t="shared" si="37"/>
        <v>0</v>
      </c>
      <c r="K61" s="2"/>
      <c r="L61" s="6">
        <f t="shared" si="38"/>
        <v>0</v>
      </c>
      <c r="M61" s="2"/>
      <c r="N61" s="7">
        <f t="shared" si="39"/>
        <v>0</v>
      </c>
      <c r="O61" s="11"/>
      <c r="P61" s="6">
        <v>76.02</v>
      </c>
      <c r="Q61" s="2"/>
      <c r="R61" s="7">
        <f t="shared" si="40"/>
        <v>2.451826226735549E-4</v>
      </c>
      <c r="S61" s="2"/>
      <c r="T61" s="6">
        <v>60</v>
      </c>
      <c r="U61" s="2"/>
      <c r="V61" s="7">
        <f t="shared" si="41"/>
        <v>1.1928429423459245E-4</v>
      </c>
      <c r="W61" s="2"/>
      <c r="X61" s="6">
        <f t="shared" si="42"/>
        <v>16.019999999999996</v>
      </c>
      <c r="Y61" s="2"/>
      <c r="Z61" s="7">
        <f t="shared" si="43"/>
        <v>0.26699999999999996</v>
      </c>
    </row>
    <row r="62" spans="1:26" s="24" customFormat="1" hidden="1" outlineLevel="2" x14ac:dyDescent="0.25">
      <c r="A62" s="25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507.73</v>
      </c>
      <c r="E62" s="2"/>
      <c r="F62" s="7">
        <f t="shared" si="36"/>
        <v>2.608138637724905E-2</v>
      </c>
      <c r="G62" s="2"/>
      <c r="H62" s="6">
        <v>500</v>
      </c>
      <c r="I62" s="2"/>
      <c r="J62" s="7">
        <f t="shared" si="37"/>
        <v>5.1546391752577319E-3</v>
      </c>
      <c r="K62" s="2"/>
      <c r="L62" s="6">
        <f t="shared" si="38"/>
        <v>7.7300000000000182</v>
      </c>
      <c r="M62" s="2"/>
      <c r="N62" s="7">
        <f t="shared" si="39"/>
        <v>1.5460000000000036E-2</v>
      </c>
      <c r="O62" s="11"/>
      <c r="P62" s="6">
        <v>3556.89</v>
      </c>
      <c r="Q62" s="2"/>
      <c r="R62" s="7">
        <f t="shared" si="40"/>
        <v>1.1471818189441471E-2</v>
      </c>
      <c r="S62" s="2"/>
      <c r="T62" s="6">
        <v>3500</v>
      </c>
      <c r="U62" s="2"/>
      <c r="V62" s="7">
        <f t="shared" si="41"/>
        <v>6.958250497017893E-3</v>
      </c>
      <c r="W62" s="2"/>
      <c r="X62" s="6">
        <f t="shared" si="42"/>
        <v>56.889999999999873</v>
      </c>
      <c r="Y62" s="2"/>
      <c r="Z62" s="7">
        <f t="shared" si="43"/>
        <v>1.6254285714285679E-2</v>
      </c>
    </row>
    <row r="63" spans="1:26" s="26" customFormat="1" outlineLevel="1" collapsed="1" x14ac:dyDescent="0.25">
      <c r="A63" s="27"/>
      <c r="B63" s="13" t="str">
        <f>CONCATENATE("     ","Royalty &amp; Commissions                             ")</f>
        <v xml:space="preserve">     Royalty &amp; Commissions                             </v>
      </c>
      <c r="C63" s="13"/>
      <c r="D63" s="1">
        <f>SUM(OSRRefD22_9x_0)</f>
        <v>0</v>
      </c>
      <c r="E63" s="1"/>
      <c r="F63" s="5">
        <f t="shared" ref="F63:F68" si="44">IF(D$12=0,0,D63/D$12)</f>
        <v>0</v>
      </c>
      <c r="G63" s="1"/>
      <c r="H63" s="1">
        <f>SUM(OSRRefH22_9x_0)</f>
        <v>1000</v>
      </c>
      <c r="I63" s="1"/>
      <c r="J63" s="5">
        <f t="shared" ref="J63:J68" si="45">IF(H$12=0,0,H63/H$12)</f>
        <v>1.0309278350515464E-2</v>
      </c>
      <c r="K63" s="1"/>
      <c r="L63" s="1">
        <f t="shared" ref="L63:L68" si="46">+D63-H63</f>
        <v>-1000</v>
      </c>
      <c r="M63" s="1"/>
      <c r="N63" s="5">
        <f t="shared" ref="N63:N68" si="47">IF(H63=0,0,L63/H63)</f>
        <v>-1</v>
      </c>
      <c r="O63" s="13"/>
      <c r="P63" s="1">
        <f>SUM(OSRRefP22_9x_0)</f>
        <v>0</v>
      </c>
      <c r="Q63" s="1"/>
      <c r="R63" s="5">
        <f t="shared" ref="R63:R68" si="48">IF(P$12=0,0,P63/P$12)</f>
        <v>0</v>
      </c>
      <c r="S63" s="1"/>
      <c r="T63" s="1">
        <f>SUM(OSRRefT22_9x_0)</f>
        <v>4000</v>
      </c>
      <c r="U63" s="1"/>
      <c r="V63" s="5">
        <f t="shared" ref="V63:V68" si="49">IF(T$12=0,0,T63/T$12)</f>
        <v>7.9522862823061622E-3</v>
      </c>
      <c r="W63" s="1"/>
      <c r="X63" s="1">
        <f t="shared" ref="X63:X68" si="50">+P63-T63</f>
        <v>-4000</v>
      </c>
      <c r="Y63" s="1"/>
      <c r="Z63" s="5">
        <f t="shared" ref="Z63:Z68" si="51">IF(T63=0,0,X63/T63)</f>
        <v>-1</v>
      </c>
    </row>
    <row r="64" spans="1:26" s="24" customFormat="1" hidden="1" outlineLevel="2" x14ac:dyDescent="0.25">
      <c r="A64" s="25"/>
      <c r="B64" s="11" t="str">
        <f>CONCATENATE("          ", "6254", " - ", "ROYALTY &amp; COMMISSIONS")</f>
        <v xml:space="preserve">          6254 - ROYALTY &amp; COMMISSIONS</v>
      </c>
      <c r="C64" s="11"/>
      <c r="D64" s="6"/>
      <c r="E64" s="2"/>
      <c r="F64" s="7">
        <f t="shared" si="44"/>
        <v>0</v>
      </c>
      <c r="G64" s="2"/>
      <c r="H64" s="6">
        <v>1000</v>
      </c>
      <c r="I64" s="2"/>
      <c r="J64" s="7">
        <f t="shared" si="45"/>
        <v>1.0309278350515464E-2</v>
      </c>
      <c r="K64" s="2"/>
      <c r="L64" s="6">
        <f t="shared" si="46"/>
        <v>-1000</v>
      </c>
      <c r="M64" s="2"/>
      <c r="N64" s="7">
        <f t="shared" si="47"/>
        <v>-1</v>
      </c>
      <c r="O64" s="11"/>
      <c r="P64" s="6"/>
      <c r="Q64" s="2"/>
      <c r="R64" s="7">
        <f t="shared" si="48"/>
        <v>0</v>
      </c>
      <c r="S64" s="2"/>
      <c r="T64" s="6">
        <v>4000</v>
      </c>
      <c r="U64" s="2"/>
      <c r="V64" s="7">
        <f t="shared" si="49"/>
        <v>7.9522862823061622E-3</v>
      </c>
      <c r="W64" s="2"/>
      <c r="X64" s="6">
        <f t="shared" si="50"/>
        <v>-4000</v>
      </c>
      <c r="Y64" s="2"/>
      <c r="Z64" s="7">
        <f t="shared" si="51"/>
        <v>-1</v>
      </c>
    </row>
    <row r="65" spans="1:26" s="26" customFormat="1" outlineLevel="1" collapsed="1" x14ac:dyDescent="0.25">
      <c r="A65" s="27"/>
      <c r="B65" s="13" t="str">
        <f>CONCATENATE("     ","Services                                          ")</f>
        <v xml:space="preserve">     Services                                          </v>
      </c>
      <c r="C65" s="13"/>
      <c r="D65" s="1">
        <f>SUM(OSRRefD22_10x_0)</f>
        <v>1411.42</v>
      </c>
      <c r="E65" s="1"/>
      <c r="F65" s="5">
        <f t="shared" si="44"/>
        <v>7.2502689146941982E-2</v>
      </c>
      <c r="G65" s="1"/>
      <c r="H65" s="1">
        <f>SUM(OSRRefH22_10x_0)</f>
        <v>3260</v>
      </c>
      <c r="I65" s="1"/>
      <c r="J65" s="5">
        <f t="shared" si="45"/>
        <v>3.3608247422680412E-2</v>
      </c>
      <c r="K65" s="1"/>
      <c r="L65" s="1">
        <f t="shared" si="46"/>
        <v>-1848.58</v>
      </c>
      <c r="M65" s="1"/>
      <c r="N65" s="5">
        <f t="shared" si="47"/>
        <v>-0.56704907975460117</v>
      </c>
      <c r="O65" s="13"/>
      <c r="P65" s="1">
        <f>SUM(OSRRefP22_10x_0)</f>
        <v>11963.21</v>
      </c>
      <c r="Q65" s="1"/>
      <c r="R65" s="5">
        <f t="shared" si="48"/>
        <v>3.8584204201453545E-2</v>
      </c>
      <c r="S65" s="1"/>
      <c r="T65" s="1">
        <f>SUM(OSRRefT22_10x_0)</f>
        <v>13850</v>
      </c>
      <c r="U65" s="1"/>
      <c r="V65" s="5">
        <f t="shared" si="49"/>
        <v>2.7534791252485088E-2</v>
      </c>
      <c r="W65" s="1"/>
      <c r="X65" s="1">
        <f t="shared" si="50"/>
        <v>-1886.7900000000009</v>
      </c>
      <c r="Y65" s="1"/>
      <c r="Z65" s="5">
        <f t="shared" si="51"/>
        <v>-0.13623032490974735</v>
      </c>
    </row>
    <row r="66" spans="1:26" s="24" customFormat="1" hidden="1" outlineLevel="2" x14ac:dyDescent="0.25">
      <c r="A66" s="25"/>
      <c r="B66" s="11" t="str">
        <f>CONCATENATE("          ", "6283", " - ", "PLANT SERVICE")</f>
        <v xml:space="preserve">          6283 - PLANT SERVICE</v>
      </c>
      <c r="C66" s="11"/>
      <c r="D66" s="6">
        <v>62.95</v>
      </c>
      <c r="E66" s="2"/>
      <c r="F66" s="7">
        <f t="shared" si="44"/>
        <v>3.2336542501877523E-3</v>
      </c>
      <c r="G66" s="2"/>
      <c r="H66" s="6">
        <v>60</v>
      </c>
      <c r="I66" s="2"/>
      <c r="J66" s="7">
        <f t="shared" si="45"/>
        <v>6.1855670103092778E-4</v>
      </c>
      <c r="K66" s="2"/>
      <c r="L66" s="6">
        <f t="shared" si="46"/>
        <v>2.9500000000000028</v>
      </c>
      <c r="M66" s="2"/>
      <c r="N66" s="7">
        <f t="shared" si="47"/>
        <v>4.9166666666666713E-2</v>
      </c>
      <c r="O66" s="11"/>
      <c r="P66" s="6">
        <v>251.8</v>
      </c>
      <c r="Q66" s="2"/>
      <c r="R66" s="7">
        <f t="shared" si="48"/>
        <v>8.1211502748225624E-4</v>
      </c>
      <c r="S66" s="2"/>
      <c r="T66" s="6">
        <v>300</v>
      </c>
      <c r="U66" s="2"/>
      <c r="V66" s="7">
        <f t="shared" si="49"/>
        <v>5.9642147117296227E-4</v>
      </c>
      <c r="W66" s="2"/>
      <c r="X66" s="6">
        <f t="shared" si="50"/>
        <v>-48.199999999999989</v>
      </c>
      <c r="Y66" s="2"/>
      <c r="Z66" s="7">
        <f t="shared" si="51"/>
        <v>-0.16066666666666662</v>
      </c>
    </row>
    <row r="67" spans="1:26" s="24" customFormat="1" hidden="1" outlineLevel="2" x14ac:dyDescent="0.25">
      <c r="A67" s="25"/>
      <c r="B67" s="11" t="str">
        <f>CONCATENATE("          ", "6285", " - ", "JANITORIAL SERVICES")</f>
        <v xml:space="preserve">          6285 - JANITORIAL SERVICES</v>
      </c>
      <c r="C67" s="11"/>
      <c r="D67" s="6"/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0</v>
      </c>
      <c r="M67" s="2"/>
      <c r="N67" s="7">
        <f t="shared" si="47"/>
        <v>0</v>
      </c>
      <c r="O67" s="11"/>
      <c r="P67" s="6"/>
      <c r="Q67" s="2"/>
      <c r="R67" s="7">
        <f t="shared" si="48"/>
        <v>0</v>
      </c>
      <c r="S67" s="2"/>
      <c r="T67" s="6">
        <v>250</v>
      </c>
      <c r="U67" s="2"/>
      <c r="V67" s="7">
        <f t="shared" si="49"/>
        <v>4.9701789264413514E-4</v>
      </c>
      <c r="W67" s="2"/>
      <c r="X67" s="6">
        <f t="shared" si="50"/>
        <v>-250</v>
      </c>
      <c r="Y67" s="2"/>
      <c r="Z67" s="7">
        <f t="shared" si="51"/>
        <v>-1</v>
      </c>
    </row>
    <row r="68" spans="1:26" s="24" customFormat="1" hidden="1" outlineLevel="2" x14ac:dyDescent="0.25">
      <c r="A68" s="25"/>
      <c r="B68" s="11" t="str">
        <f>CONCATENATE("          ", "6286", " - ", "LAUNDRY EXPENSE")</f>
        <v xml:space="preserve">          6286 - LAUNDRY EXPENSE</v>
      </c>
      <c r="C68" s="11"/>
      <c r="D68" s="6">
        <v>1348.47</v>
      </c>
      <c r="E68" s="2"/>
      <c r="F68" s="7">
        <f t="shared" si="44"/>
        <v>6.926903489675422E-2</v>
      </c>
      <c r="G68" s="2"/>
      <c r="H68" s="6">
        <v>3200</v>
      </c>
      <c r="I68" s="2"/>
      <c r="J68" s="7">
        <f t="shared" si="45"/>
        <v>3.2989690721649485E-2</v>
      </c>
      <c r="K68" s="2"/>
      <c r="L68" s="6">
        <f t="shared" si="46"/>
        <v>-1851.53</v>
      </c>
      <c r="M68" s="2"/>
      <c r="N68" s="7">
        <f t="shared" si="47"/>
        <v>-0.578603125</v>
      </c>
      <c r="O68" s="11"/>
      <c r="P68" s="6">
        <v>11711.41</v>
      </c>
      <c r="Q68" s="2"/>
      <c r="R68" s="7">
        <f t="shared" si="48"/>
        <v>3.7772089173971291E-2</v>
      </c>
      <c r="S68" s="2"/>
      <c r="T68" s="6">
        <v>13300</v>
      </c>
      <c r="U68" s="2"/>
      <c r="V68" s="7">
        <f t="shared" si="49"/>
        <v>2.6441351888667992E-2</v>
      </c>
      <c r="W68" s="2"/>
      <c r="X68" s="6">
        <f t="shared" si="50"/>
        <v>-1588.5900000000001</v>
      </c>
      <c r="Y68" s="2"/>
      <c r="Z68" s="7">
        <f t="shared" si="51"/>
        <v>-0.11944285714285716</v>
      </c>
    </row>
    <row r="69" spans="1:26" s="26" customFormat="1" outlineLevel="1" collapsed="1" x14ac:dyDescent="0.25">
      <c r="A69" s="27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SUM(OSRRefD22_11x_0)</f>
        <v>878.64999999999986</v>
      </c>
      <c r="E69" s="1"/>
      <c r="F69" s="5">
        <f t="shared" ref="F69:F75" si="52">IF(D$12=0,0,D69/D$12)</f>
        <v>4.5135032675575351E-2</v>
      </c>
      <c r="G69" s="1"/>
      <c r="H69" s="1">
        <f>SUM(OSRRefH22_11x_0)</f>
        <v>1896.24</v>
      </c>
      <c r="I69" s="1"/>
      <c r="J69" s="5">
        <f t="shared" ref="J69:J75" si="53">IF(H$12=0,0,H69/H$12)</f>
        <v>1.9548865979381443E-2</v>
      </c>
      <c r="K69" s="1"/>
      <c r="L69" s="1">
        <f t="shared" ref="L69:L75" si="54">+D69-H69</f>
        <v>-1017.5900000000001</v>
      </c>
      <c r="M69" s="1"/>
      <c r="N69" s="5">
        <f t="shared" ref="N69:N75" si="55">IF(H69=0,0,L69/H69)</f>
        <v>-0.53663565793359502</v>
      </c>
      <c r="O69" s="13"/>
      <c r="P69" s="1">
        <f>SUM(OSRRefP22_11x_0)</f>
        <v>8434.0300000000007</v>
      </c>
      <c r="Q69" s="1"/>
      <c r="R69" s="5">
        <f t="shared" ref="R69:R75" si="56">IF(P$12=0,0,P69/P$12)</f>
        <v>2.7201757367895846E-2</v>
      </c>
      <c r="S69" s="1"/>
      <c r="T69" s="1">
        <f>SUM(OSRRefT22_11x_0)</f>
        <v>10411.34</v>
      </c>
      <c r="U69" s="1"/>
      <c r="V69" s="5">
        <f t="shared" ref="V69:V75" si="57">IF(T$12=0,0,T69/T$12)</f>
        <v>2.0698489065606361E-2</v>
      </c>
      <c r="W69" s="1"/>
      <c r="X69" s="1">
        <f t="shared" ref="X69:X75" si="58">+P69-T69</f>
        <v>-1977.3099999999995</v>
      </c>
      <c r="Y69" s="1"/>
      <c r="Z69" s="5">
        <f t="shared" ref="Z69:Z75" si="59">IF(T69=0,0,X69/T69)</f>
        <v>-0.18991887691690018</v>
      </c>
    </row>
    <row r="70" spans="1:26" s="24" customFormat="1" hidden="1" outlineLevel="2" x14ac:dyDescent="0.25">
      <c r="A70" s="25"/>
      <c r="B70" s="11" t="str">
        <f>CONCATENATE("          ", "6234", " - ", "EXPENDABLE SUPPLIES &amp; EQUIPMEN")</f>
        <v xml:space="preserve">          6234 - EXPENDABLE SUPPLIES &amp; EQUIPMEN</v>
      </c>
      <c r="C70" s="11"/>
      <c r="D70" s="6">
        <v>66.95</v>
      </c>
      <c r="E70" s="2"/>
      <c r="F70" s="7">
        <f t="shared" si="52"/>
        <v>3.4391287061170776E-3</v>
      </c>
      <c r="G70" s="2"/>
      <c r="H70" s="6">
        <v>700</v>
      </c>
      <c r="I70" s="2"/>
      <c r="J70" s="7">
        <f t="shared" si="53"/>
        <v>7.2164948453608251E-3</v>
      </c>
      <c r="K70" s="2"/>
      <c r="L70" s="6">
        <f t="shared" si="54"/>
        <v>-633.04999999999995</v>
      </c>
      <c r="M70" s="2"/>
      <c r="N70" s="7">
        <f t="shared" si="55"/>
        <v>-0.90435714285714275</v>
      </c>
      <c r="O70" s="11"/>
      <c r="P70" s="6">
        <v>287.29000000000002</v>
      </c>
      <c r="Q70" s="2"/>
      <c r="R70" s="7">
        <f t="shared" si="56"/>
        <v>9.2657873806742419E-4</v>
      </c>
      <c r="S70" s="2"/>
      <c r="T70" s="6">
        <v>3250</v>
      </c>
      <c r="U70" s="2"/>
      <c r="V70" s="7">
        <f t="shared" si="57"/>
        <v>6.4612326043737576E-3</v>
      </c>
      <c r="W70" s="2"/>
      <c r="X70" s="6">
        <f t="shared" si="58"/>
        <v>-2962.71</v>
      </c>
      <c r="Y70" s="2"/>
      <c r="Z70" s="7">
        <f t="shared" si="59"/>
        <v>-0.91160307692307696</v>
      </c>
    </row>
    <row r="71" spans="1:26" s="24" customFormat="1" hidden="1" outlineLevel="2" x14ac:dyDescent="0.25">
      <c r="A71" s="25"/>
      <c r="B71" s="11" t="str">
        <f>CONCATENATE("          ", "6239", " - ", "KITCHEN SUPPLIES")</f>
        <v xml:space="preserve">          6239 - KITCHEN SUPPLIES</v>
      </c>
      <c r="C71" s="11"/>
      <c r="D71" s="6">
        <v>14.58</v>
      </c>
      <c r="E71" s="2"/>
      <c r="F71" s="7">
        <f t="shared" si="52"/>
        <v>7.4895439186238968E-4</v>
      </c>
      <c r="G71" s="2"/>
      <c r="H71" s="6">
        <v>102.95</v>
      </c>
      <c r="I71" s="2"/>
      <c r="J71" s="7">
        <f t="shared" si="53"/>
        <v>1.0613402061855671E-3</v>
      </c>
      <c r="K71" s="2"/>
      <c r="L71" s="6">
        <f t="shared" si="54"/>
        <v>-88.37</v>
      </c>
      <c r="M71" s="2"/>
      <c r="N71" s="7">
        <f t="shared" si="55"/>
        <v>-0.85837785332685768</v>
      </c>
      <c r="O71" s="11"/>
      <c r="P71" s="6">
        <v>3349.27</v>
      </c>
      <c r="Q71" s="2"/>
      <c r="R71" s="7">
        <f t="shared" si="56"/>
        <v>1.0802194194183861E-2</v>
      </c>
      <c r="S71" s="2"/>
      <c r="T71" s="6">
        <v>1216.71</v>
      </c>
      <c r="U71" s="2"/>
      <c r="V71" s="7">
        <f t="shared" si="57"/>
        <v>2.4189065606361831E-3</v>
      </c>
      <c r="W71" s="2"/>
      <c r="X71" s="6">
        <f t="shared" si="58"/>
        <v>2132.56</v>
      </c>
      <c r="Y71" s="2"/>
      <c r="Z71" s="7">
        <f t="shared" si="59"/>
        <v>1.7527266152164442</v>
      </c>
    </row>
    <row r="72" spans="1:26" s="24" customFormat="1" hidden="1" outlineLevel="2" x14ac:dyDescent="0.25">
      <c r="A72" s="25"/>
      <c r="B72" s="11" t="str">
        <f>CONCATENATE("          ", "6241", " - ", "OFFICE EXPENSE")</f>
        <v xml:space="preserve">          6241 - OFFICE EXPENSE</v>
      </c>
      <c r="C72" s="11"/>
      <c r="D72" s="6"/>
      <c r="E72" s="2"/>
      <c r="F72" s="7">
        <f t="shared" si="52"/>
        <v>0</v>
      </c>
      <c r="G72" s="2"/>
      <c r="H72" s="6">
        <v>75</v>
      </c>
      <c r="I72" s="2"/>
      <c r="J72" s="7">
        <f t="shared" si="53"/>
        <v>7.7319587628865976E-4</v>
      </c>
      <c r="K72" s="2"/>
      <c r="L72" s="6">
        <f t="shared" si="54"/>
        <v>-75</v>
      </c>
      <c r="M72" s="2"/>
      <c r="N72" s="7">
        <f t="shared" si="55"/>
        <v>-1</v>
      </c>
      <c r="O72" s="11"/>
      <c r="P72" s="6">
        <v>618.12</v>
      </c>
      <c r="Q72" s="2"/>
      <c r="R72" s="7">
        <f t="shared" si="56"/>
        <v>1.9935843557876576E-3</v>
      </c>
      <c r="S72" s="2"/>
      <c r="T72" s="6">
        <v>1131.25</v>
      </c>
      <c r="U72" s="2"/>
      <c r="V72" s="7">
        <f t="shared" si="57"/>
        <v>2.2490059642147116E-3</v>
      </c>
      <c r="W72" s="2"/>
      <c r="X72" s="6">
        <f t="shared" si="58"/>
        <v>-513.13</v>
      </c>
      <c r="Y72" s="2"/>
      <c r="Z72" s="7">
        <f t="shared" si="59"/>
        <v>-0.45359558011049722</v>
      </c>
    </row>
    <row r="73" spans="1:26" s="24" customFormat="1" hidden="1" outlineLevel="2" x14ac:dyDescent="0.25">
      <c r="A73" s="25"/>
      <c r="B73" s="11" t="str">
        <f>CONCATENATE("          ", "6243", " - ", "PAPER SUPPLIES")</f>
        <v xml:space="preserve">          6243 - PAPER SUPPLIES</v>
      </c>
      <c r="C73" s="11"/>
      <c r="D73" s="6">
        <v>628.16999999999996</v>
      </c>
      <c r="E73" s="2"/>
      <c r="F73" s="7">
        <f t="shared" si="52"/>
        <v>3.2268222245281024E-2</v>
      </c>
      <c r="G73" s="2"/>
      <c r="H73" s="6">
        <v>699.52</v>
      </c>
      <c r="I73" s="2"/>
      <c r="J73" s="7">
        <f t="shared" si="53"/>
        <v>7.2115463917525775E-3</v>
      </c>
      <c r="K73" s="2"/>
      <c r="L73" s="6">
        <f t="shared" si="54"/>
        <v>-71.350000000000023</v>
      </c>
      <c r="M73" s="2"/>
      <c r="N73" s="7">
        <f t="shared" si="55"/>
        <v>-0.10199851326623974</v>
      </c>
      <c r="O73" s="11"/>
      <c r="P73" s="6">
        <v>3208.69</v>
      </c>
      <c r="Q73" s="2"/>
      <c r="R73" s="7">
        <f t="shared" si="56"/>
        <v>1.0348790180826215E-2</v>
      </c>
      <c r="S73" s="2"/>
      <c r="T73" s="6">
        <v>3024.52</v>
      </c>
      <c r="U73" s="2"/>
      <c r="V73" s="7">
        <f t="shared" si="57"/>
        <v>6.0129622266401591E-3</v>
      </c>
      <c r="W73" s="2"/>
      <c r="X73" s="6">
        <f t="shared" si="58"/>
        <v>184.17000000000007</v>
      </c>
      <c r="Y73" s="2"/>
      <c r="Z73" s="7">
        <f t="shared" si="59"/>
        <v>6.089230687844685E-2</v>
      </c>
    </row>
    <row r="74" spans="1:26" s="24" customFormat="1" hidden="1" outlineLevel="2" x14ac:dyDescent="0.25">
      <c r="A74" s="25"/>
      <c r="B74" s="11" t="str">
        <f>CONCATENATE("          ", "6247", " - ", "STORE SUPPLIES")</f>
        <v xml:space="preserve">          6247 - STORE SUPPLIES</v>
      </c>
      <c r="C74" s="11"/>
      <c r="D74" s="6"/>
      <c r="E74" s="2"/>
      <c r="F74" s="7">
        <f t="shared" si="52"/>
        <v>0</v>
      </c>
      <c r="G74" s="2"/>
      <c r="H74" s="6">
        <v>68.77</v>
      </c>
      <c r="I74" s="2"/>
      <c r="J74" s="7">
        <f t="shared" si="53"/>
        <v>7.0896907216494844E-4</v>
      </c>
      <c r="K74" s="2"/>
      <c r="L74" s="6">
        <f t="shared" si="54"/>
        <v>-68.77</v>
      </c>
      <c r="M74" s="2"/>
      <c r="N74" s="7">
        <f t="shared" si="55"/>
        <v>-1</v>
      </c>
      <c r="O74" s="11"/>
      <c r="P74" s="6">
        <v>366.09</v>
      </c>
      <c r="Q74" s="2"/>
      <c r="R74" s="7">
        <f t="shared" si="56"/>
        <v>1.1807275234748974E-3</v>
      </c>
      <c r="S74" s="2"/>
      <c r="T74" s="6">
        <v>738.86</v>
      </c>
      <c r="U74" s="2"/>
      <c r="V74" s="7">
        <f t="shared" si="57"/>
        <v>1.468906560636183E-3</v>
      </c>
      <c r="W74" s="2"/>
      <c r="X74" s="6">
        <f t="shared" si="58"/>
        <v>-372.77000000000004</v>
      </c>
      <c r="Y74" s="2"/>
      <c r="Z74" s="7">
        <f t="shared" si="59"/>
        <v>-0.50452047749235318</v>
      </c>
    </row>
    <row r="75" spans="1:26" s="24" customFormat="1" hidden="1" outlineLevel="2" x14ac:dyDescent="0.25">
      <c r="A75" s="25"/>
      <c r="B75" s="11" t="str">
        <f>CONCATENATE("          ", "6248", " - ", "UNIFORMS")</f>
        <v xml:space="preserve">          6248 - UNIFORMS</v>
      </c>
      <c r="C75" s="11"/>
      <c r="D75" s="6">
        <v>168.95</v>
      </c>
      <c r="E75" s="2"/>
      <c r="F75" s="7">
        <f t="shared" si="52"/>
        <v>8.6787273323148638E-3</v>
      </c>
      <c r="G75" s="2"/>
      <c r="H75" s="6">
        <v>250</v>
      </c>
      <c r="I75" s="2"/>
      <c r="J75" s="7">
        <f t="shared" si="53"/>
        <v>2.5773195876288659E-3</v>
      </c>
      <c r="K75" s="2"/>
      <c r="L75" s="6">
        <f t="shared" si="54"/>
        <v>-81.050000000000011</v>
      </c>
      <c r="M75" s="2"/>
      <c r="N75" s="7">
        <f t="shared" si="55"/>
        <v>-0.32420000000000004</v>
      </c>
      <c r="O75" s="11"/>
      <c r="P75" s="6">
        <v>604.57000000000005</v>
      </c>
      <c r="Q75" s="2"/>
      <c r="R75" s="7">
        <f t="shared" si="56"/>
        <v>1.9498823755557892E-3</v>
      </c>
      <c r="S75" s="2"/>
      <c r="T75" s="6">
        <v>1050</v>
      </c>
      <c r="U75" s="2"/>
      <c r="V75" s="7">
        <f t="shared" si="57"/>
        <v>2.0874751491053679E-3</v>
      </c>
      <c r="W75" s="2"/>
      <c r="X75" s="6">
        <f t="shared" si="58"/>
        <v>-445.42999999999995</v>
      </c>
      <c r="Y75" s="2"/>
      <c r="Z75" s="7">
        <f t="shared" si="59"/>
        <v>-0.42421904761904755</v>
      </c>
    </row>
    <row r="76" spans="1:26" s="26" customFormat="1" outlineLevel="1" collapsed="1" x14ac:dyDescent="0.25">
      <c r="A76" s="27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SUM(OSRRefD22_12x_0)</f>
        <v>192.28</v>
      </c>
      <c r="E76" s="1"/>
      <c r="F76" s="5">
        <f t="shared" ref="F76:F79" si="60">IF(D$12=0,0,D76/D$12)</f>
        <v>9.8771570965226537E-3</v>
      </c>
      <c r="G76" s="1"/>
      <c r="H76" s="1">
        <f>SUM(OSRRefH22_12x_0)</f>
        <v>195</v>
      </c>
      <c r="I76" s="1"/>
      <c r="J76" s="5">
        <f t="shared" ref="J76:J79" si="61">IF(H$12=0,0,H76/H$12)</f>
        <v>2.0103092783505154E-3</v>
      </c>
      <c r="K76" s="1"/>
      <c r="L76" s="1">
        <f t="shared" ref="L76:L79" si="62">+D76-H76</f>
        <v>-2.7199999999999989</v>
      </c>
      <c r="M76" s="1"/>
      <c r="N76" s="5">
        <f t="shared" ref="N76:N79" si="63">IF(H76=0,0,L76/H76)</f>
        <v>-1.3948717948717942E-2</v>
      </c>
      <c r="O76" s="13"/>
      <c r="P76" s="1">
        <f>SUM(OSRRefP22_12x_0)</f>
        <v>956.31</v>
      </c>
      <c r="Q76" s="1"/>
      <c r="R76" s="5">
        <f t="shared" ref="R76:R79" si="64">IF(P$12=0,0,P76/P$12)</f>
        <v>3.084327728084021E-3</v>
      </c>
      <c r="S76" s="1"/>
      <c r="T76" s="1">
        <f>SUM(OSRRefT22_12x_0)</f>
        <v>585</v>
      </c>
      <c r="U76" s="1"/>
      <c r="V76" s="5">
        <f t="shared" ref="V76:V79" si="65">IF(T$12=0,0,T76/T$12)</f>
        <v>1.1630218687872763E-3</v>
      </c>
      <c r="W76" s="1"/>
      <c r="X76" s="1">
        <f t="shared" ref="X76:X79" si="66">+P76-T76</f>
        <v>371.30999999999995</v>
      </c>
      <c r="Y76" s="1"/>
      <c r="Z76" s="5">
        <f t="shared" ref="Z76:Z79" si="67">IF(T76=0,0,X76/T76)</f>
        <v>0.63471794871794862</v>
      </c>
    </row>
    <row r="77" spans="1:26" s="24" customFormat="1" hidden="1" outlineLevel="2" x14ac:dyDescent="0.25">
      <c r="A77" s="25"/>
      <c r="B77" s="11" t="str">
        <f>CONCATENATE("          ", "6309", " - ", "TELEPHONE")</f>
        <v xml:space="preserve">          6309 - TELEPHONE</v>
      </c>
      <c r="C77" s="11"/>
      <c r="D77" s="6">
        <v>192.28</v>
      </c>
      <c r="E77" s="2"/>
      <c r="F77" s="7">
        <f t="shared" si="60"/>
        <v>9.8771570965226537E-3</v>
      </c>
      <c r="G77" s="2"/>
      <c r="H77" s="6">
        <v>195</v>
      </c>
      <c r="I77" s="2"/>
      <c r="J77" s="7">
        <f t="shared" si="61"/>
        <v>2.0103092783505154E-3</v>
      </c>
      <c r="K77" s="2"/>
      <c r="L77" s="6">
        <f t="shared" si="62"/>
        <v>-2.7199999999999989</v>
      </c>
      <c r="M77" s="2"/>
      <c r="N77" s="7">
        <f t="shared" si="63"/>
        <v>-1.3948717948717942E-2</v>
      </c>
      <c r="O77" s="11"/>
      <c r="P77" s="6">
        <v>956.31</v>
      </c>
      <c r="Q77" s="2"/>
      <c r="R77" s="7">
        <f t="shared" si="64"/>
        <v>3.084327728084021E-3</v>
      </c>
      <c r="S77" s="2"/>
      <c r="T77" s="6">
        <v>585</v>
      </c>
      <c r="U77" s="2"/>
      <c r="V77" s="7">
        <f t="shared" si="65"/>
        <v>1.1630218687872763E-3</v>
      </c>
      <c r="W77" s="2"/>
      <c r="X77" s="6">
        <f t="shared" si="66"/>
        <v>371.30999999999995</v>
      </c>
      <c r="Y77" s="2"/>
      <c r="Z77" s="7">
        <f t="shared" si="67"/>
        <v>0.63471794871794862</v>
      </c>
    </row>
    <row r="78" spans="1:26" s="26" customFormat="1" outlineLevel="1" collapsed="1" x14ac:dyDescent="0.25">
      <c r="A78" s="27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SUM(OSRRefD22_13x_0)</f>
        <v>0</v>
      </c>
      <c r="E78" s="1"/>
      <c r="F78" s="5">
        <f t="shared" si="60"/>
        <v>0</v>
      </c>
      <c r="G78" s="1"/>
      <c r="H78" s="1">
        <f>SUM(OSRRefH22_13x_0)</f>
        <v>0</v>
      </c>
      <c r="I78" s="1"/>
      <c r="J78" s="5">
        <f t="shared" si="61"/>
        <v>0</v>
      </c>
      <c r="K78" s="1"/>
      <c r="L78" s="1">
        <f t="shared" si="62"/>
        <v>0</v>
      </c>
      <c r="M78" s="1"/>
      <c r="N78" s="5">
        <f t="shared" si="63"/>
        <v>0</v>
      </c>
      <c r="O78" s="13"/>
      <c r="P78" s="1">
        <f>SUM(OSRRefP22_13x_0)</f>
        <v>175</v>
      </c>
      <c r="Q78" s="1"/>
      <c r="R78" s="5">
        <f t="shared" si="64"/>
        <v>5.6441671886177456E-4</v>
      </c>
      <c r="S78" s="1"/>
      <c r="T78" s="1">
        <f>SUM(OSRRefT22_13x_0)</f>
        <v>500</v>
      </c>
      <c r="U78" s="1"/>
      <c r="V78" s="5">
        <f t="shared" si="65"/>
        <v>9.9403578528827028E-4</v>
      </c>
      <c r="W78" s="1"/>
      <c r="X78" s="1">
        <f t="shared" si="66"/>
        <v>-325</v>
      </c>
      <c r="Y78" s="1"/>
      <c r="Z78" s="5">
        <f t="shared" si="67"/>
        <v>-0.65</v>
      </c>
    </row>
    <row r="79" spans="1:26" s="24" customFormat="1" hidden="1" outlineLevel="2" x14ac:dyDescent="0.25">
      <c r="A79" s="25"/>
      <c r="B79" s="11" t="str">
        <f>CONCATENATE("          ", "6376", " - ", "TRAINING")</f>
        <v xml:space="preserve">          6376 - TRAINING</v>
      </c>
      <c r="C79" s="11"/>
      <c r="D79" s="6"/>
      <c r="E79" s="2"/>
      <c r="F79" s="7">
        <f t="shared" si="60"/>
        <v>0</v>
      </c>
      <c r="G79" s="2"/>
      <c r="H79" s="6"/>
      <c r="I79" s="2"/>
      <c r="J79" s="7">
        <f t="shared" si="61"/>
        <v>0</v>
      </c>
      <c r="K79" s="2"/>
      <c r="L79" s="6">
        <f t="shared" si="62"/>
        <v>0</v>
      </c>
      <c r="M79" s="2"/>
      <c r="N79" s="7">
        <f t="shared" si="63"/>
        <v>0</v>
      </c>
      <c r="O79" s="11"/>
      <c r="P79" s="6">
        <v>175</v>
      </c>
      <c r="Q79" s="2"/>
      <c r="R79" s="7">
        <f t="shared" si="64"/>
        <v>5.6441671886177456E-4</v>
      </c>
      <c r="S79" s="2"/>
      <c r="T79" s="6">
        <v>500</v>
      </c>
      <c r="U79" s="2"/>
      <c r="V79" s="7">
        <f t="shared" si="65"/>
        <v>9.9403578528827028E-4</v>
      </c>
      <c r="W79" s="2"/>
      <c r="X79" s="6">
        <f t="shared" si="66"/>
        <v>-325</v>
      </c>
      <c r="Y79" s="2"/>
      <c r="Z79" s="7">
        <f t="shared" si="67"/>
        <v>-0.65</v>
      </c>
    </row>
    <row r="80" spans="1:26" s="59" customFormat="1" x14ac:dyDescent="0.25">
      <c r="A80" s="36"/>
      <c r="B80" s="36"/>
      <c r="C80" s="36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6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9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8" t="s">
        <v>3</v>
      </c>
      <c r="C83" s="28"/>
      <c r="D83" s="20">
        <f>+D22-D24+D81</f>
        <v>-31416.450000000004</v>
      </c>
      <c r="E83" s="14"/>
      <c r="F83" s="22">
        <f>IF(D$12=0,0,D83/D$12)</f>
        <v>-1.613819492745211</v>
      </c>
      <c r="G83" s="14"/>
      <c r="H83" s="20">
        <f>+H22-H24+H81</f>
        <v>6465.9562168461271</v>
      </c>
      <c r="I83" s="14"/>
      <c r="J83" s="22">
        <f>IF(H$12=0,0,H83/H$12)</f>
        <v>6.6659342441712649E-2</v>
      </c>
      <c r="K83" s="16"/>
      <c r="L83" s="20">
        <f>+D83-H83</f>
        <v>-37882.406216846131</v>
      </c>
      <c r="M83" s="16"/>
      <c r="N83" s="22">
        <f>IF(H83=0,0,L83/H83)</f>
        <v>-5.8587477159447694</v>
      </c>
      <c r="O83" s="29"/>
      <c r="P83" s="20">
        <f>+P22-P24+P81</f>
        <v>-36511.209999999963</v>
      </c>
      <c r="Q83" s="14"/>
      <c r="R83" s="22">
        <f>IF(P$12=0,0,P83/P$12)</f>
        <v>-0.11775735628498968</v>
      </c>
      <c r="S83" s="14"/>
      <c r="T83" s="20">
        <f>+T22-T24+T81</f>
        <v>9223.1204959884635</v>
      </c>
      <c r="U83" s="14"/>
      <c r="V83" s="22">
        <f>IF(T$12=0,0,T83/T$12)</f>
        <v>1.8336223650076467E-2</v>
      </c>
      <c r="W83" s="16"/>
      <c r="X83" s="20">
        <f>+P83-T83</f>
        <v>-45734.330495988426</v>
      </c>
      <c r="Y83" s="16"/>
      <c r="Z83" s="22">
        <f>IF(T83=0,0,X83/T83)</f>
        <v>-4.9586612812746269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2"/>
      <c r="B85" s="10" t="s">
        <v>14</v>
      </c>
      <c r="C85" s="10"/>
      <c r="D85" s="4">
        <v>3581.4</v>
      </c>
      <c r="E85" s="4"/>
      <c r="F85" s="12">
        <f>IF(D$12=0,0,D85/D$12)</f>
        <v>0.18397155411632116</v>
      </c>
      <c r="G85" s="4"/>
      <c r="H85" s="4">
        <v>14854</v>
      </c>
      <c r="I85" s="4"/>
      <c r="J85" s="12">
        <f>IF(H$12=0,0,H85/H$12)</f>
        <v>0.15313402061855669</v>
      </c>
      <c r="K85" s="4"/>
      <c r="L85" s="4">
        <f>+D85-H85</f>
        <v>-11272.6</v>
      </c>
      <c r="M85" s="4"/>
      <c r="N85" s="12">
        <f>IF(H85=0,0,L85/H85)</f>
        <v>-0.7588932274134913</v>
      </c>
      <c r="O85" s="10"/>
      <c r="P85" s="4">
        <v>32832.68</v>
      </c>
      <c r="Q85" s="4"/>
      <c r="R85" s="12">
        <f>IF(P$12=0,0,P85/P$12)</f>
        <v>0.10589322009736349</v>
      </c>
      <c r="S85" s="4"/>
      <c r="T85" s="4">
        <v>63746</v>
      </c>
      <c r="U85" s="4"/>
      <c r="V85" s="12">
        <f>IF(T$12=0,0,T85/T$12)</f>
        <v>0.12673161033797217</v>
      </c>
      <c r="W85" s="4"/>
      <c r="X85" s="4">
        <f>+P85-T85</f>
        <v>-30913.32</v>
      </c>
      <c r="Y85" s="4"/>
      <c r="Z85" s="12">
        <f>IF(T85=0,0,X85/T85)</f>
        <v>-0.48494525146675871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8" t="s">
        <v>4</v>
      </c>
      <c r="C87" s="28"/>
      <c r="D87" s="30">
        <f>+D83-D85</f>
        <v>-34997.850000000006</v>
      </c>
      <c r="E87" s="14"/>
      <c r="F87" s="32">
        <f>IF(D$12=0,0,D87/D$12)</f>
        <v>-1.7977910468615321</v>
      </c>
      <c r="G87" s="14"/>
      <c r="H87" s="30">
        <f>+H83-H85</f>
        <v>-8388.0437831538729</v>
      </c>
      <c r="I87" s="14"/>
      <c r="J87" s="32">
        <f>IF(H$12=0,0,H87/H$12)</f>
        <v>-8.6474678176844053E-2</v>
      </c>
      <c r="K87" s="16"/>
      <c r="L87" s="30">
        <f>D87-H87</f>
        <v>-26609.806216846133</v>
      </c>
      <c r="M87" s="16"/>
      <c r="N87" s="32">
        <f>IF(H87=0,0,L87/H87)</f>
        <v>3.1723494660683502</v>
      </c>
      <c r="O87" s="29"/>
      <c r="P87" s="30">
        <f>+P83-P85</f>
        <v>-69343.889999999956</v>
      </c>
      <c r="Q87" s="14"/>
      <c r="R87" s="32">
        <f>IF(P$12=0,0,P87/P$12)</f>
        <v>-0.22365057638235314</v>
      </c>
      <c r="S87" s="14"/>
      <c r="T87" s="30">
        <f>+T83-T85</f>
        <v>-54522.879504011536</v>
      </c>
      <c r="U87" s="14"/>
      <c r="V87" s="32">
        <f>IF(T$12=0,0,T87/T$12)</f>
        <v>-0.1083953866878957</v>
      </c>
      <c r="W87" s="16"/>
      <c r="X87" s="30">
        <f>P87-T87</f>
        <v>-14821.010495988419</v>
      </c>
      <c r="Y87" s="16"/>
      <c r="Z87" s="32">
        <f>IF(T87=0,0,X87/T87)</f>
        <v>0.27183103003387704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5</v>
      </c>
      <c r="C90" s="28"/>
      <c r="D90" s="31">
        <f>SUM(D87:D89)</f>
        <v>-34997.850000000006</v>
      </c>
      <c r="E90" s="14"/>
      <c r="F90" s="35">
        <f>IF(D$12=0,0,D90/D$12)</f>
        <v>-1.7977910468615321</v>
      </c>
      <c r="G90" s="14"/>
      <c r="H90" s="31">
        <f>SUM(H87:H89)</f>
        <v>-8388.0437831538729</v>
      </c>
      <c r="I90" s="14"/>
      <c r="J90" s="35">
        <f>IF(H$12=0,0,H90/H$12)</f>
        <v>-8.6474678176844053E-2</v>
      </c>
      <c r="K90" s="16"/>
      <c r="L90" s="31">
        <f>+D90-H90</f>
        <v>-26609.806216846133</v>
      </c>
      <c r="M90" s="16"/>
      <c r="N90" s="35">
        <f>IF(H90=0,0,L90/H90)</f>
        <v>3.1723494660683502</v>
      </c>
      <c r="O90" s="29"/>
      <c r="P90" s="31">
        <f>SUM(P87:P89)</f>
        <v>-69343.889999999956</v>
      </c>
      <c r="Q90" s="14"/>
      <c r="R90" s="35">
        <f>IF(P$12=0,0,P90/P$12)</f>
        <v>-0.22365057638235314</v>
      </c>
      <c r="S90" s="14"/>
      <c r="T90" s="31">
        <f>SUM(T87:T89)</f>
        <v>-54522.879504011536</v>
      </c>
      <c r="U90" s="14"/>
      <c r="V90" s="35">
        <f>IF(T$12=0,0,T90/T$12)</f>
        <v>-0.1083953866878957</v>
      </c>
      <c r="W90" s="16"/>
      <c r="X90" s="31">
        <f>+P90-T90</f>
        <v>-14821.010495988419</v>
      </c>
      <c r="Y90" s="16"/>
      <c r="Z90" s="35">
        <f>IF(T90=0,0,X90/T90)</f>
        <v>0.27183103003387704</v>
      </c>
    </row>
    <row r="91" spans="1:26" ht="15.75" thickTop="1" x14ac:dyDescent="0.25">
      <c r="A91" s="9"/>
      <c r="C91" s="9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56">
        <v>43815.484005474536</v>
      </c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62" t="s">
        <v>314</v>
      </c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58"/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","420", " - ", "Catering")</f>
        <v>Department 420 - Catering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48537.78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48537.78</v>
      </c>
      <c r="M12" s="4"/>
      <c r="N12" s="12">
        <f t="shared" ref="N12:N14" si="1">IF(H12=0,0,L12/H12)</f>
        <v>0</v>
      </c>
      <c r="O12" s="10"/>
      <c r="P12" s="4">
        <f>SUM(OSRRefP13x_0)</f>
        <v>58608.259999999995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58608.259999999995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--48404.79</f>
        <v>48404.79</v>
      </c>
      <c r="E13" s="2"/>
      <c r="F13" s="19"/>
      <c r="G13" s="2"/>
      <c r="H13" s="2"/>
      <c r="I13" s="2"/>
      <c r="J13" s="19"/>
      <c r="K13" s="2"/>
      <c r="L13" s="2">
        <f t="shared" si="0"/>
        <v>48404.79</v>
      </c>
      <c r="M13" s="2"/>
      <c r="N13" s="19">
        <f t="shared" si="1"/>
        <v>0</v>
      </c>
      <c r="O13" s="11"/>
      <c r="P13" s="2">
        <f>--58475.52</f>
        <v>58475.519999999997</v>
      </c>
      <c r="Q13" s="2"/>
      <c r="R13" s="19"/>
      <c r="S13" s="2"/>
      <c r="T13" s="2"/>
      <c r="U13" s="2"/>
      <c r="V13" s="19"/>
      <c r="W13" s="2"/>
      <c r="X13" s="2">
        <f t="shared" si="2"/>
        <v>58475.519999999997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>--132.99</f>
        <v>132.99</v>
      </c>
      <c r="E14" s="2"/>
      <c r="F14" s="19"/>
      <c r="G14" s="2"/>
      <c r="H14" s="2"/>
      <c r="I14" s="2"/>
      <c r="J14" s="19"/>
      <c r="K14" s="2"/>
      <c r="L14" s="2">
        <f t="shared" si="0"/>
        <v>132.99</v>
      </c>
      <c r="M14" s="2"/>
      <c r="N14" s="19">
        <f t="shared" si="1"/>
        <v>0</v>
      </c>
      <c r="O14" s="11"/>
      <c r="P14" s="2">
        <f>--132.74</f>
        <v>132.74</v>
      </c>
      <c r="Q14" s="2"/>
      <c r="R14" s="19"/>
      <c r="S14" s="2"/>
      <c r="T14" s="2"/>
      <c r="U14" s="2"/>
      <c r="V14" s="19"/>
      <c r="W14" s="2"/>
      <c r="X14" s="2">
        <f t="shared" si="2"/>
        <v>132.74</v>
      </c>
      <c r="Y14" s="2"/>
      <c r="Z14" s="19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8</v>
      </c>
      <c r="C16" s="10"/>
      <c r="D16" s="4">
        <f>SUM(0)</f>
        <v>0</v>
      </c>
      <c r="E16" s="4"/>
      <c r="F16" s="12">
        <f>IF(D$12=0,0,D16/D$12)</f>
        <v>0</v>
      </c>
      <c r="G16" s="4"/>
      <c r="H16" s="4">
        <f>SUM(0)</f>
        <v>0</v>
      </c>
      <c r="I16" s="4"/>
      <c r="J16" s="12">
        <f>IF(H$12=0,0,H16/H$12)</f>
        <v>0</v>
      </c>
      <c r="K16" s="4"/>
      <c r="L16" s="4">
        <f>+D16-H16</f>
        <v>0</v>
      </c>
      <c r="M16" s="4"/>
      <c r="N16" s="12">
        <f>IF(H16=0,0,L16/H16)</f>
        <v>0</v>
      </c>
      <c r="O16" s="10"/>
      <c r="P16" s="4">
        <f>SUM(0)</f>
        <v>0</v>
      </c>
      <c r="Q16" s="4"/>
      <c r="R16" s="12">
        <f>IF(P$12=0,0,P16/P$12)</f>
        <v>0</v>
      </c>
      <c r="S16" s="4"/>
      <c r="T16" s="4">
        <f>SUM(0)</f>
        <v>0</v>
      </c>
      <c r="U16" s="4"/>
      <c r="V16" s="12">
        <f>IF(T$12=0,0,T16/T$12)</f>
        <v>0</v>
      </c>
      <c r="W16" s="4"/>
      <c r="X16" s="4">
        <f>+P16-T16</f>
        <v>0</v>
      </c>
      <c r="Y16" s="4"/>
      <c r="Z16" s="12">
        <f>IF(T16=0,0,X16/T16)</f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>
        <f>D12-D16</f>
        <v>48537.78</v>
      </c>
      <c r="E18" s="14"/>
      <c r="F18" s="22">
        <f>IF(D$12=0,0,D18/D$12)</f>
        <v>1</v>
      </c>
      <c r="G18" s="14"/>
      <c r="H18" s="20">
        <f>H12-H16</f>
        <v>0</v>
      </c>
      <c r="I18" s="14"/>
      <c r="J18" s="22">
        <f>IF(H$12=0,0,H18/H$12)</f>
        <v>0</v>
      </c>
      <c r="K18" s="16"/>
      <c r="L18" s="20">
        <f>+D18-H18</f>
        <v>48537.78</v>
      </c>
      <c r="M18" s="16"/>
      <c r="N18" s="22">
        <f>IF(H18=0,0,L18/H18)</f>
        <v>0</v>
      </c>
      <c r="O18" s="29"/>
      <c r="P18" s="20">
        <f>P12-P16</f>
        <v>58608.259999999995</v>
      </c>
      <c r="Q18" s="14"/>
      <c r="R18" s="22">
        <f>IF(P$12=0,0,P18/P$12)</f>
        <v>1</v>
      </c>
      <c r="S18" s="14"/>
      <c r="T18" s="20">
        <f>T12-T16</f>
        <v>0</v>
      </c>
      <c r="U18" s="14"/>
      <c r="V18" s="22">
        <f>IF(T$12=0,0,T18/T$12)</f>
        <v>0</v>
      </c>
      <c r="W18" s="16"/>
      <c r="X18" s="20">
        <f>+P18-T18</f>
        <v>58608.259999999995</v>
      </c>
      <c r="Y18" s="16"/>
      <c r="Z18" s="22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>
        <f>SUM(OSRRefD22x_0)</f>
        <v>30666.220000000005</v>
      </c>
      <c r="E20" s="21"/>
      <c r="F20" s="33">
        <f t="shared" ref="F20:F28" si="4">IF(D$12=0,0,D20/D$12)</f>
        <v>0.63180104240449408</v>
      </c>
      <c r="G20" s="21"/>
      <c r="H20" s="21">
        <f>SUM(OSRRefH22x_0)</f>
        <v>0</v>
      </c>
      <c r="I20" s="21"/>
      <c r="J20" s="33">
        <f t="shared" ref="J20:J28" si="5">IF(H$12=0,0,H20/H$12)</f>
        <v>0</v>
      </c>
      <c r="K20" s="4"/>
      <c r="L20" s="21">
        <f t="shared" ref="L20:L28" si="6">+D20-H20</f>
        <v>30666.220000000005</v>
      </c>
      <c r="M20" s="4"/>
      <c r="N20" s="33">
        <f t="shared" ref="N20:N28" si="7">IF(H20=0,0,L20/H20)</f>
        <v>0</v>
      </c>
      <c r="O20" s="10"/>
      <c r="P20" s="21">
        <f>SUM(OSRRefP22x_0)</f>
        <v>80268.94</v>
      </c>
      <c r="Q20" s="21"/>
      <c r="R20" s="33">
        <f t="shared" ref="R20:R28" si="8">IF(P$12=0,0,P20/P$12)</f>
        <v>1.3695840825166967</v>
      </c>
      <c r="S20" s="21"/>
      <c r="T20" s="21">
        <f>SUM(OSRRefT22x_0)</f>
        <v>0</v>
      </c>
      <c r="U20" s="21"/>
      <c r="V20" s="33">
        <f t="shared" ref="V20:V28" si="9">IF(T$12=0,0,T20/T$12)</f>
        <v>0</v>
      </c>
      <c r="W20" s="4"/>
      <c r="X20" s="21">
        <f t="shared" ref="X20:X28" si="10">+P20-T20</f>
        <v>80268.94</v>
      </c>
      <c r="Y20" s="4"/>
      <c r="Z20" s="33">
        <f t="shared" ref="Z20:Z28" si="11">IF(T20=0,0,X20/T20)</f>
        <v>0</v>
      </c>
    </row>
    <row r="21" spans="1:26" s="26" customFormat="1" outlineLevel="1" collapsed="1" x14ac:dyDescent="0.25">
      <c r="A21" s="27"/>
      <c r="B21" s="13" t="str">
        <f>CONCATENATE("     ","*Benefits                                         ")</f>
        <v xml:space="preserve">     *Benefits                                         </v>
      </c>
      <c r="C21" s="13"/>
      <c r="D21" s="1">
        <f>SUM(OSRRefD22_0x_0)</f>
        <v>6287.56</v>
      </c>
      <c r="E21" s="1"/>
      <c r="F21" s="5">
        <f t="shared" si="4"/>
        <v>0.12953950510303522</v>
      </c>
      <c r="G21" s="1"/>
      <c r="H21" s="1">
        <f>SUM(OSRRefH22_0x_0)</f>
        <v>0</v>
      </c>
      <c r="I21" s="1"/>
      <c r="J21" s="5">
        <f t="shared" si="5"/>
        <v>0</v>
      </c>
      <c r="K21" s="1"/>
      <c r="L21" s="1">
        <f t="shared" si="6"/>
        <v>6287.56</v>
      </c>
      <c r="M21" s="1"/>
      <c r="N21" s="5">
        <f t="shared" si="7"/>
        <v>0</v>
      </c>
      <c r="O21" s="13"/>
      <c r="P21" s="1">
        <f>SUM(OSRRefP22_0x_0)</f>
        <v>15057.520000000002</v>
      </c>
      <c r="Q21" s="1"/>
      <c r="R21" s="5">
        <f t="shared" si="8"/>
        <v>0.2569180521653433</v>
      </c>
      <c r="S21" s="1"/>
      <c r="T21" s="1">
        <f>SUM(OSRRefT22_0x_0)</f>
        <v>0</v>
      </c>
      <c r="U21" s="1"/>
      <c r="V21" s="5">
        <f t="shared" si="9"/>
        <v>0</v>
      </c>
      <c r="W21" s="1"/>
      <c r="X21" s="1">
        <f t="shared" si="10"/>
        <v>15057.520000000002</v>
      </c>
      <c r="Y21" s="1"/>
      <c r="Z21" s="5">
        <f t="shared" si="11"/>
        <v>0</v>
      </c>
    </row>
    <row r="22" spans="1:26" s="24" customFormat="1" hidden="1" outlineLevel="2" x14ac:dyDescent="0.25">
      <c r="A22" s="25"/>
      <c r="B22" s="11" t="str">
        <f>CONCATENATE("          ", "6111", " - ", "F.I.C.A.")</f>
        <v xml:space="preserve">          6111 - F.I.C.A.</v>
      </c>
      <c r="C22" s="11"/>
      <c r="D22" s="6">
        <v>1678</v>
      </c>
      <c r="E22" s="2"/>
      <c r="F22" s="7">
        <f t="shared" si="4"/>
        <v>3.4571008397994304E-2</v>
      </c>
      <c r="G22" s="2"/>
      <c r="H22" s="6"/>
      <c r="I22" s="2"/>
      <c r="J22" s="7">
        <f t="shared" si="5"/>
        <v>0</v>
      </c>
      <c r="K22" s="2"/>
      <c r="L22" s="6">
        <f t="shared" si="6"/>
        <v>1678</v>
      </c>
      <c r="M22" s="2"/>
      <c r="N22" s="7">
        <f t="shared" si="7"/>
        <v>0</v>
      </c>
      <c r="O22" s="11"/>
      <c r="P22" s="6">
        <v>5016.8500000000004</v>
      </c>
      <c r="Q22" s="2"/>
      <c r="R22" s="7">
        <f t="shared" si="8"/>
        <v>8.5599708983000025E-2</v>
      </c>
      <c r="S22" s="2"/>
      <c r="T22" s="6"/>
      <c r="U22" s="2"/>
      <c r="V22" s="7">
        <f t="shared" si="9"/>
        <v>0</v>
      </c>
      <c r="W22" s="2"/>
      <c r="X22" s="6">
        <f t="shared" si="10"/>
        <v>5016.8500000000004</v>
      </c>
      <c r="Y22" s="2"/>
      <c r="Z22" s="7">
        <f t="shared" si="11"/>
        <v>0</v>
      </c>
    </row>
    <row r="23" spans="1:26" s="24" customFormat="1" hidden="1" outlineLevel="2" x14ac:dyDescent="0.25">
      <c r="A23" s="25"/>
      <c r="B23" s="11" t="str">
        <f>CONCATENATE("          ", "6112", " - ", "COMPENSATION INSURANCE")</f>
        <v xml:space="preserve">          6112 - COMPENSATION INSURANCE</v>
      </c>
      <c r="C23" s="11"/>
      <c r="D23" s="6">
        <v>1054.42</v>
      </c>
      <c r="E23" s="2"/>
      <c r="F23" s="7">
        <f t="shared" si="4"/>
        <v>2.1723696469018568E-2</v>
      </c>
      <c r="G23" s="2"/>
      <c r="H23" s="6"/>
      <c r="I23" s="2"/>
      <c r="J23" s="7">
        <f t="shared" si="5"/>
        <v>0</v>
      </c>
      <c r="K23" s="2"/>
      <c r="L23" s="6">
        <f t="shared" si="6"/>
        <v>1054.42</v>
      </c>
      <c r="M23" s="2"/>
      <c r="N23" s="7">
        <f t="shared" si="7"/>
        <v>0</v>
      </c>
      <c r="O23" s="11"/>
      <c r="P23" s="6">
        <v>2597.27</v>
      </c>
      <c r="Q23" s="2"/>
      <c r="R23" s="7">
        <f t="shared" si="8"/>
        <v>4.4315767094945321E-2</v>
      </c>
      <c r="S23" s="2"/>
      <c r="T23" s="6"/>
      <c r="U23" s="2"/>
      <c r="V23" s="7">
        <f t="shared" si="9"/>
        <v>0</v>
      </c>
      <c r="W23" s="2"/>
      <c r="X23" s="6">
        <f t="shared" si="10"/>
        <v>2597.27</v>
      </c>
      <c r="Y23" s="2"/>
      <c r="Z23" s="7">
        <f t="shared" si="11"/>
        <v>0</v>
      </c>
    </row>
    <row r="24" spans="1:26" s="24" customFormat="1" hidden="1" outlineLevel="2" x14ac:dyDescent="0.25">
      <c r="A24" s="25"/>
      <c r="B24" s="11" t="str">
        <f>CONCATENATE("          ", "6113", " - ", "GROUP INSURANCE")</f>
        <v xml:space="preserve">          6113 - GROUP INSURANCE</v>
      </c>
      <c r="C24" s="11"/>
      <c r="D24" s="6">
        <v>134.30000000000001</v>
      </c>
      <c r="E24" s="2"/>
      <c r="F24" s="7">
        <f t="shared" si="4"/>
        <v>2.7669168223186146E-3</v>
      </c>
      <c r="G24" s="2"/>
      <c r="H24" s="6"/>
      <c r="I24" s="2"/>
      <c r="J24" s="7">
        <f t="shared" si="5"/>
        <v>0</v>
      </c>
      <c r="K24" s="2"/>
      <c r="L24" s="6">
        <f t="shared" si="6"/>
        <v>134.30000000000001</v>
      </c>
      <c r="M24" s="2"/>
      <c r="N24" s="7">
        <f t="shared" si="7"/>
        <v>0</v>
      </c>
      <c r="O24" s="11"/>
      <c r="P24" s="6">
        <v>268.60000000000002</v>
      </c>
      <c r="Q24" s="2"/>
      <c r="R24" s="7">
        <f t="shared" si="8"/>
        <v>4.5829717517633191E-3</v>
      </c>
      <c r="S24" s="2"/>
      <c r="T24" s="6"/>
      <c r="U24" s="2"/>
      <c r="V24" s="7">
        <f t="shared" si="9"/>
        <v>0</v>
      </c>
      <c r="W24" s="2"/>
      <c r="X24" s="6">
        <f t="shared" si="10"/>
        <v>268.60000000000002</v>
      </c>
      <c r="Y24" s="2"/>
      <c r="Z24" s="7">
        <f t="shared" si="11"/>
        <v>0</v>
      </c>
    </row>
    <row r="25" spans="1:26" s="24" customFormat="1" hidden="1" outlineLevel="2" x14ac:dyDescent="0.25">
      <c r="A25" s="25"/>
      <c r="B25" s="11" t="str">
        <f>CONCATENATE("          ", "6114", " - ", "STATE UNEMPLOYMENT INSURANCE")</f>
        <v xml:space="preserve">          6114 - STATE UNEMPLOYMENT INSURANCE</v>
      </c>
      <c r="C25" s="11"/>
      <c r="D25" s="6">
        <v>70.66</v>
      </c>
      <c r="E25" s="2"/>
      <c r="F25" s="7">
        <f t="shared" si="4"/>
        <v>1.4557732141849092E-3</v>
      </c>
      <c r="G25" s="2"/>
      <c r="H25" s="6"/>
      <c r="I25" s="2"/>
      <c r="J25" s="7">
        <f t="shared" si="5"/>
        <v>0</v>
      </c>
      <c r="K25" s="2"/>
      <c r="L25" s="6">
        <f t="shared" si="6"/>
        <v>70.66</v>
      </c>
      <c r="M25" s="2"/>
      <c r="N25" s="7">
        <f t="shared" si="7"/>
        <v>0</v>
      </c>
      <c r="O25" s="11"/>
      <c r="P25" s="6">
        <v>174.05</v>
      </c>
      <c r="Q25" s="2"/>
      <c r="R25" s="7">
        <f t="shared" si="8"/>
        <v>2.9697179203067967E-3</v>
      </c>
      <c r="S25" s="2"/>
      <c r="T25" s="6"/>
      <c r="U25" s="2"/>
      <c r="V25" s="7">
        <f t="shared" si="9"/>
        <v>0</v>
      </c>
      <c r="W25" s="2"/>
      <c r="X25" s="6">
        <f t="shared" si="10"/>
        <v>174.05</v>
      </c>
      <c r="Y25" s="2"/>
      <c r="Z25" s="7">
        <f t="shared" si="11"/>
        <v>0</v>
      </c>
    </row>
    <row r="26" spans="1:26" s="24" customFormat="1" hidden="1" outlineLevel="2" x14ac:dyDescent="0.25">
      <c r="A26" s="25"/>
      <c r="B26" s="11" t="str">
        <f>CONCATENATE("          ", "6115", " - ", "P.E.R.S.")</f>
        <v xml:space="preserve">          6115 - P.E.R.S.</v>
      </c>
      <c r="C26" s="11"/>
      <c r="D26" s="6">
        <v>1491.42</v>
      </c>
      <c r="E26" s="2"/>
      <c r="F26" s="7">
        <f t="shared" si="4"/>
        <v>3.0726992458245929E-2</v>
      </c>
      <c r="G26" s="2"/>
      <c r="H26" s="6"/>
      <c r="I26" s="2"/>
      <c r="J26" s="7">
        <f t="shared" si="5"/>
        <v>0</v>
      </c>
      <c r="K26" s="2"/>
      <c r="L26" s="6">
        <f t="shared" si="6"/>
        <v>1491.42</v>
      </c>
      <c r="M26" s="2"/>
      <c r="N26" s="7">
        <f t="shared" si="7"/>
        <v>0</v>
      </c>
      <c r="O26" s="11"/>
      <c r="P26" s="6">
        <v>2353.85</v>
      </c>
      <c r="Q26" s="2"/>
      <c r="R26" s="7">
        <f t="shared" si="8"/>
        <v>4.0162427616858107E-2</v>
      </c>
      <c r="S26" s="2"/>
      <c r="T26" s="6"/>
      <c r="U26" s="2"/>
      <c r="V26" s="7">
        <f t="shared" si="9"/>
        <v>0</v>
      </c>
      <c r="W26" s="2"/>
      <c r="X26" s="6">
        <f t="shared" si="10"/>
        <v>2353.85</v>
      </c>
      <c r="Y26" s="2"/>
      <c r="Z26" s="7">
        <f t="shared" si="11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1005.42</v>
      </c>
      <c r="E27" s="2"/>
      <c r="F27" s="7">
        <f t="shared" si="4"/>
        <v>2.071417357777797E-2</v>
      </c>
      <c r="G27" s="2"/>
      <c r="H27" s="6"/>
      <c r="I27" s="2"/>
      <c r="J27" s="7">
        <f t="shared" si="5"/>
        <v>0</v>
      </c>
      <c r="K27" s="2"/>
      <c r="L27" s="6">
        <f t="shared" si="6"/>
        <v>1005.42</v>
      </c>
      <c r="M27" s="2"/>
      <c r="N27" s="7">
        <f t="shared" si="7"/>
        <v>0</v>
      </c>
      <c r="O27" s="11"/>
      <c r="P27" s="6">
        <v>2513.5500000000002</v>
      </c>
      <c r="Q27" s="2"/>
      <c r="R27" s="7">
        <f t="shared" si="8"/>
        <v>4.2887299503517086E-2</v>
      </c>
      <c r="S27" s="2"/>
      <c r="T27" s="6"/>
      <c r="U27" s="2"/>
      <c r="V27" s="7">
        <f t="shared" si="9"/>
        <v>0</v>
      </c>
      <c r="W27" s="2"/>
      <c r="X27" s="6">
        <f t="shared" si="10"/>
        <v>2513.5500000000002</v>
      </c>
      <c r="Y27" s="2"/>
      <c r="Z27" s="7">
        <f t="shared" si="11"/>
        <v>0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853.34</v>
      </c>
      <c r="E28" s="2"/>
      <c r="F28" s="7">
        <f t="shared" si="4"/>
        <v>1.7580944163494913E-2</v>
      </c>
      <c r="G28" s="2"/>
      <c r="H28" s="6"/>
      <c r="I28" s="2"/>
      <c r="J28" s="7">
        <f t="shared" si="5"/>
        <v>0</v>
      </c>
      <c r="K28" s="2"/>
      <c r="L28" s="6">
        <f t="shared" si="6"/>
        <v>853.34</v>
      </c>
      <c r="M28" s="2"/>
      <c r="N28" s="7">
        <f t="shared" si="7"/>
        <v>0</v>
      </c>
      <c r="O28" s="11"/>
      <c r="P28" s="6">
        <v>2133.35</v>
      </c>
      <c r="Q28" s="2"/>
      <c r="R28" s="7">
        <f t="shared" si="8"/>
        <v>3.6400159294952626E-2</v>
      </c>
      <c r="S28" s="2"/>
      <c r="T28" s="6"/>
      <c r="U28" s="2"/>
      <c r="V28" s="7">
        <f t="shared" si="9"/>
        <v>0</v>
      </c>
      <c r="W28" s="2"/>
      <c r="X28" s="6">
        <f t="shared" si="10"/>
        <v>2133.35</v>
      </c>
      <c r="Y28" s="2"/>
      <c r="Z28" s="7">
        <f t="shared" si="11"/>
        <v>0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24176.070000000003</v>
      </c>
      <c r="E29" s="1"/>
      <c r="F29" s="5">
        <f t="shared" ref="F29:F33" si="12">IF(D$12=0,0,D29/D$12)</f>
        <v>0.49808767520887859</v>
      </c>
      <c r="G29" s="1"/>
      <c r="H29" s="1">
        <f>SUM(OSRRefH22_1x_0)</f>
        <v>0</v>
      </c>
      <c r="I29" s="1"/>
      <c r="J29" s="5">
        <f t="shared" ref="J29:J33" si="13">IF(H$12=0,0,H29/H$12)</f>
        <v>0</v>
      </c>
      <c r="K29" s="1"/>
      <c r="L29" s="1">
        <f t="shared" ref="L29:L33" si="14">+D29-H29</f>
        <v>24176.070000000003</v>
      </c>
      <c r="M29" s="1"/>
      <c r="N29" s="5">
        <f t="shared" ref="N29:N33" si="15">IF(H29=0,0,L29/H29)</f>
        <v>0</v>
      </c>
      <c r="O29" s="13"/>
      <c r="P29" s="1">
        <f>SUM(OSRRefP22_1x_0)</f>
        <v>63277.640000000007</v>
      </c>
      <c r="Q29" s="1"/>
      <c r="R29" s="5">
        <f t="shared" ref="R29:R33" si="16">IF(P$12=0,0,P29/P$12)</f>
        <v>1.0796710224804491</v>
      </c>
      <c r="S29" s="1"/>
      <c r="T29" s="1">
        <f>SUM(OSRRefT22_1x_0)</f>
        <v>0</v>
      </c>
      <c r="U29" s="1"/>
      <c r="V29" s="5">
        <f t="shared" ref="V29:V33" si="17">IF(T$12=0,0,T29/T$12)</f>
        <v>0</v>
      </c>
      <c r="W29" s="1"/>
      <c r="X29" s="1">
        <f t="shared" ref="X29:X33" si="18">+P29-T29</f>
        <v>63277.640000000007</v>
      </c>
      <c r="Y29" s="1"/>
      <c r="Z29" s="5">
        <f t="shared" ref="Z29:Z33" si="19">IF(T29=0,0,X29/T29)</f>
        <v>0</v>
      </c>
    </row>
    <row r="30" spans="1:26" s="24" customFormat="1" hidden="1" outlineLevel="2" x14ac:dyDescent="0.25">
      <c r="A30" s="25"/>
      <c r="B30" s="11" t="str">
        <f>CONCATENATE("          ", "6002", " - ", "STAFF SALARIES")</f>
        <v xml:space="preserve">          6002 - STAFF SALARIES</v>
      </c>
      <c r="C30" s="11"/>
      <c r="D30" s="6">
        <v>17087.63</v>
      </c>
      <c r="E30" s="2"/>
      <c r="F30" s="7">
        <f t="shared" si="12"/>
        <v>0.35204803351121544</v>
      </c>
      <c r="G30" s="2"/>
      <c r="H30" s="6"/>
      <c r="I30" s="2"/>
      <c r="J30" s="7">
        <f t="shared" si="13"/>
        <v>0</v>
      </c>
      <c r="K30" s="2"/>
      <c r="L30" s="6">
        <f t="shared" si="14"/>
        <v>17087.63</v>
      </c>
      <c r="M30" s="2"/>
      <c r="N30" s="7">
        <f t="shared" si="15"/>
        <v>0</v>
      </c>
      <c r="O30" s="11"/>
      <c r="P30" s="6">
        <v>43420.270000000004</v>
      </c>
      <c r="Q30" s="2"/>
      <c r="R30" s="7">
        <f t="shared" si="16"/>
        <v>0.74085581110921916</v>
      </c>
      <c r="S30" s="2"/>
      <c r="T30" s="6"/>
      <c r="U30" s="2"/>
      <c r="V30" s="7">
        <f t="shared" si="17"/>
        <v>0</v>
      </c>
      <c r="W30" s="2"/>
      <c r="X30" s="6">
        <f t="shared" si="18"/>
        <v>43420.270000000004</v>
      </c>
      <c r="Y30" s="2"/>
      <c r="Z30" s="7">
        <f t="shared" si="19"/>
        <v>0</v>
      </c>
    </row>
    <row r="31" spans="1:26" s="24" customFormat="1" hidden="1" outlineLevel="2" x14ac:dyDescent="0.25">
      <c r="A31" s="25"/>
      <c r="B31" s="11" t="str">
        <f>CONCATENATE("          ", "6005", " - ", "TEMPORARY WAGES-HOURLY")</f>
        <v xml:space="preserve">          6005 - TEMPORARY WAGES-HOURLY</v>
      </c>
      <c r="C31" s="11"/>
      <c r="D31" s="6">
        <v>3164.2</v>
      </c>
      <c r="E31" s="2"/>
      <c r="F31" s="7">
        <f t="shared" si="12"/>
        <v>6.5190455764561131E-2</v>
      </c>
      <c r="G31" s="2"/>
      <c r="H31" s="6"/>
      <c r="I31" s="2"/>
      <c r="J31" s="7">
        <f t="shared" si="13"/>
        <v>0</v>
      </c>
      <c r="K31" s="2"/>
      <c r="L31" s="6">
        <f t="shared" si="14"/>
        <v>3164.2</v>
      </c>
      <c r="M31" s="2"/>
      <c r="N31" s="7">
        <f t="shared" si="15"/>
        <v>0</v>
      </c>
      <c r="O31" s="11"/>
      <c r="P31" s="6">
        <v>6565.79</v>
      </c>
      <c r="Q31" s="2"/>
      <c r="R31" s="7">
        <f t="shared" si="16"/>
        <v>0.11202840691738673</v>
      </c>
      <c r="S31" s="2"/>
      <c r="T31" s="6"/>
      <c r="U31" s="2"/>
      <c r="V31" s="7">
        <f t="shared" si="17"/>
        <v>0</v>
      </c>
      <c r="W31" s="2"/>
      <c r="X31" s="6">
        <f t="shared" si="18"/>
        <v>6565.79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"6007", " - ", "STUDENT HOURLY")</f>
        <v xml:space="preserve">          6007 - STUDENT HOURLY</v>
      </c>
      <c r="C32" s="11"/>
      <c r="D32" s="6">
        <v>3200.95</v>
      </c>
      <c r="E32" s="2"/>
      <c r="F32" s="7">
        <f t="shared" si="12"/>
        <v>6.5947597932991583E-2</v>
      </c>
      <c r="G32" s="2"/>
      <c r="H32" s="6"/>
      <c r="I32" s="2"/>
      <c r="J32" s="7">
        <f t="shared" si="13"/>
        <v>0</v>
      </c>
      <c r="K32" s="2"/>
      <c r="L32" s="6">
        <f t="shared" si="14"/>
        <v>3200.95</v>
      </c>
      <c r="M32" s="2"/>
      <c r="N32" s="7">
        <f t="shared" si="15"/>
        <v>0</v>
      </c>
      <c r="O32" s="11"/>
      <c r="P32" s="6">
        <v>10764.54</v>
      </c>
      <c r="Q32" s="2"/>
      <c r="R32" s="7">
        <f t="shared" si="16"/>
        <v>0.18366933261625581</v>
      </c>
      <c r="S32" s="2"/>
      <c r="T32" s="6"/>
      <c r="U32" s="2"/>
      <c r="V32" s="7">
        <f t="shared" si="17"/>
        <v>0</v>
      </c>
      <c r="W32" s="2"/>
      <c r="X32" s="6">
        <f t="shared" si="18"/>
        <v>10764.54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"6008", " - ", "STUDENT HOURLY-FICA EXEMPT")</f>
        <v xml:space="preserve">          6008 - STUDENT HOURLY-FICA EXEMPT</v>
      </c>
      <c r="C33" s="11"/>
      <c r="D33" s="6">
        <v>723.29</v>
      </c>
      <c r="E33" s="2"/>
      <c r="F33" s="7">
        <f t="shared" si="12"/>
        <v>1.4901588000110429E-2</v>
      </c>
      <c r="G33" s="2"/>
      <c r="H33" s="6"/>
      <c r="I33" s="2"/>
      <c r="J33" s="7">
        <f t="shared" si="13"/>
        <v>0</v>
      </c>
      <c r="K33" s="2"/>
      <c r="L33" s="6">
        <f t="shared" si="14"/>
        <v>723.29</v>
      </c>
      <c r="M33" s="2"/>
      <c r="N33" s="7">
        <f t="shared" si="15"/>
        <v>0</v>
      </c>
      <c r="O33" s="11"/>
      <c r="P33" s="6">
        <v>2527.04</v>
      </c>
      <c r="Q33" s="2"/>
      <c r="R33" s="7">
        <f t="shared" si="16"/>
        <v>4.31174718375874E-2</v>
      </c>
      <c r="S33" s="2"/>
      <c r="T33" s="6"/>
      <c r="U33" s="2"/>
      <c r="V33" s="7">
        <f t="shared" si="17"/>
        <v>0</v>
      </c>
      <c r="W33" s="2"/>
      <c r="X33" s="6">
        <f t="shared" si="18"/>
        <v>2527.04</v>
      </c>
      <c r="Y33" s="2"/>
      <c r="Z33" s="7">
        <f t="shared" si="19"/>
        <v>0</v>
      </c>
    </row>
    <row r="34" spans="1:26" s="26" customFormat="1" outlineLevel="1" collapsed="1" x14ac:dyDescent="0.25">
      <c r="A34" s="27"/>
      <c r="B34" s="13" t="str">
        <f>CONCATENATE("     ","Bank/card Fees                                    ")</f>
        <v xml:space="preserve">     Bank/card Fees                                    </v>
      </c>
      <c r="C34" s="13"/>
      <c r="D34" s="1">
        <f>SUM(OSRRefD22_2x_0)</f>
        <v>202.59</v>
      </c>
      <c r="E34" s="1"/>
      <c r="F34" s="5">
        <f t="shared" ref="F34:F39" si="20">IF(D$12=0,0,D34/D$12)</f>
        <v>4.1738620925802538E-3</v>
      </c>
      <c r="G34" s="1"/>
      <c r="H34" s="1">
        <f>SUM(OSRRefH22_2x_0)</f>
        <v>0</v>
      </c>
      <c r="I34" s="1"/>
      <c r="J34" s="5">
        <f t="shared" ref="J34:J39" si="21">IF(H$12=0,0,H34/H$12)</f>
        <v>0</v>
      </c>
      <c r="K34" s="1"/>
      <c r="L34" s="1">
        <f t="shared" ref="L34:L39" si="22">+D34-H34</f>
        <v>202.59</v>
      </c>
      <c r="M34" s="1"/>
      <c r="N34" s="5">
        <f t="shared" ref="N34:N39" si="23">IF(H34=0,0,L34/H34)</f>
        <v>0</v>
      </c>
      <c r="O34" s="13"/>
      <c r="P34" s="1">
        <f>SUM(OSRRefP22_2x_0)</f>
        <v>202.59</v>
      </c>
      <c r="Q34" s="1"/>
      <c r="R34" s="5">
        <f t="shared" ref="R34:R39" si="24">IF(P$12=0,0,P34/P$12)</f>
        <v>3.4566799969833607E-3</v>
      </c>
      <c r="S34" s="1"/>
      <c r="T34" s="1">
        <f>SUM(OSRRefT22_2x_0)</f>
        <v>0</v>
      </c>
      <c r="U34" s="1"/>
      <c r="V34" s="5">
        <f t="shared" ref="V34:V39" si="25">IF(T$12=0,0,T34/T$12)</f>
        <v>0</v>
      </c>
      <c r="W34" s="1"/>
      <c r="X34" s="1">
        <f t="shared" ref="X34:X39" si="26">+P34-T34</f>
        <v>202.59</v>
      </c>
      <c r="Y34" s="1"/>
      <c r="Z34" s="5">
        <f t="shared" ref="Z34:Z39" si="27">IF(T34=0,0,X34/T34)</f>
        <v>0</v>
      </c>
    </row>
    <row r="35" spans="1:26" s="24" customFormat="1" hidden="1" outlineLevel="2" x14ac:dyDescent="0.25">
      <c r="A35" s="25"/>
      <c r="B35" s="11" t="str">
        <f>CONCATENATE("          ", "6381", " - ", "BANK/CREDIT CARD FEES")</f>
        <v xml:space="preserve">          6381 - BANK/CREDIT CARD FEES</v>
      </c>
      <c r="C35" s="11"/>
      <c r="D35" s="6">
        <v>202.59</v>
      </c>
      <c r="E35" s="2"/>
      <c r="F35" s="7">
        <f t="shared" si="20"/>
        <v>4.1738620925802538E-3</v>
      </c>
      <c r="G35" s="2"/>
      <c r="H35" s="6"/>
      <c r="I35" s="2"/>
      <c r="J35" s="7">
        <f t="shared" si="21"/>
        <v>0</v>
      </c>
      <c r="K35" s="2"/>
      <c r="L35" s="6">
        <f t="shared" si="22"/>
        <v>202.59</v>
      </c>
      <c r="M35" s="2"/>
      <c r="N35" s="7">
        <f t="shared" si="23"/>
        <v>0</v>
      </c>
      <c r="O35" s="11"/>
      <c r="P35" s="6">
        <v>202.59</v>
      </c>
      <c r="Q35" s="2"/>
      <c r="R35" s="7">
        <f t="shared" si="24"/>
        <v>3.4566799969833607E-3</v>
      </c>
      <c r="S35" s="2"/>
      <c r="T35" s="6"/>
      <c r="U35" s="2"/>
      <c r="V35" s="7">
        <f t="shared" si="25"/>
        <v>0</v>
      </c>
      <c r="W35" s="2"/>
      <c r="X35" s="6">
        <f t="shared" si="26"/>
        <v>202.59</v>
      </c>
      <c r="Y35" s="2"/>
      <c r="Z35" s="7">
        <f t="shared" si="27"/>
        <v>0</v>
      </c>
    </row>
    <row r="36" spans="1:26" s="26" customFormat="1" outlineLevel="1" collapsed="1" x14ac:dyDescent="0.25">
      <c r="A36" s="27"/>
      <c r="B36" s="13" t="str">
        <f>CONCATENATE("     ","Repair and Maintenance                            ")</f>
        <v xml:space="preserve">     Repair and Maintenance                            </v>
      </c>
      <c r="C36" s="13"/>
      <c r="D36" s="1">
        <f>SUM(OSRRefD22_3x_0)</f>
        <v>0</v>
      </c>
      <c r="E36" s="1"/>
      <c r="F36" s="5">
        <f t="shared" si="20"/>
        <v>0</v>
      </c>
      <c r="G36" s="1"/>
      <c r="H36" s="1">
        <f>SUM(OSRRefH22_3x_0)</f>
        <v>0</v>
      </c>
      <c r="I36" s="1"/>
      <c r="J36" s="5">
        <f t="shared" si="21"/>
        <v>0</v>
      </c>
      <c r="K36" s="1"/>
      <c r="L36" s="1">
        <f t="shared" si="22"/>
        <v>0</v>
      </c>
      <c r="M36" s="1"/>
      <c r="N36" s="5">
        <f t="shared" si="23"/>
        <v>0</v>
      </c>
      <c r="O36" s="13"/>
      <c r="P36" s="1">
        <f>SUM(OSRRefP22_3x_0)</f>
        <v>1151.21</v>
      </c>
      <c r="Q36" s="1"/>
      <c r="R36" s="5">
        <f t="shared" si="24"/>
        <v>1.9642453128620438E-2</v>
      </c>
      <c r="S36" s="1"/>
      <c r="T36" s="1">
        <f>SUM(OSRRefT22_3x_0)</f>
        <v>0</v>
      </c>
      <c r="U36" s="1"/>
      <c r="V36" s="5">
        <f t="shared" si="25"/>
        <v>0</v>
      </c>
      <c r="W36" s="1"/>
      <c r="X36" s="1">
        <f t="shared" si="26"/>
        <v>1151.21</v>
      </c>
      <c r="Y36" s="1"/>
      <c r="Z36" s="5">
        <f t="shared" si="27"/>
        <v>0</v>
      </c>
    </row>
    <row r="37" spans="1:26" s="24" customFormat="1" hidden="1" outlineLevel="2" x14ac:dyDescent="0.25">
      <c r="A37" s="25"/>
      <c r="B37" s="11" t="str">
        <f>CONCATENATE("          ", "6375", " - ", "OUTSIDE REPAIRS &amp; MAINTENANCE")</f>
        <v xml:space="preserve">          6375 - OUTSIDE REPAIRS &amp; MAINTENANCE</v>
      </c>
      <c r="C37" s="11"/>
      <c r="D37" s="6"/>
      <c r="E37" s="2"/>
      <c r="F37" s="7">
        <f t="shared" si="20"/>
        <v>0</v>
      </c>
      <c r="G37" s="2"/>
      <c r="H37" s="6"/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>
        <v>1151.21</v>
      </c>
      <c r="Q37" s="2"/>
      <c r="R37" s="7">
        <f t="shared" si="24"/>
        <v>1.9642453128620438E-2</v>
      </c>
      <c r="S37" s="2"/>
      <c r="T37" s="6"/>
      <c r="U37" s="2"/>
      <c r="V37" s="7">
        <f t="shared" si="25"/>
        <v>0</v>
      </c>
      <c r="W37" s="2"/>
      <c r="X37" s="6">
        <f t="shared" si="26"/>
        <v>1151.21</v>
      </c>
      <c r="Y37" s="2"/>
      <c r="Z37" s="7">
        <f t="shared" si="27"/>
        <v>0</v>
      </c>
    </row>
    <row r="38" spans="1:26" s="26" customFormat="1" outlineLevel="1" collapsed="1" x14ac:dyDescent="0.25">
      <c r="A38" s="27"/>
      <c r="B38" s="13" t="str">
        <f>CONCATENATE("     ","Supplies                                          ")</f>
        <v xml:space="preserve">     Supplies                                          </v>
      </c>
      <c r="C38" s="13"/>
      <c r="D38" s="1">
        <f>SUM(OSRRefD22_4x_0)</f>
        <v>0</v>
      </c>
      <c r="E38" s="1"/>
      <c r="F38" s="5">
        <f t="shared" si="20"/>
        <v>0</v>
      </c>
      <c r="G38" s="1"/>
      <c r="H38" s="1">
        <f>SUM(OSRRefH22_4x_0)</f>
        <v>0</v>
      </c>
      <c r="I38" s="1"/>
      <c r="J38" s="5">
        <f t="shared" si="21"/>
        <v>0</v>
      </c>
      <c r="K38" s="1"/>
      <c r="L38" s="1">
        <f t="shared" si="22"/>
        <v>0</v>
      </c>
      <c r="M38" s="1"/>
      <c r="N38" s="5">
        <f t="shared" si="23"/>
        <v>0</v>
      </c>
      <c r="O38" s="13"/>
      <c r="P38" s="1">
        <f>SUM(OSRRefP22_4x_0)</f>
        <v>579.98</v>
      </c>
      <c r="Q38" s="1"/>
      <c r="R38" s="5">
        <f t="shared" si="24"/>
        <v>9.8958747453004071E-3</v>
      </c>
      <c r="S38" s="1"/>
      <c r="T38" s="1">
        <f>SUM(OSRRefT22_4x_0)</f>
        <v>0</v>
      </c>
      <c r="U38" s="1"/>
      <c r="V38" s="5">
        <f t="shared" si="25"/>
        <v>0</v>
      </c>
      <c r="W38" s="1"/>
      <c r="X38" s="1">
        <f t="shared" si="26"/>
        <v>579.98</v>
      </c>
      <c r="Y38" s="1"/>
      <c r="Z38" s="5">
        <f t="shared" si="27"/>
        <v>0</v>
      </c>
    </row>
    <row r="39" spans="1:26" s="24" customFormat="1" hidden="1" outlineLevel="2" x14ac:dyDescent="0.25">
      <c r="A39" s="25"/>
      <c r="B39" s="11" t="str">
        <f>CONCATENATE("          ", "6241", " - ", "OFFICE EXPENSE")</f>
        <v xml:space="preserve">          6241 - OFFICE EXPENSE</v>
      </c>
      <c r="C39" s="11"/>
      <c r="D39" s="6"/>
      <c r="E39" s="2"/>
      <c r="F39" s="7">
        <f t="shared" si="20"/>
        <v>0</v>
      </c>
      <c r="G39" s="2"/>
      <c r="H39" s="6"/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>
        <v>579.98</v>
      </c>
      <c r="Q39" s="2"/>
      <c r="R39" s="7">
        <f t="shared" si="24"/>
        <v>9.8958747453004071E-3</v>
      </c>
      <c r="S39" s="2"/>
      <c r="T39" s="6"/>
      <c r="U39" s="2"/>
      <c r="V39" s="7">
        <f t="shared" si="25"/>
        <v>0</v>
      </c>
      <c r="W39" s="2"/>
      <c r="X39" s="6">
        <f t="shared" si="26"/>
        <v>579.98</v>
      </c>
      <c r="Y39" s="2"/>
      <c r="Z39" s="7">
        <f t="shared" si="27"/>
        <v>0</v>
      </c>
    </row>
    <row r="40" spans="1:26" s="59" customFormat="1" x14ac:dyDescent="0.25">
      <c r="A40" s="36"/>
      <c r="B40" s="36"/>
      <c r="C40" s="36"/>
      <c r="D40" s="1"/>
      <c r="E40" s="1"/>
      <c r="F40" s="5"/>
      <c r="G40" s="1"/>
      <c r="H40" s="1"/>
      <c r="I40" s="1"/>
      <c r="J40" s="5"/>
      <c r="K40" s="1"/>
      <c r="L40" s="1"/>
      <c r="M40" s="1"/>
      <c r="N40" s="5"/>
      <c r="O40" s="36"/>
      <c r="P40" s="1"/>
      <c r="Q40" s="1"/>
      <c r="R40" s="5"/>
      <c r="S40" s="1"/>
      <c r="T40" s="1"/>
      <c r="U40" s="1"/>
      <c r="V40" s="5"/>
      <c r="W40" s="1"/>
      <c r="X40" s="1"/>
      <c r="Y40" s="1"/>
      <c r="Z40" s="5"/>
    </row>
    <row r="41" spans="1:26" s="23" customFormat="1" x14ac:dyDescent="0.25">
      <c r="A41" s="10"/>
      <c r="B41" s="29" t="s">
        <v>0</v>
      </c>
      <c r="C41" s="10"/>
      <c r="D41" s="4">
        <f>SUM(0)</f>
        <v>0</v>
      </c>
      <c r="E41" s="4"/>
      <c r="F41" s="12">
        <f>IF(D$12=0,0,D41/D$12)</f>
        <v>0</v>
      </c>
      <c r="G41" s="4"/>
      <c r="H41" s="4">
        <f>SUM(0)</f>
        <v>0</v>
      </c>
      <c r="I41" s="4"/>
      <c r="J41" s="12">
        <f>IF(H$12=0,0,H41/H$12)</f>
        <v>0</v>
      </c>
      <c r="K41" s="4"/>
      <c r="L41" s="4">
        <f>+D41-H41</f>
        <v>0</v>
      </c>
      <c r="M41" s="4"/>
      <c r="N41" s="12">
        <f>IF(H41=0,0,L41/H41)</f>
        <v>0</v>
      </c>
      <c r="O41" s="10"/>
      <c r="P41" s="4">
        <f>SUM(0)</f>
        <v>0</v>
      </c>
      <c r="Q41" s="4"/>
      <c r="R41" s="12">
        <f>IF(P$12=0,0,P41/P$12)</f>
        <v>0</v>
      </c>
      <c r="S41" s="4"/>
      <c r="T41" s="4">
        <f>SUM(0)</f>
        <v>0</v>
      </c>
      <c r="U41" s="4"/>
      <c r="V41" s="12">
        <f>IF(T$12=0,0,T41/T$12)</f>
        <v>0</v>
      </c>
      <c r="W41" s="4"/>
      <c r="X41" s="4">
        <f>+P41-T41</f>
        <v>0</v>
      </c>
      <c r="Y41" s="4"/>
      <c r="Z41" s="12">
        <f>IF(T41=0,0,X41/T41)</f>
        <v>0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10"/>
      <c r="B43" s="28" t="s">
        <v>3</v>
      </c>
      <c r="C43" s="28"/>
      <c r="D43" s="20">
        <f>+D18-D20+D41</f>
        <v>17871.559999999994</v>
      </c>
      <c r="E43" s="14"/>
      <c r="F43" s="22">
        <f>IF(D$12=0,0,D43/D$12)</f>
        <v>0.36819895759550592</v>
      </c>
      <c r="G43" s="14"/>
      <c r="H43" s="20">
        <f>+H18-H20+H41</f>
        <v>0</v>
      </c>
      <c r="I43" s="14"/>
      <c r="J43" s="22">
        <f>IF(H$12=0,0,H43/H$12)</f>
        <v>0</v>
      </c>
      <c r="K43" s="16"/>
      <c r="L43" s="20">
        <f>+D43-H43</f>
        <v>17871.559999999994</v>
      </c>
      <c r="M43" s="16"/>
      <c r="N43" s="22">
        <f>IF(H43=0,0,L43/H43)</f>
        <v>0</v>
      </c>
      <c r="O43" s="29"/>
      <c r="P43" s="20">
        <f>+P18-P20+P41</f>
        <v>-21660.680000000008</v>
      </c>
      <c r="Q43" s="14"/>
      <c r="R43" s="22">
        <f>IF(P$12=0,0,P43/P$12)</f>
        <v>-0.36958408251669661</v>
      </c>
      <c r="S43" s="14"/>
      <c r="T43" s="20">
        <f>+T18-T20+T41</f>
        <v>0</v>
      </c>
      <c r="U43" s="14"/>
      <c r="V43" s="22">
        <f>IF(T$12=0,0,T43/T$12)</f>
        <v>0</v>
      </c>
      <c r="W43" s="16"/>
      <c r="X43" s="20">
        <f>+P43-T43</f>
        <v>-21660.680000000008</v>
      </c>
      <c r="Y43" s="16"/>
      <c r="Z43" s="22">
        <f>IF(T43=0,0,X43/T43)</f>
        <v>0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52"/>
      <c r="B45" s="10" t="s">
        <v>14</v>
      </c>
      <c r="C45" s="10"/>
      <c r="D45" s="4">
        <v>5192.5</v>
      </c>
      <c r="E45" s="4"/>
      <c r="F45" s="12">
        <f>IF(D$12=0,0,D45/D$12)</f>
        <v>0.10697852270952647</v>
      </c>
      <c r="G45" s="4"/>
      <c r="H45" s="4"/>
      <c r="I45" s="4"/>
      <c r="J45" s="12">
        <f>IF(H$12=0,0,H45/H$12)</f>
        <v>0</v>
      </c>
      <c r="K45" s="4"/>
      <c r="L45" s="4">
        <f>+D45-H45</f>
        <v>5192.5</v>
      </c>
      <c r="M45" s="4"/>
      <c r="N45" s="12">
        <f>IF(H45=0,0,L45/H45)</f>
        <v>0</v>
      </c>
      <c r="O45" s="10"/>
      <c r="P45" s="4">
        <v>6206.22</v>
      </c>
      <c r="Q45" s="4"/>
      <c r="R45" s="12">
        <f>IF(P$12=0,0,P45/P$12)</f>
        <v>0.10589326487426859</v>
      </c>
      <c r="S45" s="4"/>
      <c r="T45" s="4"/>
      <c r="U45" s="4"/>
      <c r="V45" s="12">
        <f>IF(T$12=0,0,T45/T$12)</f>
        <v>0</v>
      </c>
      <c r="W45" s="4"/>
      <c r="X45" s="4">
        <f>+P45-T45</f>
        <v>6206.22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ht="15.75" thickBot="1" x14ac:dyDescent="0.3">
      <c r="A47" s="10"/>
      <c r="B47" s="28" t="s">
        <v>4</v>
      </c>
      <c r="C47" s="28"/>
      <c r="D47" s="30">
        <f>+D43-D45</f>
        <v>12679.059999999994</v>
      </c>
      <c r="E47" s="14"/>
      <c r="F47" s="32">
        <f>IF(D$12=0,0,D47/D$12)</f>
        <v>0.2612204348859794</v>
      </c>
      <c r="G47" s="14"/>
      <c r="H47" s="30">
        <f>+H43-H45</f>
        <v>0</v>
      </c>
      <c r="I47" s="14"/>
      <c r="J47" s="32">
        <f>IF(H$12=0,0,H47/H$12)</f>
        <v>0</v>
      </c>
      <c r="K47" s="16"/>
      <c r="L47" s="30">
        <f>D47-H47</f>
        <v>12679.059999999994</v>
      </c>
      <c r="M47" s="16"/>
      <c r="N47" s="32">
        <f>IF(H47=0,0,L47/H47)</f>
        <v>0</v>
      </c>
      <c r="O47" s="29"/>
      <c r="P47" s="30">
        <f>+P43-P45</f>
        <v>-27866.900000000009</v>
      </c>
      <c r="Q47" s="14"/>
      <c r="R47" s="32">
        <f>IF(P$12=0,0,P47/P$12)</f>
        <v>-0.4754773473909652</v>
      </c>
      <c r="S47" s="14"/>
      <c r="T47" s="30">
        <f>+T43-T45</f>
        <v>0</v>
      </c>
      <c r="U47" s="14"/>
      <c r="V47" s="32">
        <f>IF(T$12=0,0,T47/T$12)</f>
        <v>0</v>
      </c>
      <c r="W47" s="16"/>
      <c r="X47" s="30">
        <f>P47-T47</f>
        <v>-27866.900000000009</v>
      </c>
      <c r="Y47" s="16"/>
      <c r="Z47" s="32">
        <f>IF(T47=0,0,X47/T47)</f>
        <v>0</v>
      </c>
    </row>
    <row r="48" spans="1:26" ht="15.75" thickTop="1" x14ac:dyDescent="0.25">
      <c r="A48" s="9"/>
      <c r="B48" s="9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8" t="s">
        <v>5</v>
      </c>
      <c r="C50" s="28"/>
      <c r="D50" s="31">
        <f>SUM(D47:D49)</f>
        <v>12679.059999999994</v>
      </c>
      <c r="E50" s="14"/>
      <c r="F50" s="35">
        <f>IF(D$12=0,0,D50/D$12)</f>
        <v>0.2612204348859794</v>
      </c>
      <c r="G50" s="14"/>
      <c r="H50" s="31">
        <f>SUM(H47:H49)</f>
        <v>0</v>
      </c>
      <c r="I50" s="14"/>
      <c r="J50" s="35">
        <f>IF(H$12=0,0,H50/H$12)</f>
        <v>0</v>
      </c>
      <c r="K50" s="16"/>
      <c r="L50" s="31">
        <f>+D50-H50</f>
        <v>12679.059999999994</v>
      </c>
      <c r="M50" s="16"/>
      <c r="N50" s="35">
        <f>IF(H50=0,0,L50/H50)</f>
        <v>0</v>
      </c>
      <c r="O50" s="29"/>
      <c r="P50" s="31">
        <f>SUM(P47:P49)</f>
        <v>-27866.900000000009</v>
      </c>
      <c r="Q50" s="14"/>
      <c r="R50" s="35">
        <f>IF(P$12=0,0,P50/P$12)</f>
        <v>-0.4754773473909652</v>
      </c>
      <c r="S50" s="14"/>
      <c r="T50" s="31">
        <f>SUM(T47:T49)</f>
        <v>0</v>
      </c>
      <c r="U50" s="14"/>
      <c r="V50" s="35">
        <f>IF(T$12=0,0,T50/T$12)</f>
        <v>0</v>
      </c>
      <c r="W50" s="16"/>
      <c r="X50" s="31">
        <f>+P50-T50</f>
        <v>-27866.900000000009</v>
      </c>
      <c r="Y50" s="16"/>
      <c r="Z50" s="35">
        <f>IF(T50=0,0,X50/T50)</f>
        <v>0</v>
      </c>
    </row>
    <row r="51" spans="1:26" ht="15.75" thickTop="1" x14ac:dyDescent="0.25">
      <c r="A51" s="9"/>
      <c r="C51" s="9"/>
      <c r="D51" s="17"/>
      <c r="E51" s="17"/>
      <c r="G51" s="17"/>
      <c r="H51" s="17"/>
      <c r="I51" s="17"/>
      <c r="J51" s="43"/>
      <c r="K51" s="17"/>
      <c r="L51" s="17"/>
      <c r="M51" s="17"/>
      <c r="P51" s="17"/>
      <c r="Q51" s="17"/>
      <c r="R51" s="43"/>
      <c r="S51" s="17"/>
      <c r="T51" s="17"/>
      <c r="U51" s="17"/>
      <c r="V51" s="43"/>
      <c r="W51" s="17"/>
      <c r="X51" s="17"/>
    </row>
    <row r="52" spans="1:26" x14ac:dyDescent="0.25">
      <c r="A52" s="9"/>
      <c r="B52" s="56">
        <v>43815.484092245373</v>
      </c>
      <c r="D52" s="17"/>
      <c r="E52" s="17"/>
      <c r="G52" s="17"/>
      <c r="H52" s="17"/>
      <c r="I52" s="17"/>
      <c r="J52" s="43"/>
      <c r="K52" s="17"/>
      <c r="L52" s="17"/>
      <c r="M52" s="17"/>
      <c r="P52" s="17"/>
      <c r="Q52" s="17"/>
      <c r="R52" s="43"/>
      <c r="S52" s="17"/>
      <c r="T52" s="17"/>
      <c r="U52" s="17"/>
      <c r="V52" s="43"/>
      <c r="W52" s="17"/>
      <c r="X52" s="17"/>
    </row>
    <row r="53" spans="1:26" x14ac:dyDescent="0.25">
      <c r="A53" s="9"/>
      <c r="B53" s="62" t="s">
        <v>314</v>
      </c>
      <c r="D53" s="17"/>
      <c r="E53" s="17"/>
      <c r="G53" s="17"/>
      <c r="H53" s="17"/>
      <c r="I53" s="17"/>
      <c r="J53" s="43"/>
      <c r="K53" s="17"/>
      <c r="L53" s="17"/>
      <c r="M53" s="17"/>
      <c r="P53" s="17"/>
      <c r="Q53" s="17"/>
      <c r="R53" s="43"/>
      <c r="S53" s="17"/>
      <c r="T53" s="17"/>
      <c r="U53" s="17"/>
      <c r="V53" s="43"/>
      <c r="W53" s="17"/>
      <c r="X53" s="17"/>
    </row>
    <row r="54" spans="1:26" x14ac:dyDescent="0.25">
      <c r="A54" s="9"/>
      <c r="B54" s="58"/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25"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","413", " - ", "Beach Walk")</f>
        <v>Department 413 - Beach Walk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32220.039999999997</v>
      </c>
      <c r="E12" s="4"/>
      <c r="F12" s="12"/>
      <c r="G12" s="4"/>
      <c r="H12" s="4">
        <f>SUM(OSRRefH13x_0)</f>
        <v>35790</v>
      </c>
      <c r="I12" s="4"/>
      <c r="J12" s="12"/>
      <c r="K12" s="4"/>
      <c r="L12" s="4">
        <f t="shared" ref="L12:L16" si="0">+D12-H12</f>
        <v>-3569.9600000000028</v>
      </c>
      <c r="M12" s="4"/>
      <c r="N12" s="12">
        <f t="shared" ref="N12:N16" si="1">IF(H12=0,0,L12/H12)</f>
        <v>-9.9747415479184212E-2</v>
      </c>
      <c r="O12" s="10"/>
      <c r="P12" s="4">
        <f>SUM(OSRRefP13x_0)</f>
        <v>162103.64000000001</v>
      </c>
      <c r="Q12" s="4"/>
      <c r="R12" s="12"/>
      <c r="S12" s="4"/>
      <c r="T12" s="4">
        <f>SUM(OSRRefT13x_0)</f>
        <v>193789</v>
      </c>
      <c r="U12" s="4"/>
      <c r="V12" s="12"/>
      <c r="W12" s="4"/>
      <c r="X12" s="4">
        <f t="shared" ref="X12:X16" si="2">+P12-T12</f>
        <v>-31685.359999999986</v>
      </c>
      <c r="Y12" s="4"/>
      <c r="Z12" s="12">
        <f t="shared" ref="Z12:Z16" si="3">IF(T12=0,0,X12/T12)</f>
        <v>-0.16350443007601043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7150</v>
      </c>
      <c r="I13" s="2"/>
      <c r="J13" s="19"/>
      <c r="K13" s="2"/>
      <c r="L13" s="2">
        <f t="shared" si="0"/>
        <v>-7150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37609</v>
      </c>
      <c r="U13" s="2"/>
      <c r="V13" s="19"/>
      <c r="W13" s="2"/>
      <c r="X13" s="2">
        <f t="shared" si="2"/>
        <v>-37609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"4051", " - ", "TAXABLE SALES-FOOD")</f>
        <v xml:space="preserve">          4051 - TAXABLE SALES-FOOD</v>
      </c>
      <c r="C14" s="11"/>
      <c r="D14" s="2">
        <f>--7347.44</f>
        <v>7347.44</v>
      </c>
      <c r="E14" s="2"/>
      <c r="F14" s="19"/>
      <c r="G14" s="2"/>
      <c r="H14" s="2"/>
      <c r="I14" s="2"/>
      <c r="J14" s="19"/>
      <c r="K14" s="2"/>
      <c r="L14" s="2">
        <f t="shared" si="0"/>
        <v>7347.44</v>
      </c>
      <c r="M14" s="2"/>
      <c r="N14" s="19">
        <f t="shared" si="1"/>
        <v>0</v>
      </c>
      <c r="O14" s="11"/>
      <c r="P14" s="2">
        <f>--39088.7</f>
        <v>39088.699999999997</v>
      </c>
      <c r="Q14" s="2"/>
      <c r="R14" s="19"/>
      <c r="S14" s="2"/>
      <c r="T14" s="2"/>
      <c r="U14" s="2"/>
      <c r="V14" s="19"/>
      <c r="W14" s="2"/>
      <c r="X14" s="2">
        <f t="shared" si="2"/>
        <v>39088.699999999997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28640</v>
      </c>
      <c r="I15" s="2"/>
      <c r="J15" s="19"/>
      <c r="K15" s="2"/>
      <c r="L15" s="2">
        <f t="shared" si="0"/>
        <v>-28640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156180</v>
      </c>
      <c r="U15" s="2"/>
      <c r="V15" s="19"/>
      <c r="W15" s="2"/>
      <c r="X15" s="2">
        <f t="shared" si="2"/>
        <v>-156180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--24872.6</f>
        <v>24872.6</v>
      </c>
      <c r="E16" s="2"/>
      <c r="F16" s="19"/>
      <c r="G16" s="2"/>
      <c r="H16" s="2"/>
      <c r="I16" s="2"/>
      <c r="J16" s="19"/>
      <c r="K16" s="2"/>
      <c r="L16" s="2">
        <f t="shared" si="0"/>
        <v>24872.6</v>
      </c>
      <c r="M16" s="2"/>
      <c r="N16" s="19">
        <f t="shared" si="1"/>
        <v>0</v>
      </c>
      <c r="O16" s="11"/>
      <c r="P16" s="2">
        <f>--123014.94</f>
        <v>123014.94</v>
      </c>
      <c r="Q16" s="2"/>
      <c r="R16" s="19"/>
      <c r="S16" s="2"/>
      <c r="T16" s="2"/>
      <c r="U16" s="2"/>
      <c r="V16" s="19"/>
      <c r="W16" s="2"/>
      <c r="X16" s="2">
        <f t="shared" si="2"/>
        <v>123014.94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10812.21</v>
      </c>
      <c r="E18" s="4"/>
      <c r="F18" s="12">
        <f t="shared" ref="F18:F21" si="4">IF(D$12=0,0,D18/D$12)</f>
        <v>0.33557407129227651</v>
      </c>
      <c r="G18" s="4"/>
      <c r="H18" s="4">
        <f>SUM(OSRRefH16x_0)</f>
        <v>10950</v>
      </c>
      <c r="I18" s="4"/>
      <c r="J18" s="12">
        <f t="shared" ref="J18:J21" si="5">IF(H$12=0,0,H18/H$12)</f>
        <v>0.30595138306789604</v>
      </c>
      <c r="K18" s="4"/>
      <c r="L18" s="4">
        <f t="shared" ref="L18:L21" si="6">+D18-H18</f>
        <v>-137.79000000000087</v>
      </c>
      <c r="M18" s="4"/>
      <c r="N18" s="12">
        <f t="shared" ref="N18:N21" si="7">IF(H18=0,0,L18/H18)</f>
        <v>-1.2583561643835697E-2</v>
      </c>
      <c r="O18" s="10"/>
      <c r="P18" s="4">
        <f>SUM(OSRRefP16x_0)</f>
        <v>49268.49</v>
      </c>
      <c r="Q18" s="4"/>
      <c r="R18" s="12">
        <f t="shared" ref="R18:R21" si="8">IF(P$12=0,0,P18/P$12)</f>
        <v>0.30393204002081625</v>
      </c>
      <c r="S18" s="4"/>
      <c r="T18" s="4">
        <f>SUM(OSRRefT16x_0)</f>
        <v>61300</v>
      </c>
      <c r="U18" s="4"/>
      <c r="V18" s="12">
        <f t="shared" ref="V18:V21" si="9">IF(T$12=0,0,T18/T$12)</f>
        <v>0.31632342393015084</v>
      </c>
      <c r="W18" s="4"/>
      <c r="X18" s="4">
        <f t="shared" ref="X18:X21" si="10">+P18-T18</f>
        <v>-12031.510000000002</v>
      </c>
      <c r="Y18" s="4"/>
      <c r="Z18" s="12">
        <f t="shared" ref="Z18:Z21" si="11">IF(T18=0,0,X18/T18)</f>
        <v>-0.19627259380097883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10950</v>
      </c>
      <c r="I19" s="2"/>
      <c r="J19" s="19">
        <f t="shared" si="5"/>
        <v>0.30595138306789604</v>
      </c>
      <c r="K19" s="2"/>
      <c r="L19" s="2">
        <f t="shared" si="6"/>
        <v>-10950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61300</v>
      </c>
      <c r="U19" s="2"/>
      <c r="V19" s="19">
        <f t="shared" si="9"/>
        <v>0.31632342393015084</v>
      </c>
      <c r="W19" s="2"/>
      <c r="X19" s="2">
        <f t="shared" si="10"/>
        <v>-61300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10315.129999999999</v>
      </c>
      <c r="E20" s="2"/>
      <c r="F20" s="19">
        <f t="shared" si="4"/>
        <v>0.32014640577727405</v>
      </c>
      <c r="G20" s="2"/>
      <c r="H20" s="2"/>
      <c r="I20" s="2"/>
      <c r="J20" s="19">
        <f t="shared" si="5"/>
        <v>0</v>
      </c>
      <c r="K20" s="2"/>
      <c r="L20" s="2">
        <f t="shared" si="6"/>
        <v>10315.129999999999</v>
      </c>
      <c r="M20" s="2"/>
      <c r="N20" s="19">
        <f t="shared" si="7"/>
        <v>0</v>
      </c>
      <c r="O20" s="11"/>
      <c r="P20" s="2">
        <v>53765.56</v>
      </c>
      <c r="Q20" s="2"/>
      <c r="R20" s="19">
        <f t="shared" si="8"/>
        <v>0.33167398338495047</v>
      </c>
      <c r="S20" s="2"/>
      <c r="T20" s="2"/>
      <c r="U20" s="2"/>
      <c r="V20" s="19">
        <f t="shared" si="9"/>
        <v>0</v>
      </c>
      <c r="W20" s="2"/>
      <c r="X20" s="2">
        <f t="shared" si="10"/>
        <v>53765.56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497.08</v>
      </c>
      <c r="E21" s="2"/>
      <c r="F21" s="19">
        <f t="shared" si="4"/>
        <v>1.5427665515002464E-2</v>
      </c>
      <c r="G21" s="2"/>
      <c r="H21" s="2"/>
      <c r="I21" s="2"/>
      <c r="J21" s="19">
        <f t="shared" si="5"/>
        <v>0</v>
      </c>
      <c r="K21" s="2"/>
      <c r="L21" s="2">
        <f t="shared" si="6"/>
        <v>497.08</v>
      </c>
      <c r="M21" s="2"/>
      <c r="N21" s="19">
        <f t="shared" si="7"/>
        <v>0</v>
      </c>
      <c r="O21" s="11"/>
      <c r="P21" s="2">
        <v>-4497.07</v>
      </c>
      <c r="Q21" s="2"/>
      <c r="R21" s="19">
        <f t="shared" si="8"/>
        <v>-2.77419433641342E-2</v>
      </c>
      <c r="S21" s="2"/>
      <c r="T21" s="2"/>
      <c r="U21" s="2"/>
      <c r="V21" s="19">
        <f t="shared" si="9"/>
        <v>0</v>
      </c>
      <c r="W21" s="2"/>
      <c r="X21" s="2">
        <f t="shared" si="10"/>
        <v>-4497.07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D12-D18</f>
        <v>21407.829999999998</v>
      </c>
      <c r="E23" s="14"/>
      <c r="F23" s="22">
        <f>IF(D$12=0,0,D23/D$12)</f>
        <v>0.66442592870772355</v>
      </c>
      <c r="G23" s="14"/>
      <c r="H23" s="20">
        <f>H12-H18</f>
        <v>24840</v>
      </c>
      <c r="I23" s="14"/>
      <c r="J23" s="22">
        <f>IF(H$12=0,0,H23/H$12)</f>
        <v>0.69404861693210396</v>
      </c>
      <c r="K23" s="16"/>
      <c r="L23" s="20">
        <f>+D23-H23</f>
        <v>-3432.1700000000019</v>
      </c>
      <c r="M23" s="16"/>
      <c r="N23" s="22">
        <f>IF(H23=0,0,L23/H23)</f>
        <v>-0.13817109500805161</v>
      </c>
      <c r="O23" s="29"/>
      <c r="P23" s="20">
        <f>P12-P18</f>
        <v>112835.15000000002</v>
      </c>
      <c r="Q23" s="14"/>
      <c r="R23" s="22">
        <f>IF(P$12=0,0,P23/P$12)</f>
        <v>0.6960679599791838</v>
      </c>
      <c r="S23" s="14"/>
      <c r="T23" s="20">
        <f>T12-T18</f>
        <v>132489</v>
      </c>
      <c r="U23" s="14"/>
      <c r="V23" s="22">
        <f>IF(T$12=0,0,T23/T$12)</f>
        <v>0.68367657606984922</v>
      </c>
      <c r="W23" s="16"/>
      <c r="X23" s="20">
        <f>+P23-T23</f>
        <v>-19653.849999999977</v>
      </c>
      <c r="Y23" s="16"/>
      <c r="Z23" s="22">
        <f>IF(T23=0,0,X23/T23)</f>
        <v>-0.14834325868562656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18447.080000000002</v>
      </c>
      <c r="E25" s="21"/>
      <c r="F25" s="33">
        <f t="shared" ref="F25:F35" si="12">IF(D$12=0,0,D25/D$12)</f>
        <v>0.57253436060290441</v>
      </c>
      <c r="G25" s="21"/>
      <c r="H25" s="21">
        <f>SUM(OSRRefH22x_0)</f>
        <v>19310.145611700002</v>
      </c>
      <c r="I25" s="21"/>
      <c r="J25" s="33">
        <f t="shared" ref="J25:J35" si="13">IF(H$12=0,0,H25/H$12)</f>
        <v>0.53954025179379717</v>
      </c>
      <c r="K25" s="4"/>
      <c r="L25" s="21">
        <f t="shared" ref="L25:L35" si="14">+D25-H25</f>
        <v>-863.06561169999986</v>
      </c>
      <c r="M25" s="4"/>
      <c r="N25" s="33">
        <f t="shared" ref="N25:N35" si="15">IF(H25=0,0,L25/H25)</f>
        <v>-4.4694930274221709E-2</v>
      </c>
      <c r="O25" s="10"/>
      <c r="P25" s="21">
        <f>SUM(OSRRefP22x_0)</f>
        <v>105647.4</v>
      </c>
      <c r="Q25" s="21"/>
      <c r="R25" s="33">
        <f t="shared" ref="R25:R35" si="16">IF(P$12=0,0,P25/P$12)</f>
        <v>0.65172749976496513</v>
      </c>
      <c r="S25" s="21"/>
      <c r="T25" s="21">
        <f>SUM(OSRRefT22x_0)</f>
        <v>92733.342449350006</v>
      </c>
      <c r="U25" s="21"/>
      <c r="V25" s="33">
        <f t="shared" ref="V25:V35" si="17">IF(T$12=0,0,T25/T$12)</f>
        <v>0.47852738003369649</v>
      </c>
      <c r="W25" s="4"/>
      <c r="X25" s="21">
        <f t="shared" ref="X25:X35" si="18">+P25-T25</f>
        <v>12914.057550649988</v>
      </c>
      <c r="Y25" s="4"/>
      <c r="Z25" s="33">
        <f t="shared" ref="Z25:Z35" si="19">IF(T25=0,0,X25/T25)</f>
        <v>0.1392601324351434</v>
      </c>
    </row>
    <row r="26" spans="1:26" s="26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3451.63</v>
      </c>
      <c r="E26" s="1"/>
      <c r="F26" s="5">
        <f t="shared" si="12"/>
        <v>0.10712680679477743</v>
      </c>
      <c r="G26" s="1"/>
      <c r="H26" s="1">
        <f>SUM(OSRRefH22_0x_0)</f>
        <v>3813.563073238462</v>
      </c>
      <c r="I26" s="1"/>
      <c r="J26" s="5">
        <f t="shared" si="13"/>
        <v>0.10655387184237111</v>
      </c>
      <c r="K26" s="1"/>
      <c r="L26" s="1">
        <f t="shared" si="14"/>
        <v>-361.93307323846193</v>
      </c>
      <c r="M26" s="1"/>
      <c r="N26" s="5">
        <f t="shared" si="15"/>
        <v>-9.4906801405308827E-2</v>
      </c>
      <c r="O26" s="13"/>
      <c r="P26" s="1">
        <f>SUM(OSRRefP22_0x_0)</f>
        <v>17548.02</v>
      </c>
      <c r="Q26" s="1"/>
      <c r="R26" s="5">
        <f t="shared" si="16"/>
        <v>0.1082518566517075</v>
      </c>
      <c r="S26" s="1"/>
      <c r="T26" s="1">
        <f>SUM(OSRRefT22_0x_0)</f>
        <v>19234.388487811542</v>
      </c>
      <c r="U26" s="1"/>
      <c r="V26" s="5">
        <f t="shared" si="17"/>
        <v>9.9254284236006907E-2</v>
      </c>
      <c r="W26" s="1"/>
      <c r="X26" s="1">
        <f t="shared" si="18"/>
        <v>-1686.3684878115419</v>
      </c>
      <c r="Y26" s="1"/>
      <c r="Z26" s="5">
        <f t="shared" si="19"/>
        <v>-8.7674660875242311E-2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628.29</v>
      </c>
      <c r="E27" s="2"/>
      <c r="F27" s="7">
        <f t="shared" si="12"/>
        <v>1.9499975791463946E-2</v>
      </c>
      <c r="G27" s="2"/>
      <c r="H27" s="6">
        <v>738.86165185384607</v>
      </c>
      <c r="I27" s="2"/>
      <c r="J27" s="7">
        <f t="shared" si="13"/>
        <v>2.0644360208266165E-2</v>
      </c>
      <c r="K27" s="2"/>
      <c r="L27" s="6">
        <f t="shared" si="14"/>
        <v>-110.57165185384611</v>
      </c>
      <c r="M27" s="2"/>
      <c r="N27" s="7">
        <f t="shared" si="15"/>
        <v>-0.14965136108555036</v>
      </c>
      <c r="O27" s="11"/>
      <c r="P27" s="6">
        <v>3801.94</v>
      </c>
      <c r="Q27" s="2"/>
      <c r="R27" s="7">
        <f t="shared" si="16"/>
        <v>2.3453760816228433E-2</v>
      </c>
      <c r="S27" s="2"/>
      <c r="T27" s="6">
        <v>3827.223120196154</v>
      </c>
      <c r="U27" s="2"/>
      <c r="V27" s="7">
        <f t="shared" si="17"/>
        <v>1.9749434282627775E-2</v>
      </c>
      <c r="W27" s="2"/>
      <c r="X27" s="6">
        <f t="shared" si="18"/>
        <v>-25.283120196153959</v>
      </c>
      <c r="Y27" s="2"/>
      <c r="Z27" s="7">
        <f t="shared" si="19"/>
        <v>-6.6061265314623571E-3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554.91999999999996</v>
      </c>
      <c r="E28" s="2"/>
      <c r="F28" s="7">
        <f t="shared" si="12"/>
        <v>1.7222821573157576E-2</v>
      </c>
      <c r="G28" s="2"/>
      <c r="H28" s="6">
        <v>524.11180276923096</v>
      </c>
      <c r="I28" s="2"/>
      <c r="J28" s="7">
        <f t="shared" si="13"/>
        <v>1.4644085017301788E-2</v>
      </c>
      <c r="K28" s="2"/>
      <c r="L28" s="6">
        <f t="shared" si="14"/>
        <v>30.808197230768997</v>
      </c>
      <c r="M28" s="2"/>
      <c r="N28" s="7">
        <f t="shared" si="15"/>
        <v>5.8781727616109419E-2</v>
      </c>
      <c r="O28" s="11"/>
      <c r="P28" s="6">
        <v>1747.32</v>
      </c>
      <c r="Q28" s="2"/>
      <c r="R28" s="7">
        <f t="shared" si="16"/>
        <v>1.0779030008209562E-2</v>
      </c>
      <c r="S28" s="2"/>
      <c r="T28" s="6">
        <v>2440.7120152307693</v>
      </c>
      <c r="U28" s="2"/>
      <c r="V28" s="7">
        <f t="shared" si="17"/>
        <v>1.2594688115583286E-2</v>
      </c>
      <c r="W28" s="2"/>
      <c r="X28" s="6">
        <f t="shared" si="18"/>
        <v>-693.3920152307694</v>
      </c>
      <c r="Y28" s="2"/>
      <c r="Z28" s="7">
        <f t="shared" si="19"/>
        <v>-0.28409415404349092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1290.46</v>
      </c>
      <c r="E29" s="2"/>
      <c r="F29" s="7">
        <f t="shared" si="12"/>
        <v>4.0051471072040885E-2</v>
      </c>
      <c r="G29" s="2"/>
      <c r="H29" s="6">
        <v>1381</v>
      </c>
      <c r="I29" s="2"/>
      <c r="J29" s="7">
        <f t="shared" si="13"/>
        <v>3.8586197261804976E-2</v>
      </c>
      <c r="K29" s="2"/>
      <c r="L29" s="6">
        <f t="shared" si="14"/>
        <v>-90.539999999999964</v>
      </c>
      <c r="M29" s="2"/>
      <c r="N29" s="7">
        <f t="shared" si="15"/>
        <v>-6.5561187545257027E-2</v>
      </c>
      <c r="O29" s="11"/>
      <c r="P29" s="6">
        <v>6440.72</v>
      </c>
      <c r="Q29" s="2"/>
      <c r="R29" s="7">
        <f t="shared" si="16"/>
        <v>3.973211212283697E-2</v>
      </c>
      <c r="S29" s="2"/>
      <c r="T29" s="6">
        <v>6905</v>
      </c>
      <c r="U29" s="2"/>
      <c r="V29" s="7">
        <f t="shared" si="17"/>
        <v>3.5631537393763318E-2</v>
      </c>
      <c r="W29" s="2"/>
      <c r="X29" s="6">
        <f t="shared" si="18"/>
        <v>-464.27999999999975</v>
      </c>
      <c r="Y29" s="2"/>
      <c r="Z29" s="7">
        <f t="shared" si="19"/>
        <v>-6.7238233164373606E-2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37.19</v>
      </c>
      <c r="E30" s="2"/>
      <c r="F30" s="7">
        <f t="shared" si="12"/>
        <v>1.1542505844188897E-3</v>
      </c>
      <c r="G30" s="2"/>
      <c r="H30" s="6">
        <v>35.120894</v>
      </c>
      <c r="I30" s="2"/>
      <c r="J30" s="7">
        <f t="shared" si="13"/>
        <v>9.8130466610785129E-4</v>
      </c>
      <c r="K30" s="2"/>
      <c r="L30" s="6">
        <f t="shared" si="14"/>
        <v>2.0691059999999979</v>
      </c>
      <c r="M30" s="2"/>
      <c r="N30" s="7">
        <f t="shared" si="15"/>
        <v>5.8913819221116576E-2</v>
      </c>
      <c r="O30" s="11"/>
      <c r="P30" s="6">
        <v>166.92</v>
      </c>
      <c r="Q30" s="2"/>
      <c r="R30" s="7">
        <f t="shared" si="16"/>
        <v>1.0297116091902685E-3</v>
      </c>
      <c r="S30" s="2"/>
      <c r="T30" s="6">
        <v>163.55286699999999</v>
      </c>
      <c r="U30" s="2"/>
      <c r="V30" s="7">
        <f t="shared" si="17"/>
        <v>8.4397394588960149E-4</v>
      </c>
      <c r="W30" s="2"/>
      <c r="X30" s="6">
        <f t="shared" si="18"/>
        <v>3.3671329999999955</v>
      </c>
      <c r="Y30" s="2"/>
      <c r="Z30" s="7">
        <f t="shared" si="19"/>
        <v>2.0587428773107326E-2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326.52</v>
      </c>
      <c r="E31" s="2"/>
      <c r="F31" s="7">
        <f t="shared" si="12"/>
        <v>1.0134065631203438E-2</v>
      </c>
      <c r="G31" s="2"/>
      <c r="H31" s="6">
        <v>402.01010923076899</v>
      </c>
      <c r="I31" s="2"/>
      <c r="J31" s="7">
        <f t="shared" si="13"/>
        <v>1.1232470221591757E-2</v>
      </c>
      <c r="K31" s="2"/>
      <c r="L31" s="6">
        <f t="shared" si="14"/>
        <v>-75.490109230769008</v>
      </c>
      <c r="M31" s="2"/>
      <c r="N31" s="7">
        <f t="shared" si="15"/>
        <v>-0.18778161916180777</v>
      </c>
      <c r="O31" s="11"/>
      <c r="P31" s="6">
        <v>1632.6</v>
      </c>
      <c r="Q31" s="2"/>
      <c r="R31" s="7">
        <f t="shared" si="16"/>
        <v>1.0071334610376423E-2</v>
      </c>
      <c r="S31" s="2"/>
      <c r="T31" s="6">
        <v>2211.0556007692308</v>
      </c>
      <c r="U31" s="2"/>
      <c r="V31" s="7">
        <f t="shared" si="17"/>
        <v>1.1409603232222834E-2</v>
      </c>
      <c r="W31" s="2"/>
      <c r="X31" s="6">
        <f t="shared" si="18"/>
        <v>-578.45560076923084</v>
      </c>
      <c r="Y31" s="2"/>
      <c r="Z31" s="7">
        <f t="shared" si="19"/>
        <v>-0.26161965378346203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>
        <v>269.38</v>
      </c>
      <c r="E33" s="2"/>
      <c r="F33" s="7">
        <f t="shared" si="12"/>
        <v>8.3606351823275211E-3</v>
      </c>
      <c r="G33" s="2"/>
      <c r="H33" s="6">
        <v>233.72680769230803</v>
      </c>
      <c r="I33" s="2"/>
      <c r="J33" s="7">
        <f t="shared" si="13"/>
        <v>6.5305059427859186E-3</v>
      </c>
      <c r="K33" s="2"/>
      <c r="L33" s="6">
        <f t="shared" si="14"/>
        <v>35.653192307691967</v>
      </c>
      <c r="M33" s="2"/>
      <c r="N33" s="7">
        <f t="shared" si="15"/>
        <v>0.15254216090876474</v>
      </c>
      <c r="O33" s="11"/>
      <c r="P33" s="6">
        <v>1565.68</v>
      </c>
      <c r="Q33" s="2"/>
      <c r="R33" s="7">
        <f t="shared" si="16"/>
        <v>9.6585122949737583E-3</v>
      </c>
      <c r="S33" s="2"/>
      <c r="T33" s="6">
        <v>1285.497442307694</v>
      </c>
      <c r="U33" s="2"/>
      <c r="V33" s="7">
        <f t="shared" si="17"/>
        <v>6.6334902512923538E-3</v>
      </c>
      <c r="W33" s="2"/>
      <c r="X33" s="6">
        <f t="shared" si="18"/>
        <v>280.18255769230609</v>
      </c>
      <c r="Y33" s="2"/>
      <c r="Z33" s="7">
        <f t="shared" si="19"/>
        <v>0.21795652676626812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>
        <v>215.62</v>
      </c>
      <c r="E34" s="2"/>
      <c r="F34" s="7">
        <f t="shared" si="12"/>
        <v>6.6921083896854267E-3</v>
      </c>
      <c r="G34" s="2"/>
      <c r="H34" s="6">
        <v>498.731807692308</v>
      </c>
      <c r="I34" s="2"/>
      <c r="J34" s="7">
        <f t="shared" si="13"/>
        <v>1.3934948524512656E-2</v>
      </c>
      <c r="K34" s="2"/>
      <c r="L34" s="6">
        <f t="shared" si="14"/>
        <v>-283.11180769230799</v>
      </c>
      <c r="M34" s="2"/>
      <c r="N34" s="7">
        <f t="shared" si="15"/>
        <v>-0.56766342817054394</v>
      </c>
      <c r="O34" s="11"/>
      <c r="P34" s="6">
        <v>1519.8</v>
      </c>
      <c r="Q34" s="2"/>
      <c r="R34" s="7">
        <f t="shared" si="16"/>
        <v>9.3754834869840056E-3</v>
      </c>
      <c r="S34" s="2"/>
      <c r="T34" s="6">
        <v>2401.3474423076937</v>
      </c>
      <c r="U34" s="2"/>
      <c r="V34" s="7">
        <f t="shared" si="17"/>
        <v>1.2391557014627732E-2</v>
      </c>
      <c r="W34" s="2"/>
      <c r="X34" s="6">
        <f t="shared" si="18"/>
        <v>-881.5474423076937</v>
      </c>
      <c r="Y34" s="2"/>
      <c r="Z34" s="7">
        <f t="shared" si="19"/>
        <v>-0.36710532877346858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6">
        <v>129.25</v>
      </c>
      <c r="E35" s="2"/>
      <c r="F35" s="7">
        <f t="shared" si="12"/>
        <v>4.0114785704797387E-3</v>
      </c>
      <c r="G35" s="2"/>
      <c r="H35" s="6"/>
      <c r="I35" s="2"/>
      <c r="J35" s="7">
        <f t="shared" si="13"/>
        <v>0</v>
      </c>
      <c r="K35" s="2"/>
      <c r="L35" s="6">
        <f t="shared" si="14"/>
        <v>129.25</v>
      </c>
      <c r="M35" s="2"/>
      <c r="N35" s="7">
        <f t="shared" si="15"/>
        <v>0</v>
      </c>
      <c r="O35" s="11"/>
      <c r="P35" s="6">
        <v>673.04</v>
      </c>
      <c r="Q35" s="2"/>
      <c r="R35" s="7">
        <f t="shared" si="16"/>
        <v>4.1519117029080897E-3</v>
      </c>
      <c r="S35" s="2"/>
      <c r="T35" s="6"/>
      <c r="U35" s="2"/>
      <c r="V35" s="7">
        <f t="shared" si="17"/>
        <v>0</v>
      </c>
      <c r="W35" s="2"/>
      <c r="X35" s="6">
        <f t="shared" si="18"/>
        <v>673.04</v>
      </c>
      <c r="Y35" s="2"/>
      <c r="Z35" s="7">
        <f t="shared" si="19"/>
        <v>0</v>
      </c>
    </row>
    <row r="36" spans="1:26" s="26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12494.59</v>
      </c>
      <c r="E36" s="1"/>
      <c r="F36" s="5">
        <f t="shared" ref="F36:F46" si="20">IF(D$12=0,0,D36/D$12)</f>
        <v>0.38778940063389122</v>
      </c>
      <c r="G36" s="1"/>
      <c r="H36" s="1">
        <f>SUM(OSRRefH22_1x_0)</f>
        <v>13040.58253846154</v>
      </c>
      <c r="I36" s="1"/>
      <c r="J36" s="5">
        <f t="shared" ref="J36:J46" si="21">IF(H$12=0,0,H36/H$12)</f>
        <v>0.36436385969437107</v>
      </c>
      <c r="K36" s="1"/>
      <c r="L36" s="1">
        <f t="shared" ref="L36:L46" si="22">+D36-H36</f>
        <v>-545.99253846153988</v>
      </c>
      <c r="M36" s="1"/>
      <c r="N36" s="5">
        <f t="shared" ref="N36:N46" si="23">IF(H36=0,0,L36/H36)</f>
        <v>-4.1868723030677832E-2</v>
      </c>
      <c r="O36" s="13"/>
      <c r="P36" s="1">
        <f>SUM(OSRRefP22_1x_0)</f>
        <v>65675.009999999995</v>
      </c>
      <c r="Q36" s="1"/>
      <c r="R36" s="5">
        <f t="shared" ref="R36:R46" si="24">IF(P$12=0,0,P36/P$12)</f>
        <v>0.40514210538393824</v>
      </c>
      <c r="S36" s="1"/>
      <c r="T36" s="1">
        <f>SUM(OSRRefT22_1x_0)</f>
        <v>60333.953961538456</v>
      </c>
      <c r="U36" s="1"/>
      <c r="V36" s="5">
        <f t="shared" ref="V36:V46" si="25">IF(T$12=0,0,T36/T$12)</f>
        <v>0.31133838330110819</v>
      </c>
      <c r="W36" s="1"/>
      <c r="X36" s="1">
        <f t="shared" ref="X36:X46" si="26">+P36-T36</f>
        <v>5341.0560384615383</v>
      </c>
      <c r="Y36" s="1"/>
      <c r="Z36" s="5">
        <f t="shared" ref="Z36:Z46" si="27">IF(T36=0,0,X36/T36)</f>
        <v>8.8524880067802972E-2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6">
        <v>4440.8900000000003</v>
      </c>
      <c r="E38" s="2"/>
      <c r="F38" s="7">
        <f t="shared" si="20"/>
        <v>0.13783005855982799</v>
      </c>
      <c r="G38" s="2"/>
      <c r="H38" s="6">
        <v>4207.08253846154</v>
      </c>
      <c r="I38" s="2"/>
      <c r="J38" s="7">
        <f t="shared" si="21"/>
        <v>0.11754910697014641</v>
      </c>
      <c r="K38" s="2"/>
      <c r="L38" s="6">
        <f t="shared" si="22"/>
        <v>233.8074615384603</v>
      </c>
      <c r="M38" s="2"/>
      <c r="N38" s="7">
        <f t="shared" si="23"/>
        <v>5.5574726523896487E-2</v>
      </c>
      <c r="O38" s="11"/>
      <c r="P38" s="6">
        <v>24541.759999999998</v>
      </c>
      <c r="Q38" s="2"/>
      <c r="R38" s="7">
        <f t="shared" si="24"/>
        <v>0.15139548994704866</v>
      </c>
      <c r="S38" s="2"/>
      <c r="T38" s="6">
        <v>23138.95396153846</v>
      </c>
      <c r="U38" s="2"/>
      <c r="V38" s="7">
        <f t="shared" si="25"/>
        <v>0.1194028245232622</v>
      </c>
      <c r="W38" s="2"/>
      <c r="X38" s="6">
        <f t="shared" si="26"/>
        <v>1402.8060384615383</v>
      </c>
      <c r="Y38" s="2"/>
      <c r="Z38" s="7">
        <f t="shared" si="27"/>
        <v>6.0625300555646584E-2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0"/>
        <v>0</v>
      </c>
      <c r="G40" s="2"/>
      <c r="H40" s="6">
        <v>4980</v>
      </c>
      <c r="I40" s="2"/>
      <c r="J40" s="7">
        <f t="shared" si="21"/>
        <v>0.13914501257334452</v>
      </c>
      <c r="K40" s="2"/>
      <c r="L40" s="6">
        <f t="shared" si="22"/>
        <v>-4980</v>
      </c>
      <c r="M40" s="2"/>
      <c r="N40" s="7">
        <f t="shared" si="23"/>
        <v>-1</v>
      </c>
      <c r="O40" s="11"/>
      <c r="P40" s="6"/>
      <c r="Q40" s="2"/>
      <c r="R40" s="7">
        <f t="shared" si="24"/>
        <v>0</v>
      </c>
      <c r="S40" s="2"/>
      <c r="T40" s="6">
        <v>20579.5</v>
      </c>
      <c r="U40" s="2"/>
      <c r="V40" s="7">
        <f t="shared" si="25"/>
        <v>0.10619539808761075</v>
      </c>
      <c r="W40" s="2"/>
      <c r="X40" s="6">
        <f t="shared" si="26"/>
        <v>-20579.5</v>
      </c>
      <c r="Y40" s="2"/>
      <c r="Z40" s="7">
        <f t="shared" si="27"/>
        <v>-1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6">
        <v>3538.7</v>
      </c>
      <c r="E41" s="2"/>
      <c r="F41" s="7">
        <f t="shared" si="20"/>
        <v>0.10982916222326229</v>
      </c>
      <c r="G41" s="2"/>
      <c r="H41" s="6">
        <v>637.5</v>
      </c>
      <c r="I41" s="2"/>
      <c r="J41" s="7">
        <f t="shared" si="21"/>
        <v>1.7812238055322716E-2</v>
      </c>
      <c r="K41" s="2"/>
      <c r="L41" s="6">
        <f t="shared" si="22"/>
        <v>2901.2</v>
      </c>
      <c r="M41" s="2"/>
      <c r="N41" s="7">
        <f t="shared" si="23"/>
        <v>4.5509019607843131</v>
      </c>
      <c r="O41" s="11"/>
      <c r="P41" s="6">
        <v>17893.939999999999</v>
      </c>
      <c r="Q41" s="2"/>
      <c r="R41" s="7">
        <f t="shared" si="24"/>
        <v>0.11038580009677758</v>
      </c>
      <c r="S41" s="2"/>
      <c r="T41" s="6">
        <v>2371.5</v>
      </c>
      <c r="U41" s="2"/>
      <c r="V41" s="7">
        <f t="shared" si="25"/>
        <v>1.2237536702289603E-2</v>
      </c>
      <c r="W41" s="2"/>
      <c r="X41" s="6">
        <f t="shared" si="26"/>
        <v>15522.439999999999</v>
      </c>
      <c r="Y41" s="2"/>
      <c r="Z41" s="7">
        <f t="shared" si="27"/>
        <v>6.5454100780096978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6">
        <v>3969</v>
      </c>
      <c r="E43" s="2"/>
      <c r="F43" s="7">
        <f t="shared" si="20"/>
        <v>0.12318420461302966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3969</v>
      </c>
      <c r="M43" s="2"/>
      <c r="N43" s="7">
        <f t="shared" si="23"/>
        <v>0</v>
      </c>
      <c r="O43" s="11"/>
      <c r="P43" s="6">
        <v>20935.310000000001</v>
      </c>
      <c r="Q43" s="2"/>
      <c r="R43" s="7">
        <f t="shared" si="24"/>
        <v>0.12914768601124565</v>
      </c>
      <c r="S43" s="2"/>
      <c r="T43" s="6">
        <v>3720</v>
      </c>
      <c r="U43" s="2"/>
      <c r="V43" s="7">
        <f t="shared" si="25"/>
        <v>1.9196136003591536E-2</v>
      </c>
      <c r="W43" s="2"/>
      <c r="X43" s="6">
        <f t="shared" si="26"/>
        <v>17215.310000000001</v>
      </c>
      <c r="Y43" s="2"/>
      <c r="Z43" s="7">
        <f t="shared" si="27"/>
        <v>4.6277715053763444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6">
        <v>546</v>
      </c>
      <c r="E44" s="2"/>
      <c r="F44" s="7">
        <f t="shared" si="20"/>
        <v>1.6945975237771277E-2</v>
      </c>
      <c r="G44" s="2"/>
      <c r="H44" s="6">
        <v>3216</v>
      </c>
      <c r="I44" s="2"/>
      <c r="J44" s="7">
        <f t="shared" si="21"/>
        <v>8.9857502095557415E-2</v>
      </c>
      <c r="K44" s="2"/>
      <c r="L44" s="6">
        <f t="shared" si="22"/>
        <v>-2670</v>
      </c>
      <c r="M44" s="2"/>
      <c r="N44" s="7">
        <f t="shared" si="23"/>
        <v>-0.83022388059701491</v>
      </c>
      <c r="O44" s="11"/>
      <c r="P44" s="6">
        <v>2304</v>
      </c>
      <c r="Q44" s="2"/>
      <c r="R44" s="7">
        <f t="shared" si="24"/>
        <v>1.4213129328866396E-2</v>
      </c>
      <c r="S44" s="2"/>
      <c r="T44" s="6">
        <v>10524</v>
      </c>
      <c r="U44" s="2"/>
      <c r="V44" s="7">
        <f t="shared" si="25"/>
        <v>5.430648798435412E-2</v>
      </c>
      <c r="W44" s="2"/>
      <c r="X44" s="6">
        <f t="shared" si="26"/>
        <v>-8220</v>
      </c>
      <c r="Y44" s="2"/>
      <c r="Z44" s="7">
        <f t="shared" si="27"/>
        <v>-0.78107183580387685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6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135.28</v>
      </c>
      <c r="E47" s="1"/>
      <c r="F47" s="5">
        <f t="shared" ref="F47:F60" si="28">IF(D$12=0,0,D47/D$12)</f>
        <v>4.198629176127653E-3</v>
      </c>
      <c r="G47" s="1"/>
      <c r="H47" s="1">
        <f>SUM(OSRRefH22_2x_0)</f>
        <v>75</v>
      </c>
      <c r="I47" s="1"/>
      <c r="J47" s="5">
        <f t="shared" ref="J47:J60" si="29">IF(H$12=0,0,H47/H$12)</f>
        <v>2.0955574182732607E-3</v>
      </c>
      <c r="K47" s="1"/>
      <c r="L47" s="1">
        <f t="shared" ref="L47:L60" si="30">+D47-H47</f>
        <v>60.28</v>
      </c>
      <c r="M47" s="1"/>
      <c r="N47" s="5">
        <f t="shared" ref="N47:N60" si="31">IF(H47=0,0,L47/H47)</f>
        <v>0.8037333333333333</v>
      </c>
      <c r="O47" s="13"/>
      <c r="P47" s="1">
        <f>SUM(OSRRefP22_2x_0)</f>
        <v>1465</v>
      </c>
      <c r="Q47" s="1"/>
      <c r="R47" s="5">
        <f t="shared" ref="R47:R60" si="32">IF(P$12=0,0,P47/P$12)</f>
        <v>9.0374281539883985E-3</v>
      </c>
      <c r="S47" s="1"/>
      <c r="T47" s="1">
        <f>SUM(OSRRefT22_2x_0)</f>
        <v>550</v>
      </c>
      <c r="U47" s="1"/>
      <c r="V47" s="5">
        <f t="shared" ref="V47:V60" si="33">IF(T$12=0,0,T47/T$12)</f>
        <v>2.8381383876277806E-3</v>
      </c>
      <c r="W47" s="1"/>
      <c r="X47" s="1">
        <f t="shared" ref="X47:X60" si="34">+P47-T47</f>
        <v>915</v>
      </c>
      <c r="Y47" s="1"/>
      <c r="Z47" s="5">
        <f t="shared" ref="Z47:Z60" si="35">IF(T47=0,0,X47/T47)</f>
        <v>1.6636363636363636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6">
        <v>135.28</v>
      </c>
      <c r="E48" s="2"/>
      <c r="F48" s="7">
        <f t="shared" si="28"/>
        <v>4.198629176127653E-3</v>
      </c>
      <c r="G48" s="2"/>
      <c r="H48" s="6">
        <v>75</v>
      </c>
      <c r="I48" s="2"/>
      <c r="J48" s="7">
        <f t="shared" si="29"/>
        <v>2.0955574182732607E-3</v>
      </c>
      <c r="K48" s="2"/>
      <c r="L48" s="6">
        <f t="shared" si="30"/>
        <v>60.28</v>
      </c>
      <c r="M48" s="2"/>
      <c r="N48" s="7">
        <f t="shared" si="31"/>
        <v>0.8037333333333333</v>
      </c>
      <c r="O48" s="11"/>
      <c r="P48" s="6">
        <v>1465</v>
      </c>
      <c r="Q48" s="2"/>
      <c r="R48" s="7">
        <f t="shared" si="32"/>
        <v>9.0374281539883985E-3</v>
      </c>
      <c r="S48" s="2"/>
      <c r="T48" s="6">
        <v>550</v>
      </c>
      <c r="U48" s="2"/>
      <c r="V48" s="7">
        <f t="shared" si="33"/>
        <v>2.8381383876277806E-3</v>
      </c>
      <c r="W48" s="2"/>
      <c r="X48" s="6">
        <f t="shared" si="34"/>
        <v>915</v>
      </c>
      <c r="Y48" s="2"/>
      <c r="Z48" s="7">
        <f t="shared" si="35"/>
        <v>1.6636363636363636</v>
      </c>
    </row>
    <row r="49" spans="1:26" s="26" customFormat="1" outlineLevel="1" collapsed="1" x14ac:dyDescent="0.25">
      <c r="A49" s="27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2.04</v>
      </c>
      <c r="E49" s="1"/>
      <c r="F49" s="5">
        <f t="shared" si="28"/>
        <v>6.3314632756508062E-5</v>
      </c>
      <c r="G49" s="1"/>
      <c r="H49" s="1">
        <f>SUM(OSRRefH22_3x_0)</f>
        <v>20</v>
      </c>
      <c r="I49" s="1"/>
      <c r="J49" s="5">
        <f t="shared" si="29"/>
        <v>5.5881531153953619E-4</v>
      </c>
      <c r="K49" s="1"/>
      <c r="L49" s="1">
        <f t="shared" si="30"/>
        <v>-17.96</v>
      </c>
      <c r="M49" s="1"/>
      <c r="N49" s="5">
        <f t="shared" si="31"/>
        <v>-0.89800000000000002</v>
      </c>
      <c r="O49" s="13"/>
      <c r="P49" s="1">
        <f>SUM(OSRRefP22_3x_0)</f>
        <v>-24.52</v>
      </c>
      <c r="Q49" s="1"/>
      <c r="R49" s="5">
        <f t="shared" si="32"/>
        <v>-1.5126125483672049E-4</v>
      </c>
      <c r="S49" s="1"/>
      <c r="T49" s="1">
        <f>SUM(OSRRefT22_3x_0)</f>
        <v>100</v>
      </c>
      <c r="U49" s="1"/>
      <c r="V49" s="5">
        <f t="shared" si="33"/>
        <v>5.1602516138686918E-4</v>
      </c>
      <c r="W49" s="1"/>
      <c r="X49" s="1">
        <f t="shared" si="34"/>
        <v>-124.52</v>
      </c>
      <c r="Y49" s="1"/>
      <c r="Z49" s="5">
        <f t="shared" si="35"/>
        <v>-1.2451999999999999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6">
        <v>2.04</v>
      </c>
      <c r="E50" s="2"/>
      <c r="F50" s="7">
        <f t="shared" si="28"/>
        <v>6.3314632756508062E-5</v>
      </c>
      <c r="G50" s="2"/>
      <c r="H50" s="6">
        <v>20</v>
      </c>
      <c r="I50" s="2"/>
      <c r="J50" s="7">
        <f t="shared" si="29"/>
        <v>5.5881531153953619E-4</v>
      </c>
      <c r="K50" s="2"/>
      <c r="L50" s="6">
        <f t="shared" si="30"/>
        <v>-17.96</v>
      </c>
      <c r="M50" s="2"/>
      <c r="N50" s="7">
        <f t="shared" si="31"/>
        <v>-0.89800000000000002</v>
      </c>
      <c r="O50" s="11"/>
      <c r="P50" s="6">
        <v>-24.52</v>
      </c>
      <c r="Q50" s="2"/>
      <c r="R50" s="7">
        <f t="shared" si="32"/>
        <v>-1.5126125483672049E-4</v>
      </c>
      <c r="S50" s="2"/>
      <c r="T50" s="6">
        <v>100</v>
      </c>
      <c r="U50" s="2"/>
      <c r="V50" s="7">
        <f t="shared" si="33"/>
        <v>5.1602516138686918E-4</v>
      </c>
      <c r="W50" s="2"/>
      <c r="X50" s="6">
        <f t="shared" si="34"/>
        <v>-124.52</v>
      </c>
      <c r="Y50" s="2"/>
      <c r="Z50" s="7">
        <f t="shared" si="35"/>
        <v>-1.2451999999999999</v>
      </c>
    </row>
    <row r="51" spans="1:26" s="26" customFormat="1" outlineLevel="1" collapsed="1" x14ac:dyDescent="0.25">
      <c r="A51" s="27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1040.6099999999999</v>
      </c>
      <c r="E51" s="1"/>
      <c r="F51" s="5">
        <f t="shared" si="28"/>
        <v>3.2296980388602868E-2</v>
      </c>
      <c r="G51" s="1"/>
      <c r="H51" s="1">
        <f>SUM(OSRRefH22_4x_0)</f>
        <v>750</v>
      </c>
      <c r="I51" s="1"/>
      <c r="J51" s="5">
        <f t="shared" si="29"/>
        <v>2.0955574182732608E-2</v>
      </c>
      <c r="K51" s="1"/>
      <c r="L51" s="1">
        <f t="shared" si="30"/>
        <v>290.6099999999999</v>
      </c>
      <c r="M51" s="1"/>
      <c r="N51" s="5">
        <f t="shared" si="31"/>
        <v>0.38747999999999988</v>
      </c>
      <c r="O51" s="13"/>
      <c r="P51" s="1">
        <f>SUM(OSRRefP22_4x_0)</f>
        <v>5663.37</v>
      </c>
      <c r="Q51" s="1"/>
      <c r="R51" s="5">
        <f t="shared" si="32"/>
        <v>3.4936723197579025E-2</v>
      </c>
      <c r="S51" s="1"/>
      <c r="T51" s="1">
        <f>SUM(OSRRefT22_4x_0)</f>
        <v>4950</v>
      </c>
      <c r="U51" s="1"/>
      <c r="V51" s="5">
        <f t="shared" si="33"/>
        <v>2.5543245488650026E-2</v>
      </c>
      <c r="W51" s="1"/>
      <c r="X51" s="1">
        <f t="shared" si="34"/>
        <v>713.36999999999989</v>
      </c>
      <c r="Y51" s="1"/>
      <c r="Z51" s="5">
        <f t="shared" si="35"/>
        <v>0.1441151515151515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6">
        <v>1040.6099999999999</v>
      </c>
      <c r="E52" s="2"/>
      <c r="F52" s="7">
        <f t="shared" si="28"/>
        <v>3.2296980388602868E-2</v>
      </c>
      <c r="G52" s="2"/>
      <c r="H52" s="6">
        <v>750</v>
      </c>
      <c r="I52" s="2"/>
      <c r="J52" s="7">
        <f t="shared" si="29"/>
        <v>2.0955574182732608E-2</v>
      </c>
      <c r="K52" s="2"/>
      <c r="L52" s="6">
        <f t="shared" si="30"/>
        <v>290.6099999999999</v>
      </c>
      <c r="M52" s="2"/>
      <c r="N52" s="7">
        <f t="shared" si="31"/>
        <v>0.38747999999999988</v>
      </c>
      <c r="O52" s="11"/>
      <c r="P52" s="6">
        <v>5663.37</v>
      </c>
      <c r="Q52" s="2"/>
      <c r="R52" s="7">
        <f t="shared" si="32"/>
        <v>3.4936723197579025E-2</v>
      </c>
      <c r="S52" s="2"/>
      <c r="T52" s="6">
        <v>4950</v>
      </c>
      <c r="U52" s="2"/>
      <c r="V52" s="7">
        <f t="shared" si="33"/>
        <v>2.5543245488650026E-2</v>
      </c>
      <c r="W52" s="2"/>
      <c r="X52" s="6">
        <f t="shared" si="34"/>
        <v>713.36999999999989</v>
      </c>
      <c r="Y52" s="2"/>
      <c r="Z52" s="7">
        <f t="shared" si="35"/>
        <v>0.1441151515151515</v>
      </c>
    </row>
    <row r="53" spans="1:26" s="26" customFormat="1" outlineLevel="1" collapsed="1" x14ac:dyDescent="0.25">
      <c r="A53" s="27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630.21</v>
      </c>
      <c r="E53" s="1"/>
      <c r="F53" s="5">
        <f t="shared" si="28"/>
        <v>1.9559566034058309E-2</v>
      </c>
      <c r="G53" s="1"/>
      <c r="H53" s="1">
        <f>SUM(OSRRefH22_5x_0)</f>
        <v>636</v>
      </c>
      <c r="I53" s="1"/>
      <c r="J53" s="5">
        <f t="shared" si="29"/>
        <v>1.7770326906957252E-2</v>
      </c>
      <c r="K53" s="1"/>
      <c r="L53" s="1">
        <f t="shared" si="30"/>
        <v>-5.7899999999999636</v>
      </c>
      <c r="M53" s="1"/>
      <c r="N53" s="5">
        <f t="shared" si="31"/>
        <v>-9.1037735849056039E-3</v>
      </c>
      <c r="O53" s="13"/>
      <c r="P53" s="1">
        <f>SUM(OSRRefP22_5x_0)</f>
        <v>3151.05</v>
      </c>
      <c r="Q53" s="1"/>
      <c r="R53" s="5">
        <f t="shared" si="32"/>
        <v>1.9438490091894297E-2</v>
      </c>
      <c r="S53" s="1"/>
      <c r="T53" s="1">
        <f>SUM(OSRRefT22_5x_0)</f>
        <v>3180</v>
      </c>
      <c r="U53" s="1"/>
      <c r="V53" s="5">
        <f t="shared" si="33"/>
        <v>1.640960013210244E-2</v>
      </c>
      <c r="W53" s="1"/>
      <c r="X53" s="1">
        <f t="shared" si="34"/>
        <v>-28.949999999999818</v>
      </c>
      <c r="Y53" s="1"/>
      <c r="Z53" s="5">
        <f t="shared" si="35"/>
        <v>-9.1037735849056039E-3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630.21</v>
      </c>
      <c r="E54" s="2"/>
      <c r="F54" s="7">
        <f t="shared" si="28"/>
        <v>1.9559566034058309E-2</v>
      </c>
      <c r="G54" s="2"/>
      <c r="H54" s="6">
        <v>636</v>
      </c>
      <c r="I54" s="2"/>
      <c r="J54" s="7">
        <f t="shared" si="29"/>
        <v>1.7770326906957252E-2</v>
      </c>
      <c r="K54" s="2"/>
      <c r="L54" s="6">
        <f t="shared" si="30"/>
        <v>-5.7899999999999636</v>
      </c>
      <c r="M54" s="2"/>
      <c r="N54" s="7">
        <f t="shared" si="31"/>
        <v>-9.1037735849056039E-3</v>
      </c>
      <c r="O54" s="11"/>
      <c r="P54" s="6">
        <v>3151.05</v>
      </c>
      <c r="Q54" s="2"/>
      <c r="R54" s="7">
        <f t="shared" si="32"/>
        <v>1.9438490091894297E-2</v>
      </c>
      <c r="S54" s="2"/>
      <c r="T54" s="6">
        <v>3180</v>
      </c>
      <c r="U54" s="2"/>
      <c r="V54" s="7">
        <f t="shared" si="33"/>
        <v>1.640960013210244E-2</v>
      </c>
      <c r="W54" s="2"/>
      <c r="X54" s="6">
        <f t="shared" si="34"/>
        <v>-28.949999999999818</v>
      </c>
      <c r="Y54" s="2"/>
      <c r="Z54" s="7">
        <f t="shared" si="35"/>
        <v>-9.1037735849056039E-3</v>
      </c>
    </row>
    <row r="55" spans="1:26" s="26" customFormat="1" outlineLevel="1" collapsed="1" x14ac:dyDescent="0.25">
      <c r="A55" s="27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SUM(OSRRefD22_6x_0)</f>
        <v>0</v>
      </c>
      <c r="E55" s="1"/>
      <c r="F55" s="5">
        <f t="shared" si="28"/>
        <v>0</v>
      </c>
      <c r="G55" s="1"/>
      <c r="H55" s="1">
        <f>SUM(OSRRefH22_6x_0)</f>
        <v>0</v>
      </c>
      <c r="I55" s="1"/>
      <c r="J55" s="5">
        <f t="shared" si="29"/>
        <v>0</v>
      </c>
      <c r="K55" s="1"/>
      <c r="L55" s="1">
        <f t="shared" si="30"/>
        <v>0</v>
      </c>
      <c r="M55" s="1"/>
      <c r="N55" s="5">
        <f t="shared" si="31"/>
        <v>0</v>
      </c>
      <c r="O55" s="13"/>
      <c r="P55" s="1">
        <f>SUM(OSRRefP22_6x_0)</f>
        <v>851.35</v>
      </c>
      <c r="Q55" s="1"/>
      <c r="R55" s="5">
        <f t="shared" si="32"/>
        <v>5.2518870026607668E-3</v>
      </c>
      <c r="S55" s="1"/>
      <c r="T55" s="1">
        <f>SUM(OSRRefT22_6x_0)</f>
        <v>0</v>
      </c>
      <c r="U55" s="1"/>
      <c r="V55" s="5">
        <f t="shared" si="33"/>
        <v>0</v>
      </c>
      <c r="W55" s="1"/>
      <c r="X55" s="1">
        <f t="shared" si="34"/>
        <v>851.35</v>
      </c>
      <c r="Y55" s="1"/>
      <c r="Z55" s="5">
        <f t="shared" si="35"/>
        <v>0</v>
      </c>
    </row>
    <row r="56" spans="1:26" s="24" customFormat="1" hidden="1" outlineLevel="2" x14ac:dyDescent="0.25">
      <c r="A56" s="25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28"/>
        <v>0</v>
      </c>
      <c r="G56" s="2"/>
      <c r="H56" s="6"/>
      <c r="I56" s="2"/>
      <c r="J56" s="7">
        <f t="shared" si="29"/>
        <v>0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851.35</v>
      </c>
      <c r="Q56" s="2"/>
      <c r="R56" s="7">
        <f t="shared" si="32"/>
        <v>5.2518870026607668E-3</v>
      </c>
      <c r="S56" s="2"/>
      <c r="T56" s="6"/>
      <c r="U56" s="2"/>
      <c r="V56" s="7">
        <f t="shared" si="33"/>
        <v>0</v>
      </c>
      <c r="W56" s="2"/>
      <c r="X56" s="6">
        <f t="shared" si="34"/>
        <v>851.35</v>
      </c>
      <c r="Y56" s="2"/>
      <c r="Z56" s="7">
        <f t="shared" si="35"/>
        <v>0</v>
      </c>
    </row>
    <row r="57" spans="1:26" s="26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SUM(OSRRefD22_7x_0)</f>
        <v>0</v>
      </c>
      <c r="E57" s="1"/>
      <c r="F57" s="5">
        <f t="shared" si="28"/>
        <v>0</v>
      </c>
      <c r="G57" s="1"/>
      <c r="H57" s="1">
        <f>SUM(OSRRefH22_7x_0)</f>
        <v>0</v>
      </c>
      <c r="I57" s="1"/>
      <c r="J57" s="5">
        <f t="shared" si="29"/>
        <v>0</v>
      </c>
      <c r="K57" s="1"/>
      <c r="L57" s="1">
        <f t="shared" si="30"/>
        <v>0</v>
      </c>
      <c r="M57" s="1"/>
      <c r="N57" s="5">
        <f t="shared" si="31"/>
        <v>0</v>
      </c>
      <c r="O57" s="13"/>
      <c r="P57" s="1">
        <f>SUM(OSRRefP22_7x_0)</f>
        <v>7677.8099999999995</v>
      </c>
      <c r="Q57" s="1"/>
      <c r="R57" s="5">
        <f t="shared" si="32"/>
        <v>4.7363587887354036E-2</v>
      </c>
      <c r="S57" s="1"/>
      <c r="T57" s="1">
        <f>SUM(OSRRefT22_7x_0)</f>
        <v>0</v>
      </c>
      <c r="U57" s="1"/>
      <c r="V57" s="5">
        <f t="shared" si="33"/>
        <v>0</v>
      </c>
      <c r="W57" s="1"/>
      <c r="X57" s="1">
        <f t="shared" si="34"/>
        <v>7677.8099999999995</v>
      </c>
      <c r="Y57" s="1"/>
      <c r="Z57" s="5">
        <f t="shared" si="35"/>
        <v>0</v>
      </c>
    </row>
    <row r="58" spans="1:26" s="24" customFormat="1" hidden="1" outlineLevel="2" x14ac:dyDescent="0.25">
      <c r="A58" s="25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>
        <v>874.62</v>
      </c>
      <c r="Q58" s="2"/>
      <c r="R58" s="7">
        <f t="shared" si="32"/>
        <v>5.395437141325142E-3</v>
      </c>
      <c r="S58" s="2"/>
      <c r="T58" s="6"/>
      <c r="U58" s="2"/>
      <c r="V58" s="7">
        <f t="shared" si="33"/>
        <v>0</v>
      </c>
      <c r="W58" s="2"/>
      <c r="X58" s="6">
        <f t="shared" si="34"/>
        <v>874.62</v>
      </c>
      <c r="Y58" s="2"/>
      <c r="Z58" s="7">
        <f t="shared" si="35"/>
        <v>0</v>
      </c>
    </row>
    <row r="59" spans="1:26" s="24" customFormat="1" hidden="1" outlineLevel="2" x14ac:dyDescent="0.25">
      <c r="A59" s="25"/>
      <c r="B59" s="11" t="str">
        <f>CONCATENATE("          ", "6373", " - ", "MAINTENANCE CONTRACTS")</f>
        <v xml:space="preserve">          6373 - MAINTENANCE CONTRACTS</v>
      </c>
      <c r="C59" s="11"/>
      <c r="D59" s="6"/>
      <c r="E59" s="2"/>
      <c r="F59" s="7">
        <f t="shared" si="28"/>
        <v>0</v>
      </c>
      <c r="G59" s="2"/>
      <c r="H59" s="6"/>
      <c r="I59" s="2"/>
      <c r="J59" s="7">
        <f t="shared" si="29"/>
        <v>0</v>
      </c>
      <c r="K59" s="2"/>
      <c r="L59" s="6">
        <f t="shared" si="30"/>
        <v>0</v>
      </c>
      <c r="M59" s="2"/>
      <c r="N59" s="7">
        <f t="shared" si="31"/>
        <v>0</v>
      </c>
      <c r="O59" s="11"/>
      <c r="P59" s="6">
        <v>157.29</v>
      </c>
      <c r="Q59" s="2"/>
      <c r="R59" s="7">
        <f t="shared" si="32"/>
        <v>9.7030517019852224E-4</v>
      </c>
      <c r="S59" s="2"/>
      <c r="T59" s="6"/>
      <c r="U59" s="2"/>
      <c r="V59" s="7">
        <f t="shared" si="33"/>
        <v>0</v>
      </c>
      <c r="W59" s="2"/>
      <c r="X59" s="6">
        <f t="shared" si="34"/>
        <v>157.29</v>
      </c>
      <c r="Y59" s="2"/>
      <c r="Z59" s="7">
        <f t="shared" si="35"/>
        <v>0</v>
      </c>
    </row>
    <row r="60" spans="1:26" s="24" customFormat="1" hidden="1" outlineLevel="2" x14ac:dyDescent="0.25">
      <c r="A60" s="25"/>
      <c r="B60" s="11" t="str">
        <f>CONCATENATE("          ", "6375", " - ", "OUTSIDE REPAIRS &amp; MAINTENANCE")</f>
        <v xml:space="preserve">          6375 - OUTSIDE REPAIRS &amp; MAINTENANCE</v>
      </c>
      <c r="C60" s="11"/>
      <c r="D60" s="6"/>
      <c r="E60" s="2"/>
      <c r="F60" s="7">
        <f t="shared" si="28"/>
        <v>0</v>
      </c>
      <c r="G60" s="2"/>
      <c r="H60" s="6"/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>
        <v>6645.9</v>
      </c>
      <c r="Q60" s="2"/>
      <c r="R60" s="7">
        <f t="shared" si="32"/>
        <v>4.0997845575830368E-2</v>
      </c>
      <c r="S60" s="2"/>
      <c r="T60" s="6"/>
      <c r="U60" s="2"/>
      <c r="V60" s="7">
        <f t="shared" si="33"/>
        <v>0</v>
      </c>
      <c r="W60" s="2"/>
      <c r="X60" s="6">
        <f t="shared" si="34"/>
        <v>6645.9</v>
      </c>
      <c r="Y60" s="2"/>
      <c r="Z60" s="7">
        <f t="shared" si="35"/>
        <v>0</v>
      </c>
    </row>
    <row r="61" spans="1:26" s="26" customFormat="1" outlineLevel="1" collapsed="1" x14ac:dyDescent="0.25">
      <c r="A61" s="27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SUM(OSRRefD22_8x_0)</f>
        <v>78.900000000000006</v>
      </c>
      <c r="E61" s="1"/>
      <c r="F61" s="5">
        <f t="shared" ref="F61:F69" si="36">IF(D$12=0,0,D61/D$12)</f>
        <v>2.4487865316120032E-3</v>
      </c>
      <c r="G61" s="1"/>
      <c r="H61" s="1">
        <f>SUM(OSRRefH22_8x_0)</f>
        <v>0</v>
      </c>
      <c r="I61" s="1"/>
      <c r="J61" s="5">
        <f t="shared" ref="J61:J69" si="37">IF(H$12=0,0,H61/H$12)</f>
        <v>0</v>
      </c>
      <c r="K61" s="1"/>
      <c r="L61" s="1">
        <f t="shared" ref="L61:L69" si="38">+D61-H61</f>
        <v>78.900000000000006</v>
      </c>
      <c r="M61" s="1"/>
      <c r="N61" s="5">
        <f t="shared" ref="N61:N69" si="39">IF(H61=0,0,L61/H61)</f>
        <v>0</v>
      </c>
      <c r="O61" s="13"/>
      <c r="P61" s="1">
        <f>SUM(OSRRefP22_8x_0)</f>
        <v>352.67</v>
      </c>
      <c r="Q61" s="1"/>
      <c r="R61" s="5">
        <f t="shared" ref="R61:R69" si="40">IF(P$12=0,0,P61/P$12)</f>
        <v>2.1755834724007431E-3</v>
      </c>
      <c r="S61" s="1"/>
      <c r="T61" s="1">
        <f>SUM(OSRRefT22_8x_0)</f>
        <v>90</v>
      </c>
      <c r="U61" s="1"/>
      <c r="V61" s="5">
        <f t="shared" ref="V61:V69" si="41">IF(T$12=0,0,T61/T$12)</f>
        <v>4.6442264524818228E-4</v>
      </c>
      <c r="W61" s="1"/>
      <c r="X61" s="1">
        <f t="shared" ref="X61:X69" si="42">+P61-T61</f>
        <v>262.67</v>
      </c>
      <c r="Y61" s="1"/>
      <c r="Z61" s="5">
        <f t="shared" ref="Z61:Z69" si="43">IF(T61=0,0,X61/T61)</f>
        <v>2.9185555555555558</v>
      </c>
    </row>
    <row r="62" spans="1:26" s="24" customFormat="1" hidden="1" outlineLevel="2" x14ac:dyDescent="0.25">
      <c r="A62" s="25"/>
      <c r="B62" s="11" t="str">
        <f>CONCATENATE("          ", "6286", " - ", "LAUNDRY EXPENSE")</f>
        <v xml:space="preserve">          6286 - LAUNDRY EXPENSE</v>
      </c>
      <c r="C62" s="11"/>
      <c r="D62" s="6">
        <v>78.900000000000006</v>
      </c>
      <c r="E62" s="2"/>
      <c r="F62" s="7">
        <f t="shared" si="36"/>
        <v>2.4487865316120032E-3</v>
      </c>
      <c r="G62" s="2"/>
      <c r="H62" s="6"/>
      <c r="I62" s="2"/>
      <c r="J62" s="7">
        <f t="shared" si="37"/>
        <v>0</v>
      </c>
      <c r="K62" s="2"/>
      <c r="L62" s="6">
        <f t="shared" si="38"/>
        <v>78.900000000000006</v>
      </c>
      <c r="M62" s="2"/>
      <c r="N62" s="7">
        <f t="shared" si="39"/>
        <v>0</v>
      </c>
      <c r="O62" s="11"/>
      <c r="P62" s="6">
        <v>352.67</v>
      </c>
      <c r="Q62" s="2"/>
      <c r="R62" s="7">
        <f t="shared" si="40"/>
        <v>2.1755834724007431E-3</v>
      </c>
      <c r="S62" s="2"/>
      <c r="T62" s="6">
        <v>90</v>
      </c>
      <c r="U62" s="2"/>
      <c r="V62" s="7">
        <f t="shared" si="41"/>
        <v>4.6442264524818228E-4</v>
      </c>
      <c r="W62" s="2"/>
      <c r="X62" s="6">
        <f t="shared" si="42"/>
        <v>262.67</v>
      </c>
      <c r="Y62" s="2"/>
      <c r="Z62" s="7">
        <f t="shared" si="43"/>
        <v>2.9185555555555558</v>
      </c>
    </row>
    <row r="63" spans="1:26" s="26" customFormat="1" outlineLevel="1" collapsed="1" x14ac:dyDescent="0.25">
      <c r="A63" s="27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SUM(OSRRefD22_9x_0)</f>
        <v>542.82000000000005</v>
      </c>
      <c r="E63" s="1"/>
      <c r="F63" s="5">
        <f t="shared" si="36"/>
        <v>1.6847278898474368E-2</v>
      </c>
      <c r="G63" s="1"/>
      <c r="H63" s="1">
        <f>SUM(OSRRefH22_9x_0)</f>
        <v>880</v>
      </c>
      <c r="I63" s="1"/>
      <c r="J63" s="5">
        <f t="shared" si="37"/>
        <v>2.4587873707739592E-2</v>
      </c>
      <c r="K63" s="1"/>
      <c r="L63" s="1">
        <f t="shared" si="38"/>
        <v>-337.17999999999995</v>
      </c>
      <c r="M63" s="1"/>
      <c r="N63" s="5">
        <f t="shared" si="39"/>
        <v>-0.38315909090909084</v>
      </c>
      <c r="O63" s="13"/>
      <c r="P63" s="1">
        <f>SUM(OSRRefP22_9x_0)</f>
        <v>2932.6400000000003</v>
      </c>
      <c r="Q63" s="1"/>
      <c r="R63" s="5">
        <f t="shared" si="40"/>
        <v>1.8091142185332792E-2</v>
      </c>
      <c r="S63" s="1"/>
      <c r="T63" s="1">
        <f>SUM(OSRRefT22_9x_0)</f>
        <v>3520</v>
      </c>
      <c r="U63" s="1"/>
      <c r="V63" s="5">
        <f t="shared" si="41"/>
        <v>1.8164085680817798E-2</v>
      </c>
      <c r="W63" s="1"/>
      <c r="X63" s="1">
        <f t="shared" si="42"/>
        <v>-587.35999999999967</v>
      </c>
      <c r="Y63" s="1"/>
      <c r="Z63" s="5">
        <f t="shared" si="43"/>
        <v>-0.16686363636363627</v>
      </c>
    </row>
    <row r="64" spans="1:26" s="24" customFormat="1" hidden="1" outlineLevel="2" x14ac:dyDescent="0.25">
      <c r="A64" s="25"/>
      <c r="B64" s="11" t="str">
        <f>CONCATENATE("          ", "6237", " - ", "JANITORIAL SUPPLIES")</f>
        <v xml:space="preserve">          6237 - JANITORIAL SUPPLIES</v>
      </c>
      <c r="C64" s="11"/>
      <c r="D64" s="6"/>
      <c r="E64" s="2"/>
      <c r="F64" s="7">
        <f t="shared" si="36"/>
        <v>0</v>
      </c>
      <c r="G64" s="2"/>
      <c r="H64" s="6"/>
      <c r="I64" s="2"/>
      <c r="J64" s="7">
        <f t="shared" si="37"/>
        <v>0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/>
      <c r="Q64" s="2"/>
      <c r="R64" s="7">
        <f t="shared" si="40"/>
        <v>0</v>
      </c>
      <c r="S64" s="2"/>
      <c r="T64" s="6">
        <v>80</v>
      </c>
      <c r="U64" s="2"/>
      <c r="V64" s="7">
        <f t="shared" si="41"/>
        <v>4.1282012910949539E-4</v>
      </c>
      <c r="W64" s="2"/>
      <c r="X64" s="6">
        <f t="shared" si="42"/>
        <v>-80</v>
      </c>
      <c r="Y64" s="2"/>
      <c r="Z64" s="7">
        <f t="shared" si="43"/>
        <v>-1</v>
      </c>
    </row>
    <row r="65" spans="1:26" s="24" customFormat="1" hidden="1" outlineLevel="2" x14ac:dyDescent="0.25">
      <c r="A65" s="25"/>
      <c r="B65" s="11" t="str">
        <f>CONCATENATE("          ", "6239", " - ", "KITCHEN SUPPLIES")</f>
        <v xml:space="preserve">          6239 - KITCHEN SUPPLIES</v>
      </c>
      <c r="C65" s="11"/>
      <c r="D65" s="6"/>
      <c r="E65" s="2"/>
      <c r="F65" s="7">
        <f t="shared" si="36"/>
        <v>0</v>
      </c>
      <c r="G65" s="2"/>
      <c r="H65" s="6"/>
      <c r="I65" s="2"/>
      <c r="J65" s="7">
        <f t="shared" si="37"/>
        <v>0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>
        <v>540.89</v>
      </c>
      <c r="Q65" s="2"/>
      <c r="R65" s="7">
        <f t="shared" si="40"/>
        <v>3.336692501167771E-3</v>
      </c>
      <c r="S65" s="2"/>
      <c r="T65" s="6">
        <v>660</v>
      </c>
      <c r="U65" s="2"/>
      <c r="V65" s="7">
        <f t="shared" si="41"/>
        <v>3.4057660651533369E-3</v>
      </c>
      <c r="W65" s="2"/>
      <c r="X65" s="6">
        <f t="shared" si="42"/>
        <v>-119.11000000000001</v>
      </c>
      <c r="Y65" s="2"/>
      <c r="Z65" s="7">
        <f t="shared" si="43"/>
        <v>-0.180469696969697</v>
      </c>
    </row>
    <row r="66" spans="1:26" s="24" customFormat="1" hidden="1" outlineLevel="2" x14ac:dyDescent="0.25">
      <c r="A66" s="25"/>
      <c r="B66" s="11" t="str">
        <f>CONCATENATE("          ", "6241", " - ", "OFFICE EXPENSE")</f>
        <v xml:space="preserve">          6241 - OFFICE EXPENSE</v>
      </c>
      <c r="C66" s="11"/>
      <c r="D66" s="6">
        <v>490.85</v>
      </c>
      <c r="E66" s="2"/>
      <c r="F66" s="7">
        <f t="shared" si="36"/>
        <v>1.523430759241764E-2</v>
      </c>
      <c r="G66" s="2"/>
      <c r="H66" s="6"/>
      <c r="I66" s="2"/>
      <c r="J66" s="7">
        <f t="shared" si="37"/>
        <v>0</v>
      </c>
      <c r="K66" s="2"/>
      <c r="L66" s="6">
        <f t="shared" si="38"/>
        <v>490.85</v>
      </c>
      <c r="M66" s="2"/>
      <c r="N66" s="7">
        <f t="shared" si="39"/>
        <v>0</v>
      </c>
      <c r="O66" s="11"/>
      <c r="P66" s="6">
        <v>910.32</v>
      </c>
      <c r="Q66" s="2"/>
      <c r="R66" s="7">
        <f t="shared" si="40"/>
        <v>5.6156666192073166E-3</v>
      </c>
      <c r="S66" s="2"/>
      <c r="T66" s="6">
        <v>60</v>
      </c>
      <c r="U66" s="2"/>
      <c r="V66" s="7">
        <f t="shared" si="41"/>
        <v>3.0961509683212154E-4</v>
      </c>
      <c r="W66" s="2"/>
      <c r="X66" s="6">
        <f t="shared" si="42"/>
        <v>850.32</v>
      </c>
      <c r="Y66" s="2"/>
      <c r="Z66" s="7">
        <f t="shared" si="43"/>
        <v>14.172000000000001</v>
      </c>
    </row>
    <row r="67" spans="1:26" s="24" customFormat="1" hidden="1" outlineLevel="2" x14ac:dyDescent="0.25">
      <c r="A67" s="25"/>
      <c r="B67" s="11" t="str">
        <f>CONCATENATE("          ", "6243", " - ", "PAPER SUPPLIES")</f>
        <v xml:space="preserve">          6243 - PAPER SUPPLIES</v>
      </c>
      <c r="C67" s="11"/>
      <c r="D67" s="6">
        <v>51.97</v>
      </c>
      <c r="E67" s="2"/>
      <c r="F67" s="7">
        <f t="shared" si="36"/>
        <v>1.6129713060567274E-3</v>
      </c>
      <c r="G67" s="2"/>
      <c r="H67" s="6">
        <v>380</v>
      </c>
      <c r="I67" s="2"/>
      <c r="J67" s="7">
        <f t="shared" si="37"/>
        <v>1.0617490919251188E-2</v>
      </c>
      <c r="K67" s="2"/>
      <c r="L67" s="6">
        <f t="shared" si="38"/>
        <v>-328.03</v>
      </c>
      <c r="M67" s="2"/>
      <c r="N67" s="7">
        <f t="shared" si="39"/>
        <v>-0.86323684210526308</v>
      </c>
      <c r="O67" s="11"/>
      <c r="P67" s="6">
        <v>743.21</v>
      </c>
      <c r="Q67" s="2"/>
      <c r="R67" s="7">
        <f t="shared" si="40"/>
        <v>4.5847829203588516E-3</v>
      </c>
      <c r="S67" s="2"/>
      <c r="T67" s="6">
        <v>1320</v>
      </c>
      <c r="U67" s="2"/>
      <c r="V67" s="7">
        <f t="shared" si="41"/>
        <v>6.8115321303066738E-3</v>
      </c>
      <c r="W67" s="2"/>
      <c r="X67" s="6">
        <f t="shared" si="42"/>
        <v>-576.79</v>
      </c>
      <c r="Y67" s="2"/>
      <c r="Z67" s="7">
        <f t="shared" si="43"/>
        <v>-0.43696212121212119</v>
      </c>
    </row>
    <row r="68" spans="1:26" s="24" customFormat="1" hidden="1" outlineLevel="2" x14ac:dyDescent="0.25">
      <c r="A68" s="25"/>
      <c r="B68" s="11" t="str">
        <f>CONCATENATE("          ", "6247", " - ", "STORE SUPPLIES")</f>
        <v xml:space="preserve">          6247 - STORE SUPPLIES</v>
      </c>
      <c r="C68" s="11"/>
      <c r="D68" s="6"/>
      <c r="E68" s="2"/>
      <c r="F68" s="7">
        <f t="shared" si="36"/>
        <v>0</v>
      </c>
      <c r="G68" s="2"/>
      <c r="H68" s="6"/>
      <c r="I68" s="2"/>
      <c r="J68" s="7">
        <f t="shared" si="37"/>
        <v>0</v>
      </c>
      <c r="K68" s="2"/>
      <c r="L68" s="6">
        <f t="shared" si="38"/>
        <v>0</v>
      </c>
      <c r="M68" s="2"/>
      <c r="N68" s="7">
        <f t="shared" si="39"/>
        <v>0</v>
      </c>
      <c r="O68" s="11"/>
      <c r="P68" s="6">
        <v>42.98</v>
      </c>
      <c r="Q68" s="2"/>
      <c r="R68" s="7">
        <f t="shared" si="40"/>
        <v>2.6513901846991219E-4</v>
      </c>
      <c r="S68" s="2"/>
      <c r="T68" s="6">
        <v>900</v>
      </c>
      <c r="U68" s="2"/>
      <c r="V68" s="7">
        <f t="shared" si="41"/>
        <v>4.6442264524818233E-3</v>
      </c>
      <c r="W68" s="2"/>
      <c r="X68" s="6">
        <f t="shared" si="42"/>
        <v>-857.02</v>
      </c>
      <c r="Y68" s="2"/>
      <c r="Z68" s="7">
        <f t="shared" si="43"/>
        <v>-0.95224444444444445</v>
      </c>
    </row>
    <row r="69" spans="1:26" s="24" customFormat="1" hidden="1" outlineLevel="2" x14ac:dyDescent="0.25">
      <c r="A69" s="25"/>
      <c r="B69" s="11" t="str">
        <f>CONCATENATE("          ", "6248", " - ", "UNIFORMS")</f>
        <v xml:space="preserve">          6248 - UNIFORMS</v>
      </c>
      <c r="C69" s="11"/>
      <c r="D69" s="6"/>
      <c r="E69" s="2"/>
      <c r="F69" s="7">
        <f t="shared" si="36"/>
        <v>0</v>
      </c>
      <c r="G69" s="2"/>
      <c r="H69" s="6">
        <v>500</v>
      </c>
      <c r="I69" s="2"/>
      <c r="J69" s="7">
        <f t="shared" si="37"/>
        <v>1.3970382788488405E-2</v>
      </c>
      <c r="K69" s="2"/>
      <c r="L69" s="6">
        <f t="shared" si="38"/>
        <v>-500</v>
      </c>
      <c r="M69" s="2"/>
      <c r="N69" s="7">
        <f t="shared" si="39"/>
        <v>-1</v>
      </c>
      <c r="O69" s="11"/>
      <c r="P69" s="6">
        <v>695.24</v>
      </c>
      <c r="Q69" s="2"/>
      <c r="R69" s="7">
        <f t="shared" si="40"/>
        <v>4.2888611261289377E-3</v>
      </c>
      <c r="S69" s="2"/>
      <c r="T69" s="6">
        <v>500</v>
      </c>
      <c r="U69" s="2"/>
      <c r="V69" s="7">
        <f t="shared" si="41"/>
        <v>2.5801258069343461E-3</v>
      </c>
      <c r="W69" s="2"/>
      <c r="X69" s="6">
        <f t="shared" si="42"/>
        <v>195.24</v>
      </c>
      <c r="Y69" s="2"/>
      <c r="Z69" s="7">
        <f t="shared" si="43"/>
        <v>0.39047999999999999</v>
      </c>
    </row>
    <row r="70" spans="1:26" s="26" customFormat="1" outlineLevel="1" collapsed="1" x14ac:dyDescent="0.25">
      <c r="A70" s="27"/>
      <c r="B70" s="13" t="str">
        <f>CONCATENATE("     ","Telephone/Data Lines                              ")</f>
        <v xml:space="preserve">     Telephone/Data Lines                              </v>
      </c>
      <c r="C70" s="13"/>
      <c r="D70" s="1">
        <f>SUM(OSRRefD22_10x_0)</f>
        <v>71</v>
      </c>
      <c r="E70" s="1"/>
      <c r="F70" s="5">
        <f t="shared" ref="F70:F72" si="44">IF(D$12=0,0,D70/D$12)</f>
        <v>2.2035975126039574E-3</v>
      </c>
      <c r="G70" s="1"/>
      <c r="H70" s="1">
        <f>SUM(OSRRefH22_10x_0)</f>
        <v>95</v>
      </c>
      <c r="I70" s="1"/>
      <c r="J70" s="5">
        <f t="shared" ref="J70:J72" si="45">IF(H$12=0,0,H70/H$12)</f>
        <v>2.6543727298127969E-3</v>
      </c>
      <c r="K70" s="1"/>
      <c r="L70" s="1">
        <f t="shared" ref="L70:L72" si="46">+D70-H70</f>
        <v>-24</v>
      </c>
      <c r="M70" s="1"/>
      <c r="N70" s="5">
        <f t="shared" ref="N70:N72" si="47">IF(H70=0,0,L70/H70)</f>
        <v>-0.25263157894736843</v>
      </c>
      <c r="O70" s="13"/>
      <c r="P70" s="1">
        <f>SUM(OSRRefP22_10x_0)</f>
        <v>355</v>
      </c>
      <c r="Q70" s="1"/>
      <c r="R70" s="5">
        <f t="shared" ref="R70:R72" si="48">IF(P$12=0,0,P70/P$12)</f>
        <v>2.1899569929459939E-3</v>
      </c>
      <c r="S70" s="1"/>
      <c r="T70" s="1">
        <f>SUM(OSRRefT22_10x_0)</f>
        <v>475</v>
      </c>
      <c r="U70" s="1"/>
      <c r="V70" s="5">
        <f t="shared" ref="V70:V72" si="49">IF(T$12=0,0,T70/T$12)</f>
        <v>2.4511195165876289E-3</v>
      </c>
      <c r="W70" s="1"/>
      <c r="X70" s="1">
        <f t="shared" ref="X70:X72" si="50">+P70-T70</f>
        <v>-120</v>
      </c>
      <c r="Y70" s="1"/>
      <c r="Z70" s="5">
        <f t="shared" ref="Z70:Z72" si="51">IF(T70=0,0,X70/T70)</f>
        <v>-0.25263157894736843</v>
      </c>
    </row>
    <row r="71" spans="1:26" s="24" customFormat="1" hidden="1" outlineLevel="2" x14ac:dyDescent="0.25">
      <c r="A71" s="25"/>
      <c r="B71" s="11" t="str">
        <f>CONCATENATE("          ", "6303", " - ", "DATA PHONE LINES")</f>
        <v xml:space="preserve">          6303 - DATA PHONE LINES</v>
      </c>
      <c r="C71" s="11"/>
      <c r="D71" s="6"/>
      <c r="E71" s="2"/>
      <c r="F71" s="7">
        <f t="shared" si="44"/>
        <v>0</v>
      </c>
      <c r="G71" s="2"/>
      <c r="H71" s="6">
        <v>50</v>
      </c>
      <c r="I71" s="2"/>
      <c r="J71" s="7">
        <f t="shared" si="45"/>
        <v>1.3970382788488405E-3</v>
      </c>
      <c r="K71" s="2"/>
      <c r="L71" s="6">
        <f t="shared" si="46"/>
        <v>-50</v>
      </c>
      <c r="M71" s="2"/>
      <c r="N71" s="7">
        <f t="shared" si="47"/>
        <v>-1</v>
      </c>
      <c r="O71" s="11"/>
      <c r="P71" s="6"/>
      <c r="Q71" s="2"/>
      <c r="R71" s="7">
        <f t="shared" si="48"/>
        <v>0</v>
      </c>
      <c r="S71" s="2"/>
      <c r="T71" s="6">
        <v>250</v>
      </c>
      <c r="U71" s="2"/>
      <c r="V71" s="7">
        <f t="shared" si="49"/>
        <v>1.2900629034671731E-3</v>
      </c>
      <c r="W71" s="2"/>
      <c r="X71" s="6">
        <f t="shared" si="50"/>
        <v>-250</v>
      </c>
      <c r="Y71" s="2"/>
      <c r="Z71" s="7">
        <f t="shared" si="51"/>
        <v>-1</v>
      </c>
    </row>
    <row r="72" spans="1:26" s="24" customFormat="1" hidden="1" outlineLevel="2" x14ac:dyDescent="0.25">
      <c r="A72" s="25"/>
      <c r="B72" s="11" t="str">
        <f>CONCATENATE("          ", "6309", " - ", "TELEPHONE")</f>
        <v xml:space="preserve">          6309 - TELEPHONE</v>
      </c>
      <c r="C72" s="11"/>
      <c r="D72" s="6">
        <v>71</v>
      </c>
      <c r="E72" s="2"/>
      <c r="F72" s="7">
        <f t="shared" si="44"/>
        <v>2.2035975126039574E-3</v>
      </c>
      <c r="G72" s="2"/>
      <c r="H72" s="6">
        <v>45</v>
      </c>
      <c r="I72" s="2"/>
      <c r="J72" s="7">
        <f t="shared" si="45"/>
        <v>1.2573344509639564E-3</v>
      </c>
      <c r="K72" s="2"/>
      <c r="L72" s="6">
        <f t="shared" si="46"/>
        <v>26</v>
      </c>
      <c r="M72" s="2"/>
      <c r="N72" s="7">
        <f t="shared" si="47"/>
        <v>0.57777777777777772</v>
      </c>
      <c r="O72" s="11"/>
      <c r="P72" s="6">
        <v>355</v>
      </c>
      <c r="Q72" s="2"/>
      <c r="R72" s="7">
        <f t="shared" si="48"/>
        <v>2.1899569929459939E-3</v>
      </c>
      <c r="S72" s="2"/>
      <c r="T72" s="6">
        <v>225</v>
      </c>
      <c r="U72" s="2"/>
      <c r="V72" s="7">
        <f t="shared" si="49"/>
        <v>1.1610566131204558E-3</v>
      </c>
      <c r="W72" s="2"/>
      <c r="X72" s="6">
        <f t="shared" si="50"/>
        <v>130</v>
      </c>
      <c r="Y72" s="2"/>
      <c r="Z72" s="7">
        <f t="shared" si="51"/>
        <v>0.57777777777777772</v>
      </c>
    </row>
    <row r="73" spans="1:26" s="26" customFormat="1" outlineLevel="1" collapsed="1" x14ac:dyDescent="0.25">
      <c r="A73" s="27"/>
      <c r="B73" s="13" t="str">
        <f>CONCATENATE("     ","Training                                          ")</f>
        <v xml:space="preserve">     Training                                          </v>
      </c>
      <c r="C73" s="13"/>
      <c r="D73" s="1">
        <f>SUM(OSRRefD22_11x_0)</f>
        <v>0</v>
      </c>
      <c r="E73" s="1"/>
      <c r="F73" s="5">
        <f t="shared" ref="F73:F74" si="52">IF(D$12=0,0,D73/D$12)</f>
        <v>0</v>
      </c>
      <c r="G73" s="1"/>
      <c r="H73" s="1">
        <f>SUM(OSRRefH22_11x_0)</f>
        <v>0</v>
      </c>
      <c r="I73" s="1"/>
      <c r="J73" s="5">
        <f t="shared" ref="J73:J74" si="53">IF(H$12=0,0,H73/H$12)</f>
        <v>0</v>
      </c>
      <c r="K73" s="1"/>
      <c r="L73" s="1">
        <f t="shared" ref="L73:L74" si="54">+D73-H73</f>
        <v>0</v>
      </c>
      <c r="M73" s="1"/>
      <c r="N73" s="5">
        <f t="shared" ref="N73:N74" si="55">IF(H73=0,0,L73/H73)</f>
        <v>0</v>
      </c>
      <c r="O73" s="13"/>
      <c r="P73" s="1">
        <f>SUM(OSRRefP22_11x_0)</f>
        <v>0</v>
      </c>
      <c r="Q73" s="1"/>
      <c r="R73" s="5">
        <f t="shared" ref="R73:R74" si="56">IF(P$12=0,0,P73/P$12)</f>
        <v>0</v>
      </c>
      <c r="S73" s="1"/>
      <c r="T73" s="1">
        <f>SUM(OSRRefT22_11x_0)</f>
        <v>300</v>
      </c>
      <c r="U73" s="1"/>
      <c r="V73" s="5">
        <f t="shared" ref="V73:V74" si="57">IF(T$12=0,0,T73/T$12)</f>
        <v>1.5480754841606078E-3</v>
      </c>
      <c r="W73" s="1"/>
      <c r="X73" s="1">
        <f t="shared" ref="X73:X74" si="58">+P73-T73</f>
        <v>-300</v>
      </c>
      <c r="Y73" s="1"/>
      <c r="Z73" s="5">
        <f t="shared" ref="Z73:Z74" si="59">IF(T73=0,0,X73/T73)</f>
        <v>-1</v>
      </c>
    </row>
    <row r="74" spans="1:26" s="24" customFormat="1" hidden="1" outlineLevel="2" x14ac:dyDescent="0.25">
      <c r="A74" s="25"/>
      <c r="B74" s="11" t="str">
        <f>CONCATENATE("          ", "6376", " - ", "TRAINING")</f>
        <v xml:space="preserve">          6376 - TRAINING</v>
      </c>
      <c r="C74" s="11"/>
      <c r="D74" s="6"/>
      <c r="E74" s="2"/>
      <c r="F74" s="7">
        <f t="shared" si="52"/>
        <v>0</v>
      </c>
      <c r="G74" s="2"/>
      <c r="H74" s="6"/>
      <c r="I74" s="2"/>
      <c r="J74" s="7">
        <f t="shared" si="53"/>
        <v>0</v>
      </c>
      <c r="K74" s="2"/>
      <c r="L74" s="6">
        <f t="shared" si="54"/>
        <v>0</v>
      </c>
      <c r="M74" s="2"/>
      <c r="N74" s="7">
        <f t="shared" si="55"/>
        <v>0</v>
      </c>
      <c r="O74" s="11"/>
      <c r="P74" s="6"/>
      <c r="Q74" s="2"/>
      <c r="R74" s="7">
        <f t="shared" si="56"/>
        <v>0</v>
      </c>
      <c r="S74" s="2"/>
      <c r="T74" s="6">
        <v>300</v>
      </c>
      <c r="U74" s="2"/>
      <c r="V74" s="7">
        <f t="shared" si="57"/>
        <v>1.5480754841606078E-3</v>
      </c>
      <c r="W74" s="2"/>
      <c r="X74" s="6">
        <f t="shared" si="58"/>
        <v>-300</v>
      </c>
      <c r="Y74" s="2"/>
      <c r="Z74" s="7">
        <f t="shared" si="59"/>
        <v>-1</v>
      </c>
    </row>
    <row r="75" spans="1:26" s="59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collapsed="1" x14ac:dyDescent="0.25">
      <c r="A76" s="10"/>
      <c r="B76" s="29" t="s">
        <v>0</v>
      </c>
      <c r="C76" s="10"/>
      <c r="D76" s="4">
        <f>SUM(OSRRefD25x_0)</f>
        <v>77</v>
      </c>
      <c r="E76" s="4"/>
      <c r="F76" s="12">
        <f t="shared" ref="F76:F77" si="60">IF(D$12=0,0,D76/D$12)</f>
        <v>2.3898170207113339E-3</v>
      </c>
      <c r="G76" s="4"/>
      <c r="H76" s="4">
        <f>SUM(OSRRefH25x_0)</f>
        <v>0</v>
      </c>
      <c r="I76" s="4"/>
      <c r="J76" s="12">
        <f t="shared" ref="J76:J77" si="61">IF(H$12=0,0,H76/H$12)</f>
        <v>0</v>
      </c>
      <c r="K76" s="4"/>
      <c r="L76" s="4">
        <f t="shared" ref="L76:L77" si="62">+D76-H76</f>
        <v>77</v>
      </c>
      <c r="M76" s="4"/>
      <c r="N76" s="12">
        <f t="shared" ref="N76:N77" si="63">IF(H76=0,0,L76/H76)</f>
        <v>0</v>
      </c>
      <c r="O76" s="10"/>
      <c r="P76" s="4">
        <f>SUM(OSRRefP25x_0)</f>
        <v>356</v>
      </c>
      <c r="Q76" s="4"/>
      <c r="R76" s="12">
        <f t="shared" ref="R76:R77" si="64">IF(P$12=0,0,P76/P$12)</f>
        <v>2.1961258858838703E-3</v>
      </c>
      <c r="S76" s="4"/>
      <c r="T76" s="4">
        <f>SUM(OSRRefT25x_0)</f>
        <v>0</v>
      </c>
      <c r="U76" s="4"/>
      <c r="V76" s="12">
        <f t="shared" ref="V76:V77" si="65">IF(T$12=0,0,T76/T$12)</f>
        <v>0</v>
      </c>
      <c r="W76" s="4"/>
      <c r="X76" s="4">
        <f t="shared" ref="X76:X77" si="66">+P76-T76</f>
        <v>356</v>
      </c>
      <c r="Y76" s="4"/>
      <c r="Z76" s="12">
        <f t="shared" ref="Z76:Z77" si="67">IF(T76=0,0,X76/T76)</f>
        <v>0</v>
      </c>
    </row>
    <row r="77" spans="1:26" s="24" customFormat="1" hidden="1" outlineLevel="1" x14ac:dyDescent="0.25">
      <c r="A77" s="44"/>
      <c r="B77" s="11" t="str">
        <f>CONCATENATE("          ", "9150", " - ", "MISC. INCOME")</f>
        <v xml:space="preserve">          9150 - MISC. INCOME</v>
      </c>
      <c r="C77" s="11"/>
      <c r="D77" s="2">
        <f>--77</f>
        <v>77</v>
      </c>
      <c r="E77" s="2"/>
      <c r="F77" s="19">
        <f t="shared" si="60"/>
        <v>2.3898170207113339E-3</v>
      </c>
      <c r="G77" s="2"/>
      <c r="H77" s="2"/>
      <c r="I77" s="2"/>
      <c r="J77" s="19">
        <f t="shared" si="61"/>
        <v>0</v>
      </c>
      <c r="K77" s="2"/>
      <c r="L77" s="2">
        <f t="shared" si="62"/>
        <v>77</v>
      </c>
      <c r="M77" s="2"/>
      <c r="N77" s="19">
        <f t="shared" si="63"/>
        <v>0</v>
      </c>
      <c r="O77" s="11"/>
      <c r="P77" s="2">
        <f>--356</f>
        <v>356</v>
      </c>
      <c r="Q77" s="2"/>
      <c r="R77" s="19">
        <f t="shared" si="64"/>
        <v>2.1961258858838703E-3</v>
      </c>
      <c r="S77" s="2"/>
      <c r="T77" s="2"/>
      <c r="U77" s="2"/>
      <c r="V77" s="19">
        <f t="shared" si="65"/>
        <v>0</v>
      </c>
      <c r="W77" s="2"/>
      <c r="X77" s="2">
        <f t="shared" si="66"/>
        <v>356</v>
      </c>
      <c r="Y77" s="2"/>
      <c r="Z77" s="19">
        <f t="shared" si="67"/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8" t="s">
        <v>3</v>
      </c>
      <c r="C79" s="28"/>
      <c r="D79" s="20">
        <f>+D23-D25+D76</f>
        <v>3037.7499999999964</v>
      </c>
      <c r="E79" s="14"/>
      <c r="F79" s="22">
        <f>IF(D$12=0,0,D79/D$12)</f>
        <v>9.428138512553047E-2</v>
      </c>
      <c r="G79" s="14"/>
      <c r="H79" s="20">
        <f>+H23-H25+H76</f>
        <v>5529.8543882999984</v>
      </c>
      <c r="I79" s="14"/>
      <c r="J79" s="22">
        <f>IF(H$12=0,0,H79/H$12)</f>
        <v>0.15450836513830674</v>
      </c>
      <c r="K79" s="16"/>
      <c r="L79" s="20">
        <f>+D79-H79</f>
        <v>-2492.104388300002</v>
      </c>
      <c r="M79" s="16"/>
      <c r="N79" s="22">
        <f>IF(H79=0,0,L79/H79)</f>
        <v>-0.45066365464753783</v>
      </c>
      <c r="O79" s="29"/>
      <c r="P79" s="20">
        <f>+P23-P25+P76</f>
        <v>7543.7500000000291</v>
      </c>
      <c r="Q79" s="14"/>
      <c r="R79" s="22">
        <f>IF(P$12=0,0,P79/P$12)</f>
        <v>4.6536586100102556E-2</v>
      </c>
      <c r="S79" s="14"/>
      <c r="T79" s="20">
        <f>+T23-T25+T76</f>
        <v>39755.657550649994</v>
      </c>
      <c r="U79" s="14"/>
      <c r="V79" s="22">
        <f>IF(T$12=0,0,T79/T$12)</f>
        <v>0.2051491960361527</v>
      </c>
      <c r="W79" s="16"/>
      <c r="X79" s="20">
        <f>+P79-T79</f>
        <v>-32211.907550649965</v>
      </c>
      <c r="Y79" s="16"/>
      <c r="Z79" s="22">
        <f>IF(T79=0,0,X79/T79)</f>
        <v>-0.81024713299260498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14</v>
      </c>
      <c r="C81" s="10"/>
      <c r="D81" s="4">
        <v>4091.27</v>
      </c>
      <c r="E81" s="4"/>
      <c r="F81" s="12">
        <f>IF(D$12=0,0,D81/D$12)</f>
        <v>0.12697904782241115</v>
      </c>
      <c r="G81" s="4"/>
      <c r="H81" s="4">
        <v>5532</v>
      </c>
      <c r="I81" s="4"/>
      <c r="J81" s="12">
        <f>IF(H$12=0,0,H81/H$12)</f>
        <v>0.1545683151718357</v>
      </c>
      <c r="K81" s="4"/>
      <c r="L81" s="4">
        <f>+D81-H81</f>
        <v>-1440.73</v>
      </c>
      <c r="M81" s="4"/>
      <c r="N81" s="12">
        <f>IF(H81=0,0,L81/H81)</f>
        <v>-0.26043564714389011</v>
      </c>
      <c r="O81" s="10"/>
      <c r="P81" s="4">
        <v>17165.68</v>
      </c>
      <c r="Q81" s="4"/>
      <c r="R81" s="12">
        <f>IF(P$12=0,0,P81/P$12)</f>
        <v>0.10589324212583998</v>
      </c>
      <c r="S81" s="4"/>
      <c r="T81" s="4">
        <v>24559</v>
      </c>
      <c r="U81" s="4"/>
      <c r="V81" s="12">
        <f>IF(T$12=0,0,T81/T$12)</f>
        <v>0.12673061938500121</v>
      </c>
      <c r="W81" s="4"/>
      <c r="X81" s="4">
        <f>+P81-T81</f>
        <v>-7393.32</v>
      </c>
      <c r="Y81" s="4"/>
      <c r="Z81" s="12">
        <f>IF(T81=0,0,X81/T81)</f>
        <v>-0.30104320208477542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8" t="s">
        <v>4</v>
      </c>
      <c r="C83" s="28"/>
      <c r="D83" s="30">
        <f>+D79-D81</f>
        <v>-1053.5200000000036</v>
      </c>
      <c r="E83" s="14"/>
      <c r="F83" s="32">
        <f>IF(D$12=0,0,D83/D$12)</f>
        <v>-3.2697662696880687E-2</v>
      </c>
      <c r="G83" s="14"/>
      <c r="H83" s="30">
        <f>+H79-H81</f>
        <v>-2.1456117000016093</v>
      </c>
      <c r="I83" s="14"/>
      <c r="J83" s="32">
        <f>IF(H$12=0,0,H83/H$12)</f>
        <v>-5.9950033528963657E-5</v>
      </c>
      <c r="K83" s="16"/>
      <c r="L83" s="30">
        <f>D83-H83</f>
        <v>-1051.374388300002</v>
      </c>
      <c r="M83" s="16"/>
      <c r="N83" s="32">
        <f>IF(H83=0,0,L83/H83)</f>
        <v>490.01149103503371</v>
      </c>
      <c r="O83" s="29"/>
      <c r="P83" s="30">
        <f>+P79-P81</f>
        <v>-9621.9299999999712</v>
      </c>
      <c r="Q83" s="14"/>
      <c r="R83" s="32">
        <f>IF(P$12=0,0,P83/P$12)</f>
        <v>-5.9356656025737427E-2</v>
      </c>
      <c r="S83" s="14"/>
      <c r="T83" s="30">
        <f>+T79-T81</f>
        <v>15196.657550649994</v>
      </c>
      <c r="U83" s="14"/>
      <c r="V83" s="32">
        <f>IF(T$12=0,0,T83/T$12)</f>
        <v>7.8418576651151484E-2</v>
      </c>
      <c r="W83" s="16"/>
      <c r="X83" s="30">
        <f>P83-T83</f>
        <v>-24818.587550649965</v>
      </c>
      <c r="Y83" s="16"/>
      <c r="Z83" s="32">
        <f>IF(T83=0,0,X83/T83)</f>
        <v>-1.6331609413405792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8" t="s">
        <v>5</v>
      </c>
      <c r="C86" s="28"/>
      <c r="D86" s="31">
        <f>SUM(D83:D85)</f>
        <v>-1053.5200000000036</v>
      </c>
      <c r="E86" s="14"/>
      <c r="F86" s="35">
        <f>IF(D$12=0,0,D86/D$12)</f>
        <v>-3.2697662696880687E-2</v>
      </c>
      <c r="G86" s="14"/>
      <c r="H86" s="31">
        <f>SUM(H83:H85)</f>
        <v>-2.1456117000016093</v>
      </c>
      <c r="I86" s="14"/>
      <c r="J86" s="35">
        <f>IF(H$12=0,0,H86/H$12)</f>
        <v>-5.9950033528963657E-5</v>
      </c>
      <c r="K86" s="16"/>
      <c r="L86" s="31">
        <f>+D86-H86</f>
        <v>-1051.374388300002</v>
      </c>
      <c r="M86" s="16"/>
      <c r="N86" s="35">
        <f>IF(H86=0,0,L86/H86)</f>
        <v>490.01149103503371</v>
      </c>
      <c r="O86" s="29"/>
      <c r="P86" s="31">
        <f>SUM(P83:P85)</f>
        <v>-9621.9299999999712</v>
      </c>
      <c r="Q86" s="14"/>
      <c r="R86" s="35">
        <f>IF(P$12=0,0,P86/P$12)</f>
        <v>-5.9356656025737427E-2</v>
      </c>
      <c r="S86" s="14"/>
      <c r="T86" s="31">
        <f>SUM(T83:T85)</f>
        <v>15196.657550649994</v>
      </c>
      <c r="U86" s="14"/>
      <c r="V86" s="35">
        <f>IF(T$12=0,0,T86/T$12)</f>
        <v>7.8418576651151484E-2</v>
      </c>
      <c r="W86" s="16"/>
      <c r="X86" s="31">
        <f>+P86-T86</f>
        <v>-24818.587550649965</v>
      </c>
      <c r="Y86" s="16"/>
      <c r="Z86" s="35">
        <f>IF(T86=0,0,X86/T86)</f>
        <v>-1.6331609413405792</v>
      </c>
    </row>
    <row r="87" spans="1:26" ht="15.75" thickTop="1" x14ac:dyDescent="0.25">
      <c r="A87" s="9"/>
      <c r="C87" s="9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56">
        <v>43815.484020983793</v>
      </c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62" t="s">
        <v>314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58"/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","414", " - ", "Starbucks UDP")</f>
        <v>Department 414 - Starbucks UDP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79823.47</v>
      </c>
      <c r="E12" s="4"/>
      <c r="F12" s="12"/>
      <c r="G12" s="4"/>
      <c r="H12" s="4">
        <f>SUM(OSRRefH13x_0)</f>
        <v>75000</v>
      </c>
      <c r="I12" s="4"/>
      <c r="J12" s="12"/>
      <c r="K12" s="4"/>
      <c r="L12" s="4">
        <f t="shared" ref="L12:L16" si="0">+D12-H12</f>
        <v>4823.4700000000012</v>
      </c>
      <c r="M12" s="4"/>
      <c r="N12" s="12">
        <f t="shared" ref="N12:N16" si="1">IF(H12=0,0,L12/H12)</f>
        <v>6.431293333333335E-2</v>
      </c>
      <c r="O12" s="10"/>
      <c r="P12" s="4">
        <f>SUM(OSRRefP13x_0)</f>
        <v>351689.67000000004</v>
      </c>
      <c r="Q12" s="4"/>
      <c r="R12" s="12"/>
      <c r="S12" s="4"/>
      <c r="T12" s="4">
        <f>SUM(OSRRefT13x_0)</f>
        <v>384800</v>
      </c>
      <c r="U12" s="4"/>
      <c r="V12" s="12"/>
      <c r="W12" s="4"/>
      <c r="X12" s="4">
        <f t="shared" ref="X12:X16" si="2">+P12-T12</f>
        <v>-33110.329999999958</v>
      </c>
      <c r="Y12" s="4"/>
      <c r="Z12" s="12">
        <f t="shared" ref="Z12:Z16" si="3">IF(T12=0,0,X12/T12)</f>
        <v>-8.604555613305602E-2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45000</v>
      </c>
      <c r="I13" s="2"/>
      <c r="J13" s="19"/>
      <c r="K13" s="2"/>
      <c r="L13" s="2">
        <f t="shared" si="0"/>
        <v>-45000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156200</v>
      </c>
      <c r="U13" s="2"/>
      <c r="V13" s="19"/>
      <c r="W13" s="2"/>
      <c r="X13" s="2">
        <f t="shared" si="2"/>
        <v>-156200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"4058", " - ", "TAXABLE SALES-FOOD")</f>
        <v xml:space="preserve">          4058 - TAXABLE SALES-FOOD</v>
      </c>
      <c r="C14" s="11"/>
      <c r="D14" s="2">
        <f>--14656.48</f>
        <v>14656.48</v>
      </c>
      <c r="E14" s="2"/>
      <c r="F14" s="19"/>
      <c r="G14" s="2"/>
      <c r="H14" s="2"/>
      <c r="I14" s="2"/>
      <c r="J14" s="19"/>
      <c r="K14" s="2"/>
      <c r="L14" s="2">
        <f t="shared" si="0"/>
        <v>14656.48</v>
      </c>
      <c r="M14" s="2"/>
      <c r="N14" s="19">
        <f t="shared" si="1"/>
        <v>0</v>
      </c>
      <c r="O14" s="11"/>
      <c r="P14" s="2">
        <f>--78802.41</f>
        <v>78802.41</v>
      </c>
      <c r="Q14" s="2"/>
      <c r="R14" s="19"/>
      <c r="S14" s="2"/>
      <c r="T14" s="2"/>
      <c r="U14" s="2"/>
      <c r="V14" s="19"/>
      <c r="W14" s="2"/>
      <c r="X14" s="2">
        <f t="shared" si="2"/>
        <v>78802.41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30000</v>
      </c>
      <c r="I15" s="2"/>
      <c r="J15" s="19"/>
      <c r="K15" s="2"/>
      <c r="L15" s="2">
        <f t="shared" si="0"/>
        <v>-30000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228600</v>
      </c>
      <c r="U15" s="2"/>
      <c r="V15" s="19"/>
      <c r="W15" s="2"/>
      <c r="X15" s="2">
        <f t="shared" si="2"/>
        <v>-228600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"4158", " - ", "NON-TAXABLE SALES-FOOD")</f>
        <v xml:space="preserve">          4158 - NON-TAXABLE SALES-FOOD</v>
      </c>
      <c r="C16" s="11"/>
      <c r="D16" s="2">
        <f>--65166.99</f>
        <v>65166.99</v>
      </c>
      <c r="E16" s="2"/>
      <c r="F16" s="19"/>
      <c r="G16" s="2"/>
      <c r="H16" s="2"/>
      <c r="I16" s="2"/>
      <c r="J16" s="19"/>
      <c r="K16" s="2"/>
      <c r="L16" s="2">
        <f t="shared" si="0"/>
        <v>65166.99</v>
      </c>
      <c r="M16" s="2"/>
      <c r="N16" s="19">
        <f t="shared" si="1"/>
        <v>0</v>
      </c>
      <c r="O16" s="11"/>
      <c r="P16" s="2">
        <f>--272887.26</f>
        <v>272887.26</v>
      </c>
      <c r="Q16" s="2"/>
      <c r="R16" s="19"/>
      <c r="S16" s="2"/>
      <c r="T16" s="2"/>
      <c r="U16" s="2"/>
      <c r="V16" s="19"/>
      <c r="W16" s="2"/>
      <c r="X16" s="2">
        <f t="shared" si="2"/>
        <v>272887.26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21736.04</v>
      </c>
      <c r="E18" s="4"/>
      <c r="F18" s="12">
        <f t="shared" ref="F18:F21" si="4">IF(D$12=0,0,D18/D$12)</f>
        <v>0.27230136700396512</v>
      </c>
      <c r="G18" s="4"/>
      <c r="H18" s="4">
        <f>SUM(OSRRefH16x_0)</f>
        <v>25000</v>
      </c>
      <c r="I18" s="4"/>
      <c r="J18" s="12">
        <f t="shared" ref="J18:J21" si="5">IF(H$12=0,0,H18/H$12)</f>
        <v>0.33333333333333331</v>
      </c>
      <c r="K18" s="4"/>
      <c r="L18" s="4">
        <f t="shared" ref="L18:L21" si="6">+D18-H18</f>
        <v>-3263.9599999999991</v>
      </c>
      <c r="M18" s="4"/>
      <c r="N18" s="12">
        <f t="shared" ref="N18:N21" si="7">IF(H18=0,0,L18/H18)</f>
        <v>-0.13055839999999996</v>
      </c>
      <c r="O18" s="10"/>
      <c r="P18" s="4">
        <f>SUM(OSRRefP16x_0)</f>
        <v>114091.54999999999</v>
      </c>
      <c r="Q18" s="4"/>
      <c r="R18" s="12">
        <f t="shared" ref="R18:R21" si="8">IF(P$12=0,0,P18/P$12)</f>
        <v>0.32440972747365587</v>
      </c>
      <c r="S18" s="4"/>
      <c r="T18" s="4">
        <f>SUM(OSRRefT16x_0)</f>
        <v>122300</v>
      </c>
      <c r="U18" s="4"/>
      <c r="V18" s="12">
        <f t="shared" ref="V18:V21" si="9">IF(T$12=0,0,T18/T$12)</f>
        <v>0.31782744282744285</v>
      </c>
      <c r="W18" s="4"/>
      <c r="X18" s="4">
        <f t="shared" ref="X18:X21" si="10">+P18-T18</f>
        <v>-8208.4500000000116</v>
      </c>
      <c r="Y18" s="4"/>
      <c r="Z18" s="12">
        <f t="shared" ref="Z18:Z21" si="11">IF(T18=0,0,X18/T18)</f>
        <v>-6.7117334423548752E-2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25000</v>
      </c>
      <c r="I19" s="2"/>
      <c r="J19" s="19">
        <f t="shared" si="5"/>
        <v>0.33333333333333331</v>
      </c>
      <c r="K19" s="2"/>
      <c r="L19" s="2">
        <f t="shared" si="6"/>
        <v>-25000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122300</v>
      </c>
      <c r="U19" s="2"/>
      <c r="V19" s="19">
        <f t="shared" si="9"/>
        <v>0.31782744282744285</v>
      </c>
      <c r="W19" s="2"/>
      <c r="X19" s="2">
        <f t="shared" si="10"/>
        <v>-122300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24607.040000000001</v>
      </c>
      <c r="E20" s="2"/>
      <c r="F20" s="19">
        <f t="shared" si="4"/>
        <v>0.30826823238829382</v>
      </c>
      <c r="G20" s="2"/>
      <c r="H20" s="2"/>
      <c r="I20" s="2"/>
      <c r="J20" s="19">
        <f t="shared" si="5"/>
        <v>0</v>
      </c>
      <c r="K20" s="2"/>
      <c r="L20" s="2">
        <f t="shared" si="6"/>
        <v>24607.040000000001</v>
      </c>
      <c r="M20" s="2"/>
      <c r="N20" s="19">
        <f t="shared" si="7"/>
        <v>0</v>
      </c>
      <c r="O20" s="11"/>
      <c r="P20" s="2">
        <v>113655.54999999999</v>
      </c>
      <c r="Q20" s="2"/>
      <c r="R20" s="19">
        <f t="shared" si="8"/>
        <v>0.32316999814069025</v>
      </c>
      <c r="S20" s="2"/>
      <c r="T20" s="2"/>
      <c r="U20" s="2"/>
      <c r="V20" s="19">
        <f t="shared" si="9"/>
        <v>0</v>
      </c>
      <c r="W20" s="2"/>
      <c r="X20" s="2">
        <f t="shared" si="10"/>
        <v>113655.54999999999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-2871</v>
      </c>
      <c r="E21" s="2"/>
      <c r="F21" s="19">
        <f t="shared" si="4"/>
        <v>-3.5966865384328695E-2</v>
      </c>
      <c r="G21" s="2"/>
      <c r="H21" s="2"/>
      <c r="I21" s="2"/>
      <c r="J21" s="19">
        <f t="shared" si="5"/>
        <v>0</v>
      </c>
      <c r="K21" s="2"/>
      <c r="L21" s="2">
        <f t="shared" si="6"/>
        <v>-2871</v>
      </c>
      <c r="M21" s="2"/>
      <c r="N21" s="19">
        <f t="shared" si="7"/>
        <v>0</v>
      </c>
      <c r="O21" s="11"/>
      <c r="P21" s="2">
        <v>436</v>
      </c>
      <c r="Q21" s="2"/>
      <c r="R21" s="19">
        <f t="shared" si="8"/>
        <v>1.2397293329656227E-3</v>
      </c>
      <c r="S21" s="2"/>
      <c r="T21" s="2"/>
      <c r="U21" s="2"/>
      <c r="V21" s="19">
        <f t="shared" si="9"/>
        <v>0</v>
      </c>
      <c r="W21" s="2"/>
      <c r="X21" s="2">
        <f t="shared" si="10"/>
        <v>436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D12-D18</f>
        <v>58087.43</v>
      </c>
      <c r="E23" s="14"/>
      <c r="F23" s="22">
        <f>IF(D$12=0,0,D23/D$12)</f>
        <v>0.72769863299603488</v>
      </c>
      <c r="G23" s="14"/>
      <c r="H23" s="20">
        <f>H12-H18</f>
        <v>50000</v>
      </c>
      <c r="I23" s="14"/>
      <c r="J23" s="22">
        <f>IF(H$12=0,0,H23/H$12)</f>
        <v>0.66666666666666663</v>
      </c>
      <c r="K23" s="16"/>
      <c r="L23" s="20">
        <f>+D23-H23</f>
        <v>8087.43</v>
      </c>
      <c r="M23" s="16"/>
      <c r="N23" s="22">
        <f>IF(H23=0,0,L23/H23)</f>
        <v>0.16174859999999999</v>
      </c>
      <c r="O23" s="29"/>
      <c r="P23" s="20">
        <f>P12-P18</f>
        <v>237598.12000000005</v>
      </c>
      <c r="Q23" s="14"/>
      <c r="R23" s="22">
        <f>IF(P$12=0,0,P23/P$12)</f>
        <v>0.67559027252634407</v>
      </c>
      <c r="S23" s="14"/>
      <c r="T23" s="20">
        <f>T12-T18</f>
        <v>262500</v>
      </c>
      <c r="U23" s="14"/>
      <c r="V23" s="22">
        <f>IF(T$12=0,0,T23/T$12)</f>
        <v>0.6821725571725572</v>
      </c>
      <c r="W23" s="16"/>
      <c r="X23" s="20">
        <f>+P23-T23</f>
        <v>-24901.879999999946</v>
      </c>
      <c r="Y23" s="16"/>
      <c r="Z23" s="22">
        <f>IF(T23=0,0,X23/T23)</f>
        <v>-9.4864304761904564E-2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33416.069999999992</v>
      </c>
      <c r="E25" s="21"/>
      <c r="F25" s="33">
        <f t="shared" ref="F25:F35" si="12">IF(D$12=0,0,D25/D$12)</f>
        <v>0.4186246225577514</v>
      </c>
      <c r="G25" s="21"/>
      <c r="H25" s="21">
        <f>SUM(OSRRefH22x_0)</f>
        <v>34789.964737200004</v>
      </c>
      <c r="I25" s="21"/>
      <c r="J25" s="33">
        <f t="shared" ref="J25:J35" si="13">IF(H$12=0,0,H25/H$12)</f>
        <v>0.46386619649600003</v>
      </c>
      <c r="K25" s="4"/>
      <c r="L25" s="21">
        <f t="shared" ref="L25:L35" si="14">+D25-H25</f>
        <v>-1373.8947372000111</v>
      </c>
      <c r="M25" s="4"/>
      <c r="N25" s="33">
        <f t="shared" ref="N25:N35" si="15">IF(H25=0,0,L25/H25)</f>
        <v>-3.9491121867420043E-2</v>
      </c>
      <c r="O25" s="10"/>
      <c r="P25" s="21">
        <f>SUM(OSRRefP22x_0)</f>
        <v>172470.55000000002</v>
      </c>
      <c r="Q25" s="21"/>
      <c r="R25" s="33">
        <f t="shared" ref="R25:R35" si="16">IF(P$12=0,0,P25/P$12)</f>
        <v>0.49040550437549102</v>
      </c>
      <c r="S25" s="21"/>
      <c r="T25" s="21">
        <f>SUM(OSRRefT22x_0)</f>
        <v>181399.64225959999</v>
      </c>
      <c r="U25" s="21"/>
      <c r="V25" s="33">
        <f t="shared" ref="V25:V35" si="17">IF(T$12=0,0,T25/T$12)</f>
        <v>0.47141279173492723</v>
      </c>
      <c r="W25" s="4"/>
      <c r="X25" s="21">
        <f t="shared" ref="X25:X35" si="18">+P25-T25</f>
        <v>-8929.0922595999727</v>
      </c>
      <c r="Y25" s="4"/>
      <c r="Z25" s="33">
        <f t="shared" ref="Z25:Z35" si="19">IF(T25=0,0,X25/T25)</f>
        <v>-4.9223317909423435E-2</v>
      </c>
    </row>
    <row r="26" spans="1:26" s="26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2575.96</v>
      </c>
      <c r="E26" s="1"/>
      <c r="F26" s="5">
        <f t="shared" si="12"/>
        <v>3.2270709354028336E-2</v>
      </c>
      <c r="G26" s="1"/>
      <c r="H26" s="1">
        <f>SUM(OSRRefH22_0x_0)</f>
        <v>4329.0287372000003</v>
      </c>
      <c r="I26" s="1"/>
      <c r="J26" s="5">
        <f t="shared" si="13"/>
        <v>5.7720383162666672E-2</v>
      </c>
      <c r="K26" s="1"/>
      <c r="L26" s="1">
        <f t="shared" si="14"/>
        <v>-1753.0687372000002</v>
      </c>
      <c r="M26" s="1"/>
      <c r="N26" s="5">
        <f t="shared" si="15"/>
        <v>-0.40495659502918396</v>
      </c>
      <c r="O26" s="13"/>
      <c r="P26" s="1">
        <f>SUM(OSRRefP22_0x_0)</f>
        <v>12257.609999999999</v>
      </c>
      <c r="Q26" s="1"/>
      <c r="R26" s="5">
        <f t="shared" si="16"/>
        <v>3.4853483185900792E-2</v>
      </c>
      <c r="S26" s="1"/>
      <c r="T26" s="1">
        <f>SUM(OSRRefT22_0x_0)</f>
        <v>22700.9942596</v>
      </c>
      <c r="U26" s="1"/>
      <c r="V26" s="5">
        <f t="shared" si="17"/>
        <v>5.8994267826403324E-2</v>
      </c>
      <c r="W26" s="1"/>
      <c r="X26" s="1">
        <f t="shared" si="18"/>
        <v>-10443.384259600001</v>
      </c>
      <c r="Y26" s="1"/>
      <c r="Z26" s="5">
        <f t="shared" si="19"/>
        <v>-0.46004083081883557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404.91</v>
      </c>
      <c r="E27" s="2"/>
      <c r="F27" s="7">
        <f t="shared" si="12"/>
        <v>5.0725682559277369E-3</v>
      </c>
      <c r="G27" s="2"/>
      <c r="H27" s="6">
        <v>666.27324120000003</v>
      </c>
      <c r="I27" s="2"/>
      <c r="J27" s="7">
        <f t="shared" si="13"/>
        <v>8.883643216000001E-3</v>
      </c>
      <c r="K27" s="2"/>
      <c r="L27" s="6">
        <f t="shared" si="14"/>
        <v>-261.3632412</v>
      </c>
      <c r="M27" s="2"/>
      <c r="N27" s="7">
        <f t="shared" si="15"/>
        <v>-0.3922763590644408</v>
      </c>
      <c r="O27" s="11"/>
      <c r="P27" s="6">
        <v>3303.54</v>
      </c>
      <c r="Q27" s="2"/>
      <c r="R27" s="7">
        <f t="shared" si="16"/>
        <v>9.3933381665716811E-3</v>
      </c>
      <c r="S27" s="2"/>
      <c r="T27" s="6">
        <v>4281.9851315999995</v>
      </c>
      <c r="U27" s="2"/>
      <c r="V27" s="7">
        <f t="shared" si="17"/>
        <v>1.1127819988565487E-2</v>
      </c>
      <c r="W27" s="2"/>
      <c r="X27" s="6">
        <f t="shared" si="18"/>
        <v>-978.44513159999951</v>
      </c>
      <c r="Y27" s="2"/>
      <c r="Z27" s="7">
        <f t="shared" si="19"/>
        <v>-0.22850269244965718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865.81</v>
      </c>
      <c r="E28" s="2"/>
      <c r="F28" s="7">
        <f t="shared" si="12"/>
        <v>1.0846559288890847E-2</v>
      </c>
      <c r="G28" s="2"/>
      <c r="H28" s="6">
        <v>756.83435199999997</v>
      </c>
      <c r="I28" s="2"/>
      <c r="J28" s="7">
        <f t="shared" si="13"/>
        <v>1.0091124693333333E-2</v>
      </c>
      <c r="K28" s="2"/>
      <c r="L28" s="6">
        <f t="shared" si="14"/>
        <v>108.97564799999998</v>
      </c>
      <c r="M28" s="2"/>
      <c r="N28" s="7">
        <f t="shared" si="15"/>
        <v>0.14398877074226671</v>
      </c>
      <c r="O28" s="11"/>
      <c r="P28" s="6">
        <v>2323.54</v>
      </c>
      <c r="Q28" s="2"/>
      <c r="R28" s="7">
        <f t="shared" si="16"/>
        <v>6.6067905833003277E-3</v>
      </c>
      <c r="S28" s="2"/>
      <c r="T28" s="6">
        <v>3684.1267360000002</v>
      </c>
      <c r="U28" s="2"/>
      <c r="V28" s="7">
        <f t="shared" si="17"/>
        <v>9.5741339293139299E-3</v>
      </c>
      <c r="W28" s="2"/>
      <c r="X28" s="6">
        <f t="shared" si="18"/>
        <v>-1360.5867360000002</v>
      </c>
      <c r="Y28" s="2"/>
      <c r="Z28" s="7">
        <f t="shared" si="19"/>
        <v>-0.36931051331780246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650.39</v>
      </c>
      <c r="E29" s="2"/>
      <c r="F29" s="7">
        <f t="shared" si="12"/>
        <v>8.147854258904054E-3</v>
      </c>
      <c r="G29" s="2"/>
      <c r="H29" s="6">
        <v>1381</v>
      </c>
      <c r="I29" s="2"/>
      <c r="J29" s="7">
        <f t="shared" si="13"/>
        <v>1.8413333333333334E-2</v>
      </c>
      <c r="K29" s="2"/>
      <c r="L29" s="6">
        <f t="shared" si="14"/>
        <v>-730.61</v>
      </c>
      <c r="M29" s="2"/>
      <c r="N29" s="7">
        <f t="shared" si="15"/>
        <v>-0.52904417089065892</v>
      </c>
      <c r="O29" s="11"/>
      <c r="P29" s="6">
        <v>3251.95</v>
      </c>
      <c r="Q29" s="2"/>
      <c r="R29" s="7">
        <f t="shared" si="16"/>
        <v>9.2466463402237527E-3</v>
      </c>
      <c r="S29" s="2"/>
      <c r="T29" s="6">
        <v>6905</v>
      </c>
      <c r="U29" s="2"/>
      <c r="V29" s="7">
        <f t="shared" si="17"/>
        <v>1.7944386694386694E-2</v>
      </c>
      <c r="W29" s="2"/>
      <c r="X29" s="6">
        <f t="shared" si="18"/>
        <v>-3653.05</v>
      </c>
      <c r="Y29" s="2"/>
      <c r="Z29" s="7">
        <f t="shared" si="19"/>
        <v>-0.52904417089065892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58.02</v>
      </c>
      <c r="E30" s="2"/>
      <c r="F30" s="7">
        <f t="shared" si="12"/>
        <v>7.2685389397378992E-4</v>
      </c>
      <c r="G30" s="2"/>
      <c r="H30" s="6">
        <v>60.517704000000002</v>
      </c>
      <c r="I30" s="2"/>
      <c r="J30" s="7">
        <f t="shared" si="13"/>
        <v>8.0690272000000002E-4</v>
      </c>
      <c r="K30" s="2"/>
      <c r="L30" s="6">
        <f t="shared" si="14"/>
        <v>-2.4977039999999988</v>
      </c>
      <c r="M30" s="2"/>
      <c r="N30" s="7">
        <f t="shared" si="15"/>
        <v>-4.1272286205702696E-2</v>
      </c>
      <c r="O30" s="11"/>
      <c r="P30" s="6">
        <v>239.84</v>
      </c>
      <c r="Q30" s="2"/>
      <c r="R30" s="7">
        <f t="shared" si="16"/>
        <v>6.8196486976714434E-4</v>
      </c>
      <c r="S30" s="2"/>
      <c r="T30" s="6">
        <v>298.45847199999997</v>
      </c>
      <c r="U30" s="2"/>
      <c r="V30" s="7">
        <f t="shared" si="17"/>
        <v>7.7561972972972962E-4</v>
      </c>
      <c r="W30" s="2"/>
      <c r="X30" s="6">
        <f t="shared" si="18"/>
        <v>-58.618471999999969</v>
      </c>
      <c r="Y30" s="2"/>
      <c r="Z30" s="7">
        <f t="shared" si="19"/>
        <v>-0.1964041148076372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2"/>
        <v>0</v>
      </c>
      <c r="G31" s="2"/>
      <c r="H31" s="6">
        <v>422.34944000000002</v>
      </c>
      <c r="I31" s="2"/>
      <c r="J31" s="7">
        <f t="shared" si="13"/>
        <v>5.6313258666666668E-3</v>
      </c>
      <c r="K31" s="2"/>
      <c r="L31" s="6">
        <f t="shared" si="14"/>
        <v>-422.34944000000002</v>
      </c>
      <c r="M31" s="2"/>
      <c r="N31" s="7">
        <f t="shared" si="15"/>
        <v>-1</v>
      </c>
      <c r="O31" s="11"/>
      <c r="P31" s="6"/>
      <c r="Q31" s="2"/>
      <c r="R31" s="7">
        <f t="shared" si="16"/>
        <v>0</v>
      </c>
      <c r="S31" s="2"/>
      <c r="T31" s="6">
        <v>2322.9219199999998</v>
      </c>
      <c r="U31" s="2"/>
      <c r="V31" s="7">
        <f t="shared" si="17"/>
        <v>6.0366993762993757E-3</v>
      </c>
      <c r="W31" s="2"/>
      <c r="X31" s="6">
        <f t="shared" si="18"/>
        <v>-2322.9219199999998</v>
      </c>
      <c r="Y31" s="2"/>
      <c r="Z31" s="7">
        <f t="shared" si="19"/>
        <v>-1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>
        <v>192.5</v>
      </c>
      <c r="E33" s="2"/>
      <c r="F33" s="7">
        <f t="shared" si="12"/>
        <v>2.4115714338151422E-3</v>
      </c>
      <c r="G33" s="2"/>
      <c r="H33" s="6">
        <v>245.55199999999999</v>
      </c>
      <c r="I33" s="2"/>
      <c r="J33" s="7">
        <f t="shared" si="13"/>
        <v>3.2740266666666665E-3</v>
      </c>
      <c r="K33" s="2"/>
      <c r="L33" s="6">
        <f t="shared" si="14"/>
        <v>-53.051999999999992</v>
      </c>
      <c r="M33" s="2"/>
      <c r="N33" s="7">
        <f t="shared" si="15"/>
        <v>-0.21605199713299014</v>
      </c>
      <c r="O33" s="11"/>
      <c r="P33" s="6">
        <v>1058.75</v>
      </c>
      <c r="Q33" s="2"/>
      <c r="R33" s="7">
        <f t="shared" si="16"/>
        <v>3.0104665854985158E-3</v>
      </c>
      <c r="S33" s="2"/>
      <c r="T33" s="6">
        <v>1350.5360000000001</v>
      </c>
      <c r="U33" s="2"/>
      <c r="V33" s="7">
        <f t="shared" si="17"/>
        <v>3.5097089397089398E-3</v>
      </c>
      <c r="W33" s="2"/>
      <c r="X33" s="6">
        <f t="shared" si="18"/>
        <v>-291.78600000000006</v>
      </c>
      <c r="Y33" s="2"/>
      <c r="Z33" s="7">
        <f t="shared" si="19"/>
        <v>-0.2160519971329902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>
        <v>230.62</v>
      </c>
      <c r="E34" s="2"/>
      <c r="F34" s="7">
        <f t="shared" si="12"/>
        <v>2.8891252159296008E-3</v>
      </c>
      <c r="G34" s="2"/>
      <c r="H34" s="6">
        <v>796.50199999999995</v>
      </c>
      <c r="I34" s="2"/>
      <c r="J34" s="7">
        <f t="shared" si="13"/>
        <v>1.0620026666666666E-2</v>
      </c>
      <c r="K34" s="2"/>
      <c r="L34" s="6">
        <f t="shared" si="14"/>
        <v>-565.88199999999995</v>
      </c>
      <c r="M34" s="2"/>
      <c r="N34" s="7">
        <f t="shared" si="15"/>
        <v>-0.71045898189835055</v>
      </c>
      <c r="O34" s="11"/>
      <c r="P34" s="6">
        <v>1268.4100000000001</v>
      </c>
      <c r="Q34" s="2"/>
      <c r="R34" s="7">
        <f t="shared" si="16"/>
        <v>3.606617163364508E-3</v>
      </c>
      <c r="S34" s="2"/>
      <c r="T34" s="6">
        <v>3857.9659999999999</v>
      </c>
      <c r="U34" s="2"/>
      <c r="V34" s="7">
        <f t="shared" si="17"/>
        <v>1.0025899168399167E-2</v>
      </c>
      <c r="W34" s="2"/>
      <c r="X34" s="6">
        <f t="shared" si="18"/>
        <v>-2589.5559999999996</v>
      </c>
      <c r="Y34" s="2"/>
      <c r="Z34" s="7">
        <f t="shared" si="19"/>
        <v>-0.67122312638317694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6">
        <v>173.71</v>
      </c>
      <c r="E35" s="2"/>
      <c r="F35" s="7">
        <f t="shared" si="12"/>
        <v>2.1761770065871606E-3</v>
      </c>
      <c r="G35" s="2"/>
      <c r="H35" s="6"/>
      <c r="I35" s="2"/>
      <c r="J35" s="7">
        <f t="shared" si="13"/>
        <v>0</v>
      </c>
      <c r="K35" s="2"/>
      <c r="L35" s="6">
        <f t="shared" si="14"/>
        <v>173.71</v>
      </c>
      <c r="M35" s="2"/>
      <c r="N35" s="7">
        <f t="shared" si="15"/>
        <v>0</v>
      </c>
      <c r="O35" s="11"/>
      <c r="P35" s="6">
        <v>811.58</v>
      </c>
      <c r="Q35" s="2"/>
      <c r="R35" s="7">
        <f t="shared" si="16"/>
        <v>2.3076594771748627E-3</v>
      </c>
      <c r="S35" s="2"/>
      <c r="T35" s="6"/>
      <c r="U35" s="2"/>
      <c r="V35" s="7">
        <f t="shared" si="17"/>
        <v>0</v>
      </c>
      <c r="W35" s="2"/>
      <c r="X35" s="6">
        <f t="shared" si="18"/>
        <v>811.58</v>
      </c>
      <c r="Y35" s="2"/>
      <c r="Z35" s="7">
        <f t="shared" si="19"/>
        <v>0</v>
      </c>
    </row>
    <row r="36" spans="1:26" s="26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18542.16</v>
      </c>
      <c r="E36" s="1"/>
      <c r="F36" s="5">
        <f t="shared" ref="F36:F46" si="20">IF(D$12=0,0,D36/D$12)</f>
        <v>0.23228957598560923</v>
      </c>
      <c r="G36" s="1"/>
      <c r="H36" s="1">
        <f>SUM(OSRRefH22_1x_0)</f>
        <v>19014.936000000002</v>
      </c>
      <c r="I36" s="1"/>
      <c r="J36" s="5">
        <f t="shared" ref="J36:J46" si="21">IF(H$12=0,0,H36/H$12)</f>
        <v>0.25353248</v>
      </c>
      <c r="K36" s="1"/>
      <c r="L36" s="1">
        <f t="shared" ref="L36:L46" si="22">+D36-H36</f>
        <v>-472.77600000000166</v>
      </c>
      <c r="M36" s="1"/>
      <c r="N36" s="5">
        <f t="shared" ref="N36:N46" si="23">IF(H36=0,0,L36/H36)</f>
        <v>-2.4863402117156829E-2</v>
      </c>
      <c r="O36" s="13"/>
      <c r="P36" s="1">
        <f>SUM(OSRRefP22_1x_0)</f>
        <v>99845.26</v>
      </c>
      <c r="Q36" s="1"/>
      <c r="R36" s="5">
        <f t="shared" ref="R36:R46" si="24">IF(P$12=0,0,P36/P$12)</f>
        <v>0.28390159995316322</v>
      </c>
      <c r="S36" s="1"/>
      <c r="T36" s="1">
        <f>SUM(OSRRefT22_1x_0)</f>
        <v>92250.648000000001</v>
      </c>
      <c r="U36" s="1"/>
      <c r="V36" s="5">
        <f t="shared" ref="V36:V46" si="25">IF(T$12=0,0,T36/T$12)</f>
        <v>0.23973661122661122</v>
      </c>
      <c r="W36" s="1"/>
      <c r="X36" s="1">
        <f t="shared" ref="X36:X46" si="26">+P36-T36</f>
        <v>7594.6119999999937</v>
      </c>
      <c r="Y36" s="1"/>
      <c r="Z36" s="5">
        <f t="shared" ref="Z36:Z46" si="27">IF(T36=0,0,X36/T36)</f>
        <v>8.2325839055352693E-2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6"/>
      <c r="E38" s="2"/>
      <c r="F38" s="7">
        <f t="shared" si="20"/>
        <v>0</v>
      </c>
      <c r="G38" s="2"/>
      <c r="H38" s="6">
        <v>4419.9359999999997</v>
      </c>
      <c r="I38" s="2"/>
      <c r="J38" s="7">
        <f t="shared" si="21"/>
        <v>5.8932479999999995E-2</v>
      </c>
      <c r="K38" s="2"/>
      <c r="L38" s="6">
        <f t="shared" si="22"/>
        <v>-4419.9359999999997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24309.648000000001</v>
      </c>
      <c r="U38" s="2"/>
      <c r="V38" s="7">
        <f t="shared" si="25"/>
        <v>6.3174760914760916E-2</v>
      </c>
      <c r="W38" s="2"/>
      <c r="X38" s="6">
        <f t="shared" si="26"/>
        <v>-24309.648000000001</v>
      </c>
      <c r="Y38" s="2"/>
      <c r="Z38" s="7">
        <f t="shared" si="27"/>
        <v>-1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6">
        <v>5042.97</v>
      </c>
      <c r="E40" s="2"/>
      <c r="F40" s="7">
        <f t="shared" si="20"/>
        <v>6.3176531914736364E-2</v>
      </c>
      <c r="G40" s="2"/>
      <c r="H40" s="6">
        <v>3795</v>
      </c>
      <c r="I40" s="2"/>
      <c r="J40" s="7">
        <f t="shared" si="21"/>
        <v>5.0599999999999999E-2</v>
      </c>
      <c r="K40" s="2"/>
      <c r="L40" s="6">
        <f t="shared" si="22"/>
        <v>1247.9700000000003</v>
      </c>
      <c r="M40" s="2"/>
      <c r="N40" s="7">
        <f t="shared" si="23"/>
        <v>0.32884584980237158</v>
      </c>
      <c r="O40" s="11"/>
      <c r="P40" s="6">
        <v>30113.279999999999</v>
      </c>
      <c r="Q40" s="2"/>
      <c r="R40" s="7">
        <f t="shared" si="24"/>
        <v>8.5624579192217942E-2</v>
      </c>
      <c r="S40" s="2"/>
      <c r="T40" s="6">
        <v>21021</v>
      </c>
      <c r="U40" s="2"/>
      <c r="V40" s="7">
        <f t="shared" si="25"/>
        <v>5.4628378378378376E-2</v>
      </c>
      <c r="W40" s="2"/>
      <c r="X40" s="6">
        <f t="shared" si="26"/>
        <v>9092.2799999999988</v>
      </c>
      <c r="Y40" s="2"/>
      <c r="Z40" s="7">
        <f t="shared" si="27"/>
        <v>0.43253318110460964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1997.5</v>
      </c>
      <c r="Q41" s="2"/>
      <c r="R41" s="7">
        <f t="shared" si="24"/>
        <v>5.6797232628413557E-3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1997.5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29.25</v>
      </c>
      <c r="Q42" s="2"/>
      <c r="R42" s="7">
        <f t="shared" si="24"/>
        <v>8.3169915112946008E-5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29.25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6">
        <v>13499.19</v>
      </c>
      <c r="E43" s="2"/>
      <c r="F43" s="7">
        <f t="shared" si="20"/>
        <v>0.16911304407087288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13499.19</v>
      </c>
      <c r="M43" s="2"/>
      <c r="N43" s="7">
        <f t="shared" si="23"/>
        <v>0</v>
      </c>
      <c r="O43" s="11"/>
      <c r="P43" s="6">
        <v>67705.23</v>
      </c>
      <c r="Q43" s="2"/>
      <c r="R43" s="7">
        <f t="shared" si="24"/>
        <v>0.19251412758299097</v>
      </c>
      <c r="S43" s="2"/>
      <c r="T43" s="6">
        <v>3720</v>
      </c>
      <c r="U43" s="2"/>
      <c r="V43" s="7">
        <f t="shared" si="25"/>
        <v>9.6673596673596679E-3</v>
      </c>
      <c r="W43" s="2"/>
      <c r="X43" s="6">
        <f t="shared" si="26"/>
        <v>63985.229999999996</v>
      </c>
      <c r="Y43" s="2"/>
      <c r="Z43" s="7">
        <f t="shared" si="27"/>
        <v>17.200330645161291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10800</v>
      </c>
      <c r="I44" s="2"/>
      <c r="J44" s="7">
        <f t="shared" si="21"/>
        <v>0.14399999999999999</v>
      </c>
      <c r="K44" s="2"/>
      <c r="L44" s="6">
        <f t="shared" si="22"/>
        <v>-10800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43200</v>
      </c>
      <c r="U44" s="2"/>
      <c r="V44" s="7">
        <f t="shared" si="25"/>
        <v>0.11226611226611227</v>
      </c>
      <c r="W44" s="2"/>
      <c r="X44" s="6">
        <f t="shared" si="26"/>
        <v>-43200</v>
      </c>
      <c r="Y44" s="2"/>
      <c r="Z44" s="7">
        <f t="shared" si="27"/>
        <v>-1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6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0</v>
      </c>
      <c r="E47" s="1"/>
      <c r="F47" s="5">
        <f t="shared" ref="F47:F55" si="28">IF(D$12=0,0,D47/D$12)</f>
        <v>0</v>
      </c>
      <c r="G47" s="1"/>
      <c r="H47" s="1">
        <f>SUM(OSRRefH22_2x_0)</f>
        <v>85</v>
      </c>
      <c r="I47" s="1"/>
      <c r="J47" s="5">
        <f t="shared" ref="J47:J55" si="29">IF(H$12=0,0,H47/H$12)</f>
        <v>1.1333333333333334E-3</v>
      </c>
      <c r="K47" s="1"/>
      <c r="L47" s="1">
        <f t="shared" ref="L47:L55" si="30">+D47-H47</f>
        <v>-85</v>
      </c>
      <c r="M47" s="1"/>
      <c r="N47" s="5">
        <f t="shared" ref="N47:N55" si="31">IF(H47=0,0,L47/H47)</f>
        <v>-1</v>
      </c>
      <c r="O47" s="13"/>
      <c r="P47" s="1">
        <f>SUM(OSRRefP22_2x_0)</f>
        <v>579.89</v>
      </c>
      <c r="Q47" s="1"/>
      <c r="R47" s="5">
        <f t="shared" ref="R47:R55" si="32">IF(P$12=0,0,P47/P$12)</f>
        <v>1.6488684470032911E-3</v>
      </c>
      <c r="S47" s="1"/>
      <c r="T47" s="1">
        <f>SUM(OSRRefT22_2x_0)</f>
        <v>635</v>
      </c>
      <c r="U47" s="1"/>
      <c r="V47" s="5">
        <f t="shared" ref="V47:V55" si="33">IF(T$12=0,0,T47/T$12)</f>
        <v>1.6502079002079003E-3</v>
      </c>
      <c r="W47" s="1"/>
      <c r="X47" s="1">
        <f t="shared" ref="X47:X55" si="34">+P47-T47</f>
        <v>-55.110000000000014</v>
      </c>
      <c r="Y47" s="1"/>
      <c r="Z47" s="5">
        <f t="shared" ref="Z47:Z55" si="35">IF(T47=0,0,X47/T47)</f>
        <v>-8.6787401574803177E-2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28"/>
        <v>0</v>
      </c>
      <c r="G48" s="2"/>
      <c r="H48" s="6">
        <v>85</v>
      </c>
      <c r="I48" s="2"/>
      <c r="J48" s="7">
        <f t="shared" si="29"/>
        <v>1.1333333333333334E-3</v>
      </c>
      <c r="K48" s="2"/>
      <c r="L48" s="6">
        <f t="shared" si="30"/>
        <v>-85</v>
      </c>
      <c r="M48" s="2"/>
      <c r="N48" s="7">
        <f t="shared" si="31"/>
        <v>-1</v>
      </c>
      <c r="O48" s="11"/>
      <c r="P48" s="6">
        <v>579.89</v>
      </c>
      <c r="Q48" s="2"/>
      <c r="R48" s="7">
        <f t="shared" si="32"/>
        <v>1.6488684470032911E-3</v>
      </c>
      <c r="S48" s="2"/>
      <c r="T48" s="6">
        <v>635</v>
      </c>
      <c r="U48" s="2"/>
      <c r="V48" s="7">
        <f t="shared" si="33"/>
        <v>1.6502079002079003E-3</v>
      </c>
      <c r="W48" s="2"/>
      <c r="X48" s="6">
        <f t="shared" si="34"/>
        <v>-55.110000000000014</v>
      </c>
      <c r="Y48" s="2"/>
      <c r="Z48" s="7">
        <f t="shared" si="35"/>
        <v>-8.6787401574803177E-2</v>
      </c>
    </row>
    <row r="49" spans="1:26" s="26" customFormat="1" outlineLevel="1" collapsed="1" x14ac:dyDescent="0.25">
      <c r="A49" s="27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5.21</v>
      </c>
      <c r="E49" s="1"/>
      <c r="F49" s="5">
        <f t="shared" si="28"/>
        <v>6.526902426065917E-5</v>
      </c>
      <c r="G49" s="1"/>
      <c r="H49" s="1">
        <f>SUM(OSRRefH22_3x_0)</f>
        <v>10</v>
      </c>
      <c r="I49" s="1"/>
      <c r="J49" s="5">
        <f t="shared" si="29"/>
        <v>1.3333333333333334E-4</v>
      </c>
      <c r="K49" s="1"/>
      <c r="L49" s="1">
        <f t="shared" si="30"/>
        <v>-4.79</v>
      </c>
      <c r="M49" s="1"/>
      <c r="N49" s="5">
        <f t="shared" si="31"/>
        <v>-0.47899999999999998</v>
      </c>
      <c r="O49" s="13"/>
      <c r="P49" s="1">
        <f>SUM(OSRRefP22_3x_0)</f>
        <v>7.09</v>
      </c>
      <c r="Q49" s="1"/>
      <c r="R49" s="5">
        <f t="shared" si="32"/>
        <v>2.0159818740197853E-5</v>
      </c>
      <c r="S49" s="1"/>
      <c r="T49" s="1">
        <f>SUM(OSRRefT22_3x_0)</f>
        <v>30</v>
      </c>
      <c r="U49" s="1"/>
      <c r="V49" s="5">
        <f t="shared" si="33"/>
        <v>7.7962577962577967E-5</v>
      </c>
      <c r="W49" s="1"/>
      <c r="X49" s="1">
        <f t="shared" si="34"/>
        <v>-22.91</v>
      </c>
      <c r="Y49" s="1"/>
      <c r="Z49" s="5">
        <f t="shared" si="35"/>
        <v>-0.76366666666666672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6">
        <v>5.21</v>
      </c>
      <c r="E50" s="2"/>
      <c r="F50" s="7">
        <f t="shared" si="28"/>
        <v>6.526902426065917E-5</v>
      </c>
      <c r="G50" s="2"/>
      <c r="H50" s="6">
        <v>10</v>
      </c>
      <c r="I50" s="2"/>
      <c r="J50" s="7">
        <f t="shared" si="29"/>
        <v>1.3333333333333334E-4</v>
      </c>
      <c r="K50" s="2"/>
      <c r="L50" s="6">
        <f t="shared" si="30"/>
        <v>-4.79</v>
      </c>
      <c r="M50" s="2"/>
      <c r="N50" s="7">
        <f t="shared" si="31"/>
        <v>-0.47899999999999998</v>
      </c>
      <c r="O50" s="11"/>
      <c r="P50" s="6">
        <v>7.09</v>
      </c>
      <c r="Q50" s="2"/>
      <c r="R50" s="7">
        <f t="shared" si="32"/>
        <v>2.0159818740197853E-5</v>
      </c>
      <c r="S50" s="2"/>
      <c r="T50" s="6">
        <v>30</v>
      </c>
      <c r="U50" s="2"/>
      <c r="V50" s="7">
        <f t="shared" si="33"/>
        <v>7.7962577962577967E-5</v>
      </c>
      <c r="W50" s="2"/>
      <c r="X50" s="6">
        <f t="shared" si="34"/>
        <v>-22.91</v>
      </c>
      <c r="Y50" s="2"/>
      <c r="Z50" s="7">
        <f t="shared" si="35"/>
        <v>-0.76366666666666672</v>
      </c>
    </row>
    <row r="51" spans="1:26" s="26" customFormat="1" outlineLevel="1" collapsed="1" x14ac:dyDescent="0.25">
      <c r="A51" s="27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1909.17</v>
      </c>
      <c r="E51" s="1"/>
      <c r="F51" s="5">
        <f t="shared" si="28"/>
        <v>2.3917401736607041E-2</v>
      </c>
      <c r="G51" s="1"/>
      <c r="H51" s="1">
        <f>SUM(OSRRefH22_4x_0)</f>
        <v>1280</v>
      </c>
      <c r="I51" s="1"/>
      <c r="J51" s="5">
        <f t="shared" si="29"/>
        <v>1.7066666666666667E-2</v>
      </c>
      <c r="K51" s="1"/>
      <c r="L51" s="1">
        <f t="shared" si="30"/>
        <v>629.17000000000007</v>
      </c>
      <c r="M51" s="1"/>
      <c r="N51" s="5">
        <f t="shared" si="31"/>
        <v>0.49153906250000007</v>
      </c>
      <c r="O51" s="13"/>
      <c r="P51" s="1">
        <f>SUM(OSRRefP22_4x_0)</f>
        <v>9340.7800000000007</v>
      </c>
      <c r="Q51" s="1"/>
      <c r="R51" s="5">
        <f t="shared" si="32"/>
        <v>2.6559722382519791E-2</v>
      </c>
      <c r="S51" s="1"/>
      <c r="T51" s="1">
        <f>SUM(OSRRefT22_4x_0)</f>
        <v>9046</v>
      </c>
      <c r="U51" s="1"/>
      <c r="V51" s="5">
        <f t="shared" si="33"/>
        <v>2.3508316008316009E-2</v>
      </c>
      <c r="W51" s="1"/>
      <c r="X51" s="1">
        <f t="shared" si="34"/>
        <v>294.78000000000065</v>
      </c>
      <c r="Y51" s="1"/>
      <c r="Z51" s="5">
        <f t="shared" si="35"/>
        <v>3.2586778686712434E-2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6">
        <v>1909.17</v>
      </c>
      <c r="E52" s="2"/>
      <c r="F52" s="7">
        <f t="shared" si="28"/>
        <v>2.3917401736607041E-2</v>
      </c>
      <c r="G52" s="2"/>
      <c r="H52" s="6">
        <v>1280</v>
      </c>
      <c r="I52" s="2"/>
      <c r="J52" s="7">
        <f t="shared" si="29"/>
        <v>1.7066666666666667E-2</v>
      </c>
      <c r="K52" s="2"/>
      <c r="L52" s="6">
        <f t="shared" si="30"/>
        <v>629.17000000000007</v>
      </c>
      <c r="M52" s="2"/>
      <c r="N52" s="7">
        <f t="shared" si="31"/>
        <v>0.49153906250000007</v>
      </c>
      <c r="O52" s="11"/>
      <c r="P52" s="6">
        <v>9340.7800000000007</v>
      </c>
      <c r="Q52" s="2"/>
      <c r="R52" s="7">
        <f t="shared" si="32"/>
        <v>2.6559722382519791E-2</v>
      </c>
      <c r="S52" s="2"/>
      <c r="T52" s="6">
        <v>9046</v>
      </c>
      <c r="U52" s="2"/>
      <c r="V52" s="7">
        <f t="shared" si="33"/>
        <v>2.3508316008316009E-2</v>
      </c>
      <c r="W52" s="2"/>
      <c r="X52" s="6">
        <f t="shared" si="34"/>
        <v>294.78000000000065</v>
      </c>
      <c r="Y52" s="2"/>
      <c r="Z52" s="7">
        <f t="shared" si="35"/>
        <v>3.2586778686712434E-2</v>
      </c>
    </row>
    <row r="53" spans="1:26" s="26" customFormat="1" outlineLevel="1" collapsed="1" x14ac:dyDescent="0.25">
      <c r="A53" s="27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1647.59</v>
      </c>
      <c r="E53" s="1"/>
      <c r="F53" s="5">
        <f t="shared" si="28"/>
        <v>2.0640420668257092E-2</v>
      </c>
      <c r="G53" s="1"/>
      <c r="H53" s="1">
        <f>SUM(OSRRefH22_5x_0)</f>
        <v>2401</v>
      </c>
      <c r="I53" s="1"/>
      <c r="J53" s="5">
        <f t="shared" si="29"/>
        <v>3.2013333333333331E-2</v>
      </c>
      <c r="K53" s="1"/>
      <c r="L53" s="1">
        <f t="shared" si="30"/>
        <v>-753.41000000000008</v>
      </c>
      <c r="M53" s="1"/>
      <c r="N53" s="5">
        <f t="shared" si="31"/>
        <v>-0.31379008746355691</v>
      </c>
      <c r="O53" s="13"/>
      <c r="P53" s="1">
        <f>SUM(OSRRefP22_5x_0)</f>
        <v>8237.9500000000007</v>
      </c>
      <c r="Q53" s="1"/>
      <c r="R53" s="5">
        <f t="shared" si="32"/>
        <v>2.3423918024092091E-2</v>
      </c>
      <c r="S53" s="1"/>
      <c r="T53" s="1">
        <f>SUM(OSRRefT22_5x_0)</f>
        <v>10671</v>
      </c>
      <c r="U53" s="1"/>
      <c r="V53" s="5">
        <f t="shared" si="33"/>
        <v>2.773128898128898E-2</v>
      </c>
      <c r="W53" s="1"/>
      <c r="X53" s="1">
        <f t="shared" si="34"/>
        <v>-2433.0499999999993</v>
      </c>
      <c r="Y53" s="1"/>
      <c r="Z53" s="5">
        <f t="shared" si="35"/>
        <v>-0.2280058101396307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1647.59</v>
      </c>
      <c r="E54" s="2"/>
      <c r="F54" s="7">
        <f t="shared" si="28"/>
        <v>2.0640420668257092E-2</v>
      </c>
      <c r="G54" s="2"/>
      <c r="H54" s="6">
        <v>1674</v>
      </c>
      <c r="I54" s="2"/>
      <c r="J54" s="7">
        <f t="shared" si="29"/>
        <v>2.232E-2</v>
      </c>
      <c r="K54" s="2"/>
      <c r="L54" s="6">
        <f t="shared" si="30"/>
        <v>-26.410000000000082</v>
      </c>
      <c r="M54" s="2"/>
      <c r="N54" s="7">
        <f t="shared" si="31"/>
        <v>-1.5776583034647601E-2</v>
      </c>
      <c r="O54" s="11"/>
      <c r="P54" s="6">
        <v>8237.9500000000007</v>
      </c>
      <c r="Q54" s="2"/>
      <c r="R54" s="7">
        <f t="shared" si="32"/>
        <v>2.3423918024092091E-2</v>
      </c>
      <c r="S54" s="2"/>
      <c r="T54" s="6">
        <v>8370</v>
      </c>
      <c r="U54" s="2"/>
      <c r="V54" s="7">
        <f t="shared" si="33"/>
        <v>2.1751559251559253E-2</v>
      </c>
      <c r="W54" s="2"/>
      <c r="X54" s="6">
        <f t="shared" si="34"/>
        <v>-132.04999999999927</v>
      </c>
      <c r="Y54" s="2"/>
      <c r="Z54" s="7">
        <f t="shared" si="35"/>
        <v>-1.5776583034647462E-2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727</v>
      </c>
      <c r="I55" s="2"/>
      <c r="J55" s="7">
        <f t="shared" si="29"/>
        <v>9.6933333333333333E-3</v>
      </c>
      <c r="K55" s="2"/>
      <c r="L55" s="6">
        <f t="shared" si="30"/>
        <v>-727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2301</v>
      </c>
      <c r="U55" s="2"/>
      <c r="V55" s="7">
        <f t="shared" si="33"/>
        <v>5.9797297297297294E-3</v>
      </c>
      <c r="W55" s="2"/>
      <c r="X55" s="6">
        <f t="shared" si="34"/>
        <v>-2301</v>
      </c>
      <c r="Y55" s="2"/>
      <c r="Z55" s="7">
        <f t="shared" si="35"/>
        <v>-1</v>
      </c>
    </row>
    <row r="56" spans="1:26" s="26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151.86000000000001</v>
      </c>
      <c r="E56" s="1"/>
      <c r="F56" s="5">
        <f t="shared" ref="F56:F64" si="36">IF(D$12=0,0,D56/D$12)</f>
        <v>1.9024479892943769E-3</v>
      </c>
      <c r="G56" s="1"/>
      <c r="H56" s="1">
        <f>SUM(OSRRefH22_6x_0)</f>
        <v>0</v>
      </c>
      <c r="I56" s="1"/>
      <c r="J56" s="5">
        <f t="shared" ref="J56:J64" si="37">IF(H$12=0,0,H56/H$12)</f>
        <v>0</v>
      </c>
      <c r="K56" s="1"/>
      <c r="L56" s="1">
        <f t="shared" ref="L56:L64" si="38">+D56-H56</f>
        <v>151.86000000000001</v>
      </c>
      <c r="M56" s="1"/>
      <c r="N56" s="5">
        <f t="shared" ref="N56:N64" si="39">IF(H56=0,0,L56/H56)</f>
        <v>0</v>
      </c>
      <c r="O56" s="13"/>
      <c r="P56" s="1">
        <f>SUM(OSRRefP22_6x_0)</f>
        <v>151.86000000000001</v>
      </c>
      <c r="Q56" s="1"/>
      <c r="R56" s="5">
        <f t="shared" ref="R56:R64" si="40">IF(P$12=0,0,P56/P$12)</f>
        <v>4.3180113877100797E-4</v>
      </c>
      <c r="S56" s="1"/>
      <c r="T56" s="1">
        <f>SUM(OSRRefT22_6x_0)</f>
        <v>40</v>
      </c>
      <c r="U56" s="1"/>
      <c r="V56" s="5">
        <f t="shared" ref="V56:V64" si="41">IF(T$12=0,0,T56/T$12)</f>
        <v>1.0395010395010396E-4</v>
      </c>
      <c r="W56" s="1"/>
      <c r="X56" s="1">
        <f t="shared" ref="X56:X64" si="42">+P56-T56</f>
        <v>111.86000000000001</v>
      </c>
      <c r="Y56" s="1"/>
      <c r="Z56" s="5">
        <f t="shared" ref="Z56:Z64" si="43">IF(T56=0,0,X56/T56)</f>
        <v>2.7965000000000004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6">
        <v>151.86000000000001</v>
      </c>
      <c r="E57" s="2"/>
      <c r="F57" s="7">
        <f t="shared" si="36"/>
        <v>1.9024479892943769E-3</v>
      </c>
      <c r="G57" s="2"/>
      <c r="H57" s="6"/>
      <c r="I57" s="2"/>
      <c r="J57" s="7">
        <f t="shared" si="37"/>
        <v>0</v>
      </c>
      <c r="K57" s="2"/>
      <c r="L57" s="6">
        <f t="shared" si="38"/>
        <v>151.86000000000001</v>
      </c>
      <c r="M57" s="2"/>
      <c r="N57" s="7">
        <f t="shared" si="39"/>
        <v>0</v>
      </c>
      <c r="O57" s="11"/>
      <c r="P57" s="6">
        <v>151.86000000000001</v>
      </c>
      <c r="Q57" s="2"/>
      <c r="R57" s="7">
        <f t="shared" si="40"/>
        <v>4.3180113877100797E-4</v>
      </c>
      <c r="S57" s="2"/>
      <c r="T57" s="6">
        <v>40</v>
      </c>
      <c r="U57" s="2"/>
      <c r="V57" s="7">
        <f t="shared" si="41"/>
        <v>1.0395010395010396E-4</v>
      </c>
      <c r="W57" s="2"/>
      <c r="X57" s="6">
        <f t="shared" si="42"/>
        <v>111.86000000000001</v>
      </c>
      <c r="Y57" s="2"/>
      <c r="Z57" s="7">
        <f t="shared" si="43"/>
        <v>2.7965000000000004</v>
      </c>
    </row>
    <row r="58" spans="1:26" s="26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118.91</v>
      </c>
      <c r="E58" s="1"/>
      <c r="F58" s="5">
        <f t="shared" si="36"/>
        <v>1.4896621256880965E-3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118.91</v>
      </c>
      <c r="M58" s="1"/>
      <c r="N58" s="5">
        <f t="shared" si="39"/>
        <v>0</v>
      </c>
      <c r="O58" s="13"/>
      <c r="P58" s="1">
        <f>SUM(OSRRefP22_7x_0)</f>
        <v>594.54999999999995</v>
      </c>
      <c r="Q58" s="1"/>
      <c r="R58" s="5">
        <f t="shared" si="40"/>
        <v>1.6905529241163094E-3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594.54999999999995</v>
      </c>
      <c r="Y58" s="1"/>
      <c r="Z58" s="5">
        <f t="shared" si="43"/>
        <v>0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6">
        <v>118.91</v>
      </c>
      <c r="E59" s="2"/>
      <c r="F59" s="7">
        <f t="shared" si="36"/>
        <v>1.4896621256880965E-3</v>
      </c>
      <c r="G59" s="2"/>
      <c r="H59" s="6"/>
      <c r="I59" s="2"/>
      <c r="J59" s="7">
        <f t="shared" si="37"/>
        <v>0</v>
      </c>
      <c r="K59" s="2"/>
      <c r="L59" s="6">
        <f t="shared" si="38"/>
        <v>118.91</v>
      </c>
      <c r="M59" s="2"/>
      <c r="N59" s="7">
        <f t="shared" si="39"/>
        <v>0</v>
      </c>
      <c r="O59" s="11"/>
      <c r="P59" s="6">
        <v>594.54999999999995</v>
      </c>
      <c r="Q59" s="2"/>
      <c r="R59" s="7">
        <f t="shared" si="40"/>
        <v>1.6905529241163094E-3</v>
      </c>
      <c r="S59" s="2"/>
      <c r="T59" s="6"/>
      <c r="U59" s="2"/>
      <c r="V59" s="7">
        <f t="shared" si="41"/>
        <v>0</v>
      </c>
      <c r="W59" s="2"/>
      <c r="X59" s="6">
        <f t="shared" si="42"/>
        <v>594.54999999999995</v>
      </c>
      <c r="Y59" s="2"/>
      <c r="Z59" s="7">
        <f t="shared" si="43"/>
        <v>0</v>
      </c>
    </row>
    <row r="60" spans="1:26" s="26" customFormat="1" outlineLevel="1" collapsed="1" x14ac:dyDescent="0.25">
      <c r="A60" s="27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1033.96</v>
      </c>
      <c r="E60" s="1"/>
      <c r="F60" s="5">
        <f t="shared" si="36"/>
        <v>1.2953082595883141E-2</v>
      </c>
      <c r="G60" s="1"/>
      <c r="H60" s="1">
        <f>SUM(OSRRefH22_8x_0)</f>
        <v>1200</v>
      </c>
      <c r="I60" s="1"/>
      <c r="J60" s="5">
        <f t="shared" si="37"/>
        <v>1.6E-2</v>
      </c>
      <c r="K60" s="1"/>
      <c r="L60" s="1">
        <f t="shared" si="38"/>
        <v>-166.03999999999996</v>
      </c>
      <c r="M60" s="1"/>
      <c r="N60" s="5">
        <f t="shared" si="39"/>
        <v>-0.13836666666666664</v>
      </c>
      <c r="O60" s="13"/>
      <c r="P60" s="1">
        <f>SUM(OSRRefP22_8x_0)</f>
        <v>5235.72</v>
      </c>
      <c r="Q60" s="1"/>
      <c r="R60" s="5">
        <f t="shared" si="40"/>
        <v>1.4887329502740299E-2</v>
      </c>
      <c r="S60" s="1"/>
      <c r="T60" s="1">
        <f>SUM(OSRRefT22_8x_0)</f>
        <v>5800</v>
      </c>
      <c r="U60" s="1"/>
      <c r="V60" s="5">
        <f t="shared" si="41"/>
        <v>1.5072765072765074E-2</v>
      </c>
      <c r="W60" s="1"/>
      <c r="X60" s="1">
        <f t="shared" si="42"/>
        <v>-564.27999999999975</v>
      </c>
      <c r="Y60" s="1"/>
      <c r="Z60" s="5">
        <f t="shared" si="43"/>
        <v>-9.7289655172413753E-2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6">
        <v>1033.96</v>
      </c>
      <c r="E61" s="2"/>
      <c r="F61" s="7">
        <f t="shared" si="36"/>
        <v>1.2953082595883141E-2</v>
      </c>
      <c r="G61" s="2"/>
      <c r="H61" s="6">
        <v>1200</v>
      </c>
      <c r="I61" s="2"/>
      <c r="J61" s="7">
        <f t="shared" si="37"/>
        <v>1.6E-2</v>
      </c>
      <c r="K61" s="2"/>
      <c r="L61" s="6">
        <f t="shared" si="38"/>
        <v>-166.03999999999996</v>
      </c>
      <c r="M61" s="2"/>
      <c r="N61" s="7">
        <f t="shared" si="39"/>
        <v>-0.13836666666666664</v>
      </c>
      <c r="O61" s="11"/>
      <c r="P61" s="6">
        <v>5235.72</v>
      </c>
      <c r="Q61" s="2"/>
      <c r="R61" s="7">
        <f t="shared" si="40"/>
        <v>1.4887329502740299E-2</v>
      </c>
      <c r="S61" s="2"/>
      <c r="T61" s="6">
        <v>5800</v>
      </c>
      <c r="U61" s="2"/>
      <c r="V61" s="7">
        <f t="shared" si="41"/>
        <v>1.5072765072765074E-2</v>
      </c>
      <c r="W61" s="2"/>
      <c r="X61" s="6">
        <f t="shared" si="42"/>
        <v>-564.27999999999975</v>
      </c>
      <c r="Y61" s="2"/>
      <c r="Z61" s="7">
        <f t="shared" si="43"/>
        <v>-9.7289655172413753E-2</v>
      </c>
    </row>
    <row r="62" spans="1:26" s="26" customFormat="1" outlineLevel="1" collapsed="1" x14ac:dyDescent="0.25">
      <c r="A62" s="27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SUM(OSRRefD22_9x_0)</f>
        <v>208.64</v>
      </c>
      <c r="E62" s="1"/>
      <c r="F62" s="5">
        <f t="shared" si="36"/>
        <v>2.6137676049412533E-3</v>
      </c>
      <c r="G62" s="1"/>
      <c r="H62" s="1">
        <f>SUM(OSRRefH22_9x_0)</f>
        <v>400</v>
      </c>
      <c r="I62" s="1"/>
      <c r="J62" s="5">
        <f t="shared" si="37"/>
        <v>5.3333333333333332E-3</v>
      </c>
      <c r="K62" s="1"/>
      <c r="L62" s="1">
        <f t="shared" si="38"/>
        <v>-191.36</v>
      </c>
      <c r="M62" s="1"/>
      <c r="N62" s="5">
        <f t="shared" si="39"/>
        <v>-0.47840000000000005</v>
      </c>
      <c r="O62" s="13"/>
      <c r="P62" s="1">
        <f>SUM(OSRRefP22_9x_0)</f>
        <v>4180.2700000000004</v>
      </c>
      <c r="Q62" s="1"/>
      <c r="R62" s="5">
        <f t="shared" si="40"/>
        <v>1.1886246189716064E-2</v>
      </c>
      <c r="S62" s="1"/>
      <c r="T62" s="1">
        <f>SUM(OSRRefT22_9x_0)</f>
        <v>2100</v>
      </c>
      <c r="U62" s="1"/>
      <c r="V62" s="5">
        <f t="shared" si="41"/>
        <v>5.4573804573804577E-3</v>
      </c>
      <c r="W62" s="1"/>
      <c r="X62" s="1">
        <f t="shared" si="42"/>
        <v>2080.2700000000004</v>
      </c>
      <c r="Y62" s="1"/>
      <c r="Z62" s="5">
        <f t="shared" si="43"/>
        <v>0.9906047619047621</v>
      </c>
    </row>
    <row r="63" spans="1:26" s="24" customFormat="1" hidden="1" outlineLevel="2" x14ac:dyDescent="0.25">
      <c r="A63" s="25"/>
      <c r="B63" s="11" t="str">
        <f>CONCATENATE("          ", "6373", " - ", "MAINTENANCE CONTRACTS")</f>
        <v xml:space="preserve">          6373 - MAINTENANCE CONTRACTS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111.64</v>
      </c>
      <c r="Q63" s="2"/>
      <c r="R63" s="7">
        <f t="shared" si="40"/>
        <v>3.1743895122083053E-4</v>
      </c>
      <c r="S63" s="2"/>
      <c r="T63" s="6"/>
      <c r="U63" s="2"/>
      <c r="V63" s="7">
        <f t="shared" si="41"/>
        <v>0</v>
      </c>
      <c r="W63" s="2"/>
      <c r="X63" s="6">
        <f t="shared" si="42"/>
        <v>111.64</v>
      </c>
      <c r="Y63" s="2"/>
      <c r="Z63" s="7">
        <f t="shared" si="43"/>
        <v>0</v>
      </c>
    </row>
    <row r="64" spans="1:26" s="24" customFormat="1" hidden="1" outlineLevel="2" x14ac:dyDescent="0.25">
      <c r="A64" s="25"/>
      <c r="B64" s="11" t="str">
        <f>CONCATENATE("          ", "6375", " - ", "OUTSIDE REPAIRS &amp; MAINTENANCE")</f>
        <v xml:space="preserve">          6375 - OUTSIDE REPAIRS &amp; MAINTENANCE</v>
      </c>
      <c r="C64" s="11"/>
      <c r="D64" s="6">
        <v>208.64</v>
      </c>
      <c r="E64" s="2"/>
      <c r="F64" s="7">
        <f t="shared" si="36"/>
        <v>2.6137676049412533E-3</v>
      </c>
      <c r="G64" s="2"/>
      <c r="H64" s="6">
        <v>400</v>
      </c>
      <c r="I64" s="2"/>
      <c r="J64" s="7">
        <f t="shared" si="37"/>
        <v>5.3333333333333332E-3</v>
      </c>
      <c r="K64" s="2"/>
      <c r="L64" s="6">
        <f t="shared" si="38"/>
        <v>-191.36</v>
      </c>
      <c r="M64" s="2"/>
      <c r="N64" s="7">
        <f t="shared" si="39"/>
        <v>-0.47840000000000005</v>
      </c>
      <c r="O64" s="11"/>
      <c r="P64" s="6">
        <v>4068.63</v>
      </c>
      <c r="Q64" s="2"/>
      <c r="R64" s="7">
        <f t="shared" si="40"/>
        <v>1.1568807238495233E-2</v>
      </c>
      <c r="S64" s="2"/>
      <c r="T64" s="6">
        <v>2100</v>
      </c>
      <c r="U64" s="2"/>
      <c r="V64" s="7">
        <f t="shared" si="41"/>
        <v>5.4573804573804577E-3</v>
      </c>
      <c r="W64" s="2"/>
      <c r="X64" s="6">
        <f t="shared" si="42"/>
        <v>1968.63</v>
      </c>
      <c r="Y64" s="2"/>
      <c r="Z64" s="7">
        <f t="shared" si="43"/>
        <v>0.93744285714285724</v>
      </c>
    </row>
    <row r="65" spans="1:26" s="26" customFormat="1" outlineLevel="1" collapsed="1" x14ac:dyDescent="0.25">
      <c r="A65" s="27"/>
      <c r="B65" s="13" t="str">
        <f>CONCATENATE("     ","Royalty &amp; Commissions                             ")</f>
        <v xml:space="preserve">     Royalty &amp; Commissions                             </v>
      </c>
      <c r="C65" s="13"/>
      <c r="D65" s="1">
        <f>SUM(OSRRefD22_10x_0)</f>
        <v>6385.84</v>
      </c>
      <c r="E65" s="1"/>
      <c r="F65" s="5">
        <f t="shared" ref="F65:F78" si="44">IF(D$12=0,0,D65/D$12)</f>
        <v>7.9999528960592675E-2</v>
      </c>
      <c r="G65" s="1"/>
      <c r="H65" s="1">
        <f>SUM(OSRRefH22_10x_0)</f>
        <v>5440</v>
      </c>
      <c r="I65" s="1"/>
      <c r="J65" s="5">
        <f t="shared" ref="J65:J78" si="45">IF(H$12=0,0,H65/H$12)</f>
        <v>7.2533333333333339E-2</v>
      </c>
      <c r="K65" s="1"/>
      <c r="L65" s="1">
        <f t="shared" ref="L65:L78" si="46">+D65-H65</f>
        <v>945.84000000000015</v>
      </c>
      <c r="M65" s="1"/>
      <c r="N65" s="5">
        <f t="shared" ref="N65:N78" si="47">IF(H65=0,0,L65/H65)</f>
        <v>0.17386764705882354</v>
      </c>
      <c r="O65" s="13"/>
      <c r="P65" s="1">
        <f>SUM(OSRRefP22_10x_0)</f>
        <v>24915.360000000001</v>
      </c>
      <c r="Q65" s="1"/>
      <c r="R65" s="5">
        <f t="shared" ref="R65:R78" si="48">IF(P$12=0,0,P65/P$12)</f>
        <v>7.0844730810546694E-2</v>
      </c>
      <c r="S65" s="1"/>
      <c r="T65" s="1">
        <f>SUM(OSRRefT22_10x_0)</f>
        <v>30560</v>
      </c>
      <c r="U65" s="1"/>
      <c r="V65" s="5">
        <f t="shared" ref="V65:V78" si="49">IF(T$12=0,0,T65/T$12)</f>
        <v>7.9417879417879422E-2</v>
      </c>
      <c r="W65" s="1"/>
      <c r="X65" s="1">
        <f t="shared" ref="X65:X78" si="50">+P65-T65</f>
        <v>-5644.6399999999994</v>
      </c>
      <c r="Y65" s="1"/>
      <c r="Z65" s="5">
        <f t="shared" ref="Z65:Z78" si="51">IF(T65=0,0,X65/T65)</f>
        <v>-0.18470680628272249</v>
      </c>
    </row>
    <row r="66" spans="1:26" s="24" customFormat="1" hidden="1" outlineLevel="2" x14ac:dyDescent="0.25">
      <c r="A66" s="25"/>
      <c r="B66" s="11" t="str">
        <f>CONCATENATE("          ", "6259", " - ", "ROYALTY &amp; COMMISSIONS")</f>
        <v xml:space="preserve">          6259 - ROYALTY &amp; COMMISSIONS</v>
      </c>
      <c r="C66" s="11"/>
      <c r="D66" s="6">
        <v>6385.84</v>
      </c>
      <c r="E66" s="2"/>
      <c r="F66" s="7">
        <f t="shared" si="44"/>
        <v>7.9999528960592675E-2</v>
      </c>
      <c r="G66" s="2"/>
      <c r="H66" s="6">
        <v>5440</v>
      </c>
      <c r="I66" s="2"/>
      <c r="J66" s="7">
        <f t="shared" si="45"/>
        <v>7.2533333333333339E-2</v>
      </c>
      <c r="K66" s="2"/>
      <c r="L66" s="6">
        <f t="shared" si="46"/>
        <v>945.84000000000015</v>
      </c>
      <c r="M66" s="2"/>
      <c r="N66" s="7">
        <f t="shared" si="47"/>
        <v>0.17386764705882354</v>
      </c>
      <c r="O66" s="11"/>
      <c r="P66" s="6">
        <v>24915.360000000001</v>
      </c>
      <c r="Q66" s="2"/>
      <c r="R66" s="7">
        <f t="shared" si="48"/>
        <v>7.0844730810546694E-2</v>
      </c>
      <c r="S66" s="2"/>
      <c r="T66" s="6">
        <v>30560</v>
      </c>
      <c r="U66" s="2"/>
      <c r="V66" s="7">
        <f t="shared" si="49"/>
        <v>7.9417879417879422E-2</v>
      </c>
      <c r="W66" s="2"/>
      <c r="X66" s="6">
        <f t="shared" si="50"/>
        <v>-5644.6399999999994</v>
      </c>
      <c r="Y66" s="2"/>
      <c r="Z66" s="7">
        <f t="shared" si="51"/>
        <v>-0.18470680628272249</v>
      </c>
    </row>
    <row r="67" spans="1:26" s="26" customFormat="1" outlineLevel="1" collapsed="1" x14ac:dyDescent="0.25">
      <c r="A67" s="27"/>
      <c r="B67" s="13" t="str">
        <f>CONCATENATE("     ","Services                                          ")</f>
        <v xml:space="preserve">     Services                                          </v>
      </c>
      <c r="C67" s="13"/>
      <c r="D67" s="1">
        <f>SUM(OSRRefD22_11x_0)</f>
        <v>48.75</v>
      </c>
      <c r="E67" s="1"/>
      <c r="F67" s="5">
        <f t="shared" si="44"/>
        <v>6.107226358363023E-4</v>
      </c>
      <c r="G67" s="1"/>
      <c r="H67" s="1">
        <f>SUM(OSRRefH22_11x_0)</f>
        <v>120</v>
      </c>
      <c r="I67" s="1"/>
      <c r="J67" s="5">
        <f t="shared" si="45"/>
        <v>1.6000000000000001E-3</v>
      </c>
      <c r="K67" s="1"/>
      <c r="L67" s="1">
        <f t="shared" si="46"/>
        <v>-71.25</v>
      </c>
      <c r="M67" s="1"/>
      <c r="N67" s="5">
        <f t="shared" si="47"/>
        <v>-0.59375</v>
      </c>
      <c r="O67" s="13"/>
      <c r="P67" s="1">
        <f>SUM(OSRRefP22_11x_0)</f>
        <v>281.10000000000002</v>
      </c>
      <c r="Q67" s="1"/>
      <c r="R67" s="5">
        <f t="shared" si="48"/>
        <v>7.9928420985467101E-4</v>
      </c>
      <c r="S67" s="1"/>
      <c r="T67" s="1">
        <f>SUM(OSRRefT22_11x_0)</f>
        <v>600</v>
      </c>
      <c r="U67" s="1"/>
      <c r="V67" s="5">
        <f t="shared" si="49"/>
        <v>1.5592515592515593E-3</v>
      </c>
      <c r="W67" s="1"/>
      <c r="X67" s="1">
        <f t="shared" si="50"/>
        <v>-318.89999999999998</v>
      </c>
      <c r="Y67" s="1"/>
      <c r="Z67" s="5">
        <f t="shared" si="51"/>
        <v>-0.53149999999999997</v>
      </c>
    </row>
    <row r="68" spans="1:26" s="24" customFormat="1" hidden="1" outlineLevel="2" x14ac:dyDescent="0.25">
      <c r="A68" s="25"/>
      <c r="B68" s="11" t="str">
        <f>CONCATENATE("          ", "6286", " - ", "LAUNDRY EXPENSE")</f>
        <v xml:space="preserve">          6286 - LAUNDRY EXPENSE</v>
      </c>
      <c r="C68" s="11"/>
      <c r="D68" s="6">
        <v>48.75</v>
      </c>
      <c r="E68" s="2"/>
      <c r="F68" s="7">
        <f t="shared" si="44"/>
        <v>6.107226358363023E-4</v>
      </c>
      <c r="G68" s="2"/>
      <c r="H68" s="6">
        <v>120</v>
      </c>
      <c r="I68" s="2"/>
      <c r="J68" s="7">
        <f t="shared" si="45"/>
        <v>1.6000000000000001E-3</v>
      </c>
      <c r="K68" s="2"/>
      <c r="L68" s="6">
        <f t="shared" si="46"/>
        <v>-71.25</v>
      </c>
      <c r="M68" s="2"/>
      <c r="N68" s="7">
        <f t="shared" si="47"/>
        <v>-0.59375</v>
      </c>
      <c r="O68" s="11"/>
      <c r="P68" s="6">
        <v>281.10000000000002</v>
      </c>
      <c r="Q68" s="2"/>
      <c r="R68" s="7">
        <f t="shared" si="48"/>
        <v>7.9928420985467101E-4</v>
      </c>
      <c r="S68" s="2"/>
      <c r="T68" s="6">
        <v>600</v>
      </c>
      <c r="U68" s="2"/>
      <c r="V68" s="7">
        <f t="shared" si="49"/>
        <v>1.5592515592515593E-3</v>
      </c>
      <c r="W68" s="2"/>
      <c r="X68" s="6">
        <f t="shared" si="50"/>
        <v>-318.89999999999998</v>
      </c>
      <c r="Y68" s="2"/>
      <c r="Z68" s="7">
        <f t="shared" si="51"/>
        <v>-0.53149999999999997</v>
      </c>
    </row>
    <row r="69" spans="1:26" s="26" customFormat="1" outlineLevel="1" collapsed="1" x14ac:dyDescent="0.25">
      <c r="A69" s="27"/>
      <c r="B69" s="13" t="str">
        <f>CONCATENATE("     ","Subscriptions &amp; Dues                              ")</f>
        <v xml:space="preserve">     Subscriptions &amp; Dues                              </v>
      </c>
      <c r="C69" s="13"/>
      <c r="D69" s="1">
        <f>SUM(OSRRefD22_12x_0)</f>
        <v>30.68</v>
      </c>
      <c r="E69" s="1"/>
      <c r="F69" s="5">
        <f t="shared" si="44"/>
        <v>3.8434811215297957E-4</v>
      </c>
      <c r="G69" s="1"/>
      <c r="H69" s="1">
        <f>SUM(OSRRefH22_12x_0)</f>
        <v>0</v>
      </c>
      <c r="I69" s="1"/>
      <c r="J69" s="5">
        <f t="shared" si="45"/>
        <v>0</v>
      </c>
      <c r="K69" s="1"/>
      <c r="L69" s="1">
        <f t="shared" si="46"/>
        <v>30.68</v>
      </c>
      <c r="M69" s="1"/>
      <c r="N69" s="5">
        <f t="shared" si="47"/>
        <v>0</v>
      </c>
      <c r="O69" s="13"/>
      <c r="P69" s="1">
        <f>SUM(OSRRefP22_12x_0)</f>
        <v>92.04</v>
      </c>
      <c r="Q69" s="1"/>
      <c r="R69" s="5">
        <f t="shared" si="48"/>
        <v>2.6170799955540347E-4</v>
      </c>
      <c r="S69" s="1"/>
      <c r="T69" s="1">
        <f>SUM(OSRRefT22_12x_0)</f>
        <v>0</v>
      </c>
      <c r="U69" s="1"/>
      <c r="V69" s="5">
        <f t="shared" si="49"/>
        <v>0</v>
      </c>
      <c r="W69" s="1"/>
      <c r="X69" s="1">
        <f t="shared" si="50"/>
        <v>92.04</v>
      </c>
      <c r="Y69" s="1"/>
      <c r="Z69" s="5">
        <f t="shared" si="51"/>
        <v>0</v>
      </c>
    </row>
    <row r="70" spans="1:26" s="24" customFormat="1" hidden="1" outlineLevel="2" x14ac:dyDescent="0.25">
      <c r="A70" s="25"/>
      <c r="B70" s="11" t="str">
        <f>CONCATENATE("          ", "6275", " - ", "SUBSCRIPTIONS")</f>
        <v xml:space="preserve">          6275 - SUBSCRIPTIONS</v>
      </c>
      <c r="C70" s="11"/>
      <c r="D70" s="6">
        <v>30.68</v>
      </c>
      <c r="E70" s="2"/>
      <c r="F70" s="7">
        <f t="shared" si="44"/>
        <v>3.8434811215297957E-4</v>
      </c>
      <c r="G70" s="2"/>
      <c r="H70" s="6"/>
      <c r="I70" s="2"/>
      <c r="J70" s="7">
        <f t="shared" si="45"/>
        <v>0</v>
      </c>
      <c r="K70" s="2"/>
      <c r="L70" s="6">
        <f t="shared" si="46"/>
        <v>30.68</v>
      </c>
      <c r="M70" s="2"/>
      <c r="N70" s="7">
        <f t="shared" si="47"/>
        <v>0</v>
      </c>
      <c r="O70" s="11"/>
      <c r="P70" s="6">
        <v>92.04</v>
      </c>
      <c r="Q70" s="2"/>
      <c r="R70" s="7">
        <f t="shared" si="48"/>
        <v>2.6170799955540347E-4</v>
      </c>
      <c r="S70" s="2"/>
      <c r="T70" s="6"/>
      <c r="U70" s="2"/>
      <c r="V70" s="7">
        <f t="shared" si="49"/>
        <v>0</v>
      </c>
      <c r="W70" s="2"/>
      <c r="X70" s="6">
        <f t="shared" si="50"/>
        <v>92.04</v>
      </c>
      <c r="Y70" s="2"/>
      <c r="Z70" s="7">
        <f t="shared" si="51"/>
        <v>0</v>
      </c>
    </row>
    <row r="71" spans="1:26" s="26" customFormat="1" outlineLevel="1" collapsed="1" x14ac:dyDescent="0.25">
      <c r="A71" s="27"/>
      <c r="B71" s="13" t="str">
        <f>CONCATENATE("     ","Supplies                                          ")</f>
        <v xml:space="preserve">     Supplies                                          </v>
      </c>
      <c r="C71" s="13"/>
      <c r="D71" s="1">
        <f>SUM(OSRRefD22_13x_0)</f>
        <v>757.34</v>
      </c>
      <c r="E71" s="1"/>
      <c r="F71" s="5">
        <f t="shared" si="44"/>
        <v>9.4876857646003111E-3</v>
      </c>
      <c r="G71" s="1"/>
      <c r="H71" s="1">
        <f>SUM(OSRRefH22_13x_0)</f>
        <v>460</v>
      </c>
      <c r="I71" s="1"/>
      <c r="J71" s="5">
        <f t="shared" si="45"/>
        <v>6.1333333333333335E-3</v>
      </c>
      <c r="K71" s="1"/>
      <c r="L71" s="1">
        <f t="shared" si="46"/>
        <v>297.34000000000003</v>
      </c>
      <c r="M71" s="1"/>
      <c r="N71" s="5">
        <f t="shared" si="47"/>
        <v>0.6463913043478261</v>
      </c>
      <c r="O71" s="13"/>
      <c r="P71" s="1">
        <f>SUM(OSRRefP22_13x_0)</f>
        <v>6700.0699999999988</v>
      </c>
      <c r="Q71" s="1"/>
      <c r="R71" s="5">
        <f t="shared" si="48"/>
        <v>1.9051085577804994E-2</v>
      </c>
      <c r="S71" s="1"/>
      <c r="T71" s="1">
        <f>SUM(OSRRefT22_13x_0)</f>
        <v>6596</v>
      </c>
      <c r="U71" s="1"/>
      <c r="V71" s="5">
        <f t="shared" si="49"/>
        <v>1.7141372141372142E-2</v>
      </c>
      <c r="W71" s="1"/>
      <c r="X71" s="1">
        <f t="shared" si="50"/>
        <v>104.0699999999988</v>
      </c>
      <c r="Y71" s="1"/>
      <c r="Z71" s="5">
        <f t="shared" si="51"/>
        <v>1.577774408732547E-2</v>
      </c>
    </row>
    <row r="72" spans="1:26" s="24" customFormat="1" hidden="1" outlineLevel="2" x14ac:dyDescent="0.25">
      <c r="A72" s="25"/>
      <c r="B72" s="11" t="str">
        <f>CONCATENATE("          ", "6237", " - ", "JANITORIAL SUPPLIES")</f>
        <v xml:space="preserve">          6237 - JANITORIAL SUPPLIES</v>
      </c>
      <c r="C72" s="11"/>
      <c r="D72" s="6">
        <v>8.82</v>
      </c>
      <c r="E72" s="2"/>
      <c r="F72" s="7">
        <f t="shared" si="44"/>
        <v>1.1049381842207561E-4</v>
      </c>
      <c r="G72" s="2"/>
      <c r="H72" s="6"/>
      <c r="I72" s="2"/>
      <c r="J72" s="7">
        <f t="shared" si="45"/>
        <v>0</v>
      </c>
      <c r="K72" s="2"/>
      <c r="L72" s="6">
        <f t="shared" si="46"/>
        <v>8.82</v>
      </c>
      <c r="M72" s="2"/>
      <c r="N72" s="7">
        <f t="shared" si="47"/>
        <v>0</v>
      </c>
      <c r="O72" s="11"/>
      <c r="P72" s="6">
        <v>145.93</v>
      </c>
      <c r="Q72" s="2"/>
      <c r="R72" s="7">
        <f t="shared" si="48"/>
        <v>4.1493968247631496E-4</v>
      </c>
      <c r="S72" s="2"/>
      <c r="T72" s="6"/>
      <c r="U72" s="2"/>
      <c r="V72" s="7">
        <f t="shared" si="49"/>
        <v>0</v>
      </c>
      <c r="W72" s="2"/>
      <c r="X72" s="6">
        <f t="shared" si="50"/>
        <v>145.93</v>
      </c>
      <c r="Y72" s="2"/>
      <c r="Z72" s="7">
        <f t="shared" si="51"/>
        <v>0</v>
      </c>
    </row>
    <row r="73" spans="1:26" s="24" customFormat="1" hidden="1" outlineLevel="2" x14ac:dyDescent="0.25">
      <c r="A73" s="25"/>
      <c r="B73" s="11" t="str">
        <f>CONCATENATE("          ", "6239", " - ", "KITCHEN SUPPLIES")</f>
        <v xml:space="preserve">          6239 - KITCHEN SUPPLIES</v>
      </c>
      <c r="C73" s="11"/>
      <c r="D73" s="6">
        <v>7.67</v>
      </c>
      <c r="E73" s="2"/>
      <c r="F73" s="7">
        <f t="shared" si="44"/>
        <v>9.6087028038244893E-5</v>
      </c>
      <c r="G73" s="2"/>
      <c r="H73" s="6">
        <v>140</v>
      </c>
      <c r="I73" s="2"/>
      <c r="J73" s="7">
        <f t="shared" si="45"/>
        <v>1.8666666666666666E-3</v>
      </c>
      <c r="K73" s="2"/>
      <c r="L73" s="6">
        <f t="shared" si="46"/>
        <v>-132.33000000000001</v>
      </c>
      <c r="M73" s="2"/>
      <c r="N73" s="7">
        <f t="shared" si="47"/>
        <v>-0.94521428571428578</v>
      </c>
      <c r="O73" s="11"/>
      <c r="P73" s="6">
        <v>1913.37</v>
      </c>
      <c r="Q73" s="2"/>
      <c r="R73" s="7">
        <f t="shared" si="48"/>
        <v>5.4405066830652141E-3</v>
      </c>
      <c r="S73" s="2"/>
      <c r="T73" s="6">
        <v>4176</v>
      </c>
      <c r="U73" s="2"/>
      <c r="V73" s="7">
        <f t="shared" si="49"/>
        <v>1.0852390852390852E-2</v>
      </c>
      <c r="W73" s="2"/>
      <c r="X73" s="6">
        <f t="shared" si="50"/>
        <v>-2262.63</v>
      </c>
      <c r="Y73" s="2"/>
      <c r="Z73" s="7">
        <f t="shared" si="51"/>
        <v>-0.54181752873563216</v>
      </c>
    </row>
    <row r="74" spans="1:26" s="24" customFormat="1" hidden="1" outlineLevel="2" x14ac:dyDescent="0.25">
      <c r="A74" s="25"/>
      <c r="B74" s="11" t="str">
        <f>CONCATENATE("          ", "6241", " - ", "OFFICE EXPENSE")</f>
        <v xml:space="preserve">          6241 - OFFICE EXPENSE</v>
      </c>
      <c r="C74" s="11"/>
      <c r="D74" s="6">
        <v>88.05</v>
      </c>
      <c r="E74" s="2"/>
      <c r="F74" s="7">
        <f t="shared" si="44"/>
        <v>1.1030590376489521E-3</v>
      </c>
      <c r="G74" s="2"/>
      <c r="H74" s="6">
        <v>20</v>
      </c>
      <c r="I74" s="2"/>
      <c r="J74" s="7">
        <f t="shared" si="45"/>
        <v>2.6666666666666668E-4</v>
      </c>
      <c r="K74" s="2"/>
      <c r="L74" s="6">
        <f t="shared" si="46"/>
        <v>68.05</v>
      </c>
      <c r="M74" s="2"/>
      <c r="N74" s="7">
        <f t="shared" si="47"/>
        <v>3.4024999999999999</v>
      </c>
      <c r="O74" s="11"/>
      <c r="P74" s="6">
        <v>1207.55</v>
      </c>
      <c r="Q74" s="2"/>
      <c r="R74" s="7">
        <f t="shared" si="48"/>
        <v>3.4335668716115541E-3</v>
      </c>
      <c r="S74" s="2"/>
      <c r="T74" s="6">
        <v>100</v>
      </c>
      <c r="U74" s="2"/>
      <c r="V74" s="7">
        <f t="shared" si="49"/>
        <v>2.5987525987525989E-4</v>
      </c>
      <c r="W74" s="2"/>
      <c r="X74" s="6">
        <f t="shared" si="50"/>
        <v>1107.55</v>
      </c>
      <c r="Y74" s="2"/>
      <c r="Z74" s="7">
        <f t="shared" si="51"/>
        <v>11.0755</v>
      </c>
    </row>
    <row r="75" spans="1:26" s="24" customFormat="1" hidden="1" outlineLevel="2" x14ac:dyDescent="0.25">
      <c r="A75" s="25"/>
      <c r="B75" s="11" t="str">
        <f>CONCATENATE("          ", "6243", " - ", "PAPER SUPPLIES")</f>
        <v xml:space="preserve">          6243 - PAPER SUPPLIES</v>
      </c>
      <c r="C75" s="11"/>
      <c r="D75" s="6">
        <v>473.42</v>
      </c>
      <c r="E75" s="2"/>
      <c r="F75" s="7">
        <f t="shared" si="44"/>
        <v>5.9308371334896868E-3</v>
      </c>
      <c r="G75" s="2"/>
      <c r="H75" s="6">
        <v>300</v>
      </c>
      <c r="I75" s="2"/>
      <c r="J75" s="7">
        <f t="shared" si="45"/>
        <v>4.0000000000000001E-3</v>
      </c>
      <c r="K75" s="2"/>
      <c r="L75" s="6">
        <f t="shared" si="46"/>
        <v>173.42000000000002</v>
      </c>
      <c r="M75" s="2"/>
      <c r="N75" s="7">
        <f t="shared" si="47"/>
        <v>0.57806666666666673</v>
      </c>
      <c r="O75" s="11"/>
      <c r="P75" s="6">
        <v>2046.96</v>
      </c>
      <c r="Q75" s="2"/>
      <c r="R75" s="7">
        <f t="shared" si="48"/>
        <v>5.8203586133195205E-3</v>
      </c>
      <c r="S75" s="2"/>
      <c r="T75" s="6">
        <v>2320</v>
      </c>
      <c r="U75" s="2"/>
      <c r="V75" s="7">
        <f t="shared" si="49"/>
        <v>6.0291060291060294E-3</v>
      </c>
      <c r="W75" s="2"/>
      <c r="X75" s="6">
        <f t="shared" si="50"/>
        <v>-273.03999999999996</v>
      </c>
      <c r="Y75" s="2"/>
      <c r="Z75" s="7">
        <f t="shared" si="51"/>
        <v>-0.11768965517241378</v>
      </c>
    </row>
    <row r="76" spans="1:26" s="24" customFormat="1" hidden="1" outlineLevel="2" x14ac:dyDescent="0.25">
      <c r="A76" s="25"/>
      <c r="B76" s="11" t="str">
        <f>CONCATENATE("          ", "6245", " - ", "PRINTING")</f>
        <v xml:space="preserve">          6245 - PRINTING</v>
      </c>
      <c r="C76" s="11"/>
      <c r="D76" s="6"/>
      <c r="E76" s="2"/>
      <c r="F76" s="7">
        <f t="shared" si="44"/>
        <v>0</v>
      </c>
      <c r="G76" s="2"/>
      <c r="H76" s="6"/>
      <c r="I76" s="2"/>
      <c r="J76" s="7">
        <f t="shared" si="45"/>
        <v>0</v>
      </c>
      <c r="K76" s="2"/>
      <c r="L76" s="6">
        <f t="shared" si="46"/>
        <v>0</v>
      </c>
      <c r="M76" s="2"/>
      <c r="N76" s="7">
        <f t="shared" si="47"/>
        <v>0</v>
      </c>
      <c r="O76" s="11"/>
      <c r="P76" s="6">
        <v>181.92</v>
      </c>
      <c r="Q76" s="2"/>
      <c r="R76" s="7">
        <f t="shared" si="48"/>
        <v>5.172742207640047E-4</v>
      </c>
      <c r="S76" s="2"/>
      <c r="T76" s="6"/>
      <c r="U76" s="2"/>
      <c r="V76" s="7">
        <f t="shared" si="49"/>
        <v>0</v>
      </c>
      <c r="W76" s="2"/>
      <c r="X76" s="6">
        <f t="shared" si="50"/>
        <v>181.92</v>
      </c>
      <c r="Y76" s="2"/>
      <c r="Z76" s="7">
        <f t="shared" si="51"/>
        <v>0</v>
      </c>
    </row>
    <row r="77" spans="1:26" s="24" customFormat="1" hidden="1" outlineLevel="2" x14ac:dyDescent="0.25">
      <c r="A77" s="25"/>
      <c r="B77" s="11" t="str">
        <f>CONCATENATE("          ", "6247", " - ", "STORE SUPPLIES")</f>
        <v xml:space="preserve">          6247 - STORE SUPPLIES</v>
      </c>
      <c r="C77" s="11"/>
      <c r="D77" s="6">
        <v>179.38</v>
      </c>
      <c r="E77" s="2"/>
      <c r="F77" s="7">
        <f t="shared" si="44"/>
        <v>2.2472087470013519E-3</v>
      </c>
      <c r="G77" s="2"/>
      <c r="H77" s="6"/>
      <c r="I77" s="2"/>
      <c r="J77" s="7">
        <f t="shared" si="45"/>
        <v>0</v>
      </c>
      <c r="K77" s="2"/>
      <c r="L77" s="6">
        <f t="shared" si="46"/>
        <v>179.38</v>
      </c>
      <c r="M77" s="2"/>
      <c r="N77" s="7">
        <f t="shared" si="47"/>
        <v>0</v>
      </c>
      <c r="O77" s="11"/>
      <c r="P77" s="6">
        <v>1090.56</v>
      </c>
      <c r="Q77" s="2"/>
      <c r="R77" s="7">
        <f t="shared" si="48"/>
        <v>3.1009156453187829E-3</v>
      </c>
      <c r="S77" s="2"/>
      <c r="T77" s="6"/>
      <c r="U77" s="2"/>
      <c r="V77" s="7">
        <f t="shared" si="49"/>
        <v>0</v>
      </c>
      <c r="W77" s="2"/>
      <c r="X77" s="6">
        <f t="shared" si="50"/>
        <v>1090.56</v>
      </c>
      <c r="Y77" s="2"/>
      <c r="Z77" s="7">
        <f t="shared" si="51"/>
        <v>0</v>
      </c>
    </row>
    <row r="78" spans="1:26" s="24" customFormat="1" hidden="1" outlineLevel="2" x14ac:dyDescent="0.25">
      <c r="A78" s="25"/>
      <c r="B78" s="11" t="str">
        <f>CONCATENATE("          ", "6248", " - ", "UNIFORMS")</f>
        <v xml:space="preserve">          6248 - UNIFORMS</v>
      </c>
      <c r="C78" s="11"/>
      <c r="D78" s="6"/>
      <c r="E78" s="2"/>
      <c r="F78" s="7">
        <f t="shared" si="44"/>
        <v>0</v>
      </c>
      <c r="G78" s="2"/>
      <c r="H78" s="6"/>
      <c r="I78" s="2"/>
      <c r="J78" s="7">
        <f t="shared" si="45"/>
        <v>0</v>
      </c>
      <c r="K78" s="2"/>
      <c r="L78" s="6">
        <f t="shared" si="46"/>
        <v>0</v>
      </c>
      <c r="M78" s="2"/>
      <c r="N78" s="7">
        <f t="shared" si="47"/>
        <v>0</v>
      </c>
      <c r="O78" s="11"/>
      <c r="P78" s="6">
        <v>113.78</v>
      </c>
      <c r="Q78" s="2"/>
      <c r="R78" s="7">
        <f t="shared" si="48"/>
        <v>3.2352386124960677E-4</v>
      </c>
      <c r="S78" s="2"/>
      <c r="T78" s="6"/>
      <c r="U78" s="2"/>
      <c r="V78" s="7">
        <f t="shared" si="49"/>
        <v>0</v>
      </c>
      <c r="W78" s="2"/>
      <c r="X78" s="6">
        <f t="shared" si="50"/>
        <v>113.78</v>
      </c>
      <c r="Y78" s="2"/>
      <c r="Z78" s="7">
        <f t="shared" si="51"/>
        <v>0</v>
      </c>
    </row>
    <row r="79" spans="1:26" s="26" customFormat="1" outlineLevel="1" collapsed="1" x14ac:dyDescent="0.25">
      <c r="A79" s="27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SUM(OSRRefD22_14x_0)</f>
        <v>0</v>
      </c>
      <c r="E79" s="1"/>
      <c r="F79" s="5">
        <f t="shared" ref="F79:F82" si="52">IF(D$12=0,0,D79/D$12)</f>
        <v>0</v>
      </c>
      <c r="G79" s="1"/>
      <c r="H79" s="1">
        <f>SUM(OSRRefH22_14x_0)</f>
        <v>50</v>
      </c>
      <c r="I79" s="1"/>
      <c r="J79" s="5">
        <f t="shared" ref="J79:J82" si="53">IF(H$12=0,0,H79/H$12)</f>
        <v>6.6666666666666664E-4</v>
      </c>
      <c r="K79" s="1"/>
      <c r="L79" s="1">
        <f t="shared" ref="L79:L82" si="54">+D79-H79</f>
        <v>-50</v>
      </c>
      <c r="M79" s="1"/>
      <c r="N79" s="5">
        <f t="shared" ref="N79:N82" si="55">IF(H79=0,0,L79/H79)</f>
        <v>-1</v>
      </c>
      <c r="O79" s="13"/>
      <c r="P79" s="1">
        <f>SUM(OSRRefP22_14x_0)</f>
        <v>-45</v>
      </c>
      <c r="Q79" s="1"/>
      <c r="R79" s="5">
        <f t="shared" ref="R79:R82" si="56">IF(P$12=0,0,P79/P$12)</f>
        <v>-1.2795371555837849E-4</v>
      </c>
      <c r="S79" s="1"/>
      <c r="T79" s="1">
        <f>SUM(OSRRefT22_14x_0)</f>
        <v>250</v>
      </c>
      <c r="U79" s="1"/>
      <c r="V79" s="5">
        <f t="shared" ref="V79:V82" si="57">IF(T$12=0,0,T79/T$12)</f>
        <v>6.4968814968814972E-4</v>
      </c>
      <c r="W79" s="1"/>
      <c r="X79" s="1">
        <f t="shared" ref="X79:X82" si="58">+P79-T79</f>
        <v>-295</v>
      </c>
      <c r="Y79" s="1"/>
      <c r="Z79" s="5">
        <f t="shared" ref="Z79:Z82" si="59">IF(T79=0,0,X79/T79)</f>
        <v>-1.18</v>
      </c>
    </row>
    <row r="80" spans="1:26" s="24" customFormat="1" hidden="1" outlineLevel="2" x14ac:dyDescent="0.25">
      <c r="A80" s="25"/>
      <c r="B80" s="11" t="str">
        <f>CONCATENATE("          ", "6309", " - ", "TELEPHONE")</f>
        <v xml:space="preserve">          6309 - TELEPHONE</v>
      </c>
      <c r="C80" s="11"/>
      <c r="D80" s="6"/>
      <c r="E80" s="2"/>
      <c r="F80" s="7">
        <f t="shared" si="52"/>
        <v>0</v>
      </c>
      <c r="G80" s="2"/>
      <c r="H80" s="6">
        <v>50</v>
      </c>
      <c r="I80" s="2"/>
      <c r="J80" s="7">
        <f t="shared" si="53"/>
        <v>6.6666666666666664E-4</v>
      </c>
      <c r="K80" s="2"/>
      <c r="L80" s="6">
        <f t="shared" si="54"/>
        <v>-50</v>
      </c>
      <c r="M80" s="2"/>
      <c r="N80" s="7">
        <f t="shared" si="55"/>
        <v>-1</v>
      </c>
      <c r="O80" s="11"/>
      <c r="P80" s="6">
        <v>-45</v>
      </c>
      <c r="Q80" s="2"/>
      <c r="R80" s="7">
        <f t="shared" si="56"/>
        <v>-1.2795371555837849E-4</v>
      </c>
      <c r="S80" s="2"/>
      <c r="T80" s="6">
        <v>250</v>
      </c>
      <c r="U80" s="2"/>
      <c r="V80" s="7">
        <f t="shared" si="57"/>
        <v>6.4968814968814972E-4</v>
      </c>
      <c r="W80" s="2"/>
      <c r="X80" s="6">
        <f t="shared" si="58"/>
        <v>-295</v>
      </c>
      <c r="Y80" s="2"/>
      <c r="Z80" s="7">
        <f t="shared" si="59"/>
        <v>-1.18</v>
      </c>
    </row>
    <row r="81" spans="1:26" s="26" customFormat="1" outlineLevel="1" collapsed="1" x14ac:dyDescent="0.25">
      <c r="A81" s="27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SUM(OSRRefD22_15x_0)</f>
        <v>0</v>
      </c>
      <c r="E81" s="1"/>
      <c r="F81" s="5">
        <f t="shared" si="52"/>
        <v>0</v>
      </c>
      <c r="G81" s="1"/>
      <c r="H81" s="1">
        <f>SUM(OSRRefH22_15x_0)</f>
        <v>0</v>
      </c>
      <c r="I81" s="1"/>
      <c r="J81" s="5">
        <f t="shared" si="53"/>
        <v>0</v>
      </c>
      <c r="K81" s="1"/>
      <c r="L81" s="1">
        <f t="shared" si="54"/>
        <v>0</v>
      </c>
      <c r="M81" s="1"/>
      <c r="N81" s="5">
        <f t="shared" si="55"/>
        <v>0</v>
      </c>
      <c r="O81" s="13"/>
      <c r="P81" s="1">
        <f>SUM(OSRRefP22_15x_0)</f>
        <v>96</v>
      </c>
      <c r="Q81" s="1"/>
      <c r="R81" s="5">
        <f t="shared" si="56"/>
        <v>2.7296792652454078E-4</v>
      </c>
      <c r="S81" s="1"/>
      <c r="T81" s="1">
        <f>SUM(OSRRefT22_15x_0)</f>
        <v>120</v>
      </c>
      <c r="U81" s="1"/>
      <c r="V81" s="5">
        <f t="shared" si="57"/>
        <v>3.1185031185031187E-4</v>
      </c>
      <c r="W81" s="1"/>
      <c r="X81" s="1">
        <f t="shared" si="58"/>
        <v>-24</v>
      </c>
      <c r="Y81" s="1"/>
      <c r="Z81" s="5">
        <f t="shared" si="59"/>
        <v>-0.2</v>
      </c>
    </row>
    <row r="82" spans="1:26" s="24" customFormat="1" hidden="1" outlineLevel="2" x14ac:dyDescent="0.25">
      <c r="A82" s="25"/>
      <c r="B82" s="11" t="str">
        <f>CONCATENATE("          ", "6376", " - ", "TRAINING")</f>
        <v xml:space="preserve">          6376 - TRAINING</v>
      </c>
      <c r="C82" s="11"/>
      <c r="D82" s="6"/>
      <c r="E82" s="2"/>
      <c r="F82" s="7">
        <f t="shared" si="52"/>
        <v>0</v>
      </c>
      <c r="G82" s="2"/>
      <c r="H82" s="6"/>
      <c r="I82" s="2"/>
      <c r="J82" s="7">
        <f t="shared" si="53"/>
        <v>0</v>
      </c>
      <c r="K82" s="2"/>
      <c r="L82" s="6">
        <f t="shared" si="54"/>
        <v>0</v>
      </c>
      <c r="M82" s="2"/>
      <c r="N82" s="7">
        <f t="shared" si="55"/>
        <v>0</v>
      </c>
      <c r="O82" s="11"/>
      <c r="P82" s="6">
        <v>96</v>
      </c>
      <c r="Q82" s="2"/>
      <c r="R82" s="7">
        <f t="shared" si="56"/>
        <v>2.7296792652454078E-4</v>
      </c>
      <c r="S82" s="2"/>
      <c r="T82" s="6">
        <v>120</v>
      </c>
      <c r="U82" s="2"/>
      <c r="V82" s="7">
        <f t="shared" si="57"/>
        <v>3.1185031185031187E-4</v>
      </c>
      <c r="W82" s="2"/>
      <c r="X82" s="6">
        <f t="shared" si="58"/>
        <v>-24</v>
      </c>
      <c r="Y82" s="2"/>
      <c r="Z82" s="7">
        <f t="shared" si="59"/>
        <v>-0.2</v>
      </c>
    </row>
    <row r="83" spans="1:26" s="59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9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8" t="s">
        <v>3</v>
      </c>
      <c r="C86" s="28"/>
      <c r="D86" s="20">
        <f>+D23-D25+D84</f>
        <v>24671.360000000008</v>
      </c>
      <c r="E86" s="14"/>
      <c r="F86" s="22">
        <f>IF(D$12=0,0,D86/D$12)</f>
        <v>0.30907401043828348</v>
      </c>
      <c r="G86" s="14"/>
      <c r="H86" s="20">
        <f>+H23-H25+H84</f>
        <v>15210.035262799996</v>
      </c>
      <c r="I86" s="14"/>
      <c r="J86" s="22">
        <f>IF(H$12=0,0,H86/H$12)</f>
        <v>0.20280047017066663</v>
      </c>
      <c r="K86" s="16"/>
      <c r="L86" s="20">
        <f>+D86-H86</f>
        <v>9461.3247372000114</v>
      </c>
      <c r="M86" s="16"/>
      <c r="N86" s="22">
        <f>IF(H86=0,0,L86/H86)</f>
        <v>0.62204489166044763</v>
      </c>
      <c r="O86" s="29"/>
      <c r="P86" s="20">
        <f>+P23-P25+P84</f>
        <v>65127.570000000036</v>
      </c>
      <c r="Q86" s="14"/>
      <c r="R86" s="22">
        <f>IF(P$12=0,0,P86/P$12)</f>
        <v>0.18518476815085308</v>
      </c>
      <c r="S86" s="14"/>
      <c r="T86" s="20">
        <f>+T23-T25+T84</f>
        <v>81100.35774040001</v>
      </c>
      <c r="U86" s="14"/>
      <c r="V86" s="22">
        <f>IF(T$12=0,0,T86/T$12)</f>
        <v>0.21075976543762998</v>
      </c>
      <c r="W86" s="16"/>
      <c r="X86" s="20">
        <f>+P86-T86</f>
        <v>-15972.787740399974</v>
      </c>
      <c r="Y86" s="16"/>
      <c r="Z86" s="22">
        <f>IF(T86=0,0,X86/T86)</f>
        <v>-0.19695089128371571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>
        <v>9874.81</v>
      </c>
      <c r="E88" s="4"/>
      <c r="F88" s="12">
        <f>IF(D$12=0,0,D88/D$12)</f>
        <v>0.12370810239143951</v>
      </c>
      <c r="G88" s="4"/>
      <c r="H88" s="4">
        <v>11459</v>
      </c>
      <c r="I88" s="4"/>
      <c r="J88" s="12">
        <f>IF(H$12=0,0,H88/H$12)</f>
        <v>0.15278666666666665</v>
      </c>
      <c r="K88" s="4"/>
      <c r="L88" s="4">
        <f>+D88-H88</f>
        <v>-1584.1900000000005</v>
      </c>
      <c r="M88" s="4"/>
      <c r="N88" s="12">
        <f>IF(H88=0,0,L88/H88)</f>
        <v>-0.13824853826686451</v>
      </c>
      <c r="O88" s="10"/>
      <c r="P88" s="4">
        <v>37241.56</v>
      </c>
      <c r="Q88" s="4"/>
      <c r="R88" s="12">
        <f>IF(P$12=0,0,P88/P$12)</f>
        <v>0.10589324389311745</v>
      </c>
      <c r="S88" s="4"/>
      <c r="T88" s="4">
        <v>48766</v>
      </c>
      <c r="U88" s="4"/>
      <c r="V88" s="12">
        <f>IF(T$12=0,0,T88/T$12)</f>
        <v>0.12673076923076923</v>
      </c>
      <c r="W88" s="4"/>
      <c r="X88" s="4">
        <f>+P88-T88</f>
        <v>-11524.440000000002</v>
      </c>
      <c r="Y88" s="4"/>
      <c r="Z88" s="12">
        <f>IF(T88=0,0,X88/T88)</f>
        <v>-0.23632120739859744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8" t="s">
        <v>4</v>
      </c>
      <c r="C90" s="28"/>
      <c r="D90" s="30">
        <f>+D86-D88</f>
        <v>14796.550000000008</v>
      </c>
      <c r="E90" s="14"/>
      <c r="F90" s="32">
        <f>IF(D$12=0,0,D90/D$12)</f>
        <v>0.18536590804684397</v>
      </c>
      <c r="G90" s="14"/>
      <c r="H90" s="30">
        <f>+H86-H88</f>
        <v>3751.0352627999964</v>
      </c>
      <c r="I90" s="14"/>
      <c r="J90" s="32">
        <f>IF(H$12=0,0,H90/H$12)</f>
        <v>5.0013803503999955E-2</v>
      </c>
      <c r="K90" s="16"/>
      <c r="L90" s="30">
        <f>D90-H90</f>
        <v>11045.514737200012</v>
      </c>
      <c r="M90" s="16"/>
      <c r="N90" s="32">
        <f>IF(H90=0,0,L90/H90)</f>
        <v>2.9446576647096037</v>
      </c>
      <c r="O90" s="29"/>
      <c r="P90" s="30">
        <f>+P86-P88</f>
        <v>27886.010000000038</v>
      </c>
      <c r="Q90" s="14"/>
      <c r="R90" s="32">
        <f>IF(P$12=0,0,P90/P$12)</f>
        <v>7.9291524257735627E-2</v>
      </c>
      <c r="S90" s="14"/>
      <c r="T90" s="30">
        <f>+T86-T88</f>
        <v>32334.35774040001</v>
      </c>
      <c r="U90" s="14"/>
      <c r="V90" s="32">
        <f>IF(T$12=0,0,T90/T$12)</f>
        <v>8.4028996206860732E-2</v>
      </c>
      <c r="W90" s="16"/>
      <c r="X90" s="30">
        <f>P90-T90</f>
        <v>-4448.3477403999714</v>
      </c>
      <c r="Y90" s="16"/>
      <c r="Z90" s="32">
        <f>IF(T90=0,0,X90/T90)</f>
        <v>-0.13757340647103697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8" t="s">
        <v>5</v>
      </c>
      <c r="C93" s="28"/>
      <c r="D93" s="31">
        <f>SUM(D90:D92)</f>
        <v>14796.550000000008</v>
      </c>
      <c r="E93" s="14"/>
      <c r="F93" s="35">
        <f>IF(D$12=0,0,D93/D$12)</f>
        <v>0.18536590804684397</v>
      </c>
      <c r="G93" s="14"/>
      <c r="H93" s="31">
        <f>SUM(H90:H92)</f>
        <v>3751.0352627999964</v>
      </c>
      <c r="I93" s="14"/>
      <c r="J93" s="35">
        <f>IF(H$12=0,0,H93/H$12)</f>
        <v>5.0013803503999955E-2</v>
      </c>
      <c r="K93" s="16"/>
      <c r="L93" s="31">
        <f>+D93-H93</f>
        <v>11045.514737200012</v>
      </c>
      <c r="M93" s="16"/>
      <c r="N93" s="35">
        <f>IF(H93=0,0,L93/H93)</f>
        <v>2.9446576647096037</v>
      </c>
      <c r="O93" s="29"/>
      <c r="P93" s="31">
        <f>SUM(P90:P92)</f>
        <v>27886.010000000038</v>
      </c>
      <c r="Q93" s="14"/>
      <c r="R93" s="35">
        <f>IF(P$12=0,0,P93/P$12)</f>
        <v>7.9291524257735627E-2</v>
      </c>
      <c r="S93" s="14"/>
      <c r="T93" s="31">
        <f>SUM(T90:T92)</f>
        <v>32334.35774040001</v>
      </c>
      <c r="U93" s="14"/>
      <c r="V93" s="35">
        <f>IF(T$12=0,0,T93/T$12)</f>
        <v>8.4028996206860732E-2</v>
      </c>
      <c r="W93" s="16"/>
      <c r="X93" s="31">
        <f>+P93-T93</f>
        <v>-4448.3477403999714</v>
      </c>
      <c r="Y93" s="16"/>
      <c r="Z93" s="35">
        <f>IF(T93=0,0,X93/T93)</f>
        <v>-0.13757340647103697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56">
        <v>43815.484034837966</v>
      </c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62" t="s">
        <v>314</v>
      </c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58"/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","415", " - ", "Outpost")</f>
        <v>Department 415 - Outpost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84941.36</v>
      </c>
      <c r="E12" s="4"/>
      <c r="F12" s="12"/>
      <c r="G12" s="4"/>
      <c r="H12" s="4">
        <f>SUM(OSRRefH13x_0)</f>
        <v>82000</v>
      </c>
      <c r="I12" s="4"/>
      <c r="J12" s="12"/>
      <c r="K12" s="4"/>
      <c r="L12" s="4">
        <f t="shared" ref="L12:L15" si="0">+D12-H12</f>
        <v>2941.3600000000006</v>
      </c>
      <c r="M12" s="4"/>
      <c r="N12" s="12">
        <f t="shared" ref="N12:N15" si="1">IF(H12=0,0,L12/H12)</f>
        <v>3.5870243902439029E-2</v>
      </c>
      <c r="O12" s="10"/>
      <c r="P12" s="4">
        <f>SUM(OSRRefP13x_0)</f>
        <v>396774</v>
      </c>
      <c r="Q12" s="4"/>
      <c r="R12" s="12"/>
      <c r="S12" s="4"/>
      <c r="T12" s="4">
        <f>SUM(OSRRefT13x_0)</f>
        <v>413050</v>
      </c>
      <c r="U12" s="4"/>
      <c r="V12" s="12"/>
      <c r="W12" s="4"/>
      <c r="X12" s="4">
        <f t="shared" ref="X12:X15" si="2">+P12-T12</f>
        <v>-16276</v>
      </c>
      <c r="Y12" s="4"/>
      <c r="Z12" s="12">
        <f t="shared" ref="Z12:Z15" si="3">IF(T12=0,0,X12/T12)</f>
        <v>-3.9404430456361217E-2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--23914.05</f>
        <v>23914.05</v>
      </c>
      <c r="E13" s="2"/>
      <c r="F13" s="19"/>
      <c r="G13" s="2"/>
      <c r="H13" s="2"/>
      <c r="I13" s="2"/>
      <c r="J13" s="19"/>
      <c r="K13" s="2"/>
      <c r="L13" s="2">
        <f t="shared" si="0"/>
        <v>23914.05</v>
      </c>
      <c r="M13" s="2"/>
      <c r="N13" s="19">
        <f t="shared" si="1"/>
        <v>0</v>
      </c>
      <c r="O13" s="11"/>
      <c r="P13" s="2">
        <f>--118734.8</f>
        <v>118734.8</v>
      </c>
      <c r="Q13" s="2"/>
      <c r="R13" s="19"/>
      <c r="S13" s="2"/>
      <c r="T13" s="2"/>
      <c r="U13" s="2"/>
      <c r="V13" s="19"/>
      <c r="W13" s="2"/>
      <c r="X13" s="2">
        <f t="shared" si="2"/>
        <v>118734.8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82000</v>
      </c>
      <c r="I14" s="2"/>
      <c r="J14" s="19"/>
      <c r="K14" s="2"/>
      <c r="L14" s="2">
        <f t="shared" si="0"/>
        <v>-82000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413050</v>
      </c>
      <c r="U14" s="2"/>
      <c r="V14" s="19"/>
      <c r="W14" s="2"/>
      <c r="X14" s="2">
        <f t="shared" si="2"/>
        <v>-413050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--61027.31</f>
        <v>61027.31</v>
      </c>
      <c r="E15" s="2"/>
      <c r="F15" s="19"/>
      <c r="G15" s="2"/>
      <c r="H15" s="2"/>
      <c r="I15" s="2"/>
      <c r="J15" s="19"/>
      <c r="K15" s="2"/>
      <c r="L15" s="2">
        <f t="shared" si="0"/>
        <v>61027.31</v>
      </c>
      <c r="M15" s="2"/>
      <c r="N15" s="19">
        <f t="shared" si="1"/>
        <v>0</v>
      </c>
      <c r="O15" s="11"/>
      <c r="P15" s="2">
        <f>--278039.2</f>
        <v>278039.2</v>
      </c>
      <c r="Q15" s="2"/>
      <c r="R15" s="19"/>
      <c r="S15" s="2"/>
      <c r="T15" s="2"/>
      <c r="U15" s="2"/>
      <c r="V15" s="19"/>
      <c r="W15" s="2"/>
      <c r="X15" s="2">
        <f t="shared" si="2"/>
        <v>278039.2</v>
      </c>
      <c r="Y15" s="2"/>
      <c r="Z15" s="19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28277.08</v>
      </c>
      <c r="E17" s="4"/>
      <c r="F17" s="12">
        <f t="shared" ref="F17:F20" si="4">IF(D$12=0,0,D17/D$12)</f>
        <v>0.33290119206944652</v>
      </c>
      <c r="G17" s="4"/>
      <c r="H17" s="4">
        <f>SUM(OSRRefH16x_0)</f>
        <v>37060</v>
      </c>
      <c r="I17" s="4"/>
      <c r="J17" s="12">
        <f t="shared" ref="J17:J20" si="5">IF(H$12=0,0,H17/H$12)</f>
        <v>0.45195121951219513</v>
      </c>
      <c r="K17" s="4"/>
      <c r="L17" s="4">
        <f t="shared" ref="L17:L20" si="6">+D17-H17</f>
        <v>-8782.9199999999983</v>
      </c>
      <c r="M17" s="4"/>
      <c r="N17" s="12">
        <f t="shared" ref="N17:N20" si="7">IF(H17=0,0,L17/H17)</f>
        <v>-0.23699190501888825</v>
      </c>
      <c r="O17" s="10"/>
      <c r="P17" s="4">
        <f>SUM(OSRRefP16x_0)</f>
        <v>127847.32</v>
      </c>
      <c r="Q17" s="4"/>
      <c r="R17" s="12">
        <f t="shared" ref="R17:R20" si="8">IF(P$12=0,0,P17/P$12)</f>
        <v>0.32221697994324228</v>
      </c>
      <c r="S17" s="4"/>
      <c r="T17" s="4">
        <f>SUM(OSRRefT16x_0)</f>
        <v>143600</v>
      </c>
      <c r="U17" s="4"/>
      <c r="V17" s="12">
        <f t="shared" ref="V17:V20" si="9">IF(T$12=0,0,T17/T$12)</f>
        <v>0.34765766856312796</v>
      </c>
      <c r="W17" s="4"/>
      <c r="X17" s="4">
        <f t="shared" ref="X17:X20" si="10">+P17-T17</f>
        <v>-15752.679999999993</v>
      </c>
      <c r="Y17" s="4"/>
      <c r="Z17" s="12">
        <f t="shared" ref="Z17:Z20" si="11">IF(T17=0,0,X17/T17)</f>
        <v>-0.10969832869080776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4"/>
        <v>0</v>
      </c>
      <c r="G18" s="2"/>
      <c r="H18" s="2">
        <v>37060</v>
      </c>
      <c r="I18" s="2"/>
      <c r="J18" s="19">
        <f t="shared" si="5"/>
        <v>0.45195121951219513</v>
      </c>
      <c r="K18" s="2"/>
      <c r="L18" s="2">
        <f t="shared" si="6"/>
        <v>-37060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143600</v>
      </c>
      <c r="U18" s="2"/>
      <c r="V18" s="19">
        <f t="shared" si="9"/>
        <v>0.34765766856312796</v>
      </c>
      <c r="W18" s="2"/>
      <c r="X18" s="2">
        <f t="shared" si="10"/>
        <v>-143600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>
        <v>25060.080000000002</v>
      </c>
      <c r="E19" s="2"/>
      <c r="F19" s="19">
        <f t="shared" si="4"/>
        <v>0.29502800520264805</v>
      </c>
      <c r="G19" s="2"/>
      <c r="H19" s="2"/>
      <c r="I19" s="2"/>
      <c r="J19" s="19">
        <f t="shared" si="5"/>
        <v>0</v>
      </c>
      <c r="K19" s="2"/>
      <c r="L19" s="2">
        <f t="shared" si="6"/>
        <v>25060.080000000002</v>
      </c>
      <c r="M19" s="2"/>
      <c r="N19" s="19">
        <f t="shared" si="7"/>
        <v>0</v>
      </c>
      <c r="O19" s="11"/>
      <c r="P19" s="2">
        <v>127187.32</v>
      </c>
      <c r="Q19" s="2"/>
      <c r="R19" s="19">
        <f t="shared" si="8"/>
        <v>0.32055356449767375</v>
      </c>
      <c r="S19" s="2"/>
      <c r="T19" s="2"/>
      <c r="U19" s="2"/>
      <c r="V19" s="19">
        <f t="shared" si="9"/>
        <v>0</v>
      </c>
      <c r="W19" s="2"/>
      <c r="X19" s="2">
        <f t="shared" si="10"/>
        <v>127187.32</v>
      </c>
      <c r="Y19" s="2"/>
      <c r="Z19" s="19">
        <f t="shared" si="11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>
        <v>3217</v>
      </c>
      <c r="E20" s="2"/>
      <c r="F20" s="19">
        <f t="shared" si="4"/>
        <v>3.7873186866798463E-2</v>
      </c>
      <c r="G20" s="2"/>
      <c r="H20" s="2"/>
      <c r="I20" s="2"/>
      <c r="J20" s="19">
        <f t="shared" si="5"/>
        <v>0</v>
      </c>
      <c r="K20" s="2"/>
      <c r="L20" s="2">
        <f t="shared" si="6"/>
        <v>3217</v>
      </c>
      <c r="M20" s="2"/>
      <c r="N20" s="19">
        <f t="shared" si="7"/>
        <v>0</v>
      </c>
      <c r="O20" s="11"/>
      <c r="P20" s="2">
        <v>660</v>
      </c>
      <c r="Q20" s="2"/>
      <c r="R20" s="19">
        <f t="shared" si="8"/>
        <v>1.6634154455685099E-3</v>
      </c>
      <c r="S20" s="2"/>
      <c r="T20" s="2"/>
      <c r="U20" s="2"/>
      <c r="V20" s="19">
        <f t="shared" si="9"/>
        <v>0</v>
      </c>
      <c r="W20" s="2"/>
      <c r="X20" s="2">
        <f t="shared" si="10"/>
        <v>660</v>
      </c>
      <c r="Y20" s="2"/>
      <c r="Z20" s="19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0">
        <f>D12-D17</f>
        <v>56664.28</v>
      </c>
      <c r="E22" s="14"/>
      <c r="F22" s="22">
        <f>IF(D$12=0,0,D22/D$12)</f>
        <v>0.66709880793055354</v>
      </c>
      <c r="G22" s="14"/>
      <c r="H22" s="20">
        <f>H12-H17</f>
        <v>44940</v>
      </c>
      <c r="I22" s="14"/>
      <c r="J22" s="22">
        <f>IF(H$12=0,0,H22/H$12)</f>
        <v>0.54804878048780492</v>
      </c>
      <c r="K22" s="16"/>
      <c r="L22" s="20">
        <f>+D22-H22</f>
        <v>11724.279999999999</v>
      </c>
      <c r="M22" s="16"/>
      <c r="N22" s="22">
        <f>IF(H22=0,0,L22/H22)</f>
        <v>0.26088740542946148</v>
      </c>
      <c r="O22" s="29"/>
      <c r="P22" s="20">
        <f>P12-P17</f>
        <v>268926.68</v>
      </c>
      <c r="Q22" s="14"/>
      <c r="R22" s="22">
        <f>IF(P$12=0,0,P22/P$12)</f>
        <v>0.67778302005675772</v>
      </c>
      <c r="S22" s="14"/>
      <c r="T22" s="20">
        <f>T12-T17</f>
        <v>269450</v>
      </c>
      <c r="U22" s="14"/>
      <c r="V22" s="22">
        <f>IF(T$12=0,0,T22/T$12)</f>
        <v>0.65234233143687204</v>
      </c>
      <c r="W22" s="16"/>
      <c r="X22" s="20">
        <f>+P22-T22</f>
        <v>-523.32000000000698</v>
      </c>
      <c r="Y22" s="16"/>
      <c r="Z22" s="22">
        <f>IF(T22=0,0,X22/T22)</f>
        <v>-1.9421785117832882E-3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67799.219999999987</v>
      </c>
      <c r="E24" s="21"/>
      <c r="F24" s="33">
        <f t="shared" ref="F24:F34" si="12">IF(D$12=0,0,D24/D$12)</f>
        <v>0.79818853853999971</v>
      </c>
      <c r="G24" s="21"/>
      <c r="H24" s="21">
        <f>SUM(OSRRefH22x_0)</f>
        <v>61138.554492307696</v>
      </c>
      <c r="I24" s="21"/>
      <c r="J24" s="33">
        <f t="shared" ref="J24:J34" si="13">IF(H$12=0,0,H24/H$12)</f>
        <v>0.74559212795497187</v>
      </c>
      <c r="K24" s="4"/>
      <c r="L24" s="21">
        <f t="shared" ref="L24:L34" si="14">+D24-H24</f>
        <v>6660.6655076922907</v>
      </c>
      <c r="M24" s="4"/>
      <c r="N24" s="33">
        <f t="shared" ref="N24:N34" si="15">IF(H24=0,0,L24/H24)</f>
        <v>0.10894378453992266</v>
      </c>
      <c r="O24" s="10"/>
      <c r="P24" s="21">
        <f>SUM(OSRRefP22x_0)</f>
        <v>353581.00000000006</v>
      </c>
      <c r="Q24" s="21"/>
      <c r="R24" s="33">
        <f t="shared" ref="R24:R34" si="16">IF(P$12=0,0,P24/P$12)</f>
        <v>0.89113954039327192</v>
      </c>
      <c r="S24" s="21"/>
      <c r="T24" s="21">
        <f>SUM(OSRRefT22x_0)</f>
        <v>329133.99936846155</v>
      </c>
      <c r="U24" s="21"/>
      <c r="V24" s="33">
        <f t="shared" ref="V24:V34" si="17">IF(T$12=0,0,T24/T$12)</f>
        <v>0.79683815365805966</v>
      </c>
      <c r="W24" s="4"/>
      <c r="X24" s="21">
        <f t="shared" ref="X24:X34" si="18">+P24-T24</f>
        <v>24447.000631538511</v>
      </c>
      <c r="Y24" s="4"/>
      <c r="Z24" s="33">
        <f t="shared" ref="Z24:Z34" si="19">IF(T24=0,0,X24/T24)</f>
        <v>7.4276740411039668E-2</v>
      </c>
    </row>
    <row r="25" spans="1:26" s="26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7416.19</v>
      </c>
      <c r="E25" s="1"/>
      <c r="F25" s="5">
        <f t="shared" si="12"/>
        <v>8.7309527419857647E-2</v>
      </c>
      <c r="G25" s="1"/>
      <c r="H25" s="1">
        <f>SUM(OSRRefH22_0x_0)</f>
        <v>6697.6374153846127</v>
      </c>
      <c r="I25" s="1"/>
      <c r="J25" s="5">
        <f t="shared" si="13"/>
        <v>8.1678505065666013E-2</v>
      </c>
      <c r="K25" s="1"/>
      <c r="L25" s="1">
        <f t="shared" si="14"/>
        <v>718.55258461538688</v>
      </c>
      <c r="M25" s="1"/>
      <c r="N25" s="5">
        <f t="shared" si="15"/>
        <v>0.10728448556573944</v>
      </c>
      <c r="O25" s="13"/>
      <c r="P25" s="1">
        <f>SUM(OSRRefP22_0x_0)</f>
        <v>41963.61</v>
      </c>
      <c r="Q25" s="1"/>
      <c r="R25" s="5">
        <f t="shared" si="16"/>
        <v>0.10576199549365634</v>
      </c>
      <c r="S25" s="1"/>
      <c r="T25" s="1">
        <f>SUM(OSRRefT22_0x_0)</f>
        <v>38000.49494538462</v>
      </c>
      <c r="U25" s="1"/>
      <c r="V25" s="5">
        <f t="shared" si="17"/>
        <v>9.1999745661262844E-2</v>
      </c>
      <c r="W25" s="1"/>
      <c r="X25" s="1">
        <f t="shared" si="18"/>
        <v>3963.1150546153804</v>
      </c>
      <c r="Y25" s="1"/>
      <c r="Z25" s="5">
        <f t="shared" si="19"/>
        <v>0.10429114305777545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6">
        <v>1249.33</v>
      </c>
      <c r="E26" s="2"/>
      <c r="F26" s="7">
        <f t="shared" si="12"/>
        <v>1.4708146890984555E-2</v>
      </c>
      <c r="G26" s="2"/>
      <c r="H26" s="6">
        <v>633.03261230769203</v>
      </c>
      <c r="I26" s="2"/>
      <c r="J26" s="7">
        <f t="shared" si="13"/>
        <v>7.7199099061913664E-3</v>
      </c>
      <c r="K26" s="2"/>
      <c r="L26" s="6">
        <f t="shared" si="14"/>
        <v>616.29738769230789</v>
      </c>
      <c r="M26" s="2"/>
      <c r="N26" s="7">
        <f t="shared" si="15"/>
        <v>0.97356340844055944</v>
      </c>
      <c r="O26" s="11"/>
      <c r="P26" s="6">
        <v>7517.38</v>
      </c>
      <c r="Q26" s="2"/>
      <c r="R26" s="7">
        <f t="shared" si="16"/>
        <v>1.8946251518496677E-2</v>
      </c>
      <c r="S26" s="2"/>
      <c r="T26" s="6">
        <v>4296.2646876923036</v>
      </c>
      <c r="U26" s="2"/>
      <c r="V26" s="7">
        <f t="shared" si="17"/>
        <v>1.0401318696749312E-2</v>
      </c>
      <c r="W26" s="2"/>
      <c r="X26" s="6">
        <f t="shared" si="18"/>
        <v>3221.1153123076965</v>
      </c>
      <c r="Y26" s="2"/>
      <c r="Z26" s="7">
        <f t="shared" si="19"/>
        <v>0.74974787320142677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6">
        <v>1043.96</v>
      </c>
      <c r="E27" s="2"/>
      <c r="F27" s="7">
        <f t="shared" si="12"/>
        <v>1.2290361256283159E-2</v>
      </c>
      <c r="G27" s="2"/>
      <c r="H27" s="6">
        <v>947.95742153846084</v>
      </c>
      <c r="I27" s="2"/>
      <c r="J27" s="7">
        <f t="shared" si="13"/>
        <v>1.1560456360225133E-2</v>
      </c>
      <c r="K27" s="2"/>
      <c r="L27" s="6">
        <f t="shared" si="14"/>
        <v>96.002578461539201</v>
      </c>
      <c r="M27" s="2"/>
      <c r="N27" s="7">
        <f t="shared" si="15"/>
        <v>0.10127309125945184</v>
      </c>
      <c r="O27" s="11"/>
      <c r="P27" s="6">
        <v>3164.39</v>
      </c>
      <c r="Q27" s="2"/>
      <c r="R27" s="7">
        <f t="shared" si="16"/>
        <v>7.9752957603068751E-3</v>
      </c>
      <c r="S27" s="2"/>
      <c r="T27" s="6">
        <v>5231.7554384615387</v>
      </c>
      <c r="U27" s="2"/>
      <c r="V27" s="7">
        <f t="shared" si="17"/>
        <v>1.2666155280139303E-2</v>
      </c>
      <c r="W27" s="2"/>
      <c r="X27" s="6">
        <f t="shared" si="18"/>
        <v>-2067.3654384615388</v>
      </c>
      <c r="Y27" s="2"/>
      <c r="Z27" s="7">
        <f t="shared" si="19"/>
        <v>-0.39515712513302664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6">
        <v>3090.03</v>
      </c>
      <c r="E28" s="2"/>
      <c r="F28" s="7">
        <f t="shared" si="12"/>
        <v>3.6378390927576394E-2</v>
      </c>
      <c r="G28" s="2"/>
      <c r="H28" s="6">
        <v>2977.8076923076901</v>
      </c>
      <c r="I28" s="2"/>
      <c r="J28" s="7">
        <f t="shared" si="13"/>
        <v>3.6314727954971829E-2</v>
      </c>
      <c r="K28" s="2"/>
      <c r="L28" s="6">
        <f t="shared" si="14"/>
        <v>112.2223076923101</v>
      </c>
      <c r="M28" s="2"/>
      <c r="N28" s="7">
        <f t="shared" si="15"/>
        <v>3.768621727393752E-2</v>
      </c>
      <c r="O28" s="11"/>
      <c r="P28" s="6">
        <v>15450.470000000001</v>
      </c>
      <c r="Q28" s="2"/>
      <c r="R28" s="7">
        <f t="shared" si="16"/>
        <v>3.8940227938322573E-2</v>
      </c>
      <c r="S28" s="2"/>
      <c r="T28" s="6">
        <v>16713.96153846155</v>
      </c>
      <c r="U28" s="2"/>
      <c r="V28" s="7">
        <f t="shared" si="17"/>
        <v>4.0464741649828231E-2</v>
      </c>
      <c r="W28" s="2"/>
      <c r="X28" s="6">
        <f t="shared" si="18"/>
        <v>-1263.4915384615488</v>
      </c>
      <c r="Y28" s="2"/>
      <c r="Z28" s="7">
        <f t="shared" si="19"/>
        <v>-7.5594977022894833E-2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6">
        <v>69.959999999999994</v>
      </c>
      <c r="E29" s="2"/>
      <c r="F29" s="7">
        <f t="shared" si="12"/>
        <v>8.2362702928231893E-4</v>
      </c>
      <c r="G29" s="2"/>
      <c r="H29" s="6">
        <v>63.522919999999999</v>
      </c>
      <c r="I29" s="2"/>
      <c r="J29" s="7">
        <f t="shared" si="13"/>
        <v>7.7466975609756094E-4</v>
      </c>
      <c r="K29" s="2"/>
      <c r="L29" s="6">
        <f t="shared" si="14"/>
        <v>6.4370799999999946</v>
      </c>
      <c r="M29" s="2"/>
      <c r="N29" s="7">
        <f t="shared" si="15"/>
        <v>0.10133476231886057</v>
      </c>
      <c r="O29" s="11"/>
      <c r="P29" s="6">
        <v>310.64</v>
      </c>
      <c r="Q29" s="2"/>
      <c r="R29" s="7">
        <f t="shared" si="16"/>
        <v>7.8291420304757865E-4</v>
      </c>
      <c r="S29" s="2"/>
      <c r="T29" s="6">
        <v>350.58154999999999</v>
      </c>
      <c r="U29" s="2"/>
      <c r="V29" s="7">
        <f t="shared" si="17"/>
        <v>8.4876298268974693E-4</v>
      </c>
      <c r="W29" s="2"/>
      <c r="X29" s="6">
        <f t="shared" si="18"/>
        <v>-39.941550000000007</v>
      </c>
      <c r="Y29" s="2"/>
      <c r="Z29" s="7">
        <f t="shared" si="19"/>
        <v>-0.1139294124291481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6">
        <v>523.63</v>
      </c>
      <c r="E30" s="2"/>
      <c r="F30" s="7">
        <f t="shared" si="12"/>
        <v>6.1646057939265392E-3</v>
      </c>
      <c r="G30" s="2"/>
      <c r="H30" s="6">
        <v>463.34153846153902</v>
      </c>
      <c r="I30" s="2"/>
      <c r="J30" s="7">
        <f t="shared" si="13"/>
        <v>5.6505065666041347E-3</v>
      </c>
      <c r="K30" s="2"/>
      <c r="L30" s="6">
        <f t="shared" si="14"/>
        <v>60.288461538460979</v>
      </c>
      <c r="M30" s="2"/>
      <c r="N30" s="7">
        <f t="shared" si="15"/>
        <v>0.13011667751318048</v>
      </c>
      <c r="O30" s="11"/>
      <c r="P30" s="6">
        <v>3167.08</v>
      </c>
      <c r="Q30" s="2"/>
      <c r="R30" s="7">
        <f t="shared" si="16"/>
        <v>7.9820754384107833E-3</v>
      </c>
      <c r="S30" s="2"/>
      <c r="T30" s="6">
        <v>2548.3784615384629</v>
      </c>
      <c r="U30" s="2"/>
      <c r="V30" s="7">
        <f t="shared" si="17"/>
        <v>6.16966096486736E-3</v>
      </c>
      <c r="W30" s="2"/>
      <c r="X30" s="6">
        <f t="shared" si="18"/>
        <v>618.70153846153698</v>
      </c>
      <c r="Y30" s="2"/>
      <c r="Z30" s="7">
        <f t="shared" si="19"/>
        <v>0.24278243902910135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>
        <v>714.17</v>
      </c>
      <c r="E32" s="2"/>
      <c r="F32" s="7">
        <f t="shared" si="12"/>
        <v>8.4078003931182636E-3</v>
      </c>
      <c r="G32" s="2"/>
      <c r="H32" s="6">
        <v>413.58461538461501</v>
      </c>
      <c r="I32" s="2"/>
      <c r="J32" s="7">
        <f t="shared" si="13"/>
        <v>5.0437148217635976E-3</v>
      </c>
      <c r="K32" s="2"/>
      <c r="L32" s="6">
        <f t="shared" si="14"/>
        <v>300.58538461538495</v>
      </c>
      <c r="M32" s="2"/>
      <c r="N32" s="7">
        <f t="shared" si="15"/>
        <v>0.72678086523081653</v>
      </c>
      <c r="O32" s="11"/>
      <c r="P32" s="6">
        <v>5103.3999999999996</v>
      </c>
      <c r="Q32" s="2"/>
      <c r="R32" s="7">
        <f t="shared" si="16"/>
        <v>1.286223391653687E-2</v>
      </c>
      <c r="S32" s="2"/>
      <c r="T32" s="6">
        <v>2367.4153846153831</v>
      </c>
      <c r="U32" s="2"/>
      <c r="V32" s="7">
        <f t="shared" si="17"/>
        <v>5.7315467488569978E-3</v>
      </c>
      <c r="W32" s="2"/>
      <c r="X32" s="6">
        <f t="shared" si="18"/>
        <v>2735.9846153846165</v>
      </c>
      <c r="Y32" s="2"/>
      <c r="Z32" s="7">
        <f t="shared" si="19"/>
        <v>1.155684225575442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>
        <v>392.9</v>
      </c>
      <c r="E33" s="2"/>
      <c r="F33" s="7">
        <f t="shared" si="12"/>
        <v>4.6255440223702564E-3</v>
      </c>
      <c r="G33" s="2"/>
      <c r="H33" s="6">
        <v>898.39061538461499</v>
      </c>
      <c r="I33" s="2"/>
      <c r="J33" s="7">
        <f t="shared" si="13"/>
        <v>1.0955983114446524E-2</v>
      </c>
      <c r="K33" s="2"/>
      <c r="L33" s="6">
        <f t="shared" si="14"/>
        <v>-505.49061538461501</v>
      </c>
      <c r="M33" s="2"/>
      <c r="N33" s="7">
        <f t="shared" si="15"/>
        <v>-0.5626623950965991</v>
      </c>
      <c r="O33" s="11"/>
      <c r="P33" s="6">
        <v>5603.88</v>
      </c>
      <c r="Q33" s="2"/>
      <c r="R33" s="7">
        <f t="shared" si="16"/>
        <v>1.4123606889564337E-2</v>
      </c>
      <c r="S33" s="2"/>
      <c r="T33" s="6">
        <v>4992.1378846153893</v>
      </c>
      <c r="U33" s="2"/>
      <c r="V33" s="7">
        <f t="shared" si="17"/>
        <v>1.2086037730578354E-2</v>
      </c>
      <c r="W33" s="2"/>
      <c r="X33" s="6">
        <f t="shared" si="18"/>
        <v>611.74211538461077</v>
      </c>
      <c r="Y33" s="2"/>
      <c r="Z33" s="7">
        <f t="shared" si="19"/>
        <v>0.12254110954544305</v>
      </c>
    </row>
    <row r="34" spans="1:26" s="24" customFormat="1" hidden="1" outlineLevel="2" x14ac:dyDescent="0.25">
      <c r="A34" s="25"/>
      <c r="B34" s="11" t="str">
        <f>CONCATENATE("          ", "6156", " - ", "EMPLOYEE MEALS")</f>
        <v xml:space="preserve">          6156 - EMPLOYEE MEALS</v>
      </c>
      <c r="C34" s="11"/>
      <c r="D34" s="6">
        <v>332.21</v>
      </c>
      <c r="E34" s="2"/>
      <c r="F34" s="7">
        <f t="shared" si="12"/>
        <v>3.911051106316169E-3</v>
      </c>
      <c r="G34" s="2"/>
      <c r="H34" s="6">
        <v>300</v>
      </c>
      <c r="I34" s="2"/>
      <c r="J34" s="7">
        <f t="shared" si="13"/>
        <v>3.6585365853658539E-3</v>
      </c>
      <c r="K34" s="2"/>
      <c r="L34" s="6">
        <f t="shared" si="14"/>
        <v>32.20999999999998</v>
      </c>
      <c r="M34" s="2"/>
      <c r="N34" s="7">
        <f t="shared" si="15"/>
        <v>0.1073666666666666</v>
      </c>
      <c r="O34" s="11"/>
      <c r="P34" s="6">
        <v>1646.37</v>
      </c>
      <c r="Q34" s="2"/>
      <c r="R34" s="7">
        <f t="shared" si="16"/>
        <v>4.1493898289706481E-3</v>
      </c>
      <c r="S34" s="2"/>
      <c r="T34" s="6">
        <v>1500</v>
      </c>
      <c r="U34" s="2"/>
      <c r="V34" s="7">
        <f t="shared" si="17"/>
        <v>3.6315216075535652E-3</v>
      </c>
      <c r="W34" s="2"/>
      <c r="X34" s="6">
        <f t="shared" si="18"/>
        <v>146.36999999999989</v>
      </c>
      <c r="Y34" s="2"/>
      <c r="Z34" s="7">
        <f t="shared" si="19"/>
        <v>9.7579999999999931E-2</v>
      </c>
    </row>
    <row r="35" spans="1:26" s="26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23181.29</v>
      </c>
      <c r="E35" s="1"/>
      <c r="F35" s="5">
        <f t="shared" ref="F35:F45" si="20">IF(D$12=0,0,D35/D$12)</f>
        <v>0.27290933415711732</v>
      </c>
      <c r="G35" s="1"/>
      <c r="H35" s="1">
        <f>SUM(OSRRefH22_1x_0)</f>
        <v>23119.91707692308</v>
      </c>
      <c r="I35" s="1"/>
      <c r="J35" s="5">
        <f t="shared" ref="J35:J45" si="21">IF(H$12=0,0,H35/H$12)</f>
        <v>0.28195020825515954</v>
      </c>
      <c r="K35" s="1"/>
      <c r="L35" s="1">
        <f t="shared" ref="L35:L45" si="22">+D35-H35</f>
        <v>61.372923076920415</v>
      </c>
      <c r="M35" s="1"/>
      <c r="N35" s="5">
        <f t="shared" ref="N35:N45" si="23">IF(H35=0,0,L35/H35)</f>
        <v>2.6545477162709724E-3</v>
      </c>
      <c r="O35" s="13"/>
      <c r="P35" s="1">
        <f>SUM(OSRRefP22_1x_0)</f>
        <v>124206.26999999999</v>
      </c>
      <c r="Q35" s="1"/>
      <c r="R35" s="5">
        <f t="shared" ref="R35:R45" si="24">IF(P$12=0,0,P35/P$12)</f>
        <v>0.31304034538553432</v>
      </c>
      <c r="S35" s="1"/>
      <c r="T35" s="1">
        <f>SUM(OSRRefT22_1x_0)</f>
        <v>127479.50442307693</v>
      </c>
      <c r="U35" s="1"/>
      <c r="V35" s="5">
        <f t="shared" ref="V35:V45" si="25">IF(T$12=0,0,T35/T$12)</f>
        <v>0.30862971655508276</v>
      </c>
      <c r="W35" s="1"/>
      <c r="X35" s="1">
        <f t="shared" ref="X35:X45" si="26">+P35-T35</f>
        <v>-3273.2344230769377</v>
      </c>
      <c r="Y35" s="1"/>
      <c r="Z35" s="5">
        <f t="shared" ref="Z35:Z45" si="27">IF(T35=0,0,X35/T35)</f>
        <v>-2.5676554344091111E-2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>
        <v>4866.91</v>
      </c>
      <c r="E37" s="2"/>
      <c r="F37" s="7">
        <f t="shared" si="20"/>
        <v>5.7297293097261448E-2</v>
      </c>
      <c r="G37" s="2"/>
      <c r="H37" s="6">
        <v>4848.9230769230799</v>
      </c>
      <c r="I37" s="2"/>
      <c r="J37" s="7">
        <f t="shared" si="21"/>
        <v>5.9133208255159511E-2</v>
      </c>
      <c r="K37" s="2"/>
      <c r="L37" s="6">
        <f t="shared" si="22"/>
        <v>17.986923076919993</v>
      </c>
      <c r="M37" s="2"/>
      <c r="N37" s="7">
        <f t="shared" si="23"/>
        <v>3.7094676058119134E-3</v>
      </c>
      <c r="O37" s="11"/>
      <c r="P37" s="6">
        <v>26604.329999999998</v>
      </c>
      <c r="Q37" s="2"/>
      <c r="R37" s="7">
        <f t="shared" si="24"/>
        <v>6.7051596122729817E-2</v>
      </c>
      <c r="S37" s="2"/>
      <c r="T37" s="6">
        <v>26669.07692307694</v>
      </c>
      <c r="U37" s="2"/>
      <c r="V37" s="7">
        <f t="shared" si="25"/>
        <v>6.4566219399774707E-2</v>
      </c>
      <c r="W37" s="2"/>
      <c r="X37" s="6">
        <f t="shared" si="26"/>
        <v>-64.746923076942039</v>
      </c>
      <c r="Y37" s="2"/>
      <c r="Z37" s="7">
        <f t="shared" si="27"/>
        <v>-2.4277901805036255E-3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>
        <v>3225.44</v>
      </c>
      <c r="E39" s="2"/>
      <c r="F39" s="7">
        <f t="shared" si="20"/>
        <v>3.7972549532995468E-2</v>
      </c>
      <c r="G39" s="2"/>
      <c r="H39" s="6">
        <v>2595.6</v>
      </c>
      <c r="I39" s="2"/>
      <c r="J39" s="7">
        <f t="shared" si="21"/>
        <v>3.1653658536585368E-2</v>
      </c>
      <c r="K39" s="2"/>
      <c r="L39" s="6">
        <f t="shared" si="22"/>
        <v>629.84000000000015</v>
      </c>
      <c r="M39" s="2"/>
      <c r="N39" s="7">
        <f t="shared" si="23"/>
        <v>0.24265680382185242</v>
      </c>
      <c r="O39" s="11"/>
      <c r="P39" s="6">
        <v>16989.289999999997</v>
      </c>
      <c r="Q39" s="2"/>
      <c r="R39" s="7">
        <f t="shared" si="24"/>
        <v>4.2818556659458523E-2</v>
      </c>
      <c r="S39" s="2"/>
      <c r="T39" s="6">
        <v>15944.4</v>
      </c>
      <c r="U39" s="2"/>
      <c r="V39" s="7">
        <f t="shared" si="25"/>
        <v>3.8601622079651371E-2</v>
      </c>
      <c r="W39" s="2"/>
      <c r="X39" s="6">
        <f t="shared" si="26"/>
        <v>1044.8899999999976</v>
      </c>
      <c r="Y39" s="2"/>
      <c r="Z39" s="7">
        <f t="shared" si="27"/>
        <v>6.5533353403075534E-2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>
        <v>7812.93</v>
      </c>
      <c r="E40" s="2"/>
      <c r="F40" s="7">
        <f t="shared" si="20"/>
        <v>9.1980279100782006E-2</v>
      </c>
      <c r="G40" s="2"/>
      <c r="H40" s="6">
        <v>9127.8940000000002</v>
      </c>
      <c r="I40" s="2"/>
      <c r="J40" s="7">
        <f t="shared" si="21"/>
        <v>0.11131578048780488</v>
      </c>
      <c r="K40" s="2"/>
      <c r="L40" s="6">
        <f t="shared" si="22"/>
        <v>-1314.9639999999999</v>
      </c>
      <c r="M40" s="2"/>
      <c r="N40" s="7">
        <f t="shared" si="23"/>
        <v>-0.14405995512217823</v>
      </c>
      <c r="O40" s="11"/>
      <c r="P40" s="6">
        <v>39315.299999999996</v>
      </c>
      <c r="Q40" s="2"/>
      <c r="R40" s="7">
        <f t="shared" si="24"/>
        <v>9.9087389798726722E-2</v>
      </c>
      <c r="S40" s="2"/>
      <c r="T40" s="6">
        <v>45962.964999999997</v>
      </c>
      <c r="U40" s="2"/>
      <c r="V40" s="7">
        <f t="shared" si="25"/>
        <v>0.11127700036315215</v>
      </c>
      <c r="W40" s="2"/>
      <c r="X40" s="6">
        <f t="shared" si="26"/>
        <v>-6647.6650000000009</v>
      </c>
      <c r="Y40" s="2"/>
      <c r="Z40" s="7">
        <f t="shared" si="27"/>
        <v>-0.14463090011708343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200.5</v>
      </c>
      <c r="Q41" s="2"/>
      <c r="R41" s="7">
        <f t="shared" si="24"/>
        <v>5.0532544975225187E-4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200.5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7276.01</v>
      </c>
      <c r="E42" s="2"/>
      <c r="F42" s="7">
        <f t="shared" si="20"/>
        <v>8.5659212426078421E-2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7276.01</v>
      </c>
      <c r="M42" s="2"/>
      <c r="N42" s="7">
        <f t="shared" si="23"/>
        <v>0</v>
      </c>
      <c r="O42" s="11"/>
      <c r="P42" s="6">
        <v>41096.85</v>
      </c>
      <c r="Q42" s="2"/>
      <c r="R42" s="7">
        <f t="shared" si="24"/>
        <v>0.103577477354867</v>
      </c>
      <c r="S42" s="2"/>
      <c r="T42" s="6">
        <v>8526.2999999999993</v>
      </c>
      <c r="U42" s="2"/>
      <c r="V42" s="7">
        <f t="shared" si="25"/>
        <v>2.0642295121655971E-2</v>
      </c>
      <c r="W42" s="2"/>
      <c r="X42" s="6">
        <f t="shared" si="26"/>
        <v>32570.55</v>
      </c>
      <c r="Y42" s="2"/>
      <c r="Z42" s="7">
        <f t="shared" si="27"/>
        <v>3.8200098518700965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6547.5</v>
      </c>
      <c r="I43" s="2"/>
      <c r="J43" s="7">
        <f t="shared" si="21"/>
        <v>7.9847560975609758E-2</v>
      </c>
      <c r="K43" s="2"/>
      <c r="L43" s="6">
        <f t="shared" si="22"/>
        <v>-6547.5</v>
      </c>
      <c r="M43" s="2"/>
      <c r="N43" s="7">
        <f t="shared" si="23"/>
        <v>-1</v>
      </c>
      <c r="O43" s="11"/>
      <c r="P43" s="6"/>
      <c r="Q43" s="2"/>
      <c r="R43" s="7">
        <f t="shared" si="24"/>
        <v>0</v>
      </c>
      <c r="S43" s="2"/>
      <c r="T43" s="6">
        <v>30376.762500000004</v>
      </c>
      <c r="U43" s="2"/>
      <c r="V43" s="7">
        <f t="shared" si="25"/>
        <v>7.3542579590848575E-2</v>
      </c>
      <c r="W43" s="2"/>
      <c r="X43" s="6">
        <f t="shared" si="26"/>
        <v>-30376.762500000004</v>
      </c>
      <c r="Y43" s="2"/>
      <c r="Z43" s="7">
        <f t="shared" si="27"/>
        <v>-1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6" customFormat="1" outlineLevel="1" collapsed="1" x14ac:dyDescent="0.25">
      <c r="A46" s="27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652.66999999999996</v>
      </c>
      <c r="E46" s="1"/>
      <c r="F46" s="5">
        <f t="shared" ref="F46:F55" si="28">IF(D$12=0,0,D46/D$12)</f>
        <v>7.6837714865879234E-3</v>
      </c>
      <c r="G46" s="1"/>
      <c r="H46" s="1">
        <f>SUM(OSRRefH22_2x_0)</f>
        <v>75</v>
      </c>
      <c r="I46" s="1"/>
      <c r="J46" s="5">
        <f t="shared" ref="J46:J55" si="29">IF(H$12=0,0,H46/H$12)</f>
        <v>9.1463414634146347E-4</v>
      </c>
      <c r="K46" s="1"/>
      <c r="L46" s="1">
        <f t="shared" ref="L46:L55" si="30">+D46-H46</f>
        <v>577.66999999999996</v>
      </c>
      <c r="M46" s="1"/>
      <c r="N46" s="5">
        <f t="shared" ref="N46:N55" si="31">IF(H46=0,0,L46/H46)</f>
        <v>7.7022666666666657</v>
      </c>
      <c r="O46" s="13"/>
      <c r="P46" s="1">
        <f>SUM(OSRRefP22_2x_0)</f>
        <v>3241.65</v>
      </c>
      <c r="Q46" s="1"/>
      <c r="R46" s="5">
        <f t="shared" ref="R46:R55" si="32">IF(P$12=0,0,P46/P$12)</f>
        <v>8.1700161804956987E-3</v>
      </c>
      <c r="S46" s="1"/>
      <c r="T46" s="1">
        <f>SUM(OSRRefT22_2x_0)</f>
        <v>1375</v>
      </c>
      <c r="U46" s="1"/>
      <c r="V46" s="5">
        <f t="shared" ref="V46:V55" si="33">IF(T$12=0,0,T46/T$12)</f>
        <v>3.3288948069241011E-3</v>
      </c>
      <c r="W46" s="1"/>
      <c r="X46" s="1">
        <f t="shared" ref="X46:X55" si="34">+P46-T46</f>
        <v>1866.65</v>
      </c>
      <c r="Y46" s="1"/>
      <c r="Z46" s="5">
        <f t="shared" ref="Z46:Z55" si="35">IF(T46=0,0,X46/T46)</f>
        <v>1.3575636363636365</v>
      </c>
    </row>
    <row r="47" spans="1:26" s="24" customFormat="1" hidden="1" outlineLevel="2" x14ac:dyDescent="0.25">
      <c r="A47" s="25"/>
      <c r="B47" s="11" t="str">
        <f>CONCATENATE("          ", "6362", " - ", "ADVERTISING EXPENSE")</f>
        <v xml:space="preserve">          6362 - ADVERTISING EXPENSE</v>
      </c>
      <c r="C47" s="11"/>
      <c r="D47" s="6">
        <v>652.66999999999996</v>
      </c>
      <c r="E47" s="2"/>
      <c r="F47" s="7">
        <f t="shared" si="28"/>
        <v>7.6837714865879234E-3</v>
      </c>
      <c r="G47" s="2"/>
      <c r="H47" s="6">
        <v>75</v>
      </c>
      <c r="I47" s="2"/>
      <c r="J47" s="7">
        <f t="shared" si="29"/>
        <v>9.1463414634146347E-4</v>
      </c>
      <c r="K47" s="2"/>
      <c r="L47" s="6">
        <f t="shared" si="30"/>
        <v>577.66999999999996</v>
      </c>
      <c r="M47" s="2"/>
      <c r="N47" s="7">
        <f t="shared" si="31"/>
        <v>7.7022666666666657</v>
      </c>
      <c r="O47" s="11"/>
      <c r="P47" s="6">
        <v>3241.65</v>
      </c>
      <c r="Q47" s="2"/>
      <c r="R47" s="7">
        <f t="shared" si="32"/>
        <v>8.1700161804956987E-3</v>
      </c>
      <c r="S47" s="2"/>
      <c r="T47" s="6">
        <v>1375</v>
      </c>
      <c r="U47" s="2"/>
      <c r="V47" s="7">
        <f t="shared" si="33"/>
        <v>3.3288948069241011E-3</v>
      </c>
      <c r="W47" s="2"/>
      <c r="X47" s="6">
        <f t="shared" si="34"/>
        <v>1866.65</v>
      </c>
      <c r="Y47" s="2"/>
      <c r="Z47" s="7">
        <f t="shared" si="35"/>
        <v>1.3575636363636365</v>
      </c>
    </row>
    <row r="48" spans="1:26" s="26" customFormat="1" outlineLevel="1" collapsed="1" x14ac:dyDescent="0.25">
      <c r="A48" s="27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-4.97</v>
      </c>
      <c r="E48" s="1"/>
      <c r="F48" s="5">
        <f t="shared" si="28"/>
        <v>-5.8510953909850273E-5</v>
      </c>
      <c r="G48" s="1"/>
      <c r="H48" s="1">
        <f>SUM(OSRRefH22_3x_0)</f>
        <v>10</v>
      </c>
      <c r="I48" s="1"/>
      <c r="J48" s="5">
        <f t="shared" si="29"/>
        <v>1.2195121951219512E-4</v>
      </c>
      <c r="K48" s="1"/>
      <c r="L48" s="1">
        <f t="shared" si="30"/>
        <v>-14.969999999999999</v>
      </c>
      <c r="M48" s="1"/>
      <c r="N48" s="5">
        <f t="shared" si="31"/>
        <v>-1.4969999999999999</v>
      </c>
      <c r="O48" s="13"/>
      <c r="P48" s="1">
        <f>SUM(OSRRefP22_3x_0)</f>
        <v>-11.59</v>
      </c>
      <c r="Q48" s="1"/>
      <c r="R48" s="5">
        <f t="shared" si="32"/>
        <v>-2.9210583354756109E-5</v>
      </c>
      <c r="S48" s="1"/>
      <c r="T48" s="1">
        <f>SUM(OSRRefT22_3x_0)</f>
        <v>50</v>
      </c>
      <c r="U48" s="1"/>
      <c r="V48" s="5">
        <f t="shared" si="33"/>
        <v>1.210507202517855E-4</v>
      </c>
      <c r="W48" s="1"/>
      <c r="X48" s="1">
        <f t="shared" si="34"/>
        <v>-61.59</v>
      </c>
      <c r="Y48" s="1"/>
      <c r="Z48" s="5">
        <f t="shared" si="35"/>
        <v>-1.2318</v>
      </c>
    </row>
    <row r="49" spans="1:26" s="24" customFormat="1" hidden="1" outlineLevel="2" x14ac:dyDescent="0.25">
      <c r="A49" s="25"/>
      <c r="B49" s="11" t="str">
        <f>CONCATENATE("          ", "6272", " - ", "CASH (OVER/SHORT)")</f>
        <v xml:space="preserve">          6272 - CASH (OVER/SHORT)</v>
      </c>
      <c r="C49" s="11"/>
      <c r="D49" s="6">
        <v>-4.97</v>
      </c>
      <c r="E49" s="2"/>
      <c r="F49" s="7">
        <f t="shared" si="28"/>
        <v>-5.8510953909850273E-5</v>
      </c>
      <c r="G49" s="2"/>
      <c r="H49" s="6">
        <v>10</v>
      </c>
      <c r="I49" s="2"/>
      <c r="J49" s="7">
        <f t="shared" si="29"/>
        <v>1.2195121951219512E-4</v>
      </c>
      <c r="K49" s="2"/>
      <c r="L49" s="6">
        <f t="shared" si="30"/>
        <v>-14.969999999999999</v>
      </c>
      <c r="M49" s="2"/>
      <c r="N49" s="7">
        <f t="shared" si="31"/>
        <v>-1.4969999999999999</v>
      </c>
      <c r="O49" s="11"/>
      <c r="P49" s="6">
        <v>-11.59</v>
      </c>
      <c r="Q49" s="2"/>
      <c r="R49" s="7">
        <f t="shared" si="32"/>
        <v>-2.9210583354756109E-5</v>
      </c>
      <c r="S49" s="2"/>
      <c r="T49" s="6">
        <v>50</v>
      </c>
      <c r="U49" s="2"/>
      <c r="V49" s="7">
        <f t="shared" si="33"/>
        <v>1.210507202517855E-4</v>
      </c>
      <c r="W49" s="2"/>
      <c r="X49" s="6">
        <f t="shared" si="34"/>
        <v>-61.59</v>
      </c>
      <c r="Y49" s="2"/>
      <c r="Z49" s="7">
        <f t="shared" si="35"/>
        <v>-1.2318</v>
      </c>
    </row>
    <row r="50" spans="1:26" s="26" customFormat="1" outlineLevel="1" collapsed="1" x14ac:dyDescent="0.25">
      <c r="A50" s="27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2871.42</v>
      </c>
      <c r="E50" s="1"/>
      <c r="F50" s="5">
        <f t="shared" si="28"/>
        <v>3.3804733053485372E-2</v>
      </c>
      <c r="G50" s="1"/>
      <c r="H50" s="1">
        <f>SUM(OSRRefH22_4x_0)</f>
        <v>0</v>
      </c>
      <c r="I50" s="1"/>
      <c r="J50" s="5">
        <f t="shared" si="29"/>
        <v>0</v>
      </c>
      <c r="K50" s="1"/>
      <c r="L50" s="1">
        <f t="shared" si="30"/>
        <v>2871.42</v>
      </c>
      <c r="M50" s="1"/>
      <c r="N50" s="5">
        <f t="shared" si="31"/>
        <v>0</v>
      </c>
      <c r="O50" s="13"/>
      <c r="P50" s="1">
        <f>SUM(OSRRefP22_4x_0)</f>
        <v>14852.710000000001</v>
      </c>
      <c r="Q50" s="1"/>
      <c r="R50" s="5">
        <f t="shared" si="32"/>
        <v>3.743367760992404E-2</v>
      </c>
      <c r="S50" s="1"/>
      <c r="T50" s="1">
        <f>SUM(OSRRefT22_4x_0)</f>
        <v>850</v>
      </c>
      <c r="U50" s="1"/>
      <c r="V50" s="5">
        <f t="shared" si="33"/>
        <v>2.0578622442803535E-3</v>
      </c>
      <c r="W50" s="1"/>
      <c r="X50" s="1">
        <f t="shared" si="34"/>
        <v>14002.710000000001</v>
      </c>
      <c r="Y50" s="1"/>
      <c r="Z50" s="5">
        <f t="shared" si="35"/>
        <v>16.473776470588238</v>
      </c>
    </row>
    <row r="51" spans="1:26" s="24" customFormat="1" hidden="1" outlineLevel="2" x14ac:dyDescent="0.25">
      <c r="A51" s="25"/>
      <c r="B51" s="11" t="str">
        <f>CONCATENATE("          ", "6381", " - ", "BANK/CREDIT CARD FEES")</f>
        <v xml:space="preserve">          6381 - BANK/CREDIT CARD FEES</v>
      </c>
      <c r="C51" s="11"/>
      <c r="D51" s="6">
        <v>2871.42</v>
      </c>
      <c r="E51" s="2"/>
      <c r="F51" s="7">
        <f t="shared" si="28"/>
        <v>3.3804733053485372E-2</v>
      </c>
      <c r="G51" s="2"/>
      <c r="H51" s="6"/>
      <c r="I51" s="2"/>
      <c r="J51" s="7">
        <f t="shared" si="29"/>
        <v>0</v>
      </c>
      <c r="K51" s="2"/>
      <c r="L51" s="6">
        <f t="shared" si="30"/>
        <v>2871.42</v>
      </c>
      <c r="M51" s="2"/>
      <c r="N51" s="7">
        <f t="shared" si="31"/>
        <v>0</v>
      </c>
      <c r="O51" s="11"/>
      <c r="P51" s="6">
        <v>14852.710000000001</v>
      </c>
      <c r="Q51" s="2"/>
      <c r="R51" s="7">
        <f t="shared" si="32"/>
        <v>3.743367760992404E-2</v>
      </c>
      <c r="S51" s="2"/>
      <c r="T51" s="6">
        <v>850</v>
      </c>
      <c r="U51" s="2"/>
      <c r="V51" s="7">
        <f t="shared" si="33"/>
        <v>2.0578622442803535E-3</v>
      </c>
      <c r="W51" s="2"/>
      <c r="X51" s="6">
        <f t="shared" si="34"/>
        <v>14002.710000000001</v>
      </c>
      <c r="Y51" s="2"/>
      <c r="Z51" s="7">
        <f t="shared" si="35"/>
        <v>16.473776470588238</v>
      </c>
    </row>
    <row r="52" spans="1:26" s="26" customFormat="1" outlineLevel="1" collapsed="1" x14ac:dyDescent="0.25">
      <c r="A52" s="27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13266.91</v>
      </c>
      <c r="E52" s="1"/>
      <c r="F52" s="5">
        <f t="shared" si="28"/>
        <v>0.15618904618433235</v>
      </c>
      <c r="G52" s="1"/>
      <c r="H52" s="1">
        <f>SUM(OSRRefH22_5x_0)</f>
        <v>13683</v>
      </c>
      <c r="I52" s="1"/>
      <c r="J52" s="5">
        <f t="shared" si="29"/>
        <v>0.16686585365853659</v>
      </c>
      <c r="K52" s="1"/>
      <c r="L52" s="1">
        <f t="shared" si="30"/>
        <v>-416.09000000000015</v>
      </c>
      <c r="M52" s="1"/>
      <c r="N52" s="5">
        <f t="shared" si="31"/>
        <v>-3.0409266973616907E-2</v>
      </c>
      <c r="O52" s="13"/>
      <c r="P52" s="1">
        <f>SUM(OSRRefP22_5x_0)</f>
        <v>66334.55</v>
      </c>
      <c r="Q52" s="1"/>
      <c r="R52" s="5">
        <f t="shared" si="32"/>
        <v>0.16718471976490396</v>
      </c>
      <c r="S52" s="1"/>
      <c r="T52" s="1">
        <f>SUM(OSRRefT22_5x_0)</f>
        <v>67164</v>
      </c>
      <c r="U52" s="1"/>
      <c r="V52" s="5">
        <f t="shared" si="33"/>
        <v>0.16260501149981843</v>
      </c>
      <c r="W52" s="1"/>
      <c r="X52" s="1">
        <f t="shared" si="34"/>
        <v>-829.44999999999709</v>
      </c>
      <c r="Y52" s="1"/>
      <c r="Z52" s="5">
        <f t="shared" si="35"/>
        <v>-1.2349621821213703E-2</v>
      </c>
    </row>
    <row r="53" spans="1:26" s="24" customFormat="1" hidden="1" outlineLevel="2" x14ac:dyDescent="0.25">
      <c r="A53" s="25"/>
      <c r="B53" s="11" t="str">
        <f>CONCATENATE("          ", "6321", " - ", "BUILDING DEPRECIATION")</f>
        <v xml:space="preserve">          6321 - BUILDING DEPRECIATION</v>
      </c>
      <c r="C53" s="11"/>
      <c r="D53" s="6">
        <v>10612.46</v>
      </c>
      <c r="E53" s="2"/>
      <c r="F53" s="7">
        <f t="shared" si="28"/>
        <v>0.12493866356743051</v>
      </c>
      <c r="G53" s="2"/>
      <c r="H53" s="6">
        <v>10612</v>
      </c>
      <c r="I53" s="2"/>
      <c r="J53" s="7">
        <f t="shared" si="29"/>
        <v>0.12941463414634147</v>
      </c>
      <c r="K53" s="2"/>
      <c r="L53" s="6">
        <f t="shared" si="30"/>
        <v>0.45999999999912689</v>
      </c>
      <c r="M53" s="2"/>
      <c r="N53" s="7">
        <f t="shared" si="31"/>
        <v>4.3347154165013841E-5</v>
      </c>
      <c r="O53" s="11"/>
      <c r="P53" s="6">
        <v>53062.3</v>
      </c>
      <c r="Q53" s="2"/>
      <c r="R53" s="7">
        <f t="shared" si="32"/>
        <v>0.13373431726877266</v>
      </c>
      <c r="S53" s="2"/>
      <c r="T53" s="6">
        <v>53060</v>
      </c>
      <c r="U53" s="2"/>
      <c r="V53" s="7">
        <f t="shared" si="33"/>
        <v>0.12845902433119477</v>
      </c>
      <c r="W53" s="2"/>
      <c r="X53" s="6">
        <f t="shared" si="34"/>
        <v>2.3000000000029104</v>
      </c>
      <c r="Y53" s="2"/>
      <c r="Z53" s="7">
        <f t="shared" si="35"/>
        <v>4.3347154165150965E-5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2654.45</v>
      </c>
      <c r="E54" s="2"/>
      <c r="F54" s="7">
        <f t="shared" si="28"/>
        <v>3.1250382616901821E-2</v>
      </c>
      <c r="G54" s="2"/>
      <c r="H54" s="6">
        <v>2654</v>
      </c>
      <c r="I54" s="2"/>
      <c r="J54" s="7">
        <f t="shared" si="29"/>
        <v>3.2365853658536586E-2</v>
      </c>
      <c r="K54" s="2"/>
      <c r="L54" s="6">
        <f t="shared" si="30"/>
        <v>0.4499999999998181</v>
      </c>
      <c r="M54" s="2"/>
      <c r="N54" s="7">
        <f t="shared" si="31"/>
        <v>1.6955538809337533E-4</v>
      </c>
      <c r="O54" s="11"/>
      <c r="P54" s="6">
        <v>13272.25</v>
      </c>
      <c r="Q54" s="2"/>
      <c r="R54" s="7">
        <f t="shared" si="32"/>
        <v>3.34504024961313E-2</v>
      </c>
      <c r="S54" s="2"/>
      <c r="T54" s="6">
        <v>13270</v>
      </c>
      <c r="U54" s="2"/>
      <c r="V54" s="7">
        <f t="shared" si="33"/>
        <v>3.2126861154823869E-2</v>
      </c>
      <c r="W54" s="2"/>
      <c r="X54" s="6">
        <f t="shared" si="34"/>
        <v>2.25</v>
      </c>
      <c r="Y54" s="2"/>
      <c r="Z54" s="7">
        <f t="shared" si="35"/>
        <v>1.6955538809344385E-4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417</v>
      </c>
      <c r="I55" s="2"/>
      <c r="J55" s="7">
        <f t="shared" si="29"/>
        <v>5.0853658536585368E-3</v>
      </c>
      <c r="K55" s="2"/>
      <c r="L55" s="6">
        <f t="shared" si="30"/>
        <v>-417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834</v>
      </c>
      <c r="U55" s="2"/>
      <c r="V55" s="7">
        <f t="shared" si="33"/>
        <v>2.0191260137997821E-3</v>
      </c>
      <c r="W55" s="2"/>
      <c r="X55" s="6">
        <f t="shared" si="34"/>
        <v>-834</v>
      </c>
      <c r="Y55" s="2"/>
      <c r="Z55" s="7">
        <f t="shared" si="35"/>
        <v>-1</v>
      </c>
    </row>
    <row r="56" spans="1:26" s="26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35.1</v>
      </c>
      <c r="E56" s="1"/>
      <c r="F56" s="5">
        <f t="shared" ref="F56:F69" si="36">IF(D$12=0,0,D56/D$12)</f>
        <v>4.1322625397097483E-4</v>
      </c>
      <c r="G56" s="1"/>
      <c r="H56" s="1">
        <f>SUM(OSRRefH22_6x_0)</f>
        <v>25</v>
      </c>
      <c r="I56" s="1"/>
      <c r="J56" s="5">
        <f t="shared" ref="J56:J69" si="37">IF(H$12=0,0,H56/H$12)</f>
        <v>3.048780487804878E-4</v>
      </c>
      <c r="K56" s="1"/>
      <c r="L56" s="1">
        <f t="shared" ref="L56:L69" si="38">+D56-H56</f>
        <v>10.100000000000001</v>
      </c>
      <c r="M56" s="1"/>
      <c r="N56" s="5">
        <f t="shared" ref="N56:N69" si="39">IF(H56=0,0,L56/H56)</f>
        <v>0.40400000000000008</v>
      </c>
      <c r="O56" s="13"/>
      <c r="P56" s="1">
        <f>SUM(OSRRefP22_6x_0)</f>
        <v>83.73</v>
      </c>
      <c r="Q56" s="1"/>
      <c r="R56" s="5">
        <f t="shared" ref="R56:R69" si="40">IF(P$12=0,0,P56/P$12)</f>
        <v>2.1102693220825962E-4</v>
      </c>
      <c r="S56" s="1"/>
      <c r="T56" s="1">
        <f>SUM(OSRRefT22_6x_0)</f>
        <v>125</v>
      </c>
      <c r="U56" s="1"/>
      <c r="V56" s="5">
        <f t="shared" ref="V56:V69" si="41">IF(T$12=0,0,T56/T$12)</f>
        <v>3.0262680062946373E-4</v>
      </c>
      <c r="W56" s="1"/>
      <c r="X56" s="1">
        <f t="shared" ref="X56:X69" si="42">+P56-T56</f>
        <v>-41.269999999999996</v>
      </c>
      <c r="Y56" s="1"/>
      <c r="Z56" s="5">
        <f t="shared" ref="Z56:Z69" si="43">IF(T56=0,0,X56/T56)</f>
        <v>-0.33015999999999995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6">
        <v>35.1</v>
      </c>
      <c r="E57" s="2"/>
      <c r="F57" s="7">
        <f t="shared" si="36"/>
        <v>4.1322625397097483E-4</v>
      </c>
      <c r="G57" s="2"/>
      <c r="H57" s="6">
        <v>25</v>
      </c>
      <c r="I57" s="2"/>
      <c r="J57" s="7">
        <f t="shared" si="37"/>
        <v>3.048780487804878E-4</v>
      </c>
      <c r="K57" s="2"/>
      <c r="L57" s="6">
        <f t="shared" si="38"/>
        <v>10.100000000000001</v>
      </c>
      <c r="M57" s="2"/>
      <c r="N57" s="7">
        <f t="shared" si="39"/>
        <v>0.40400000000000008</v>
      </c>
      <c r="O57" s="11"/>
      <c r="P57" s="6">
        <v>83.73</v>
      </c>
      <c r="Q57" s="2"/>
      <c r="R57" s="7">
        <f t="shared" si="40"/>
        <v>2.1102693220825962E-4</v>
      </c>
      <c r="S57" s="2"/>
      <c r="T57" s="6">
        <v>125</v>
      </c>
      <c r="U57" s="2"/>
      <c r="V57" s="7">
        <f t="shared" si="41"/>
        <v>3.0262680062946373E-4</v>
      </c>
      <c r="W57" s="2"/>
      <c r="X57" s="6">
        <f t="shared" si="42"/>
        <v>-41.269999999999996</v>
      </c>
      <c r="Y57" s="2"/>
      <c r="Z57" s="7">
        <f t="shared" si="43"/>
        <v>-0.33015999999999995</v>
      </c>
    </row>
    <row r="58" spans="1:26" s="26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100.99</v>
      </c>
      <c r="E58" s="1"/>
      <c r="F58" s="5">
        <f t="shared" si="36"/>
        <v>1.1889378743170581E-3</v>
      </c>
      <c r="G58" s="1"/>
      <c r="H58" s="1">
        <f>SUM(OSRRefH22_7x_0)</f>
        <v>125</v>
      </c>
      <c r="I58" s="1"/>
      <c r="J58" s="5">
        <f t="shared" si="37"/>
        <v>1.5243902439024391E-3</v>
      </c>
      <c r="K58" s="1"/>
      <c r="L58" s="1">
        <f t="shared" si="38"/>
        <v>-24.010000000000005</v>
      </c>
      <c r="M58" s="1"/>
      <c r="N58" s="5">
        <f t="shared" si="39"/>
        <v>-0.19208000000000003</v>
      </c>
      <c r="O58" s="13"/>
      <c r="P58" s="1">
        <f>SUM(OSRRefP22_7x_0)</f>
        <v>573.91999999999996</v>
      </c>
      <c r="Q58" s="1"/>
      <c r="R58" s="5">
        <f t="shared" si="40"/>
        <v>1.4464657462434534E-3</v>
      </c>
      <c r="S58" s="1"/>
      <c r="T58" s="1">
        <f>SUM(OSRRefT22_7x_0)</f>
        <v>625</v>
      </c>
      <c r="U58" s="1"/>
      <c r="V58" s="5">
        <f t="shared" si="41"/>
        <v>1.5131340031473187E-3</v>
      </c>
      <c r="W58" s="1"/>
      <c r="X58" s="1">
        <f t="shared" si="42"/>
        <v>-51.080000000000041</v>
      </c>
      <c r="Y58" s="1"/>
      <c r="Z58" s="5">
        <f t="shared" si="43"/>
        <v>-8.1728000000000064E-2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6">
        <v>100.99</v>
      </c>
      <c r="E59" s="2"/>
      <c r="F59" s="7">
        <f t="shared" si="36"/>
        <v>1.1889378743170581E-3</v>
      </c>
      <c r="G59" s="2"/>
      <c r="H59" s="6">
        <v>125</v>
      </c>
      <c r="I59" s="2"/>
      <c r="J59" s="7">
        <f t="shared" si="37"/>
        <v>1.5243902439024391E-3</v>
      </c>
      <c r="K59" s="2"/>
      <c r="L59" s="6">
        <f t="shared" si="38"/>
        <v>-24.010000000000005</v>
      </c>
      <c r="M59" s="2"/>
      <c r="N59" s="7">
        <f t="shared" si="39"/>
        <v>-0.19208000000000003</v>
      </c>
      <c r="O59" s="11"/>
      <c r="P59" s="6">
        <v>573.91999999999996</v>
      </c>
      <c r="Q59" s="2"/>
      <c r="R59" s="7">
        <f t="shared" si="40"/>
        <v>1.4464657462434534E-3</v>
      </c>
      <c r="S59" s="2"/>
      <c r="T59" s="6">
        <v>625</v>
      </c>
      <c r="U59" s="2"/>
      <c r="V59" s="7">
        <f t="shared" si="41"/>
        <v>1.5131340031473187E-3</v>
      </c>
      <c r="W59" s="2"/>
      <c r="X59" s="6">
        <f t="shared" si="42"/>
        <v>-51.080000000000041</v>
      </c>
      <c r="Y59" s="2"/>
      <c r="Z59" s="7">
        <f t="shared" si="43"/>
        <v>-8.1728000000000064E-2</v>
      </c>
    </row>
    <row r="60" spans="1:26" s="26" customFormat="1" outlineLevel="1" collapsed="1" x14ac:dyDescent="0.25">
      <c r="A60" s="27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17.059999999999999</v>
      </c>
      <c r="E60" s="1"/>
      <c r="F60" s="5">
        <f t="shared" si="36"/>
        <v>2.0084444138874157E-4</v>
      </c>
      <c r="G60" s="1"/>
      <c r="H60" s="1">
        <f>SUM(OSRRefH22_8x_0)</f>
        <v>0</v>
      </c>
      <c r="I60" s="1"/>
      <c r="J60" s="5">
        <f t="shared" si="37"/>
        <v>0</v>
      </c>
      <c r="K60" s="1"/>
      <c r="L60" s="1">
        <f t="shared" si="38"/>
        <v>17.059999999999999</v>
      </c>
      <c r="M60" s="1"/>
      <c r="N60" s="5">
        <f t="shared" si="39"/>
        <v>0</v>
      </c>
      <c r="O60" s="13"/>
      <c r="P60" s="1">
        <f>SUM(OSRRefP22_8x_0)</f>
        <v>1371.61</v>
      </c>
      <c r="Q60" s="1"/>
      <c r="R60" s="5">
        <f t="shared" si="40"/>
        <v>3.456904938327612E-3</v>
      </c>
      <c r="S60" s="1"/>
      <c r="T60" s="1">
        <f>SUM(OSRRefT22_8x_0)</f>
        <v>1400</v>
      </c>
      <c r="U60" s="1"/>
      <c r="V60" s="5">
        <f t="shared" si="41"/>
        <v>3.3894201670499938E-3</v>
      </c>
      <c r="W60" s="1"/>
      <c r="X60" s="1">
        <f t="shared" si="42"/>
        <v>-28.3900000000001</v>
      </c>
      <c r="Y60" s="1"/>
      <c r="Z60" s="5">
        <f t="shared" si="43"/>
        <v>-2.02785714285715E-2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6">
        <v>17.059999999999999</v>
      </c>
      <c r="E61" s="2"/>
      <c r="F61" s="7">
        <f t="shared" si="36"/>
        <v>2.0084444138874157E-4</v>
      </c>
      <c r="G61" s="2"/>
      <c r="H61" s="6"/>
      <c r="I61" s="2"/>
      <c r="J61" s="7">
        <f t="shared" si="37"/>
        <v>0</v>
      </c>
      <c r="K61" s="2"/>
      <c r="L61" s="6">
        <f t="shared" si="38"/>
        <v>17.059999999999999</v>
      </c>
      <c r="M61" s="2"/>
      <c r="N61" s="7">
        <f t="shared" si="39"/>
        <v>0</v>
      </c>
      <c r="O61" s="11"/>
      <c r="P61" s="6">
        <v>1371.61</v>
      </c>
      <c r="Q61" s="2"/>
      <c r="R61" s="7">
        <f t="shared" si="40"/>
        <v>3.456904938327612E-3</v>
      </c>
      <c r="S61" s="2"/>
      <c r="T61" s="6">
        <v>1400</v>
      </c>
      <c r="U61" s="2"/>
      <c r="V61" s="7">
        <f t="shared" si="41"/>
        <v>3.3894201670499938E-3</v>
      </c>
      <c r="W61" s="2"/>
      <c r="X61" s="6">
        <f t="shared" si="42"/>
        <v>-28.3900000000001</v>
      </c>
      <c r="Y61" s="2"/>
      <c r="Z61" s="7">
        <f t="shared" si="43"/>
        <v>-2.02785714285715E-2</v>
      </c>
    </row>
    <row r="62" spans="1:26" s="26" customFormat="1" outlineLevel="1" collapsed="1" x14ac:dyDescent="0.25">
      <c r="A62" s="27"/>
      <c r="B62" s="13" t="str">
        <f>CONCATENATE("     ","Insurance                                         ")</f>
        <v xml:space="preserve">     Insurance                                         </v>
      </c>
      <c r="C62" s="13"/>
      <c r="D62" s="1">
        <f>SUM(OSRRefD22_9x_0)</f>
        <v>641.28</v>
      </c>
      <c r="E62" s="1"/>
      <c r="F62" s="5">
        <f t="shared" si="36"/>
        <v>7.549678978532955E-3</v>
      </c>
      <c r="G62" s="1"/>
      <c r="H62" s="1">
        <f>SUM(OSRRefH22_9x_0)</f>
        <v>604</v>
      </c>
      <c r="I62" s="1"/>
      <c r="J62" s="5">
        <f t="shared" si="37"/>
        <v>7.365853658536585E-3</v>
      </c>
      <c r="K62" s="1"/>
      <c r="L62" s="1">
        <f t="shared" si="38"/>
        <v>37.279999999999973</v>
      </c>
      <c r="M62" s="1"/>
      <c r="N62" s="5">
        <f t="shared" si="39"/>
        <v>6.1721854304635719E-2</v>
      </c>
      <c r="O62" s="13"/>
      <c r="P62" s="1">
        <f>SUM(OSRRefP22_9x_0)</f>
        <v>3206.4</v>
      </c>
      <c r="Q62" s="1"/>
      <c r="R62" s="5">
        <f t="shared" si="40"/>
        <v>8.0811746737437431E-3</v>
      </c>
      <c r="S62" s="1"/>
      <c r="T62" s="1">
        <f>SUM(OSRRefT22_9x_0)</f>
        <v>3020</v>
      </c>
      <c r="U62" s="1"/>
      <c r="V62" s="5">
        <f t="shared" si="41"/>
        <v>7.3114635032078441E-3</v>
      </c>
      <c r="W62" s="1"/>
      <c r="X62" s="1">
        <f t="shared" si="42"/>
        <v>186.40000000000009</v>
      </c>
      <c r="Y62" s="1"/>
      <c r="Z62" s="5">
        <f t="shared" si="43"/>
        <v>6.1721854304635788E-2</v>
      </c>
    </row>
    <row r="63" spans="1:26" s="24" customFormat="1" hidden="1" outlineLevel="2" x14ac:dyDescent="0.25">
      <c r="A63" s="25"/>
      <c r="B63" s="11" t="str">
        <f>CONCATENATE("          ", "6314", " - ", "LIABILITY INSURANCE")</f>
        <v xml:space="preserve">          6314 - LIABILITY INSURANCE</v>
      </c>
      <c r="C63" s="11"/>
      <c r="D63" s="6">
        <v>641.28</v>
      </c>
      <c r="E63" s="2"/>
      <c r="F63" s="7">
        <f t="shared" si="36"/>
        <v>7.549678978532955E-3</v>
      </c>
      <c r="G63" s="2"/>
      <c r="H63" s="6">
        <v>604</v>
      </c>
      <c r="I63" s="2"/>
      <c r="J63" s="7">
        <f t="shared" si="37"/>
        <v>7.365853658536585E-3</v>
      </c>
      <c r="K63" s="2"/>
      <c r="L63" s="6">
        <f t="shared" si="38"/>
        <v>37.279999999999973</v>
      </c>
      <c r="M63" s="2"/>
      <c r="N63" s="7">
        <f t="shared" si="39"/>
        <v>6.1721854304635719E-2</v>
      </c>
      <c r="O63" s="11"/>
      <c r="P63" s="6">
        <v>3206.4</v>
      </c>
      <c r="Q63" s="2"/>
      <c r="R63" s="7">
        <f t="shared" si="40"/>
        <v>8.0811746737437431E-3</v>
      </c>
      <c r="S63" s="2"/>
      <c r="T63" s="6">
        <v>3020</v>
      </c>
      <c r="U63" s="2"/>
      <c r="V63" s="7">
        <f t="shared" si="41"/>
        <v>7.3114635032078441E-3</v>
      </c>
      <c r="W63" s="2"/>
      <c r="X63" s="6">
        <f t="shared" si="42"/>
        <v>186.40000000000009</v>
      </c>
      <c r="Y63" s="2"/>
      <c r="Z63" s="7">
        <f t="shared" si="43"/>
        <v>6.1721854304635788E-2</v>
      </c>
    </row>
    <row r="64" spans="1:26" s="26" customFormat="1" outlineLevel="1" collapsed="1" x14ac:dyDescent="0.25">
      <c r="A64" s="27"/>
      <c r="B64" s="13" t="str">
        <f>CONCATENATE("     ","Interest                                          ")</f>
        <v xml:space="preserve">     Interest                                          </v>
      </c>
      <c r="C64" s="13"/>
      <c r="D64" s="1">
        <f>SUM(OSRRefD22_10x_0)</f>
        <v>7754</v>
      </c>
      <c r="E64" s="1"/>
      <c r="F64" s="5">
        <f t="shared" si="36"/>
        <v>9.1286506361565198E-2</v>
      </c>
      <c r="G64" s="1"/>
      <c r="H64" s="1">
        <f>SUM(OSRRefH22_10x_0)</f>
        <v>7754</v>
      </c>
      <c r="I64" s="1"/>
      <c r="J64" s="5">
        <f t="shared" si="37"/>
        <v>9.4560975609756098E-2</v>
      </c>
      <c r="K64" s="1"/>
      <c r="L64" s="1">
        <f t="shared" si="38"/>
        <v>0</v>
      </c>
      <c r="M64" s="1"/>
      <c r="N64" s="5">
        <f t="shared" si="39"/>
        <v>0</v>
      </c>
      <c r="O64" s="13"/>
      <c r="P64" s="1">
        <f>SUM(OSRRefP22_10x_0)</f>
        <v>38377.049999999996</v>
      </c>
      <c r="Q64" s="1"/>
      <c r="R64" s="5">
        <f t="shared" si="40"/>
        <v>9.6722693523265124E-2</v>
      </c>
      <c r="S64" s="1"/>
      <c r="T64" s="1">
        <f>SUM(OSRRefT22_10x_0)</f>
        <v>38770</v>
      </c>
      <c r="U64" s="1"/>
      <c r="V64" s="5">
        <f t="shared" si="41"/>
        <v>9.3862728483234473E-2</v>
      </c>
      <c r="W64" s="1"/>
      <c r="X64" s="1">
        <f t="shared" si="42"/>
        <v>-392.95000000000437</v>
      </c>
      <c r="Y64" s="1"/>
      <c r="Z64" s="5">
        <f t="shared" si="43"/>
        <v>-1.0135413979881464E-2</v>
      </c>
    </row>
    <row r="65" spans="1:26" s="24" customFormat="1" hidden="1" outlineLevel="2" x14ac:dyDescent="0.25">
      <c r="A65" s="25"/>
      <c r="B65" s="11" t="str">
        <f>CONCATENATE("          ", "6401", " - ", "INTEREST EXPENSE")</f>
        <v xml:space="preserve">          6401 - INTEREST EXPENSE</v>
      </c>
      <c r="C65" s="11"/>
      <c r="D65" s="6">
        <v>7754</v>
      </c>
      <c r="E65" s="2"/>
      <c r="F65" s="7">
        <f t="shared" si="36"/>
        <v>9.1286506361565198E-2</v>
      </c>
      <c r="G65" s="2"/>
      <c r="H65" s="6">
        <v>7754</v>
      </c>
      <c r="I65" s="2"/>
      <c r="J65" s="7">
        <f t="shared" si="37"/>
        <v>9.4560975609756098E-2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>
        <v>38377.049999999996</v>
      </c>
      <c r="Q65" s="2"/>
      <c r="R65" s="7">
        <f t="shared" si="40"/>
        <v>9.6722693523265124E-2</v>
      </c>
      <c r="S65" s="2"/>
      <c r="T65" s="6">
        <v>38770</v>
      </c>
      <c r="U65" s="2"/>
      <c r="V65" s="7">
        <f t="shared" si="41"/>
        <v>9.3862728483234473E-2</v>
      </c>
      <c r="W65" s="2"/>
      <c r="X65" s="6">
        <f t="shared" si="42"/>
        <v>-392.95000000000437</v>
      </c>
      <c r="Y65" s="2"/>
      <c r="Z65" s="7">
        <f t="shared" si="43"/>
        <v>-1.0135413979881464E-2</v>
      </c>
    </row>
    <row r="66" spans="1:26" s="26" customFormat="1" outlineLevel="1" collapsed="1" x14ac:dyDescent="0.25">
      <c r="A66" s="27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3954.92</v>
      </c>
      <c r="E66" s="1"/>
      <c r="F66" s="5">
        <f t="shared" si="36"/>
        <v>4.656059191894267E-2</v>
      </c>
      <c r="G66" s="1"/>
      <c r="H66" s="1">
        <f>SUM(OSRRefH22_11x_0)</f>
        <v>1200</v>
      </c>
      <c r="I66" s="1"/>
      <c r="J66" s="5">
        <f t="shared" si="37"/>
        <v>1.4634146341463415E-2</v>
      </c>
      <c r="K66" s="1"/>
      <c r="L66" s="1">
        <f t="shared" si="38"/>
        <v>2754.92</v>
      </c>
      <c r="M66" s="1"/>
      <c r="N66" s="5">
        <f t="shared" si="39"/>
        <v>2.2957666666666667</v>
      </c>
      <c r="O66" s="13"/>
      <c r="P66" s="1">
        <f>SUM(OSRRefP22_11x_0)</f>
        <v>15740.45</v>
      </c>
      <c r="Q66" s="1"/>
      <c r="R66" s="5">
        <f t="shared" si="40"/>
        <v>3.9671072197270993E-2</v>
      </c>
      <c r="S66" s="1"/>
      <c r="T66" s="1">
        <f>SUM(OSRRefT22_11x_0)</f>
        <v>7800</v>
      </c>
      <c r="U66" s="1"/>
      <c r="V66" s="5">
        <f t="shared" si="41"/>
        <v>1.8883912359278537E-2</v>
      </c>
      <c r="W66" s="1"/>
      <c r="X66" s="1">
        <f t="shared" si="42"/>
        <v>7940.4500000000007</v>
      </c>
      <c r="Y66" s="1"/>
      <c r="Z66" s="5">
        <f t="shared" si="43"/>
        <v>1.0180064102564104</v>
      </c>
    </row>
    <row r="67" spans="1:26" s="24" customFormat="1" hidden="1" outlineLevel="2" x14ac:dyDescent="0.25">
      <c r="A67" s="25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36"/>
        <v>0</v>
      </c>
      <c r="G67" s="2"/>
      <c r="H67" s="6"/>
      <c r="I67" s="2"/>
      <c r="J67" s="7">
        <f t="shared" si="37"/>
        <v>0</v>
      </c>
      <c r="K67" s="2"/>
      <c r="L67" s="6">
        <f t="shared" si="38"/>
        <v>0</v>
      </c>
      <c r="M67" s="2"/>
      <c r="N67" s="7">
        <f t="shared" si="39"/>
        <v>0</v>
      </c>
      <c r="O67" s="11"/>
      <c r="P67" s="6">
        <v>2623.84</v>
      </c>
      <c r="Q67" s="2"/>
      <c r="R67" s="7">
        <f t="shared" si="40"/>
        <v>6.6129333071219387E-3</v>
      </c>
      <c r="S67" s="2"/>
      <c r="T67" s="6"/>
      <c r="U67" s="2"/>
      <c r="V67" s="7">
        <f t="shared" si="41"/>
        <v>0</v>
      </c>
      <c r="W67" s="2"/>
      <c r="X67" s="6">
        <f t="shared" si="42"/>
        <v>2623.84</v>
      </c>
      <c r="Y67" s="2"/>
      <c r="Z67" s="7">
        <f t="shared" si="43"/>
        <v>0</v>
      </c>
    </row>
    <row r="68" spans="1:26" s="24" customFormat="1" hidden="1" outlineLevel="2" x14ac:dyDescent="0.25">
      <c r="A68" s="25"/>
      <c r="B68" s="11" t="str">
        <f>CONCATENATE("          ", "6373", " - ", "MAINTENANCE CONTRACTS")</f>
        <v xml:space="preserve">          6373 - MAINTENANCE CONTRACTS</v>
      </c>
      <c r="C68" s="11"/>
      <c r="D68" s="6">
        <v>1805</v>
      </c>
      <c r="E68" s="2"/>
      <c r="F68" s="7">
        <f t="shared" si="36"/>
        <v>2.124995408597178E-2</v>
      </c>
      <c r="G68" s="2"/>
      <c r="H68" s="6"/>
      <c r="I68" s="2"/>
      <c r="J68" s="7">
        <f t="shared" si="37"/>
        <v>0</v>
      </c>
      <c r="K68" s="2"/>
      <c r="L68" s="6">
        <f t="shared" si="38"/>
        <v>1805</v>
      </c>
      <c r="M68" s="2"/>
      <c r="N68" s="7">
        <f t="shared" si="39"/>
        <v>0</v>
      </c>
      <c r="O68" s="11"/>
      <c r="P68" s="6">
        <v>1907.71</v>
      </c>
      <c r="Q68" s="2"/>
      <c r="R68" s="7">
        <f t="shared" si="40"/>
        <v>4.808051938887125E-3</v>
      </c>
      <c r="S68" s="2"/>
      <c r="T68" s="6"/>
      <c r="U68" s="2"/>
      <c r="V68" s="7">
        <f t="shared" si="41"/>
        <v>0</v>
      </c>
      <c r="W68" s="2"/>
      <c r="X68" s="6">
        <f t="shared" si="42"/>
        <v>1907.71</v>
      </c>
      <c r="Y68" s="2"/>
      <c r="Z68" s="7">
        <f t="shared" si="43"/>
        <v>0</v>
      </c>
    </row>
    <row r="69" spans="1:26" s="24" customFormat="1" hidden="1" outlineLevel="2" x14ac:dyDescent="0.25">
      <c r="A69" s="25"/>
      <c r="B69" s="11" t="str">
        <f>CONCATENATE("          ", "6375", " - ", "OUTSIDE REPAIRS &amp; MAINTENANCE")</f>
        <v xml:space="preserve">          6375 - OUTSIDE REPAIRS &amp; MAINTENANCE</v>
      </c>
      <c r="C69" s="11"/>
      <c r="D69" s="6">
        <v>2149.92</v>
      </c>
      <c r="E69" s="2"/>
      <c r="F69" s="7">
        <f t="shared" si="36"/>
        <v>2.5310637832970887E-2</v>
      </c>
      <c r="G69" s="2"/>
      <c r="H69" s="6">
        <v>1200</v>
      </c>
      <c r="I69" s="2"/>
      <c r="J69" s="7">
        <f t="shared" si="37"/>
        <v>1.4634146341463415E-2</v>
      </c>
      <c r="K69" s="2"/>
      <c r="L69" s="6">
        <f t="shared" si="38"/>
        <v>949.92000000000007</v>
      </c>
      <c r="M69" s="2"/>
      <c r="N69" s="7">
        <f t="shared" si="39"/>
        <v>0.79160000000000008</v>
      </c>
      <c r="O69" s="11"/>
      <c r="P69" s="6">
        <v>11208.9</v>
      </c>
      <c r="Q69" s="2"/>
      <c r="R69" s="7">
        <f t="shared" si="40"/>
        <v>2.8250086951261928E-2</v>
      </c>
      <c r="S69" s="2"/>
      <c r="T69" s="6">
        <v>7800</v>
      </c>
      <c r="U69" s="2"/>
      <c r="V69" s="7">
        <f t="shared" si="41"/>
        <v>1.8883912359278537E-2</v>
      </c>
      <c r="W69" s="2"/>
      <c r="X69" s="6">
        <f t="shared" si="42"/>
        <v>3408.8999999999996</v>
      </c>
      <c r="Y69" s="2"/>
      <c r="Z69" s="7">
        <f t="shared" si="43"/>
        <v>0.43703846153846149</v>
      </c>
    </row>
    <row r="70" spans="1:26" s="26" customFormat="1" outlineLevel="1" collapsed="1" x14ac:dyDescent="0.25">
      <c r="A70" s="27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4299.68</v>
      </c>
      <c r="E70" s="1"/>
      <c r="F70" s="5">
        <f t="shared" ref="F70:F75" si="44">IF(D$12=0,0,D70/D$12)</f>
        <v>5.0619392013502025E-2</v>
      </c>
      <c r="G70" s="1"/>
      <c r="H70" s="1">
        <f>SUM(OSRRefH22_12x_0)</f>
        <v>4035</v>
      </c>
      <c r="I70" s="1"/>
      <c r="J70" s="5">
        <f t="shared" ref="J70:J75" si="45">IF(H$12=0,0,H70/H$12)</f>
        <v>4.9207317073170734E-2</v>
      </c>
      <c r="K70" s="1"/>
      <c r="L70" s="1">
        <f t="shared" ref="L70:L75" si="46">+D70-H70</f>
        <v>264.68000000000029</v>
      </c>
      <c r="M70" s="1"/>
      <c r="N70" s="5">
        <f t="shared" ref="N70:N75" si="47">IF(H70=0,0,L70/H70)</f>
        <v>6.5596034696406513E-2</v>
      </c>
      <c r="O70" s="13"/>
      <c r="P70" s="1">
        <f>SUM(OSRRefP22_12x_0)</f>
        <v>21095.15</v>
      </c>
      <c r="Q70" s="1"/>
      <c r="R70" s="5">
        <f t="shared" ref="R70:R75" si="48">IF(P$12=0,0,P70/P$12)</f>
        <v>5.3166664146340241E-2</v>
      </c>
      <c r="S70" s="1"/>
      <c r="T70" s="1">
        <f>SUM(OSRRefT22_12x_0)</f>
        <v>20375</v>
      </c>
      <c r="U70" s="1"/>
      <c r="V70" s="5">
        <f t="shared" ref="V70:V75" si="49">IF(T$12=0,0,T70/T$12)</f>
        <v>4.932816850260259E-2</v>
      </c>
      <c r="W70" s="1"/>
      <c r="X70" s="1">
        <f t="shared" ref="X70:X75" si="50">+P70-T70</f>
        <v>720.15000000000146</v>
      </c>
      <c r="Y70" s="1"/>
      <c r="Z70" s="5">
        <f t="shared" ref="Z70:Z75" si="51">IF(T70=0,0,X70/T70)</f>
        <v>3.5344785276073688E-2</v>
      </c>
    </row>
    <row r="71" spans="1:26" s="24" customFormat="1" hidden="1" outlineLevel="2" x14ac:dyDescent="0.25">
      <c r="A71" s="25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328.54</v>
      </c>
      <c r="E71" s="2"/>
      <c r="F71" s="7">
        <f t="shared" si="44"/>
        <v>3.8678448284793182E-3</v>
      </c>
      <c r="G71" s="2"/>
      <c r="H71" s="6">
        <v>350</v>
      </c>
      <c r="I71" s="2"/>
      <c r="J71" s="7">
        <f t="shared" si="45"/>
        <v>4.2682926829268296E-3</v>
      </c>
      <c r="K71" s="2"/>
      <c r="L71" s="6">
        <f t="shared" si="46"/>
        <v>-21.45999999999998</v>
      </c>
      <c r="M71" s="2"/>
      <c r="N71" s="7">
        <f t="shared" si="47"/>
        <v>-6.1314285714285655E-2</v>
      </c>
      <c r="O71" s="11"/>
      <c r="P71" s="6">
        <v>1642.7</v>
      </c>
      <c r="Q71" s="2"/>
      <c r="R71" s="7">
        <f t="shared" si="48"/>
        <v>4.1401402309627147E-3</v>
      </c>
      <c r="S71" s="2"/>
      <c r="T71" s="6">
        <v>1750</v>
      </c>
      <c r="U71" s="2"/>
      <c r="V71" s="7">
        <f t="shared" si="49"/>
        <v>4.2367752088124924E-3</v>
      </c>
      <c r="W71" s="2"/>
      <c r="X71" s="6">
        <f t="shared" si="50"/>
        <v>-107.29999999999995</v>
      </c>
      <c r="Y71" s="2"/>
      <c r="Z71" s="7">
        <f t="shared" si="51"/>
        <v>-6.1314285714285689E-2</v>
      </c>
    </row>
    <row r="72" spans="1:26" s="24" customFormat="1" hidden="1" outlineLevel="2" x14ac:dyDescent="0.25">
      <c r="A72" s="25"/>
      <c r="B72" s="11" t="str">
        <f>CONCATENATE("          ", "6283", " - ", "PLANT SERVICE")</f>
        <v xml:space="preserve">          6283 - PLANT SERVICE</v>
      </c>
      <c r="C72" s="11"/>
      <c r="D72" s="6">
        <v>61.55</v>
      </c>
      <c r="E72" s="2"/>
      <c r="F72" s="7">
        <f t="shared" si="44"/>
        <v>7.2461754791776345E-4</v>
      </c>
      <c r="G72" s="2"/>
      <c r="H72" s="6">
        <v>60</v>
      </c>
      <c r="I72" s="2"/>
      <c r="J72" s="7">
        <f t="shared" si="45"/>
        <v>7.3170731707317073E-4</v>
      </c>
      <c r="K72" s="2"/>
      <c r="L72" s="6">
        <f t="shared" si="46"/>
        <v>1.5499999999999972</v>
      </c>
      <c r="M72" s="2"/>
      <c r="N72" s="7">
        <f t="shared" si="47"/>
        <v>2.5833333333333285E-2</v>
      </c>
      <c r="O72" s="11"/>
      <c r="P72" s="6">
        <v>246.2</v>
      </c>
      <c r="Q72" s="2"/>
      <c r="R72" s="7">
        <f t="shared" si="48"/>
        <v>6.2050436772570776E-4</v>
      </c>
      <c r="S72" s="2"/>
      <c r="T72" s="6">
        <v>300</v>
      </c>
      <c r="U72" s="2"/>
      <c r="V72" s="7">
        <f t="shared" si="49"/>
        <v>7.2630432151071301E-4</v>
      </c>
      <c r="W72" s="2"/>
      <c r="X72" s="6">
        <f t="shared" si="50"/>
        <v>-53.800000000000011</v>
      </c>
      <c r="Y72" s="2"/>
      <c r="Z72" s="7">
        <f t="shared" si="51"/>
        <v>-0.17933333333333337</v>
      </c>
    </row>
    <row r="73" spans="1:26" s="24" customFormat="1" hidden="1" outlineLevel="2" x14ac:dyDescent="0.25">
      <c r="A73" s="25"/>
      <c r="B73" s="11" t="str">
        <f>CONCATENATE("          ", "6284", " - ", "TRASH REMOVAL EXPENSE")</f>
        <v xml:space="preserve">          6284 - TRASH REMOVAL EXPENSE</v>
      </c>
      <c r="C73" s="11"/>
      <c r="D73" s="6">
        <v>623</v>
      </c>
      <c r="E73" s="2"/>
      <c r="F73" s="7">
        <f t="shared" si="44"/>
        <v>7.3344716872910908E-3</v>
      </c>
      <c r="G73" s="2"/>
      <c r="H73" s="6">
        <v>475</v>
      </c>
      <c r="I73" s="2"/>
      <c r="J73" s="7">
        <f t="shared" si="45"/>
        <v>5.7926829268292682E-3</v>
      </c>
      <c r="K73" s="2"/>
      <c r="L73" s="6">
        <f t="shared" si="46"/>
        <v>148</v>
      </c>
      <c r="M73" s="2"/>
      <c r="N73" s="7">
        <f t="shared" si="47"/>
        <v>0.31157894736842107</v>
      </c>
      <c r="O73" s="11"/>
      <c r="P73" s="6">
        <v>2492</v>
      </c>
      <c r="Q73" s="2"/>
      <c r="R73" s="7">
        <f t="shared" si="48"/>
        <v>6.280653470237465E-3</v>
      </c>
      <c r="S73" s="2"/>
      <c r="T73" s="6">
        <v>2375</v>
      </c>
      <c r="U73" s="2"/>
      <c r="V73" s="7">
        <f t="shared" si="49"/>
        <v>5.7499092119598109E-3</v>
      </c>
      <c r="W73" s="2"/>
      <c r="X73" s="6">
        <f t="shared" si="50"/>
        <v>117</v>
      </c>
      <c r="Y73" s="2"/>
      <c r="Z73" s="7">
        <f t="shared" si="51"/>
        <v>4.9263157894736842E-2</v>
      </c>
    </row>
    <row r="74" spans="1:26" s="24" customFormat="1" hidden="1" outlineLevel="2" x14ac:dyDescent="0.25">
      <c r="A74" s="25"/>
      <c r="B74" s="11" t="str">
        <f>CONCATENATE("          ", "6285", " - ", "JANITORIAL SERVICES")</f>
        <v xml:space="preserve">          6285 - JANITORIAL SERVICES</v>
      </c>
      <c r="C74" s="11"/>
      <c r="D74" s="6">
        <v>3040.95</v>
      </c>
      <c r="E74" s="2"/>
      <c r="F74" s="7">
        <f t="shared" si="44"/>
        <v>3.5800580541681927E-2</v>
      </c>
      <c r="G74" s="2"/>
      <c r="H74" s="6">
        <v>3000</v>
      </c>
      <c r="I74" s="2"/>
      <c r="J74" s="7">
        <f t="shared" si="45"/>
        <v>3.6585365853658534E-2</v>
      </c>
      <c r="K74" s="2"/>
      <c r="L74" s="6">
        <f t="shared" si="46"/>
        <v>40.949999999999818</v>
      </c>
      <c r="M74" s="2"/>
      <c r="N74" s="7">
        <f t="shared" si="47"/>
        <v>1.364999999999994E-2</v>
      </c>
      <c r="O74" s="11"/>
      <c r="P74" s="6">
        <v>15504.750000000002</v>
      </c>
      <c r="Q74" s="2"/>
      <c r="R74" s="7">
        <f t="shared" si="48"/>
        <v>3.9077031257088425E-2</v>
      </c>
      <c r="S74" s="2"/>
      <c r="T74" s="6">
        <v>15000</v>
      </c>
      <c r="U74" s="2"/>
      <c r="V74" s="7">
        <f t="shared" si="49"/>
        <v>3.6315216075535652E-2</v>
      </c>
      <c r="W74" s="2"/>
      <c r="X74" s="6">
        <f t="shared" si="50"/>
        <v>504.75000000000182</v>
      </c>
      <c r="Y74" s="2"/>
      <c r="Z74" s="7">
        <f t="shared" si="51"/>
        <v>3.3650000000000124E-2</v>
      </c>
    </row>
    <row r="75" spans="1:26" s="24" customFormat="1" hidden="1" outlineLevel="2" x14ac:dyDescent="0.25">
      <c r="A75" s="25"/>
      <c r="B75" s="11" t="str">
        <f>CONCATENATE("          ", "6286", " - ", "LAUNDRY EXPENSE")</f>
        <v xml:space="preserve">          6286 - LAUNDRY EXPENSE</v>
      </c>
      <c r="C75" s="11"/>
      <c r="D75" s="6">
        <v>245.64</v>
      </c>
      <c r="E75" s="2"/>
      <c r="F75" s="7">
        <f t="shared" si="44"/>
        <v>2.8918774081319156E-3</v>
      </c>
      <c r="G75" s="2"/>
      <c r="H75" s="6">
        <v>150</v>
      </c>
      <c r="I75" s="2"/>
      <c r="J75" s="7">
        <f t="shared" si="45"/>
        <v>1.8292682926829269E-3</v>
      </c>
      <c r="K75" s="2"/>
      <c r="L75" s="6">
        <f t="shared" si="46"/>
        <v>95.639999999999986</v>
      </c>
      <c r="M75" s="2"/>
      <c r="N75" s="7">
        <f t="shared" si="47"/>
        <v>0.63759999999999994</v>
      </c>
      <c r="O75" s="11"/>
      <c r="P75" s="6">
        <v>1209.5</v>
      </c>
      <c r="Q75" s="2"/>
      <c r="R75" s="7">
        <f t="shared" si="48"/>
        <v>3.0483348203259285E-3</v>
      </c>
      <c r="S75" s="2"/>
      <c r="T75" s="6">
        <v>950</v>
      </c>
      <c r="U75" s="2"/>
      <c r="V75" s="7">
        <f t="shared" si="49"/>
        <v>2.2999636847839244E-3</v>
      </c>
      <c r="W75" s="2"/>
      <c r="X75" s="6">
        <f t="shared" si="50"/>
        <v>259.5</v>
      </c>
      <c r="Y75" s="2"/>
      <c r="Z75" s="7">
        <f t="shared" si="51"/>
        <v>0.2731578947368421</v>
      </c>
    </row>
    <row r="76" spans="1:26" s="26" customFormat="1" outlineLevel="1" collapsed="1" x14ac:dyDescent="0.25">
      <c r="A76" s="27"/>
      <c r="B76" s="13" t="str">
        <f>CONCATENATE("     ","Subscriptions &amp; Dues                              ")</f>
        <v xml:space="preserve">     Subscriptions &amp; Dues                              </v>
      </c>
      <c r="C76" s="13"/>
      <c r="D76" s="1">
        <f>SUM(OSRRefD22_13x_0)</f>
        <v>196.71</v>
      </c>
      <c r="E76" s="1"/>
      <c r="F76" s="5">
        <f t="shared" ref="F76:F86" si="52">IF(D$12=0,0,D76/D$12)</f>
        <v>2.315832946399728E-3</v>
      </c>
      <c r="G76" s="1"/>
      <c r="H76" s="1">
        <f>SUM(OSRRefH22_13x_0)</f>
        <v>200</v>
      </c>
      <c r="I76" s="1"/>
      <c r="J76" s="5">
        <f t="shared" ref="J76:J86" si="53">IF(H$12=0,0,H76/H$12)</f>
        <v>2.4390243902439024E-3</v>
      </c>
      <c r="K76" s="1"/>
      <c r="L76" s="1">
        <f t="shared" ref="L76:L86" si="54">+D76-H76</f>
        <v>-3.289999999999992</v>
      </c>
      <c r="M76" s="1"/>
      <c r="N76" s="5">
        <f t="shared" ref="N76:N86" si="55">IF(H76=0,0,L76/H76)</f>
        <v>-1.6449999999999961E-2</v>
      </c>
      <c r="O76" s="13"/>
      <c r="P76" s="1">
        <f>SUM(OSRRefP22_13x_0)</f>
        <v>983.55</v>
      </c>
      <c r="Q76" s="1"/>
      <c r="R76" s="5">
        <f t="shared" ref="R76:R86" si="56">IF(P$12=0,0,P76/P$12)</f>
        <v>2.4788670628619817E-3</v>
      </c>
      <c r="S76" s="1"/>
      <c r="T76" s="1">
        <f>SUM(OSRRefT22_13x_0)</f>
        <v>1000</v>
      </c>
      <c r="U76" s="1"/>
      <c r="V76" s="5">
        <f t="shared" ref="V76:V86" si="57">IF(T$12=0,0,T76/T$12)</f>
        <v>2.4210144050357098E-3</v>
      </c>
      <c r="W76" s="1"/>
      <c r="X76" s="1">
        <f t="shared" ref="X76:X86" si="58">+P76-T76</f>
        <v>-16.450000000000045</v>
      </c>
      <c r="Y76" s="1"/>
      <c r="Z76" s="5">
        <f t="shared" ref="Z76:Z86" si="59">IF(T76=0,0,X76/T76)</f>
        <v>-1.6450000000000044E-2</v>
      </c>
    </row>
    <row r="77" spans="1:26" s="24" customFormat="1" hidden="1" outlineLevel="2" x14ac:dyDescent="0.25">
      <c r="A77" s="25"/>
      <c r="B77" s="11" t="str">
        <f>CONCATENATE("          ", "6275", " - ", "SUBSCRIPTIONS")</f>
        <v xml:space="preserve">          6275 - SUBSCRIPTIONS</v>
      </c>
      <c r="C77" s="11"/>
      <c r="D77" s="6">
        <v>196.71</v>
      </c>
      <c r="E77" s="2"/>
      <c r="F77" s="7">
        <f t="shared" si="52"/>
        <v>2.315832946399728E-3</v>
      </c>
      <c r="G77" s="2"/>
      <c r="H77" s="6">
        <v>200</v>
      </c>
      <c r="I77" s="2"/>
      <c r="J77" s="7">
        <f t="shared" si="53"/>
        <v>2.4390243902439024E-3</v>
      </c>
      <c r="K77" s="2"/>
      <c r="L77" s="6">
        <f t="shared" si="54"/>
        <v>-3.289999999999992</v>
      </c>
      <c r="M77" s="2"/>
      <c r="N77" s="7">
        <f t="shared" si="55"/>
        <v>-1.6449999999999961E-2</v>
      </c>
      <c r="O77" s="11"/>
      <c r="P77" s="6">
        <v>983.55</v>
      </c>
      <c r="Q77" s="2"/>
      <c r="R77" s="7">
        <f t="shared" si="56"/>
        <v>2.4788670628619817E-3</v>
      </c>
      <c r="S77" s="2"/>
      <c r="T77" s="6">
        <v>1000</v>
      </c>
      <c r="U77" s="2"/>
      <c r="V77" s="7">
        <f t="shared" si="57"/>
        <v>2.4210144050357098E-3</v>
      </c>
      <c r="W77" s="2"/>
      <c r="X77" s="6">
        <f t="shared" si="58"/>
        <v>-16.450000000000045</v>
      </c>
      <c r="Y77" s="2"/>
      <c r="Z77" s="7">
        <f t="shared" si="59"/>
        <v>-1.6450000000000044E-2</v>
      </c>
    </row>
    <row r="78" spans="1:26" s="26" customFormat="1" outlineLevel="1" collapsed="1" x14ac:dyDescent="0.25">
      <c r="A78" s="27"/>
      <c r="B78" s="13" t="str">
        <f>CONCATENATE("     ","Supplies                                          ")</f>
        <v xml:space="preserve">     Supplies                                          </v>
      </c>
      <c r="C78" s="13"/>
      <c r="D78" s="1">
        <f>SUM(OSRRefD22_14x_0)</f>
        <v>1247.02</v>
      </c>
      <c r="E78" s="1"/>
      <c r="F78" s="5">
        <f t="shared" si="52"/>
        <v>1.4680951658885612E-2</v>
      </c>
      <c r="G78" s="1"/>
      <c r="H78" s="1">
        <f>SUM(OSRRefH22_14x_0)</f>
        <v>1360</v>
      </c>
      <c r="I78" s="1"/>
      <c r="J78" s="5">
        <f t="shared" si="53"/>
        <v>1.6585365853658537E-2</v>
      </c>
      <c r="K78" s="1"/>
      <c r="L78" s="1">
        <f t="shared" si="54"/>
        <v>-112.98000000000002</v>
      </c>
      <c r="M78" s="1"/>
      <c r="N78" s="5">
        <f t="shared" si="55"/>
        <v>-8.3073529411764713E-2</v>
      </c>
      <c r="O78" s="13"/>
      <c r="P78" s="1">
        <f>SUM(OSRRefP22_14x_0)</f>
        <v>12575.39</v>
      </c>
      <c r="Q78" s="1"/>
      <c r="R78" s="5">
        <f t="shared" si="56"/>
        <v>3.1694087818254217E-2</v>
      </c>
      <c r="S78" s="1"/>
      <c r="T78" s="1">
        <f>SUM(OSRRefT22_14x_0)</f>
        <v>8650</v>
      </c>
      <c r="U78" s="1"/>
      <c r="V78" s="5">
        <f t="shared" si="57"/>
        <v>2.094177460355889E-2</v>
      </c>
      <c r="W78" s="1"/>
      <c r="X78" s="1">
        <f t="shared" si="58"/>
        <v>3925.3899999999994</v>
      </c>
      <c r="Y78" s="1"/>
      <c r="Z78" s="5">
        <f t="shared" si="59"/>
        <v>0.45380231213872824</v>
      </c>
    </row>
    <row r="79" spans="1:26" s="24" customFormat="1" hidden="1" outlineLevel="2" x14ac:dyDescent="0.25">
      <c r="A79" s="25"/>
      <c r="B79" s="11" t="str">
        <f>CONCATENATE("          ", "6234", " - ", "EXPENDABLE SUPPLIES &amp; EQUIPMEN")</f>
        <v xml:space="preserve">          6234 - EXPENDABLE SUPPLIES &amp; EQUIPMEN</v>
      </c>
      <c r="C79" s="11"/>
      <c r="D79" s="6">
        <v>67.72</v>
      </c>
      <c r="E79" s="2"/>
      <c r="F79" s="7">
        <f t="shared" si="52"/>
        <v>7.9725589512576677E-4</v>
      </c>
      <c r="G79" s="2"/>
      <c r="H79" s="6"/>
      <c r="I79" s="2"/>
      <c r="J79" s="7">
        <f t="shared" si="53"/>
        <v>0</v>
      </c>
      <c r="K79" s="2"/>
      <c r="L79" s="6">
        <f t="shared" si="54"/>
        <v>67.72</v>
      </c>
      <c r="M79" s="2"/>
      <c r="N79" s="7">
        <f t="shared" si="55"/>
        <v>0</v>
      </c>
      <c r="O79" s="11"/>
      <c r="P79" s="6">
        <v>67.72</v>
      </c>
      <c r="Q79" s="2"/>
      <c r="R79" s="7">
        <f t="shared" si="56"/>
        <v>1.7067650602105986E-4</v>
      </c>
      <c r="S79" s="2"/>
      <c r="T79" s="6">
        <v>400</v>
      </c>
      <c r="U79" s="2"/>
      <c r="V79" s="7">
        <f t="shared" si="57"/>
        <v>9.6840576201428401E-4</v>
      </c>
      <c r="W79" s="2"/>
      <c r="X79" s="6">
        <f t="shared" si="58"/>
        <v>-332.28</v>
      </c>
      <c r="Y79" s="2"/>
      <c r="Z79" s="7">
        <f t="shared" si="59"/>
        <v>-0.83069999999999988</v>
      </c>
    </row>
    <row r="80" spans="1:26" s="24" customFormat="1" hidden="1" outlineLevel="2" x14ac:dyDescent="0.25">
      <c r="A80" s="25"/>
      <c r="B80" s="11" t="str">
        <f>CONCATENATE("          ", "6237", " - ", "JANITORIAL SUPPLIES")</f>
        <v xml:space="preserve">          6237 - JANITORIAL SUPPLIES</v>
      </c>
      <c r="C80" s="11"/>
      <c r="D80" s="6">
        <v>890.25</v>
      </c>
      <c r="E80" s="2"/>
      <c r="F80" s="7">
        <f t="shared" si="52"/>
        <v>1.0480759903067245E-2</v>
      </c>
      <c r="G80" s="2"/>
      <c r="H80" s="6">
        <v>400</v>
      </c>
      <c r="I80" s="2"/>
      <c r="J80" s="7">
        <f t="shared" si="53"/>
        <v>4.8780487804878049E-3</v>
      </c>
      <c r="K80" s="2"/>
      <c r="L80" s="6">
        <f t="shared" si="54"/>
        <v>490.25</v>
      </c>
      <c r="M80" s="2"/>
      <c r="N80" s="7">
        <f t="shared" si="55"/>
        <v>1.225625</v>
      </c>
      <c r="O80" s="11"/>
      <c r="P80" s="6">
        <v>3697.99</v>
      </c>
      <c r="Q80" s="2"/>
      <c r="R80" s="7">
        <f t="shared" si="56"/>
        <v>9.3201419447846885E-3</v>
      </c>
      <c r="S80" s="2"/>
      <c r="T80" s="6">
        <v>1850</v>
      </c>
      <c r="U80" s="2"/>
      <c r="V80" s="7">
        <f t="shared" si="57"/>
        <v>4.4788766493160633E-3</v>
      </c>
      <c r="W80" s="2"/>
      <c r="X80" s="6">
        <f t="shared" si="58"/>
        <v>1847.9899999999998</v>
      </c>
      <c r="Y80" s="2"/>
      <c r="Z80" s="7">
        <f t="shared" si="59"/>
        <v>0.99891351351351343</v>
      </c>
    </row>
    <row r="81" spans="1:26" s="24" customFormat="1" hidden="1" outlineLevel="2" x14ac:dyDescent="0.25">
      <c r="A81" s="25"/>
      <c r="B81" s="11" t="str">
        <f>CONCATENATE("          ", "6239", " - ", "KITCHEN SUPPLIES")</f>
        <v xml:space="preserve">          6239 - KITCHEN SUPPLIES</v>
      </c>
      <c r="C81" s="11"/>
      <c r="D81" s="6">
        <v>39.67</v>
      </c>
      <c r="E81" s="2"/>
      <c r="F81" s="7">
        <f t="shared" si="52"/>
        <v>4.6702807678144077E-4</v>
      </c>
      <c r="G81" s="2"/>
      <c r="H81" s="6"/>
      <c r="I81" s="2"/>
      <c r="J81" s="7">
        <f t="shared" si="53"/>
        <v>0</v>
      </c>
      <c r="K81" s="2"/>
      <c r="L81" s="6">
        <f t="shared" si="54"/>
        <v>39.67</v>
      </c>
      <c r="M81" s="2"/>
      <c r="N81" s="7">
        <f t="shared" si="55"/>
        <v>0</v>
      </c>
      <c r="O81" s="11"/>
      <c r="P81" s="6">
        <v>231.26</v>
      </c>
      <c r="Q81" s="2"/>
      <c r="R81" s="7">
        <f t="shared" si="56"/>
        <v>5.8285069082147521E-4</v>
      </c>
      <c r="S81" s="2"/>
      <c r="T81" s="6">
        <v>450</v>
      </c>
      <c r="U81" s="2"/>
      <c r="V81" s="7">
        <f t="shared" si="57"/>
        <v>1.0894564822660695E-3</v>
      </c>
      <c r="W81" s="2"/>
      <c r="X81" s="6">
        <f t="shared" si="58"/>
        <v>-218.74</v>
      </c>
      <c r="Y81" s="2"/>
      <c r="Z81" s="7">
        <f t="shared" si="59"/>
        <v>-0.4860888888888889</v>
      </c>
    </row>
    <row r="82" spans="1:26" s="24" customFormat="1" hidden="1" outlineLevel="2" x14ac:dyDescent="0.25">
      <c r="A82" s="25"/>
      <c r="B82" s="11" t="str">
        <f>CONCATENATE("          ", "6241", " - ", "OFFICE EXPENSE")</f>
        <v xml:space="preserve">          6241 - OFFICE EXPENSE</v>
      </c>
      <c r="C82" s="11"/>
      <c r="D82" s="6"/>
      <c r="E82" s="2"/>
      <c r="F82" s="7">
        <f t="shared" si="52"/>
        <v>0</v>
      </c>
      <c r="G82" s="2"/>
      <c r="H82" s="6">
        <v>150</v>
      </c>
      <c r="I82" s="2"/>
      <c r="J82" s="7">
        <f t="shared" si="53"/>
        <v>1.8292682926829269E-3</v>
      </c>
      <c r="K82" s="2"/>
      <c r="L82" s="6">
        <f t="shared" si="54"/>
        <v>-150</v>
      </c>
      <c r="M82" s="2"/>
      <c r="N82" s="7">
        <f t="shared" si="55"/>
        <v>-1</v>
      </c>
      <c r="O82" s="11"/>
      <c r="P82" s="6">
        <v>5261.76</v>
      </c>
      <c r="Q82" s="2"/>
      <c r="R82" s="7">
        <f t="shared" si="56"/>
        <v>1.3261352810416006E-2</v>
      </c>
      <c r="S82" s="2"/>
      <c r="T82" s="6">
        <v>650</v>
      </c>
      <c r="U82" s="2"/>
      <c r="V82" s="7">
        <f t="shared" si="57"/>
        <v>1.5736593632732115E-3</v>
      </c>
      <c r="W82" s="2"/>
      <c r="X82" s="6">
        <f t="shared" si="58"/>
        <v>4611.76</v>
      </c>
      <c r="Y82" s="2"/>
      <c r="Z82" s="7">
        <f t="shared" si="59"/>
        <v>7.0950153846153849</v>
      </c>
    </row>
    <row r="83" spans="1:26" s="24" customFormat="1" hidden="1" outlineLevel="2" x14ac:dyDescent="0.25">
      <c r="A83" s="25"/>
      <c r="B83" s="11" t="str">
        <f>CONCATENATE("          ", "6243", " - ", "PAPER SUPPLIES")</f>
        <v xml:space="preserve">          6243 - PAPER SUPPLIES</v>
      </c>
      <c r="C83" s="11"/>
      <c r="D83" s="6">
        <v>233.91</v>
      </c>
      <c r="E83" s="2"/>
      <c r="F83" s="7">
        <f t="shared" si="52"/>
        <v>2.7537821386424705E-3</v>
      </c>
      <c r="G83" s="2"/>
      <c r="H83" s="6">
        <v>750</v>
      </c>
      <c r="I83" s="2"/>
      <c r="J83" s="7">
        <f t="shared" si="53"/>
        <v>9.1463414634146336E-3</v>
      </c>
      <c r="K83" s="2"/>
      <c r="L83" s="6">
        <f t="shared" si="54"/>
        <v>-516.09</v>
      </c>
      <c r="M83" s="2"/>
      <c r="N83" s="7">
        <f t="shared" si="55"/>
        <v>-0.68812000000000006</v>
      </c>
      <c r="O83" s="11"/>
      <c r="P83" s="6">
        <v>2890.63</v>
      </c>
      <c r="Q83" s="2"/>
      <c r="R83" s="7">
        <f t="shared" si="56"/>
        <v>7.2853311960965183E-3</v>
      </c>
      <c r="S83" s="2"/>
      <c r="T83" s="6">
        <v>4000</v>
      </c>
      <c r="U83" s="2"/>
      <c r="V83" s="7">
        <f t="shared" si="57"/>
        <v>9.6840576201428392E-3</v>
      </c>
      <c r="W83" s="2"/>
      <c r="X83" s="6">
        <f t="shared" si="58"/>
        <v>-1109.3699999999999</v>
      </c>
      <c r="Y83" s="2"/>
      <c r="Z83" s="7">
        <f t="shared" si="59"/>
        <v>-0.27734249999999999</v>
      </c>
    </row>
    <row r="84" spans="1:26" s="24" customFormat="1" hidden="1" outlineLevel="2" x14ac:dyDescent="0.25">
      <c r="A84" s="25"/>
      <c r="B84" s="11" t="str">
        <f>CONCATENATE("          ", "6244", " - ", "SAFETY SUPPLY EXPENSE")</f>
        <v xml:space="preserve">          6244 - SAFETY SUPPLY EXPENSE</v>
      </c>
      <c r="C84" s="11"/>
      <c r="D84" s="6"/>
      <c r="E84" s="2"/>
      <c r="F84" s="7">
        <f t="shared" si="52"/>
        <v>0</v>
      </c>
      <c r="G84" s="2"/>
      <c r="H84" s="6">
        <v>60</v>
      </c>
      <c r="I84" s="2"/>
      <c r="J84" s="7">
        <f t="shared" si="53"/>
        <v>7.3170731707317073E-4</v>
      </c>
      <c r="K84" s="2"/>
      <c r="L84" s="6">
        <f t="shared" si="54"/>
        <v>-60</v>
      </c>
      <c r="M84" s="2"/>
      <c r="N84" s="7">
        <f t="shared" si="55"/>
        <v>-1</v>
      </c>
      <c r="O84" s="11"/>
      <c r="P84" s="6"/>
      <c r="Q84" s="2"/>
      <c r="R84" s="7">
        <f t="shared" si="56"/>
        <v>0</v>
      </c>
      <c r="S84" s="2"/>
      <c r="T84" s="6">
        <v>300</v>
      </c>
      <c r="U84" s="2"/>
      <c r="V84" s="7">
        <f t="shared" si="57"/>
        <v>7.2630432151071301E-4</v>
      </c>
      <c r="W84" s="2"/>
      <c r="X84" s="6">
        <f t="shared" si="58"/>
        <v>-300</v>
      </c>
      <c r="Y84" s="2"/>
      <c r="Z84" s="7">
        <f t="shared" si="59"/>
        <v>-1</v>
      </c>
    </row>
    <row r="85" spans="1:26" s="24" customFormat="1" hidden="1" outlineLevel="2" x14ac:dyDescent="0.25">
      <c r="A85" s="25"/>
      <c r="B85" s="11" t="str">
        <f>CONCATENATE("          ", "6247", " - ", "STORE SUPPLIES")</f>
        <v xml:space="preserve">          6247 - STORE SUPPLIES</v>
      </c>
      <c r="C85" s="11"/>
      <c r="D85" s="6"/>
      <c r="E85" s="2"/>
      <c r="F85" s="7">
        <f t="shared" si="52"/>
        <v>0</v>
      </c>
      <c r="G85" s="2"/>
      <c r="H85" s="6"/>
      <c r="I85" s="2"/>
      <c r="J85" s="7">
        <f t="shared" si="53"/>
        <v>0</v>
      </c>
      <c r="K85" s="2"/>
      <c r="L85" s="6">
        <f t="shared" si="54"/>
        <v>0</v>
      </c>
      <c r="M85" s="2"/>
      <c r="N85" s="7">
        <f t="shared" si="55"/>
        <v>0</v>
      </c>
      <c r="O85" s="11"/>
      <c r="P85" s="6">
        <v>410.56</v>
      </c>
      <c r="Q85" s="2"/>
      <c r="R85" s="7">
        <f t="shared" si="56"/>
        <v>1.0347452202009203E-3</v>
      </c>
      <c r="S85" s="2"/>
      <c r="T85" s="6">
        <v>200</v>
      </c>
      <c r="U85" s="2"/>
      <c r="V85" s="7">
        <f t="shared" si="57"/>
        <v>4.8420288100714201E-4</v>
      </c>
      <c r="W85" s="2"/>
      <c r="X85" s="6">
        <f t="shared" si="58"/>
        <v>210.56</v>
      </c>
      <c r="Y85" s="2"/>
      <c r="Z85" s="7">
        <f t="shared" si="59"/>
        <v>1.0528</v>
      </c>
    </row>
    <row r="86" spans="1:26" s="24" customFormat="1" hidden="1" outlineLevel="2" x14ac:dyDescent="0.25">
      <c r="A86" s="25"/>
      <c r="B86" s="11" t="str">
        <f>CONCATENATE("          ", "6248", " - ", "UNIFORMS")</f>
        <v xml:space="preserve">          6248 - UNIFORMS</v>
      </c>
      <c r="C86" s="11"/>
      <c r="D86" s="6">
        <v>15.47</v>
      </c>
      <c r="E86" s="2"/>
      <c r="F86" s="7">
        <f t="shared" si="52"/>
        <v>1.821256452686889E-4</v>
      </c>
      <c r="G86" s="2"/>
      <c r="H86" s="6"/>
      <c r="I86" s="2"/>
      <c r="J86" s="7">
        <f t="shared" si="53"/>
        <v>0</v>
      </c>
      <c r="K86" s="2"/>
      <c r="L86" s="6">
        <f t="shared" si="54"/>
        <v>15.47</v>
      </c>
      <c r="M86" s="2"/>
      <c r="N86" s="7">
        <f t="shared" si="55"/>
        <v>0</v>
      </c>
      <c r="O86" s="11"/>
      <c r="P86" s="6">
        <v>15.47</v>
      </c>
      <c r="Q86" s="2"/>
      <c r="R86" s="7">
        <f t="shared" si="56"/>
        <v>3.8989449913552807E-5</v>
      </c>
      <c r="S86" s="2"/>
      <c r="T86" s="6">
        <v>800</v>
      </c>
      <c r="U86" s="2"/>
      <c r="V86" s="7">
        <f t="shared" si="57"/>
        <v>1.936811524028568E-3</v>
      </c>
      <c r="W86" s="2"/>
      <c r="X86" s="6">
        <f t="shared" si="58"/>
        <v>-784.53</v>
      </c>
      <c r="Y86" s="2"/>
      <c r="Z86" s="7">
        <f t="shared" si="59"/>
        <v>-0.98066249999999999</v>
      </c>
    </row>
    <row r="87" spans="1:26" s="26" customFormat="1" outlineLevel="1" collapsed="1" x14ac:dyDescent="0.25">
      <c r="A87" s="27"/>
      <c r="B87" s="13" t="str">
        <f>CONCATENATE("     ","Telephone/Data Lines                              ")</f>
        <v xml:space="preserve">     Telephone/Data Lines                              </v>
      </c>
      <c r="C87" s="13"/>
      <c r="D87" s="1">
        <f>SUM(OSRRefD22_15x_0)</f>
        <v>137.94999999999999</v>
      </c>
      <c r="E87" s="1"/>
      <c r="F87" s="5">
        <f t="shared" ref="F87:F93" si="60">IF(D$12=0,0,D87/D$12)</f>
        <v>1.6240615879001699E-3</v>
      </c>
      <c r="G87" s="1"/>
      <c r="H87" s="1">
        <f>SUM(OSRRefH22_15x_0)</f>
        <v>150</v>
      </c>
      <c r="I87" s="1"/>
      <c r="J87" s="5">
        <f t="shared" ref="J87:J93" si="61">IF(H$12=0,0,H87/H$12)</f>
        <v>1.8292682926829269E-3</v>
      </c>
      <c r="K87" s="1"/>
      <c r="L87" s="1">
        <f t="shared" ref="L87:L93" si="62">+D87-H87</f>
        <v>-12.050000000000011</v>
      </c>
      <c r="M87" s="1"/>
      <c r="N87" s="5">
        <f t="shared" ref="N87:N93" si="63">IF(H87=0,0,L87/H87)</f>
        <v>-8.0333333333333409E-2</v>
      </c>
      <c r="O87" s="13"/>
      <c r="P87" s="1">
        <f>SUM(OSRRefP22_15x_0)</f>
        <v>718.55</v>
      </c>
      <c r="Q87" s="1"/>
      <c r="R87" s="5">
        <f t="shared" ref="R87:R93" si="64">IF(P$12=0,0,P87/P$12)</f>
        <v>1.8109805582018981E-3</v>
      </c>
      <c r="S87" s="1"/>
      <c r="T87" s="1">
        <f>SUM(OSRRefT22_15x_0)</f>
        <v>750</v>
      </c>
      <c r="U87" s="1"/>
      <c r="V87" s="5">
        <f t="shared" ref="V87:V93" si="65">IF(T$12=0,0,T87/T$12)</f>
        <v>1.8157608037767826E-3</v>
      </c>
      <c r="W87" s="1"/>
      <c r="X87" s="1">
        <f t="shared" ref="X87:X93" si="66">+P87-T87</f>
        <v>-31.450000000000045</v>
      </c>
      <c r="Y87" s="1"/>
      <c r="Z87" s="5">
        <f t="shared" ref="Z87:Z93" si="67">IF(T87=0,0,X87/T87)</f>
        <v>-4.1933333333333392E-2</v>
      </c>
    </row>
    <row r="88" spans="1:26" s="24" customFormat="1" hidden="1" outlineLevel="2" x14ac:dyDescent="0.25">
      <c r="A88" s="25"/>
      <c r="B88" s="11" t="str">
        <f>CONCATENATE("          ", "6309", " - ", "TELEPHONE")</f>
        <v xml:space="preserve">          6309 - TELEPHONE</v>
      </c>
      <c r="C88" s="11"/>
      <c r="D88" s="6">
        <v>137.94999999999999</v>
      </c>
      <c r="E88" s="2"/>
      <c r="F88" s="7">
        <f t="shared" si="60"/>
        <v>1.6240615879001699E-3</v>
      </c>
      <c r="G88" s="2"/>
      <c r="H88" s="6">
        <v>150</v>
      </c>
      <c r="I88" s="2"/>
      <c r="J88" s="7">
        <f t="shared" si="61"/>
        <v>1.8292682926829269E-3</v>
      </c>
      <c r="K88" s="2"/>
      <c r="L88" s="6">
        <f t="shared" si="62"/>
        <v>-12.050000000000011</v>
      </c>
      <c r="M88" s="2"/>
      <c r="N88" s="7">
        <f t="shared" si="63"/>
        <v>-8.0333333333333409E-2</v>
      </c>
      <c r="O88" s="11"/>
      <c r="P88" s="6">
        <v>718.55</v>
      </c>
      <c r="Q88" s="2"/>
      <c r="R88" s="7">
        <f t="shared" si="64"/>
        <v>1.8109805582018981E-3</v>
      </c>
      <c r="S88" s="2"/>
      <c r="T88" s="6">
        <v>750</v>
      </c>
      <c r="U88" s="2"/>
      <c r="V88" s="7">
        <f t="shared" si="65"/>
        <v>1.8157608037767826E-3</v>
      </c>
      <c r="W88" s="2"/>
      <c r="X88" s="6">
        <f t="shared" si="66"/>
        <v>-31.450000000000045</v>
      </c>
      <c r="Y88" s="2"/>
      <c r="Z88" s="7">
        <f t="shared" si="67"/>
        <v>-4.1933333333333392E-2</v>
      </c>
    </row>
    <row r="89" spans="1:26" s="26" customFormat="1" outlineLevel="1" collapsed="1" x14ac:dyDescent="0.25">
      <c r="A89" s="27"/>
      <c r="B89" s="13" t="str">
        <f>CONCATENATE("     ","Training                                          ")</f>
        <v xml:space="preserve">     Training                                          </v>
      </c>
      <c r="C89" s="13"/>
      <c r="D89" s="1">
        <f>SUM(OSRRefD22_16x_0)</f>
        <v>0</v>
      </c>
      <c r="E89" s="1"/>
      <c r="F89" s="5">
        <f t="shared" si="60"/>
        <v>0</v>
      </c>
      <c r="G89" s="1"/>
      <c r="H89" s="1">
        <f>SUM(OSRRefH22_16x_0)</f>
        <v>0</v>
      </c>
      <c r="I89" s="1"/>
      <c r="J89" s="5">
        <f t="shared" si="61"/>
        <v>0</v>
      </c>
      <c r="K89" s="1"/>
      <c r="L89" s="1">
        <f t="shared" si="62"/>
        <v>0</v>
      </c>
      <c r="M89" s="1"/>
      <c r="N89" s="5">
        <f t="shared" si="63"/>
        <v>0</v>
      </c>
      <c r="O89" s="13"/>
      <c r="P89" s="1">
        <f>SUM(OSRRefP22_16x_0)</f>
        <v>144</v>
      </c>
      <c r="Q89" s="1"/>
      <c r="R89" s="5">
        <f t="shared" si="64"/>
        <v>3.6292700630585675E-4</v>
      </c>
      <c r="S89" s="1"/>
      <c r="T89" s="1">
        <f>SUM(OSRRefT22_16x_0)</f>
        <v>0</v>
      </c>
      <c r="U89" s="1"/>
      <c r="V89" s="5">
        <f t="shared" si="65"/>
        <v>0</v>
      </c>
      <c r="W89" s="1"/>
      <c r="X89" s="1">
        <f t="shared" si="66"/>
        <v>144</v>
      </c>
      <c r="Y89" s="1"/>
      <c r="Z89" s="5">
        <f t="shared" si="67"/>
        <v>0</v>
      </c>
    </row>
    <row r="90" spans="1:26" s="24" customFormat="1" hidden="1" outlineLevel="2" x14ac:dyDescent="0.25">
      <c r="A90" s="25"/>
      <c r="B90" s="11" t="str">
        <f>CONCATENATE("          ", "6376", " - ", "TRAINING")</f>
        <v xml:space="preserve">          6376 - TRAINING</v>
      </c>
      <c r="C90" s="11"/>
      <c r="D90" s="6"/>
      <c r="E90" s="2"/>
      <c r="F90" s="7">
        <f t="shared" si="60"/>
        <v>0</v>
      </c>
      <c r="G90" s="2"/>
      <c r="H90" s="6"/>
      <c r="I90" s="2"/>
      <c r="J90" s="7">
        <f t="shared" si="61"/>
        <v>0</v>
      </c>
      <c r="K90" s="2"/>
      <c r="L90" s="6">
        <f t="shared" si="62"/>
        <v>0</v>
      </c>
      <c r="M90" s="2"/>
      <c r="N90" s="7">
        <f t="shared" si="63"/>
        <v>0</v>
      </c>
      <c r="O90" s="11"/>
      <c r="P90" s="6">
        <v>144</v>
      </c>
      <c r="Q90" s="2"/>
      <c r="R90" s="7">
        <f t="shared" si="64"/>
        <v>3.6292700630585675E-4</v>
      </c>
      <c r="S90" s="2"/>
      <c r="T90" s="6"/>
      <c r="U90" s="2"/>
      <c r="V90" s="7">
        <f t="shared" si="65"/>
        <v>0</v>
      </c>
      <c r="W90" s="2"/>
      <c r="X90" s="6">
        <f t="shared" si="66"/>
        <v>144</v>
      </c>
      <c r="Y90" s="2"/>
      <c r="Z90" s="7">
        <f t="shared" si="67"/>
        <v>0</v>
      </c>
    </row>
    <row r="91" spans="1:26" s="26" customFormat="1" outlineLevel="1" collapsed="1" x14ac:dyDescent="0.25">
      <c r="A91" s="27"/>
      <c r="B91" s="13" t="str">
        <f>CONCATENATE("     ","Travel                                            ")</f>
        <v xml:space="preserve">     Travel                                            </v>
      </c>
      <c r="C91" s="13"/>
      <c r="D91" s="1">
        <f>SUM(OSRRefD22_17x_0)</f>
        <v>0</v>
      </c>
      <c r="E91" s="1"/>
      <c r="F91" s="5">
        <f t="shared" si="60"/>
        <v>0</v>
      </c>
      <c r="G91" s="1"/>
      <c r="H91" s="1">
        <f>SUM(OSRRefH22_17x_0)</f>
        <v>0</v>
      </c>
      <c r="I91" s="1"/>
      <c r="J91" s="5">
        <f t="shared" si="61"/>
        <v>0</v>
      </c>
      <c r="K91" s="1"/>
      <c r="L91" s="1">
        <f t="shared" si="62"/>
        <v>0</v>
      </c>
      <c r="M91" s="1"/>
      <c r="N91" s="5">
        <f t="shared" si="63"/>
        <v>0</v>
      </c>
      <c r="O91" s="13"/>
      <c r="P91" s="1">
        <f>SUM(OSRRefP22_17x_0)</f>
        <v>0</v>
      </c>
      <c r="Q91" s="1"/>
      <c r="R91" s="5">
        <f t="shared" si="64"/>
        <v>0</v>
      </c>
      <c r="S91" s="1"/>
      <c r="T91" s="1">
        <f>SUM(OSRRefT22_17x_0)</f>
        <v>1200</v>
      </c>
      <c r="U91" s="1"/>
      <c r="V91" s="5">
        <f t="shared" si="65"/>
        <v>2.905217286042852E-3</v>
      </c>
      <c r="W91" s="1"/>
      <c r="X91" s="1">
        <f t="shared" si="66"/>
        <v>-1200</v>
      </c>
      <c r="Y91" s="1"/>
      <c r="Z91" s="5">
        <f t="shared" si="67"/>
        <v>-1</v>
      </c>
    </row>
    <row r="92" spans="1:26" s="24" customFormat="1" hidden="1" outlineLevel="2" x14ac:dyDescent="0.25">
      <c r="A92" s="25"/>
      <c r="B92" s="11" t="str">
        <f>CONCATENATE("          ", "6292", " - ", "TRAVEL/CONFERENCE")</f>
        <v xml:space="preserve">          6292 - TRAVEL/CONFERENCE</v>
      </c>
      <c r="C92" s="11"/>
      <c r="D92" s="6"/>
      <c r="E92" s="2"/>
      <c r="F92" s="7">
        <f t="shared" si="60"/>
        <v>0</v>
      </c>
      <c r="G92" s="2"/>
      <c r="H92" s="6"/>
      <c r="I92" s="2"/>
      <c r="J92" s="7">
        <f t="shared" si="61"/>
        <v>0</v>
      </c>
      <c r="K92" s="2"/>
      <c r="L92" s="6">
        <f t="shared" si="62"/>
        <v>0</v>
      </c>
      <c r="M92" s="2"/>
      <c r="N92" s="7">
        <f t="shared" si="63"/>
        <v>0</v>
      </c>
      <c r="O92" s="11"/>
      <c r="P92" s="6"/>
      <c r="Q92" s="2"/>
      <c r="R92" s="7">
        <f t="shared" si="64"/>
        <v>0</v>
      </c>
      <c r="S92" s="2"/>
      <c r="T92" s="6">
        <v>1200</v>
      </c>
      <c r="U92" s="2"/>
      <c r="V92" s="7">
        <f t="shared" si="65"/>
        <v>2.905217286042852E-3</v>
      </c>
      <c r="W92" s="2"/>
      <c r="X92" s="6">
        <f t="shared" si="66"/>
        <v>-1200</v>
      </c>
      <c r="Y92" s="2"/>
      <c r="Z92" s="7">
        <f t="shared" si="67"/>
        <v>-1</v>
      </c>
    </row>
    <row r="93" spans="1:26" s="24" customFormat="1" hidden="1" outlineLevel="2" x14ac:dyDescent="0.25">
      <c r="A93" s="25"/>
      <c r="B93" s="11" t="str">
        <f>CONCATENATE("          ", "6298", " - ", "VEHICLE MILEAGE")</f>
        <v xml:space="preserve">          6298 - VEHICLE MILEAGE</v>
      </c>
      <c r="C93" s="11"/>
      <c r="D93" s="6"/>
      <c r="E93" s="2"/>
      <c r="F93" s="7">
        <f t="shared" si="60"/>
        <v>0</v>
      </c>
      <c r="G93" s="2"/>
      <c r="H93" s="6"/>
      <c r="I93" s="2"/>
      <c r="J93" s="7">
        <f t="shared" si="61"/>
        <v>0</v>
      </c>
      <c r="K93" s="2"/>
      <c r="L93" s="6">
        <f t="shared" si="62"/>
        <v>0</v>
      </c>
      <c r="M93" s="2"/>
      <c r="N93" s="7">
        <f t="shared" si="63"/>
        <v>0</v>
      </c>
      <c r="O93" s="11"/>
      <c r="P93" s="6"/>
      <c r="Q93" s="2"/>
      <c r="R93" s="7">
        <f t="shared" si="64"/>
        <v>0</v>
      </c>
      <c r="S93" s="2"/>
      <c r="T93" s="6">
        <v>0</v>
      </c>
      <c r="U93" s="2"/>
      <c r="V93" s="7">
        <f t="shared" si="65"/>
        <v>0</v>
      </c>
      <c r="W93" s="2"/>
      <c r="X93" s="6">
        <f t="shared" si="66"/>
        <v>0</v>
      </c>
      <c r="Y93" s="2"/>
      <c r="Z93" s="7">
        <f t="shared" si="67"/>
        <v>0</v>
      </c>
    </row>
    <row r="94" spans="1:26" s="26" customFormat="1" outlineLevel="1" collapsed="1" x14ac:dyDescent="0.25">
      <c r="A94" s="27"/>
      <c r="B94" s="13" t="str">
        <f>CONCATENATE("     ","Utilities                                         ")</f>
        <v xml:space="preserve">     Utilities                                         </v>
      </c>
      <c r="C94" s="13"/>
      <c r="D94" s="1">
        <f>SUM(OSRRefD22_18x_0)</f>
        <v>2031</v>
      </c>
      <c r="E94" s="1"/>
      <c r="F94" s="5">
        <f t="shared" ref="F94:F95" si="68">IF(D$12=0,0,D94/D$12)</f>
        <v>2.3910613157123926E-2</v>
      </c>
      <c r="G94" s="1"/>
      <c r="H94" s="1">
        <f>SUM(OSRRefH22_18x_0)</f>
        <v>2100</v>
      </c>
      <c r="I94" s="1"/>
      <c r="J94" s="5">
        <f t="shared" ref="J94:J95" si="69">IF(H$12=0,0,H94/H$12)</f>
        <v>2.5609756097560974E-2</v>
      </c>
      <c r="K94" s="1"/>
      <c r="L94" s="1">
        <f t="shared" ref="L94:L95" si="70">+D94-H94</f>
        <v>-69</v>
      </c>
      <c r="M94" s="1"/>
      <c r="N94" s="5">
        <f t="shared" ref="N94:N95" si="71">IF(H94=0,0,L94/H94)</f>
        <v>-3.2857142857142856E-2</v>
      </c>
      <c r="O94" s="13"/>
      <c r="P94" s="1">
        <f>SUM(OSRRefP22_18x_0)</f>
        <v>8124</v>
      </c>
      <c r="Q94" s="1"/>
      <c r="R94" s="5">
        <f t="shared" ref="R94:R95" si="72">IF(P$12=0,0,P94/P$12)</f>
        <v>2.0475131939088752E-2</v>
      </c>
      <c r="S94" s="1"/>
      <c r="T94" s="1">
        <f>SUM(OSRRefT22_18x_0)</f>
        <v>10500</v>
      </c>
      <c r="U94" s="1"/>
      <c r="V94" s="5">
        <f t="shared" ref="V94:V95" si="73">IF(T$12=0,0,T94/T$12)</f>
        <v>2.5420651252874956E-2</v>
      </c>
      <c r="W94" s="1"/>
      <c r="X94" s="1">
        <f t="shared" ref="X94:X95" si="74">+P94-T94</f>
        <v>-2376</v>
      </c>
      <c r="Y94" s="1"/>
      <c r="Z94" s="5">
        <f t="shared" ref="Z94:Z95" si="75">IF(T94=0,0,X94/T94)</f>
        <v>-0.22628571428571428</v>
      </c>
    </row>
    <row r="95" spans="1:26" s="24" customFormat="1" hidden="1" outlineLevel="2" x14ac:dyDescent="0.25">
      <c r="A95" s="25"/>
      <c r="B95" s="11" t="str">
        <f>CONCATENATE("          ", "6274", " - ", "UTILITIES")</f>
        <v xml:space="preserve">          6274 - UTILITIES</v>
      </c>
      <c r="C95" s="11"/>
      <c r="D95" s="6">
        <v>2031</v>
      </c>
      <c r="E95" s="2"/>
      <c r="F95" s="7">
        <f t="shared" si="68"/>
        <v>2.3910613157123926E-2</v>
      </c>
      <c r="G95" s="2"/>
      <c r="H95" s="6">
        <v>2100</v>
      </c>
      <c r="I95" s="2"/>
      <c r="J95" s="7">
        <f t="shared" si="69"/>
        <v>2.5609756097560974E-2</v>
      </c>
      <c r="K95" s="2"/>
      <c r="L95" s="6">
        <f t="shared" si="70"/>
        <v>-69</v>
      </c>
      <c r="M95" s="2"/>
      <c r="N95" s="7">
        <f t="shared" si="71"/>
        <v>-3.2857142857142856E-2</v>
      </c>
      <c r="O95" s="11"/>
      <c r="P95" s="6">
        <v>8124</v>
      </c>
      <c r="Q95" s="2"/>
      <c r="R95" s="7">
        <f t="shared" si="72"/>
        <v>2.0475131939088752E-2</v>
      </c>
      <c r="S95" s="2"/>
      <c r="T95" s="6">
        <v>10500</v>
      </c>
      <c r="U95" s="2"/>
      <c r="V95" s="7">
        <f t="shared" si="73"/>
        <v>2.5420651252874956E-2</v>
      </c>
      <c r="W95" s="2"/>
      <c r="X95" s="6">
        <f t="shared" si="74"/>
        <v>-2376</v>
      </c>
      <c r="Y95" s="2"/>
      <c r="Z95" s="7">
        <f t="shared" si="75"/>
        <v>-0.22628571428571428</v>
      </c>
    </row>
    <row r="96" spans="1:26" s="59" customFormat="1" x14ac:dyDescent="0.2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x14ac:dyDescent="0.25">
      <c r="A97" s="10"/>
      <c r="B97" s="29" t="s">
        <v>0</v>
      </c>
      <c r="C97" s="10"/>
      <c r="D97" s="4">
        <f>SUM(0)</f>
        <v>0</v>
      </c>
      <c r="E97" s="4"/>
      <c r="F97" s="12">
        <f>IF(D$12=0,0,D97/D$12)</f>
        <v>0</v>
      </c>
      <c r="G97" s="4"/>
      <c r="H97" s="4">
        <f>SUM(0)</f>
        <v>0</v>
      </c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>
        <f>SUM(0)</f>
        <v>0</v>
      </c>
      <c r="Q97" s="4"/>
      <c r="R97" s="12">
        <f>IF(P$12=0,0,P97/P$12)</f>
        <v>0</v>
      </c>
      <c r="S97" s="4"/>
      <c r="T97" s="4">
        <f>SUM(0)</f>
        <v>0</v>
      </c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10"/>
      <c r="B99" s="28" t="s">
        <v>3</v>
      </c>
      <c r="C99" s="28"/>
      <c r="D99" s="20">
        <f>+D22-D24+D97</f>
        <v>-11134.939999999988</v>
      </c>
      <c r="E99" s="14"/>
      <c r="F99" s="22">
        <f>IF(D$12=0,0,D99/D$12)</f>
        <v>-0.13108973060944618</v>
      </c>
      <c r="G99" s="14"/>
      <c r="H99" s="20">
        <f>+H22-H24+H97</f>
        <v>-16198.554492307696</v>
      </c>
      <c r="I99" s="14"/>
      <c r="J99" s="22">
        <f>IF(H$12=0,0,H99/H$12)</f>
        <v>-0.19754334746716704</v>
      </c>
      <c r="K99" s="16"/>
      <c r="L99" s="20">
        <f>+D99-H99</f>
        <v>5063.6144923077081</v>
      </c>
      <c r="M99" s="16"/>
      <c r="N99" s="22">
        <f>IF(H99=0,0,L99/H99)</f>
        <v>-0.31259668847070871</v>
      </c>
      <c r="O99" s="29"/>
      <c r="P99" s="20">
        <f>+P22-P24+P97</f>
        <v>-84654.320000000065</v>
      </c>
      <c r="Q99" s="14"/>
      <c r="R99" s="22">
        <f>IF(P$12=0,0,P99/P$12)</f>
        <v>-0.21335652033651414</v>
      </c>
      <c r="S99" s="14"/>
      <c r="T99" s="20">
        <f>+T22-T24+T97</f>
        <v>-59683.999368461547</v>
      </c>
      <c r="U99" s="14"/>
      <c r="V99" s="22">
        <f>IF(T$12=0,0,T99/T$12)</f>
        <v>-0.14449582222118762</v>
      </c>
      <c r="W99" s="16"/>
      <c r="X99" s="20">
        <f>+P99-T99</f>
        <v>-24970.320631538518</v>
      </c>
      <c r="Y99" s="16"/>
      <c r="Z99" s="22">
        <f>IF(T99=0,0,X99/T99)</f>
        <v>0.4183754590134493</v>
      </c>
    </row>
    <row r="100" spans="1:26" x14ac:dyDescent="0.25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52"/>
      <c r="B101" s="10" t="s">
        <v>14</v>
      </c>
      <c r="C101" s="10"/>
      <c r="D101" s="4">
        <v>10625.81</v>
      </c>
      <c r="E101" s="4"/>
      <c r="F101" s="12">
        <f>IF(D$12=0,0,D101/D$12)</f>
        <v>0.12509583081787246</v>
      </c>
      <c r="G101" s="4"/>
      <c r="H101" s="4">
        <v>12480</v>
      </c>
      <c r="I101" s="4"/>
      <c r="J101" s="12">
        <f>IF(H$12=0,0,H101/H$12)</f>
        <v>0.15219512195121951</v>
      </c>
      <c r="K101" s="4"/>
      <c r="L101" s="4">
        <f>+D101-H101</f>
        <v>-1854.1900000000005</v>
      </c>
      <c r="M101" s="4"/>
      <c r="N101" s="12">
        <f>IF(H101=0,0,L101/H101)</f>
        <v>-0.14857291666666672</v>
      </c>
      <c r="O101" s="10"/>
      <c r="P101" s="4">
        <v>42015.68</v>
      </c>
      <c r="Q101" s="4"/>
      <c r="R101" s="12">
        <f>IF(P$12=0,0,P101/P$12)</f>
        <v>0.10589322889100597</v>
      </c>
      <c r="S101" s="4"/>
      <c r="T101" s="4">
        <v>52346</v>
      </c>
      <c r="U101" s="4"/>
      <c r="V101" s="12">
        <f>IF(T$12=0,0,T101/T$12)</f>
        <v>0.12673042004599927</v>
      </c>
      <c r="W101" s="4"/>
      <c r="X101" s="4">
        <f>+P101-T101</f>
        <v>-10330.32</v>
      </c>
      <c r="Y101" s="4"/>
      <c r="Z101" s="12">
        <f>IF(T101=0,0,X101/T101)</f>
        <v>-0.19734688419363466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8" t="s">
        <v>4</v>
      </c>
      <c r="C103" s="28"/>
      <c r="D103" s="30">
        <f>+D99-D101</f>
        <v>-21760.749999999985</v>
      </c>
      <c r="E103" s="14"/>
      <c r="F103" s="32">
        <f>IF(D$12=0,0,D103/D$12)</f>
        <v>-0.25618556142731863</v>
      </c>
      <c r="G103" s="14"/>
      <c r="H103" s="30">
        <f>+H99-H101</f>
        <v>-28678.554492307696</v>
      </c>
      <c r="I103" s="14"/>
      <c r="J103" s="32">
        <f>IF(H$12=0,0,H103/H$12)</f>
        <v>-0.34973846941838654</v>
      </c>
      <c r="K103" s="16"/>
      <c r="L103" s="30">
        <f>D103-H103</f>
        <v>6917.8044923077105</v>
      </c>
      <c r="M103" s="16"/>
      <c r="N103" s="32">
        <f>IF(H103=0,0,L103/H103)</f>
        <v>-0.24121872998038441</v>
      </c>
      <c r="O103" s="29"/>
      <c r="P103" s="30">
        <f>+P99-P101</f>
        <v>-126670.00000000006</v>
      </c>
      <c r="Q103" s="14"/>
      <c r="R103" s="32">
        <f>IF(P$12=0,0,P103/P$12)</f>
        <v>-0.31924974922752009</v>
      </c>
      <c r="S103" s="14"/>
      <c r="T103" s="30">
        <f>+T99-T101</f>
        <v>-112029.99936846155</v>
      </c>
      <c r="U103" s="14"/>
      <c r="V103" s="32">
        <f>IF(T$12=0,0,T103/T$12)</f>
        <v>-0.27122624226718689</v>
      </c>
      <c r="W103" s="16"/>
      <c r="X103" s="30">
        <f>P103-T103</f>
        <v>-14640.000631538511</v>
      </c>
      <c r="Y103" s="16"/>
      <c r="Z103" s="32">
        <f>IF(T103=0,0,X103/T103)</f>
        <v>0.13067928870898426</v>
      </c>
    </row>
    <row r="104" spans="1:26" ht="15.75" thickTop="1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8" t="s">
        <v>5</v>
      </c>
      <c r="C106" s="28"/>
      <c r="D106" s="31">
        <f>SUM(D103:D105)</f>
        <v>-21760.749999999985</v>
      </c>
      <c r="E106" s="14"/>
      <c r="F106" s="35">
        <f>IF(D$12=0,0,D106/D$12)</f>
        <v>-0.25618556142731863</v>
      </c>
      <c r="G106" s="14"/>
      <c r="H106" s="31">
        <f>SUM(H103:H105)</f>
        <v>-28678.554492307696</v>
      </c>
      <c r="I106" s="14"/>
      <c r="J106" s="35">
        <f>IF(H$12=0,0,H106/H$12)</f>
        <v>-0.34973846941838654</v>
      </c>
      <c r="K106" s="16"/>
      <c r="L106" s="31">
        <f>+D106-H106</f>
        <v>6917.8044923077105</v>
      </c>
      <c r="M106" s="16"/>
      <c r="N106" s="35">
        <f>IF(H106=0,0,L106/H106)</f>
        <v>-0.24121872998038441</v>
      </c>
      <c r="O106" s="29"/>
      <c r="P106" s="31">
        <f>SUM(P103:P105)</f>
        <v>-126670.00000000006</v>
      </c>
      <c r="Q106" s="14"/>
      <c r="R106" s="35">
        <f>IF(P$12=0,0,P106/P$12)</f>
        <v>-0.31924974922752009</v>
      </c>
      <c r="S106" s="14"/>
      <c r="T106" s="31">
        <f>SUM(T103:T105)</f>
        <v>-112029.99936846155</v>
      </c>
      <c r="U106" s="14"/>
      <c r="V106" s="35">
        <f>IF(T$12=0,0,T106/T$12)</f>
        <v>-0.27122624226718689</v>
      </c>
      <c r="W106" s="16"/>
      <c r="X106" s="31">
        <f>+P106-T106</f>
        <v>-14640.000631538511</v>
      </c>
      <c r="Y106" s="16"/>
      <c r="Z106" s="35">
        <f>IF(T106=0,0,X106/T106)</f>
        <v>0.13067928870898426</v>
      </c>
    </row>
    <row r="107" spans="1:26" ht="15.75" thickTop="1" x14ac:dyDescent="0.25">
      <c r="A107" s="9"/>
      <c r="C107" s="9"/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A108" s="9"/>
      <c r="B108" s="56">
        <v>43815.484049039354</v>
      </c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A109" s="9"/>
      <c r="B109" s="62" t="s">
        <v>314</v>
      </c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A110" s="9"/>
      <c r="B110" s="58"/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","418", " - ", "Nugget")</f>
        <v>Department 418 - Nugget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138334.53</v>
      </c>
      <c r="E12" s="4"/>
      <c r="F12" s="12"/>
      <c r="G12" s="4"/>
      <c r="H12" s="4">
        <f>SUM(OSRRefH13x_0)</f>
        <v>127200</v>
      </c>
      <c r="I12" s="4"/>
      <c r="J12" s="12"/>
      <c r="K12" s="4"/>
      <c r="L12" s="4">
        <f t="shared" ref="L12:L16" si="0">+D12-H12</f>
        <v>11134.529999999999</v>
      </c>
      <c r="M12" s="4"/>
      <c r="N12" s="12">
        <f t="shared" ref="N12:N16" si="1">IF(H12=0,0,L12/H12)</f>
        <v>8.7535613207547158E-2</v>
      </c>
      <c r="O12" s="10"/>
      <c r="P12" s="4">
        <f>SUM(OSRRefP13x_0)</f>
        <v>656573.16</v>
      </c>
      <c r="Q12" s="4"/>
      <c r="R12" s="12"/>
      <c r="S12" s="4"/>
      <c r="T12" s="4">
        <f>SUM(OSRRefT13x_0)</f>
        <v>670800</v>
      </c>
      <c r="U12" s="4"/>
      <c r="V12" s="12"/>
      <c r="W12" s="4"/>
      <c r="X12" s="4">
        <f t="shared" ref="X12:X16" si="2">+P12-T12</f>
        <v>-14226.839999999967</v>
      </c>
      <c r="Y12" s="4"/>
      <c r="Z12" s="12">
        <f t="shared" ref="Z12:Z16" si="3">IF(T12=0,0,X12/T12)</f>
        <v>-2.1208765652951652E-2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49600</v>
      </c>
      <c r="I13" s="2"/>
      <c r="J13" s="19"/>
      <c r="K13" s="2"/>
      <c r="L13" s="2">
        <f t="shared" si="0"/>
        <v>-49600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263440</v>
      </c>
      <c r="U13" s="2"/>
      <c r="V13" s="19"/>
      <c r="W13" s="2"/>
      <c r="X13" s="2">
        <f t="shared" si="2"/>
        <v>-263440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--49116.37</f>
        <v>49116.37</v>
      </c>
      <c r="E14" s="2"/>
      <c r="F14" s="19"/>
      <c r="G14" s="2"/>
      <c r="H14" s="2"/>
      <c r="I14" s="2"/>
      <c r="J14" s="19"/>
      <c r="K14" s="2"/>
      <c r="L14" s="2">
        <f t="shared" si="0"/>
        <v>49116.37</v>
      </c>
      <c r="M14" s="2"/>
      <c r="N14" s="19">
        <f t="shared" si="1"/>
        <v>0</v>
      </c>
      <c r="O14" s="11"/>
      <c r="P14" s="2">
        <f>--235107.97</f>
        <v>235107.97</v>
      </c>
      <c r="Q14" s="2"/>
      <c r="R14" s="19"/>
      <c r="S14" s="2"/>
      <c r="T14" s="2"/>
      <c r="U14" s="2"/>
      <c r="V14" s="19"/>
      <c r="W14" s="2"/>
      <c r="X14" s="2">
        <f t="shared" si="2"/>
        <v>235107.97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77600</v>
      </c>
      <c r="I15" s="2"/>
      <c r="J15" s="19"/>
      <c r="K15" s="2"/>
      <c r="L15" s="2">
        <f t="shared" si="0"/>
        <v>-77600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407360</v>
      </c>
      <c r="U15" s="2"/>
      <c r="V15" s="19"/>
      <c r="W15" s="2"/>
      <c r="X15" s="2">
        <f t="shared" si="2"/>
        <v>-407360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"4155", " - ", "NON-TAXABLE SALES-FOOD")</f>
        <v xml:space="preserve">          4155 - NON-TAXABLE SALES-FOOD</v>
      </c>
      <c r="C16" s="11"/>
      <c r="D16" s="2">
        <f>--89218.16</f>
        <v>89218.16</v>
      </c>
      <c r="E16" s="2"/>
      <c r="F16" s="19"/>
      <c r="G16" s="2"/>
      <c r="H16" s="2"/>
      <c r="I16" s="2"/>
      <c r="J16" s="19"/>
      <c r="K16" s="2"/>
      <c r="L16" s="2">
        <f t="shared" si="0"/>
        <v>89218.16</v>
      </c>
      <c r="M16" s="2"/>
      <c r="N16" s="19">
        <f t="shared" si="1"/>
        <v>0</v>
      </c>
      <c r="O16" s="11"/>
      <c r="P16" s="2">
        <f>--421465.19</f>
        <v>421465.19</v>
      </c>
      <c r="Q16" s="2"/>
      <c r="R16" s="19"/>
      <c r="S16" s="2"/>
      <c r="T16" s="2"/>
      <c r="U16" s="2"/>
      <c r="V16" s="19"/>
      <c r="W16" s="2"/>
      <c r="X16" s="2">
        <f t="shared" si="2"/>
        <v>421465.19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48400.07</v>
      </c>
      <c r="E18" s="4"/>
      <c r="F18" s="12">
        <f t="shared" ref="F18:F21" si="4">IF(D$12=0,0,D18/D$12)</f>
        <v>0.34987699744958833</v>
      </c>
      <c r="G18" s="4"/>
      <c r="H18" s="4">
        <f>SUM(OSRRefH16x_0)</f>
        <v>38950</v>
      </c>
      <c r="I18" s="4"/>
      <c r="J18" s="12">
        <f t="shared" ref="J18:J21" si="5">IF(H$12=0,0,H18/H$12)</f>
        <v>0.30621069182389937</v>
      </c>
      <c r="K18" s="4"/>
      <c r="L18" s="4">
        <f t="shared" ref="L18:L21" si="6">+D18-H18</f>
        <v>9450.07</v>
      </c>
      <c r="M18" s="4"/>
      <c r="N18" s="12">
        <f t="shared" ref="N18:N21" si="7">IF(H18=0,0,L18/H18)</f>
        <v>0.24262053915275994</v>
      </c>
      <c r="O18" s="10"/>
      <c r="P18" s="4">
        <f>SUM(OSRRefP16x_0)</f>
        <v>216522.62</v>
      </c>
      <c r="Q18" s="4"/>
      <c r="R18" s="12">
        <f t="shared" ref="R18:R21" si="8">IF(P$12=0,0,P18/P$12)</f>
        <v>0.32977683705499017</v>
      </c>
      <c r="S18" s="4"/>
      <c r="T18" s="4">
        <f>SUM(OSRRefT16x_0)</f>
        <v>206814</v>
      </c>
      <c r="U18" s="4"/>
      <c r="V18" s="12">
        <f t="shared" ref="V18:V21" si="9">IF(T$12=0,0,T18/T$12)</f>
        <v>0.30830948121645796</v>
      </c>
      <c r="W18" s="4"/>
      <c r="X18" s="4">
        <f t="shared" ref="X18:X21" si="10">+P18-T18</f>
        <v>9708.6199999999953</v>
      </c>
      <c r="Y18" s="4"/>
      <c r="Z18" s="12">
        <f t="shared" ref="Z18:Z21" si="11">IF(T18=0,0,X18/T18)</f>
        <v>4.6943727213824962E-2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38950</v>
      </c>
      <c r="I19" s="2"/>
      <c r="J19" s="19">
        <f t="shared" si="5"/>
        <v>0.30621069182389937</v>
      </c>
      <c r="K19" s="2"/>
      <c r="L19" s="2">
        <f t="shared" si="6"/>
        <v>-38950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206814</v>
      </c>
      <c r="U19" s="2"/>
      <c r="V19" s="19">
        <f t="shared" si="9"/>
        <v>0.30830948121645796</v>
      </c>
      <c r="W19" s="2"/>
      <c r="X19" s="2">
        <f t="shared" si="10"/>
        <v>-206814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41430.07</v>
      </c>
      <c r="E20" s="2"/>
      <c r="F20" s="19">
        <f t="shared" si="4"/>
        <v>0.29949189114243568</v>
      </c>
      <c r="G20" s="2"/>
      <c r="H20" s="2"/>
      <c r="I20" s="2"/>
      <c r="J20" s="19">
        <f t="shared" si="5"/>
        <v>0</v>
      </c>
      <c r="K20" s="2"/>
      <c r="L20" s="2">
        <f t="shared" si="6"/>
        <v>41430.07</v>
      </c>
      <c r="M20" s="2"/>
      <c r="N20" s="19">
        <f t="shared" si="7"/>
        <v>0</v>
      </c>
      <c r="O20" s="11"/>
      <c r="P20" s="2">
        <v>221059.62</v>
      </c>
      <c r="Q20" s="2"/>
      <c r="R20" s="19">
        <f t="shared" si="8"/>
        <v>0.33668695808400084</v>
      </c>
      <c r="S20" s="2"/>
      <c r="T20" s="2"/>
      <c r="U20" s="2"/>
      <c r="V20" s="19">
        <f t="shared" si="9"/>
        <v>0</v>
      </c>
      <c r="W20" s="2"/>
      <c r="X20" s="2">
        <f t="shared" si="10"/>
        <v>221059.62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6970</v>
      </c>
      <c r="E21" s="2"/>
      <c r="F21" s="19">
        <f t="shared" si="4"/>
        <v>5.038510630715267E-2</v>
      </c>
      <c r="G21" s="2"/>
      <c r="H21" s="2"/>
      <c r="I21" s="2"/>
      <c r="J21" s="19">
        <f t="shared" si="5"/>
        <v>0</v>
      </c>
      <c r="K21" s="2"/>
      <c r="L21" s="2">
        <f t="shared" si="6"/>
        <v>6970</v>
      </c>
      <c r="M21" s="2"/>
      <c r="N21" s="19">
        <f t="shared" si="7"/>
        <v>0</v>
      </c>
      <c r="O21" s="11"/>
      <c r="P21" s="2">
        <v>-4537</v>
      </c>
      <c r="Q21" s="2"/>
      <c r="R21" s="19">
        <f t="shared" si="8"/>
        <v>-6.9101210290106888E-3</v>
      </c>
      <c r="S21" s="2"/>
      <c r="T21" s="2"/>
      <c r="U21" s="2"/>
      <c r="V21" s="19">
        <f t="shared" si="9"/>
        <v>0</v>
      </c>
      <c r="W21" s="2"/>
      <c r="X21" s="2">
        <f t="shared" si="10"/>
        <v>-4537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D12-D18</f>
        <v>89934.459999999992</v>
      </c>
      <c r="E23" s="14"/>
      <c r="F23" s="22">
        <f>IF(D$12=0,0,D23/D$12)</f>
        <v>0.65012300255041167</v>
      </c>
      <c r="G23" s="14"/>
      <c r="H23" s="20">
        <f>H12-H18</f>
        <v>88250</v>
      </c>
      <c r="I23" s="14"/>
      <c r="J23" s="22">
        <f>IF(H$12=0,0,H23/H$12)</f>
        <v>0.69378930817610063</v>
      </c>
      <c r="K23" s="16"/>
      <c r="L23" s="20">
        <f>+D23-H23</f>
        <v>1684.4599999999919</v>
      </c>
      <c r="M23" s="16"/>
      <c r="N23" s="22">
        <f>IF(H23=0,0,L23/H23)</f>
        <v>1.9087365439093392E-2</v>
      </c>
      <c r="O23" s="29"/>
      <c r="P23" s="20">
        <f>P12-P18</f>
        <v>440050.54000000004</v>
      </c>
      <c r="Q23" s="14"/>
      <c r="R23" s="22">
        <f>IF(P$12=0,0,P23/P$12)</f>
        <v>0.67022316294500983</v>
      </c>
      <c r="S23" s="14"/>
      <c r="T23" s="20">
        <f>T12-T18</f>
        <v>463986</v>
      </c>
      <c r="U23" s="14"/>
      <c r="V23" s="22">
        <f>IF(T$12=0,0,T23/T$12)</f>
        <v>0.69169051878354204</v>
      </c>
      <c r="W23" s="16"/>
      <c r="X23" s="20">
        <f>+P23-T23</f>
        <v>-23935.459999999963</v>
      </c>
      <c r="Y23" s="16"/>
      <c r="Z23" s="22">
        <f>IF(T23=0,0,X23/T23)</f>
        <v>-5.1586599595677372E-2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62506.18</v>
      </c>
      <c r="E25" s="21"/>
      <c r="F25" s="33">
        <f t="shared" ref="F25:F35" si="12">IF(D$12=0,0,D25/D$12)</f>
        <v>0.45184799485710475</v>
      </c>
      <c r="G25" s="21"/>
      <c r="H25" s="21">
        <f>SUM(OSRRefH22x_0)</f>
        <v>60860.399883584614</v>
      </c>
      <c r="I25" s="21"/>
      <c r="J25" s="33">
        <f t="shared" ref="J25:J35" si="13">IF(H$12=0,0,H25/H$12)</f>
        <v>0.4784622632357281</v>
      </c>
      <c r="K25" s="4"/>
      <c r="L25" s="21">
        <f t="shared" ref="L25:L35" si="14">+D25-H25</f>
        <v>1645.7801164153861</v>
      </c>
      <c r="M25" s="4"/>
      <c r="N25" s="33">
        <f t="shared" ref="N25:N35" si="15">IF(H25=0,0,L25/H25)</f>
        <v>2.7041887985676697E-2</v>
      </c>
      <c r="O25" s="10"/>
      <c r="P25" s="21">
        <f>SUM(OSRRefP22x_0)</f>
        <v>304107.54999999981</v>
      </c>
      <c r="Q25" s="21"/>
      <c r="R25" s="33">
        <f t="shared" ref="R25:R35" si="16">IF(P$12=0,0,P25/P$12)</f>
        <v>0.46317389824463706</v>
      </c>
      <c r="S25" s="21"/>
      <c r="T25" s="21">
        <f>SUM(OSRRefT22x_0)</f>
        <v>319188.3346963693</v>
      </c>
      <c r="U25" s="21"/>
      <c r="V25" s="33">
        <f t="shared" ref="V25:V35" si="17">IF(T$12=0,0,T25/T$12)</f>
        <v>0.47583234152708603</v>
      </c>
      <c r="W25" s="4"/>
      <c r="X25" s="21">
        <f t="shared" ref="X25:X35" si="18">+P25-T25</f>
        <v>-15080.78469636949</v>
      </c>
      <c r="Y25" s="4"/>
      <c r="Z25" s="33">
        <f t="shared" ref="Z25:Z35" si="19">IF(T25=0,0,X25/T25)</f>
        <v>-4.7247292764365019E-2</v>
      </c>
    </row>
    <row r="26" spans="1:26" s="26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11150.01</v>
      </c>
      <c r="E26" s="1"/>
      <c r="F26" s="5">
        <f t="shared" si="12"/>
        <v>8.0601784673718133E-2</v>
      </c>
      <c r="G26" s="1"/>
      <c r="H26" s="1">
        <f>SUM(OSRRefH22_0x_0)</f>
        <v>10065.406960507695</v>
      </c>
      <c r="I26" s="1"/>
      <c r="J26" s="5">
        <f t="shared" si="13"/>
        <v>7.9130557865626533E-2</v>
      </c>
      <c r="K26" s="1"/>
      <c r="L26" s="1">
        <f t="shared" si="14"/>
        <v>1084.6030394923055</v>
      </c>
      <c r="M26" s="1"/>
      <c r="N26" s="5">
        <f t="shared" si="15"/>
        <v>0.10775550792410271</v>
      </c>
      <c r="O26" s="13"/>
      <c r="P26" s="1">
        <f>SUM(OSRRefP22_0x_0)</f>
        <v>38712.910000000003</v>
      </c>
      <c r="Q26" s="1"/>
      <c r="R26" s="5">
        <f t="shared" si="16"/>
        <v>5.8962066009521315E-2</v>
      </c>
      <c r="S26" s="1"/>
      <c r="T26" s="1">
        <f>SUM(OSRRefT22_0x_0)</f>
        <v>51634.983619446146</v>
      </c>
      <c r="U26" s="1"/>
      <c r="V26" s="5">
        <f t="shared" si="17"/>
        <v>7.6975229009311488E-2</v>
      </c>
      <c r="W26" s="1"/>
      <c r="X26" s="1">
        <f t="shared" si="18"/>
        <v>-12922.073619446142</v>
      </c>
      <c r="Y26" s="1"/>
      <c r="Z26" s="5">
        <f t="shared" si="19"/>
        <v>-0.25025811404691889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1921.61</v>
      </c>
      <c r="E27" s="2"/>
      <c r="F27" s="7">
        <f t="shared" si="12"/>
        <v>1.3891036460672544E-2</v>
      </c>
      <c r="G27" s="2"/>
      <c r="H27" s="6">
        <v>956.09293989230798</v>
      </c>
      <c r="I27" s="2"/>
      <c r="J27" s="7">
        <f t="shared" si="13"/>
        <v>7.5164539299709746E-3</v>
      </c>
      <c r="K27" s="2"/>
      <c r="L27" s="6">
        <f t="shared" si="14"/>
        <v>965.51706010769192</v>
      </c>
      <c r="M27" s="2"/>
      <c r="N27" s="7">
        <f t="shared" si="15"/>
        <v>1.009856908070512</v>
      </c>
      <c r="O27" s="11"/>
      <c r="P27" s="6">
        <v>9276.0499999999993</v>
      </c>
      <c r="Q27" s="2"/>
      <c r="R27" s="7">
        <f t="shared" si="16"/>
        <v>1.4127976233448225E-2</v>
      </c>
      <c r="S27" s="2"/>
      <c r="T27" s="6">
        <v>5302.5809699076854</v>
      </c>
      <c r="U27" s="2"/>
      <c r="V27" s="7">
        <f t="shared" si="17"/>
        <v>7.9048613147103246E-3</v>
      </c>
      <c r="W27" s="2"/>
      <c r="X27" s="6">
        <f t="shared" si="18"/>
        <v>3973.4690300923139</v>
      </c>
      <c r="Y27" s="2"/>
      <c r="Z27" s="7">
        <f t="shared" si="19"/>
        <v>0.74934622453516053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1646.25</v>
      </c>
      <c r="E28" s="2"/>
      <c r="F28" s="7">
        <f t="shared" si="12"/>
        <v>1.1900499463149222E-2</v>
      </c>
      <c r="G28" s="2"/>
      <c r="H28" s="6">
        <v>1345.50825046154</v>
      </c>
      <c r="I28" s="2"/>
      <c r="J28" s="7">
        <f t="shared" si="13"/>
        <v>1.057789505079827E-2</v>
      </c>
      <c r="K28" s="2"/>
      <c r="L28" s="6">
        <f t="shared" si="14"/>
        <v>300.74174953846</v>
      </c>
      <c r="M28" s="2"/>
      <c r="N28" s="7">
        <f t="shared" si="15"/>
        <v>0.22351535149286431</v>
      </c>
      <c r="O28" s="11"/>
      <c r="P28" s="6">
        <v>4007.16</v>
      </c>
      <c r="Q28" s="2"/>
      <c r="R28" s="7">
        <f t="shared" si="16"/>
        <v>6.1031431744788343E-3</v>
      </c>
      <c r="S28" s="2"/>
      <c r="T28" s="6">
        <v>6716.8663575384617</v>
      </c>
      <c r="U28" s="2"/>
      <c r="V28" s="7">
        <f t="shared" si="17"/>
        <v>1.0013217587266639E-2</v>
      </c>
      <c r="W28" s="2"/>
      <c r="X28" s="6">
        <f t="shared" si="18"/>
        <v>-2709.7063575384618</v>
      </c>
      <c r="Y28" s="2"/>
      <c r="Z28" s="7">
        <f t="shared" si="19"/>
        <v>-0.40341823304215496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5096.34</v>
      </c>
      <c r="E29" s="2"/>
      <c r="F29" s="7">
        <f t="shared" si="12"/>
        <v>3.6840693354002071E-2</v>
      </c>
      <c r="G29" s="2"/>
      <c r="H29" s="6">
        <v>4909.18461538462</v>
      </c>
      <c r="I29" s="2"/>
      <c r="J29" s="7">
        <f t="shared" si="13"/>
        <v>3.8594218674407391E-2</v>
      </c>
      <c r="K29" s="2"/>
      <c r="L29" s="6">
        <f t="shared" si="14"/>
        <v>187.15538461538017</v>
      </c>
      <c r="M29" s="2"/>
      <c r="N29" s="7">
        <f t="shared" si="15"/>
        <v>3.8123517300381077E-2</v>
      </c>
      <c r="O29" s="11"/>
      <c r="P29" s="6">
        <v>15331.96</v>
      </c>
      <c r="Q29" s="2"/>
      <c r="R29" s="7">
        <f t="shared" si="16"/>
        <v>2.3351487593553166E-2</v>
      </c>
      <c r="S29" s="2"/>
      <c r="T29" s="6">
        <v>24637.169230769239</v>
      </c>
      <c r="U29" s="2"/>
      <c r="V29" s="7">
        <f t="shared" si="17"/>
        <v>3.6728039998165235E-2</v>
      </c>
      <c r="W29" s="2"/>
      <c r="X29" s="6">
        <f t="shared" si="18"/>
        <v>-9305.2092307692401</v>
      </c>
      <c r="Y29" s="2"/>
      <c r="Z29" s="7">
        <f t="shared" si="19"/>
        <v>-0.37768986946552324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110.32</v>
      </c>
      <c r="E30" s="2"/>
      <c r="F30" s="7">
        <f t="shared" si="12"/>
        <v>7.9748707715998309E-4</v>
      </c>
      <c r="G30" s="2"/>
      <c r="H30" s="6">
        <v>90.162924000000004</v>
      </c>
      <c r="I30" s="2"/>
      <c r="J30" s="7">
        <f t="shared" si="13"/>
        <v>7.0882801886792458E-4</v>
      </c>
      <c r="K30" s="2"/>
      <c r="L30" s="6">
        <f t="shared" si="14"/>
        <v>20.157075999999989</v>
      </c>
      <c r="M30" s="2"/>
      <c r="N30" s="7">
        <f t="shared" si="15"/>
        <v>0.2235628028212571</v>
      </c>
      <c r="O30" s="11"/>
      <c r="P30" s="6">
        <v>405.79</v>
      </c>
      <c r="Q30" s="2"/>
      <c r="R30" s="7">
        <f t="shared" si="16"/>
        <v>6.1804232143756836E-4</v>
      </c>
      <c r="S30" s="2"/>
      <c r="T30" s="6">
        <v>450.09929199999999</v>
      </c>
      <c r="U30" s="2"/>
      <c r="V30" s="7">
        <f t="shared" si="17"/>
        <v>6.7098880739415616E-4</v>
      </c>
      <c r="W30" s="2"/>
      <c r="X30" s="6">
        <f t="shared" si="18"/>
        <v>-44.309291999999971</v>
      </c>
      <c r="Y30" s="2"/>
      <c r="Z30" s="7">
        <f t="shared" si="19"/>
        <v>-9.8443371912702263E-2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617.47</v>
      </c>
      <c r="E31" s="2"/>
      <c r="F31" s="7">
        <f t="shared" si="12"/>
        <v>4.4635999413884589E-3</v>
      </c>
      <c r="G31" s="2"/>
      <c r="H31" s="6">
        <v>776.77846153846201</v>
      </c>
      <c r="I31" s="2"/>
      <c r="J31" s="7">
        <f t="shared" si="13"/>
        <v>6.1067489114658962E-3</v>
      </c>
      <c r="K31" s="2"/>
      <c r="L31" s="6">
        <f t="shared" si="14"/>
        <v>-159.30846153846198</v>
      </c>
      <c r="M31" s="2"/>
      <c r="N31" s="7">
        <f t="shared" si="15"/>
        <v>-0.20508866997025232</v>
      </c>
      <c r="O31" s="11"/>
      <c r="P31" s="6">
        <v>2284.08</v>
      </c>
      <c r="Q31" s="2"/>
      <c r="R31" s="7">
        <f t="shared" si="16"/>
        <v>3.4787897817815153E-3</v>
      </c>
      <c r="S31" s="2"/>
      <c r="T31" s="6">
        <v>4272.2815384615405</v>
      </c>
      <c r="U31" s="2"/>
      <c r="V31" s="7">
        <f t="shared" si="17"/>
        <v>6.3689349112426063E-3</v>
      </c>
      <c r="W31" s="2"/>
      <c r="X31" s="6">
        <f t="shared" si="18"/>
        <v>-1988.2015384615406</v>
      </c>
      <c r="Y31" s="2"/>
      <c r="Z31" s="7">
        <f t="shared" si="19"/>
        <v>-0.46537231232600301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>
        <v>629.32000000000005</v>
      </c>
      <c r="E33" s="2"/>
      <c r="F33" s="7">
        <f t="shared" si="12"/>
        <v>4.5492618509637471E-3</v>
      </c>
      <c r="G33" s="2"/>
      <c r="H33" s="6">
        <v>569.52738461538502</v>
      </c>
      <c r="I33" s="2"/>
      <c r="J33" s="7">
        <f t="shared" si="13"/>
        <v>4.4774165457184354E-3</v>
      </c>
      <c r="K33" s="2"/>
      <c r="L33" s="6">
        <f t="shared" si="14"/>
        <v>59.792615384615033</v>
      </c>
      <c r="M33" s="2"/>
      <c r="N33" s="7">
        <f t="shared" si="15"/>
        <v>0.10498637466746988</v>
      </c>
      <c r="O33" s="11"/>
      <c r="P33" s="6">
        <v>2791.59</v>
      </c>
      <c r="Q33" s="2"/>
      <c r="R33" s="7">
        <f t="shared" si="16"/>
        <v>4.2517577172968817E-3</v>
      </c>
      <c r="S33" s="2"/>
      <c r="T33" s="6">
        <v>3080.3806153846172</v>
      </c>
      <c r="U33" s="2"/>
      <c r="V33" s="7">
        <f t="shared" si="17"/>
        <v>4.5920999036741465E-3</v>
      </c>
      <c r="W33" s="2"/>
      <c r="X33" s="6">
        <f t="shared" si="18"/>
        <v>-288.79061538461701</v>
      </c>
      <c r="Y33" s="2"/>
      <c r="Z33" s="7">
        <f t="shared" si="19"/>
        <v>-9.3751601325590905E-2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>
        <v>665.96</v>
      </c>
      <c r="E34" s="2"/>
      <c r="F34" s="7">
        <f t="shared" si="12"/>
        <v>4.8141270295999133E-3</v>
      </c>
      <c r="G34" s="2"/>
      <c r="H34" s="6">
        <v>1268.15238461538</v>
      </c>
      <c r="I34" s="2"/>
      <c r="J34" s="7">
        <f t="shared" si="13"/>
        <v>9.9697514513787736E-3</v>
      </c>
      <c r="K34" s="2"/>
      <c r="L34" s="6">
        <f t="shared" si="14"/>
        <v>-602.19238461537998</v>
      </c>
      <c r="M34" s="2"/>
      <c r="N34" s="7">
        <f t="shared" si="15"/>
        <v>-0.47485806273827247</v>
      </c>
      <c r="O34" s="11"/>
      <c r="P34" s="6">
        <v>2833.94</v>
      </c>
      <c r="Q34" s="2"/>
      <c r="R34" s="7">
        <f t="shared" si="16"/>
        <v>4.3162592878453936E-3</v>
      </c>
      <c r="S34" s="2"/>
      <c r="T34" s="6">
        <v>6425.6056153846066</v>
      </c>
      <c r="U34" s="2"/>
      <c r="V34" s="7">
        <f t="shared" si="17"/>
        <v>9.5790185083252932E-3</v>
      </c>
      <c r="W34" s="2"/>
      <c r="X34" s="6">
        <f t="shared" si="18"/>
        <v>-3591.6656153846066</v>
      </c>
      <c r="Y34" s="2"/>
      <c r="Z34" s="7">
        <f t="shared" si="19"/>
        <v>-0.55896141630373408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6">
        <v>462.74</v>
      </c>
      <c r="E35" s="2"/>
      <c r="F35" s="7">
        <f t="shared" si="12"/>
        <v>3.3450794967821848E-3</v>
      </c>
      <c r="G35" s="2"/>
      <c r="H35" s="6">
        <v>150</v>
      </c>
      <c r="I35" s="2"/>
      <c r="J35" s="7">
        <f t="shared" si="13"/>
        <v>1.1792452830188679E-3</v>
      </c>
      <c r="K35" s="2"/>
      <c r="L35" s="6">
        <f t="shared" si="14"/>
        <v>312.74</v>
      </c>
      <c r="M35" s="2"/>
      <c r="N35" s="7">
        <f t="shared" si="15"/>
        <v>2.0849333333333333</v>
      </c>
      <c r="O35" s="11"/>
      <c r="P35" s="6">
        <v>1782.34</v>
      </c>
      <c r="Q35" s="2"/>
      <c r="R35" s="7">
        <f t="shared" si="16"/>
        <v>2.7146098996797246E-3</v>
      </c>
      <c r="S35" s="2"/>
      <c r="T35" s="6">
        <v>750</v>
      </c>
      <c r="U35" s="2"/>
      <c r="V35" s="7">
        <f t="shared" si="17"/>
        <v>1.1180679785330948E-3</v>
      </c>
      <c r="W35" s="2"/>
      <c r="X35" s="6">
        <f t="shared" si="18"/>
        <v>1032.3399999999999</v>
      </c>
      <c r="Y35" s="2"/>
      <c r="Z35" s="7">
        <f t="shared" si="19"/>
        <v>1.3764533333333333</v>
      </c>
    </row>
    <row r="36" spans="1:26" s="26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35430.97</v>
      </c>
      <c r="E36" s="1"/>
      <c r="F36" s="5">
        <f t="shared" ref="F36:F46" si="20">IF(D$12=0,0,D36/D$12)</f>
        <v>0.25612527833795368</v>
      </c>
      <c r="G36" s="1"/>
      <c r="H36" s="1">
        <f>SUM(OSRRefH22_1x_0)</f>
        <v>33538.992923076919</v>
      </c>
      <c r="I36" s="1"/>
      <c r="J36" s="5">
        <f t="shared" ref="J36:J46" si="21">IF(H$12=0,0,H36/H$12)</f>
        <v>0.26367132801161103</v>
      </c>
      <c r="K36" s="1"/>
      <c r="L36" s="1">
        <f t="shared" ref="L36:L46" si="22">+D36-H36</f>
        <v>1891.9770769230818</v>
      </c>
      <c r="M36" s="1"/>
      <c r="N36" s="5">
        <f t="shared" ref="N36:N46" si="23">IF(H36=0,0,L36/H36)</f>
        <v>5.6411266768278054E-2</v>
      </c>
      <c r="O36" s="13"/>
      <c r="P36" s="1">
        <f>SUM(OSRRefP22_1x_0)</f>
        <v>166712.15</v>
      </c>
      <c r="Q36" s="1"/>
      <c r="R36" s="5">
        <f t="shared" ref="R36:R46" si="24">IF(P$12=0,0,P36/P$12)</f>
        <v>0.25391252667105674</v>
      </c>
      <c r="S36" s="1"/>
      <c r="T36" s="1">
        <f>SUM(OSRRefT22_1x_0)</f>
        <v>166954.35107692317</v>
      </c>
      <c r="U36" s="1"/>
      <c r="V36" s="5">
        <f t="shared" ref="V36:V46" si="25">IF(T$12=0,0,T36/T$12)</f>
        <v>0.24888841842117349</v>
      </c>
      <c r="W36" s="1"/>
      <c r="X36" s="1">
        <f t="shared" ref="X36:X46" si="26">+P36-T36</f>
        <v>-242.20107692317106</v>
      </c>
      <c r="Y36" s="1"/>
      <c r="Z36" s="5">
        <f t="shared" ref="Z36:Z46" si="27">IF(T36=0,0,X36/T36)</f>
        <v>-1.4507023947616582E-3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6">
        <v>8840</v>
      </c>
      <c r="E38" s="2"/>
      <c r="F38" s="7">
        <f t="shared" si="20"/>
        <v>6.3903061657852159E-2</v>
      </c>
      <c r="G38" s="2"/>
      <c r="H38" s="6">
        <v>8129.0769230769192</v>
      </c>
      <c r="I38" s="2"/>
      <c r="J38" s="7">
        <f t="shared" si="21"/>
        <v>6.3907837445573268E-2</v>
      </c>
      <c r="K38" s="2"/>
      <c r="L38" s="6">
        <f t="shared" si="22"/>
        <v>710.92307692308077</v>
      </c>
      <c r="M38" s="2"/>
      <c r="N38" s="7">
        <f t="shared" si="23"/>
        <v>8.7454342436458429E-2</v>
      </c>
      <c r="O38" s="11"/>
      <c r="P38" s="6">
        <v>35968</v>
      </c>
      <c r="Q38" s="2"/>
      <c r="R38" s="7">
        <f t="shared" si="24"/>
        <v>5.4781404710481915E-2</v>
      </c>
      <c r="S38" s="2"/>
      <c r="T38" s="6">
        <v>44709.923076923165</v>
      </c>
      <c r="U38" s="2"/>
      <c r="V38" s="7">
        <f t="shared" si="25"/>
        <v>6.6651644419980866E-2</v>
      </c>
      <c r="W38" s="2"/>
      <c r="X38" s="6">
        <f t="shared" si="26"/>
        <v>-8741.9230769231654</v>
      </c>
      <c r="Y38" s="2"/>
      <c r="Z38" s="7">
        <f t="shared" si="27"/>
        <v>-0.19552534371134428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6">
        <v>5392.91</v>
      </c>
      <c r="E40" s="2"/>
      <c r="F40" s="7">
        <f t="shared" si="20"/>
        <v>3.8984554326385465E-2</v>
      </c>
      <c r="G40" s="2"/>
      <c r="H40" s="6">
        <v>3224.9160000000002</v>
      </c>
      <c r="I40" s="2"/>
      <c r="J40" s="7">
        <f t="shared" si="21"/>
        <v>2.535311320754717E-2</v>
      </c>
      <c r="K40" s="2"/>
      <c r="L40" s="6">
        <f t="shared" si="22"/>
        <v>2167.9939999999997</v>
      </c>
      <c r="M40" s="2"/>
      <c r="N40" s="7">
        <f t="shared" si="23"/>
        <v>0.67226371167497068</v>
      </c>
      <c r="O40" s="11"/>
      <c r="P40" s="6">
        <v>17013.990000000002</v>
      </c>
      <c r="Q40" s="2"/>
      <c r="R40" s="7">
        <f t="shared" si="24"/>
        <v>2.5913319393074185E-2</v>
      </c>
      <c r="S40" s="2"/>
      <c r="T40" s="6">
        <v>15881.928</v>
      </c>
      <c r="U40" s="2"/>
      <c r="V40" s="7">
        <f t="shared" si="25"/>
        <v>2.3676100178890876E-2</v>
      </c>
      <c r="W40" s="2"/>
      <c r="X40" s="6">
        <f t="shared" si="26"/>
        <v>1132.0620000000017</v>
      </c>
      <c r="Y40" s="2"/>
      <c r="Z40" s="7">
        <f t="shared" si="27"/>
        <v>7.1279884910698602E-2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6">
        <v>10106.99</v>
      </c>
      <c r="E41" s="2"/>
      <c r="F41" s="7">
        <f t="shared" si="20"/>
        <v>7.3061946283404441E-2</v>
      </c>
      <c r="G41" s="2"/>
      <c r="H41" s="6">
        <v>9510</v>
      </c>
      <c r="I41" s="2"/>
      <c r="J41" s="7">
        <f t="shared" si="21"/>
        <v>7.4764150943396224E-2</v>
      </c>
      <c r="K41" s="2"/>
      <c r="L41" s="6">
        <f t="shared" si="22"/>
        <v>596.98999999999978</v>
      </c>
      <c r="M41" s="2"/>
      <c r="N41" s="7">
        <f t="shared" si="23"/>
        <v>6.2774973711882204E-2</v>
      </c>
      <c r="O41" s="11"/>
      <c r="P41" s="6">
        <v>49771.839999999997</v>
      </c>
      <c r="Q41" s="2"/>
      <c r="R41" s="7">
        <f t="shared" si="24"/>
        <v>7.580547459478848E-2</v>
      </c>
      <c r="S41" s="2"/>
      <c r="T41" s="6">
        <v>45717.5</v>
      </c>
      <c r="U41" s="2"/>
      <c r="V41" s="7">
        <f t="shared" si="25"/>
        <v>6.815369707811568E-2</v>
      </c>
      <c r="W41" s="2"/>
      <c r="X41" s="6">
        <f t="shared" si="26"/>
        <v>4054.3399999999965</v>
      </c>
      <c r="Y41" s="2"/>
      <c r="Z41" s="7">
        <f t="shared" si="27"/>
        <v>8.8682452015092617E-2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6">
        <v>611</v>
      </c>
      <c r="E42" s="2"/>
      <c r="F42" s="7">
        <f t="shared" si="20"/>
        <v>4.4168292616456641E-3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611</v>
      </c>
      <c r="M42" s="2"/>
      <c r="N42" s="7">
        <f t="shared" si="23"/>
        <v>0</v>
      </c>
      <c r="O42" s="11"/>
      <c r="P42" s="6">
        <v>6646.26</v>
      </c>
      <c r="Q42" s="2"/>
      <c r="R42" s="7">
        <f t="shared" si="24"/>
        <v>1.0122649546015557E-2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6646.26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6">
        <v>10480.07</v>
      </c>
      <c r="E43" s="2"/>
      <c r="F43" s="7">
        <f t="shared" si="20"/>
        <v>7.5758886808665923E-2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10480.07</v>
      </c>
      <c r="M43" s="2"/>
      <c r="N43" s="7">
        <f t="shared" si="23"/>
        <v>0</v>
      </c>
      <c r="O43" s="11"/>
      <c r="P43" s="6">
        <v>55482.060000000005</v>
      </c>
      <c r="Q43" s="2"/>
      <c r="R43" s="7">
        <f t="shared" si="24"/>
        <v>8.4502479510432632E-2</v>
      </c>
      <c r="S43" s="2"/>
      <c r="T43" s="6">
        <v>2535</v>
      </c>
      <c r="U43" s="2"/>
      <c r="V43" s="7">
        <f t="shared" si="25"/>
        <v>3.7790697674418604E-3</v>
      </c>
      <c r="W43" s="2"/>
      <c r="X43" s="6">
        <f t="shared" si="26"/>
        <v>52947.060000000005</v>
      </c>
      <c r="Y43" s="2"/>
      <c r="Z43" s="7">
        <f t="shared" si="27"/>
        <v>20.886414201183435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12675</v>
      </c>
      <c r="I44" s="2"/>
      <c r="J44" s="7">
        <f t="shared" si="21"/>
        <v>9.9646226415094338E-2</v>
      </c>
      <c r="K44" s="2"/>
      <c r="L44" s="6">
        <f t="shared" si="22"/>
        <v>-12675</v>
      </c>
      <c r="M44" s="2"/>
      <c r="N44" s="7">
        <f t="shared" si="23"/>
        <v>-1</v>
      </c>
      <c r="O44" s="11"/>
      <c r="P44" s="6">
        <v>1830</v>
      </c>
      <c r="Q44" s="2"/>
      <c r="R44" s="7">
        <f t="shared" si="24"/>
        <v>2.7871989162639543E-3</v>
      </c>
      <c r="S44" s="2"/>
      <c r="T44" s="6">
        <v>58110</v>
      </c>
      <c r="U44" s="2"/>
      <c r="V44" s="7">
        <f t="shared" si="25"/>
        <v>8.662790697674419E-2</v>
      </c>
      <c r="W44" s="2"/>
      <c r="X44" s="6">
        <f t="shared" si="26"/>
        <v>-56280</v>
      </c>
      <c r="Y44" s="2"/>
      <c r="Z44" s="7">
        <f t="shared" si="27"/>
        <v>-0.96850800206504906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6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600.17999999999995</v>
      </c>
      <c r="E47" s="1"/>
      <c r="F47" s="5">
        <f t="shared" ref="F47:F56" si="28">IF(D$12=0,0,D47/D$12)</f>
        <v>4.3386130707929538E-3</v>
      </c>
      <c r="G47" s="1"/>
      <c r="H47" s="1">
        <f>SUM(OSRRefH22_2x_0)</f>
        <v>300</v>
      </c>
      <c r="I47" s="1"/>
      <c r="J47" s="5">
        <f t="shared" ref="J47:J56" si="29">IF(H$12=0,0,H47/H$12)</f>
        <v>2.3584905660377358E-3</v>
      </c>
      <c r="K47" s="1"/>
      <c r="L47" s="1">
        <f t="shared" ref="L47:L56" si="30">+D47-H47</f>
        <v>300.17999999999995</v>
      </c>
      <c r="M47" s="1"/>
      <c r="N47" s="5">
        <f t="shared" ref="N47:N56" si="31">IF(H47=0,0,L47/H47)</f>
        <v>1.0005999999999999</v>
      </c>
      <c r="O47" s="13"/>
      <c r="P47" s="1">
        <f>SUM(OSRRefP22_2x_0)</f>
        <v>3041.11</v>
      </c>
      <c r="Q47" s="1"/>
      <c r="R47" s="5">
        <f t="shared" ref="R47:R56" si="32">IF(P$12=0,0,P47/P$12)</f>
        <v>4.6317915279997131E-3</v>
      </c>
      <c r="S47" s="1"/>
      <c r="T47" s="1">
        <f>SUM(OSRRefT22_2x_0)</f>
        <v>4530</v>
      </c>
      <c r="U47" s="1"/>
      <c r="V47" s="5">
        <f t="shared" ref="V47:V56" si="33">IF(T$12=0,0,T47/T$12)</f>
        <v>6.7531305903398928E-3</v>
      </c>
      <c r="W47" s="1"/>
      <c r="X47" s="1">
        <f t="shared" ref="X47:X56" si="34">+P47-T47</f>
        <v>-1488.8899999999999</v>
      </c>
      <c r="Y47" s="1"/>
      <c r="Z47" s="5">
        <f t="shared" ref="Z47:Z56" si="35">IF(T47=0,0,X47/T47)</f>
        <v>-0.32867328918322292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6">
        <v>600.17999999999995</v>
      </c>
      <c r="E48" s="2"/>
      <c r="F48" s="7">
        <f t="shared" si="28"/>
        <v>4.3386130707929538E-3</v>
      </c>
      <c r="G48" s="2"/>
      <c r="H48" s="6">
        <v>300</v>
      </c>
      <c r="I48" s="2"/>
      <c r="J48" s="7">
        <f t="shared" si="29"/>
        <v>2.3584905660377358E-3</v>
      </c>
      <c r="K48" s="2"/>
      <c r="L48" s="6">
        <f t="shared" si="30"/>
        <v>300.17999999999995</v>
      </c>
      <c r="M48" s="2"/>
      <c r="N48" s="7">
        <f t="shared" si="31"/>
        <v>1.0005999999999999</v>
      </c>
      <c r="O48" s="11"/>
      <c r="P48" s="6">
        <v>3041.11</v>
      </c>
      <c r="Q48" s="2"/>
      <c r="R48" s="7">
        <f t="shared" si="32"/>
        <v>4.6317915279997131E-3</v>
      </c>
      <c r="S48" s="2"/>
      <c r="T48" s="6">
        <v>4530</v>
      </c>
      <c r="U48" s="2"/>
      <c r="V48" s="7">
        <f t="shared" si="33"/>
        <v>6.7531305903398928E-3</v>
      </c>
      <c r="W48" s="2"/>
      <c r="X48" s="6">
        <f t="shared" si="34"/>
        <v>-1488.8899999999999</v>
      </c>
      <c r="Y48" s="2"/>
      <c r="Z48" s="7">
        <f t="shared" si="35"/>
        <v>-0.32867328918322292</v>
      </c>
    </row>
    <row r="49" spans="1:26" s="26" customFormat="1" outlineLevel="1" collapsed="1" x14ac:dyDescent="0.25">
      <c r="A49" s="27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-2.54</v>
      </c>
      <c r="E49" s="1"/>
      <c r="F49" s="5">
        <f t="shared" si="28"/>
        <v>-1.8361286946939424E-5</v>
      </c>
      <c r="G49" s="1"/>
      <c r="H49" s="1">
        <f>SUM(OSRRefH22_3x_0)</f>
        <v>10</v>
      </c>
      <c r="I49" s="1"/>
      <c r="J49" s="5">
        <f t="shared" si="29"/>
        <v>7.8616352201257858E-5</v>
      </c>
      <c r="K49" s="1"/>
      <c r="L49" s="1">
        <f t="shared" si="30"/>
        <v>-12.54</v>
      </c>
      <c r="M49" s="1"/>
      <c r="N49" s="5">
        <f t="shared" si="31"/>
        <v>-1.254</v>
      </c>
      <c r="O49" s="13"/>
      <c r="P49" s="1">
        <f>SUM(OSRRefP22_3x_0)</f>
        <v>1.62</v>
      </c>
      <c r="Q49" s="1"/>
      <c r="R49" s="5">
        <f t="shared" si="32"/>
        <v>2.4673564176762877E-6</v>
      </c>
      <c r="S49" s="1"/>
      <c r="T49" s="1">
        <f>SUM(OSRRefT22_3x_0)</f>
        <v>50</v>
      </c>
      <c r="U49" s="1"/>
      <c r="V49" s="5">
        <f t="shared" si="33"/>
        <v>7.453786523553965E-5</v>
      </c>
      <c r="W49" s="1"/>
      <c r="X49" s="1">
        <f t="shared" si="34"/>
        <v>-48.38</v>
      </c>
      <c r="Y49" s="1"/>
      <c r="Z49" s="5">
        <f t="shared" si="35"/>
        <v>-0.96760000000000002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6">
        <v>-2.54</v>
      </c>
      <c r="E50" s="2"/>
      <c r="F50" s="7">
        <f t="shared" si="28"/>
        <v>-1.8361286946939424E-5</v>
      </c>
      <c r="G50" s="2"/>
      <c r="H50" s="6">
        <v>10</v>
      </c>
      <c r="I50" s="2"/>
      <c r="J50" s="7">
        <f t="shared" si="29"/>
        <v>7.8616352201257858E-5</v>
      </c>
      <c r="K50" s="2"/>
      <c r="L50" s="6">
        <f t="shared" si="30"/>
        <v>-12.54</v>
      </c>
      <c r="M50" s="2"/>
      <c r="N50" s="7">
        <f t="shared" si="31"/>
        <v>-1.254</v>
      </c>
      <c r="O50" s="11"/>
      <c r="P50" s="6">
        <v>1.62</v>
      </c>
      <c r="Q50" s="2"/>
      <c r="R50" s="7">
        <f t="shared" si="32"/>
        <v>2.4673564176762877E-6</v>
      </c>
      <c r="S50" s="2"/>
      <c r="T50" s="6">
        <v>50</v>
      </c>
      <c r="U50" s="2"/>
      <c r="V50" s="7">
        <f t="shared" si="33"/>
        <v>7.453786523553965E-5</v>
      </c>
      <c r="W50" s="2"/>
      <c r="X50" s="6">
        <f t="shared" si="34"/>
        <v>-48.38</v>
      </c>
      <c r="Y50" s="2"/>
      <c r="Z50" s="7">
        <f t="shared" si="35"/>
        <v>-0.96760000000000002</v>
      </c>
    </row>
    <row r="51" spans="1:26" s="26" customFormat="1" outlineLevel="1" collapsed="1" x14ac:dyDescent="0.25">
      <c r="A51" s="27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4616.08</v>
      </c>
      <c r="E51" s="1"/>
      <c r="F51" s="5">
        <f t="shared" si="28"/>
        <v>3.3368964350404776E-2</v>
      </c>
      <c r="G51" s="1"/>
      <c r="H51" s="1">
        <f>SUM(OSRRefH22_4x_0)</f>
        <v>4650</v>
      </c>
      <c r="I51" s="1"/>
      <c r="J51" s="5">
        <f t="shared" si="29"/>
        <v>3.6556603773584904E-2</v>
      </c>
      <c r="K51" s="1"/>
      <c r="L51" s="1">
        <f t="shared" si="30"/>
        <v>-33.920000000000073</v>
      </c>
      <c r="M51" s="1"/>
      <c r="N51" s="5">
        <f t="shared" si="31"/>
        <v>-7.2946236559139942E-3</v>
      </c>
      <c r="O51" s="13"/>
      <c r="P51" s="1">
        <f>SUM(OSRRefP22_4x_0)</f>
        <v>23499.670000000002</v>
      </c>
      <c r="Q51" s="1"/>
      <c r="R51" s="5">
        <f t="shared" si="32"/>
        <v>3.5791396041836378E-2</v>
      </c>
      <c r="S51" s="1"/>
      <c r="T51" s="1">
        <f>SUM(OSRRefT22_4x_0)</f>
        <v>24700</v>
      </c>
      <c r="U51" s="1"/>
      <c r="V51" s="5">
        <f t="shared" si="33"/>
        <v>3.6821705426356592E-2</v>
      </c>
      <c r="W51" s="1"/>
      <c r="X51" s="1">
        <f t="shared" si="34"/>
        <v>-1200.3299999999981</v>
      </c>
      <c r="Y51" s="1"/>
      <c r="Z51" s="5">
        <f t="shared" si="35"/>
        <v>-4.8596356275303565E-2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6">
        <v>4616.08</v>
      </c>
      <c r="E52" s="2"/>
      <c r="F52" s="7">
        <f t="shared" si="28"/>
        <v>3.3368964350404776E-2</v>
      </c>
      <c r="G52" s="2"/>
      <c r="H52" s="6">
        <v>4650</v>
      </c>
      <c r="I52" s="2"/>
      <c r="J52" s="7">
        <f t="shared" si="29"/>
        <v>3.6556603773584904E-2</v>
      </c>
      <c r="K52" s="2"/>
      <c r="L52" s="6">
        <f t="shared" si="30"/>
        <v>-33.920000000000073</v>
      </c>
      <c r="M52" s="2"/>
      <c r="N52" s="7">
        <f t="shared" si="31"/>
        <v>-7.2946236559139942E-3</v>
      </c>
      <c r="O52" s="11"/>
      <c r="P52" s="6">
        <v>23499.670000000002</v>
      </c>
      <c r="Q52" s="2"/>
      <c r="R52" s="7">
        <f t="shared" si="32"/>
        <v>3.5791396041836378E-2</v>
      </c>
      <c r="S52" s="2"/>
      <c r="T52" s="6">
        <v>24700</v>
      </c>
      <c r="U52" s="2"/>
      <c r="V52" s="7">
        <f t="shared" si="33"/>
        <v>3.6821705426356592E-2</v>
      </c>
      <c r="W52" s="2"/>
      <c r="X52" s="6">
        <f t="shared" si="34"/>
        <v>-1200.3299999999981</v>
      </c>
      <c r="Y52" s="2"/>
      <c r="Z52" s="7">
        <f t="shared" si="35"/>
        <v>-4.8596356275303565E-2</v>
      </c>
    </row>
    <row r="53" spans="1:26" s="26" customFormat="1" outlineLevel="1" collapsed="1" x14ac:dyDescent="0.25">
      <c r="A53" s="27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8263.4700000000012</v>
      </c>
      <c r="E53" s="1"/>
      <c r="F53" s="5">
        <f t="shared" si="28"/>
        <v>5.9735410963553358E-2</v>
      </c>
      <c r="G53" s="1"/>
      <c r="H53" s="1">
        <f>SUM(OSRRefH22_5x_0)</f>
        <v>8780</v>
      </c>
      <c r="I53" s="1"/>
      <c r="J53" s="5">
        <f t="shared" si="29"/>
        <v>6.9025157232704401E-2</v>
      </c>
      <c r="K53" s="1"/>
      <c r="L53" s="1">
        <f t="shared" si="30"/>
        <v>-516.52999999999884</v>
      </c>
      <c r="M53" s="1"/>
      <c r="N53" s="5">
        <f t="shared" si="31"/>
        <v>-5.8830296127562506E-2</v>
      </c>
      <c r="O53" s="13"/>
      <c r="P53" s="1">
        <f>SUM(OSRRefP22_5x_0)</f>
        <v>41317.35</v>
      </c>
      <c r="Q53" s="1"/>
      <c r="R53" s="5">
        <f t="shared" si="32"/>
        <v>6.2928783138195901E-2</v>
      </c>
      <c r="S53" s="1"/>
      <c r="T53" s="1">
        <f>SUM(OSRRefT22_5x_0)</f>
        <v>43432</v>
      </c>
      <c r="U53" s="1"/>
      <c r="V53" s="5">
        <f t="shared" si="33"/>
        <v>6.4746571258199159E-2</v>
      </c>
      <c r="W53" s="1"/>
      <c r="X53" s="1">
        <f t="shared" si="34"/>
        <v>-2114.6500000000015</v>
      </c>
      <c r="Y53" s="1"/>
      <c r="Z53" s="5">
        <f t="shared" si="35"/>
        <v>-4.8688754835144628E-2</v>
      </c>
    </row>
    <row r="54" spans="1:26" s="24" customFormat="1" hidden="1" outlineLevel="2" x14ac:dyDescent="0.25">
      <c r="A54" s="25"/>
      <c r="B54" s="11" t="str">
        <f>CONCATENATE("          ", "6321", " - ", "BUILDING DEPRECIATION")</f>
        <v xml:space="preserve">          6321 - BUILDING DEPRECIATION</v>
      </c>
      <c r="C54" s="11"/>
      <c r="D54" s="6">
        <v>6537.05</v>
      </c>
      <c r="E54" s="2"/>
      <c r="F54" s="7">
        <f t="shared" si="28"/>
        <v>4.7255374345074944E-2</v>
      </c>
      <c r="G54" s="2"/>
      <c r="H54" s="6">
        <v>6537</v>
      </c>
      <c r="I54" s="2"/>
      <c r="J54" s="7">
        <f t="shared" si="29"/>
        <v>5.1391509433962264E-2</v>
      </c>
      <c r="K54" s="2"/>
      <c r="L54" s="6">
        <f t="shared" si="30"/>
        <v>5.0000000000181899E-2</v>
      </c>
      <c r="M54" s="2"/>
      <c r="N54" s="7">
        <f t="shared" si="31"/>
        <v>7.6487685482915549E-6</v>
      </c>
      <c r="O54" s="11"/>
      <c r="P54" s="6">
        <v>32685.25</v>
      </c>
      <c r="Q54" s="2"/>
      <c r="R54" s="7">
        <f t="shared" si="32"/>
        <v>4.9781581080773997E-2</v>
      </c>
      <c r="S54" s="2"/>
      <c r="T54" s="6">
        <v>32685</v>
      </c>
      <c r="U54" s="2"/>
      <c r="V54" s="7">
        <f t="shared" si="33"/>
        <v>4.8725402504472271E-2</v>
      </c>
      <c r="W54" s="2"/>
      <c r="X54" s="6">
        <f t="shared" si="34"/>
        <v>0.25</v>
      </c>
      <c r="Y54" s="2"/>
      <c r="Z54" s="7">
        <f t="shared" si="35"/>
        <v>7.6487685482637298E-6</v>
      </c>
    </row>
    <row r="55" spans="1:26" s="24" customFormat="1" hidden="1" outlineLevel="2" x14ac:dyDescent="0.25">
      <c r="A55" s="25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1726.42</v>
      </c>
      <c r="E55" s="2"/>
      <c r="F55" s="7">
        <f t="shared" si="28"/>
        <v>1.2480036618478409E-2</v>
      </c>
      <c r="G55" s="2"/>
      <c r="H55" s="6">
        <v>1726</v>
      </c>
      <c r="I55" s="2"/>
      <c r="J55" s="7">
        <f t="shared" si="29"/>
        <v>1.3569182389937108E-2</v>
      </c>
      <c r="K55" s="2"/>
      <c r="L55" s="6">
        <f t="shared" si="30"/>
        <v>0.42000000000007276</v>
      </c>
      <c r="M55" s="2"/>
      <c r="N55" s="7">
        <f t="shared" si="31"/>
        <v>2.4333719582854738E-4</v>
      </c>
      <c r="O55" s="11"/>
      <c r="P55" s="6">
        <v>8632.1</v>
      </c>
      <c r="Q55" s="2"/>
      <c r="R55" s="7">
        <f t="shared" si="32"/>
        <v>1.3147202057421902E-2</v>
      </c>
      <c r="S55" s="2"/>
      <c r="T55" s="6">
        <v>8630</v>
      </c>
      <c r="U55" s="2"/>
      <c r="V55" s="7">
        <f t="shared" si="33"/>
        <v>1.2865235539654143E-2</v>
      </c>
      <c r="W55" s="2"/>
      <c r="X55" s="6">
        <f t="shared" si="34"/>
        <v>2.1000000000003638</v>
      </c>
      <c r="Y55" s="2"/>
      <c r="Z55" s="7">
        <f t="shared" si="35"/>
        <v>2.4333719582854738E-4</v>
      </c>
    </row>
    <row r="56" spans="1:26" s="24" customFormat="1" hidden="1" outlineLevel="2" x14ac:dyDescent="0.25">
      <c r="A56" s="25"/>
      <c r="B56" s="11" t="str">
        <f>CONCATENATE("          ", "6324", " - ", "FURNITURE + FIXT DEPRECIATION")</f>
        <v xml:space="preserve">          6324 - FURNITURE + FIXT DEPRECIATION</v>
      </c>
      <c r="C56" s="11"/>
      <c r="D56" s="6"/>
      <c r="E56" s="2"/>
      <c r="F56" s="7">
        <f t="shared" si="28"/>
        <v>0</v>
      </c>
      <c r="G56" s="2"/>
      <c r="H56" s="6">
        <v>517</v>
      </c>
      <c r="I56" s="2"/>
      <c r="J56" s="7">
        <f t="shared" si="29"/>
        <v>4.0644654088050312E-3</v>
      </c>
      <c r="K56" s="2"/>
      <c r="L56" s="6">
        <f t="shared" si="30"/>
        <v>-517</v>
      </c>
      <c r="M56" s="2"/>
      <c r="N56" s="7">
        <f t="shared" si="31"/>
        <v>-1</v>
      </c>
      <c r="O56" s="11"/>
      <c r="P56" s="6"/>
      <c r="Q56" s="2"/>
      <c r="R56" s="7">
        <f t="shared" si="32"/>
        <v>0</v>
      </c>
      <c r="S56" s="2"/>
      <c r="T56" s="6">
        <v>2117</v>
      </c>
      <c r="U56" s="2"/>
      <c r="V56" s="7">
        <f t="shared" si="33"/>
        <v>3.1559332140727488E-3</v>
      </c>
      <c r="W56" s="2"/>
      <c r="X56" s="6">
        <f t="shared" si="34"/>
        <v>-2117</v>
      </c>
      <c r="Y56" s="2"/>
      <c r="Z56" s="7">
        <f t="shared" si="35"/>
        <v>-1</v>
      </c>
    </row>
    <row r="57" spans="1:26" s="26" customFormat="1" outlineLevel="1" collapsed="1" x14ac:dyDescent="0.25">
      <c r="A57" s="27"/>
      <c r="B57" s="13" t="str">
        <f>CONCATENATE("     ","Employees' Appreciation                           ")</f>
        <v xml:space="preserve">     Employees' Appreciation                           </v>
      </c>
      <c r="C57" s="13"/>
      <c r="D57" s="1">
        <f>SUM(OSRRefD22_6x_0)</f>
        <v>0</v>
      </c>
      <c r="E57" s="1"/>
      <c r="F57" s="5">
        <f t="shared" ref="F57:F63" si="36">IF(D$12=0,0,D57/D$12)</f>
        <v>0</v>
      </c>
      <c r="G57" s="1"/>
      <c r="H57" s="1">
        <f>SUM(OSRRefH22_6x_0)</f>
        <v>200</v>
      </c>
      <c r="I57" s="1"/>
      <c r="J57" s="5">
        <f t="shared" ref="J57:J63" si="37">IF(H$12=0,0,H57/H$12)</f>
        <v>1.5723270440251573E-3</v>
      </c>
      <c r="K57" s="1"/>
      <c r="L57" s="1">
        <f t="shared" ref="L57:L63" si="38">+D57-H57</f>
        <v>-200</v>
      </c>
      <c r="M57" s="1"/>
      <c r="N57" s="5">
        <f t="shared" ref="N57:N63" si="39">IF(H57=0,0,L57/H57)</f>
        <v>-1</v>
      </c>
      <c r="O57" s="13"/>
      <c r="P57" s="1">
        <f>SUM(OSRRefP22_6x_0)</f>
        <v>8.25</v>
      </c>
      <c r="Q57" s="1"/>
      <c r="R57" s="5">
        <f t="shared" ref="R57:R63" si="40">IF(P$12=0,0,P57/P$12)</f>
        <v>1.2565241015944057E-5</v>
      </c>
      <c r="S57" s="1"/>
      <c r="T57" s="1">
        <f>SUM(OSRRefT22_6x_0)</f>
        <v>475</v>
      </c>
      <c r="U57" s="1"/>
      <c r="V57" s="5">
        <f t="shared" ref="V57:V63" si="41">IF(T$12=0,0,T57/T$12)</f>
        <v>7.0810971973762676E-4</v>
      </c>
      <c r="W57" s="1"/>
      <c r="X57" s="1">
        <f t="shared" ref="X57:X63" si="42">+P57-T57</f>
        <v>-466.75</v>
      </c>
      <c r="Y57" s="1"/>
      <c r="Z57" s="5">
        <f t="shared" ref="Z57:Z63" si="43">IF(T57=0,0,X57/T57)</f>
        <v>-0.98263157894736841</v>
      </c>
    </row>
    <row r="58" spans="1:26" s="24" customFormat="1" hidden="1" outlineLevel="2" x14ac:dyDescent="0.25">
      <c r="A58" s="25"/>
      <c r="B58" s="11" t="str">
        <f>CONCATENATE("          ", "6277", " - ", "EMPLOYEE APPRECIATION")</f>
        <v xml:space="preserve">          6277 - EMPLOYEE APPRECIATION</v>
      </c>
      <c r="C58" s="11"/>
      <c r="D58" s="6"/>
      <c r="E58" s="2"/>
      <c r="F58" s="7">
        <f t="shared" si="36"/>
        <v>0</v>
      </c>
      <c r="G58" s="2"/>
      <c r="H58" s="6">
        <v>200</v>
      </c>
      <c r="I58" s="2"/>
      <c r="J58" s="7">
        <f t="shared" si="37"/>
        <v>1.5723270440251573E-3</v>
      </c>
      <c r="K58" s="2"/>
      <c r="L58" s="6">
        <f t="shared" si="38"/>
        <v>-200</v>
      </c>
      <c r="M58" s="2"/>
      <c r="N58" s="7">
        <f t="shared" si="39"/>
        <v>-1</v>
      </c>
      <c r="O58" s="11"/>
      <c r="P58" s="6">
        <v>8.25</v>
      </c>
      <c r="Q58" s="2"/>
      <c r="R58" s="7">
        <f t="shared" si="40"/>
        <v>1.2565241015944057E-5</v>
      </c>
      <c r="S58" s="2"/>
      <c r="T58" s="6">
        <v>475</v>
      </c>
      <c r="U58" s="2"/>
      <c r="V58" s="7">
        <f t="shared" si="41"/>
        <v>7.0810971973762676E-4</v>
      </c>
      <c r="W58" s="2"/>
      <c r="X58" s="6">
        <f t="shared" si="42"/>
        <v>-466.75</v>
      </c>
      <c r="Y58" s="2"/>
      <c r="Z58" s="7">
        <f t="shared" si="43"/>
        <v>-0.98263157894736841</v>
      </c>
    </row>
    <row r="59" spans="1:26" s="26" customFormat="1" outlineLevel="1" collapsed="1" x14ac:dyDescent="0.25">
      <c r="A59" s="27"/>
      <c r="B59" s="13" t="str">
        <f>CONCATENATE("     ","Equipment Rental                                  ")</f>
        <v xml:space="preserve">     Equipment Rental                                  </v>
      </c>
      <c r="C59" s="13"/>
      <c r="D59" s="1">
        <f>SUM(OSRRefD22_7x_0)</f>
        <v>251.44</v>
      </c>
      <c r="E59" s="1"/>
      <c r="F59" s="5">
        <f t="shared" si="36"/>
        <v>1.8176228306844284E-3</v>
      </c>
      <c r="G59" s="1"/>
      <c r="H59" s="1">
        <f>SUM(OSRRefH22_7x_0)</f>
        <v>51</v>
      </c>
      <c r="I59" s="1"/>
      <c r="J59" s="5">
        <f t="shared" si="37"/>
        <v>4.0094339622641508E-4</v>
      </c>
      <c r="K59" s="1"/>
      <c r="L59" s="1">
        <f t="shared" si="38"/>
        <v>200.44</v>
      </c>
      <c r="M59" s="1"/>
      <c r="N59" s="5">
        <f t="shared" si="39"/>
        <v>3.9301960784313725</v>
      </c>
      <c r="O59" s="13"/>
      <c r="P59" s="1">
        <f>SUM(OSRRefP22_7x_0)</f>
        <v>2212.6799999999998</v>
      </c>
      <c r="Q59" s="1"/>
      <c r="R59" s="5">
        <f t="shared" si="40"/>
        <v>3.3700433322617082E-3</v>
      </c>
      <c r="S59" s="1"/>
      <c r="T59" s="1">
        <f>SUM(OSRRefT22_7x_0)</f>
        <v>381</v>
      </c>
      <c r="U59" s="1"/>
      <c r="V59" s="5">
        <f t="shared" si="41"/>
        <v>5.6797853309481213E-4</v>
      </c>
      <c r="W59" s="1"/>
      <c r="X59" s="1">
        <f t="shared" si="42"/>
        <v>1831.6799999999998</v>
      </c>
      <c r="Y59" s="1"/>
      <c r="Z59" s="5">
        <f t="shared" si="43"/>
        <v>4.8075590551181095</v>
      </c>
    </row>
    <row r="60" spans="1:26" s="24" customFormat="1" hidden="1" outlineLevel="2" x14ac:dyDescent="0.25">
      <c r="A60" s="25"/>
      <c r="B60" s="11" t="str">
        <f>CONCATENATE("          ", "6351", " - ", "EQUIPMENT RENTAL")</f>
        <v xml:space="preserve">          6351 - EQUIPMENT RENTAL</v>
      </c>
      <c r="C60" s="11"/>
      <c r="D60" s="6">
        <v>251.44</v>
      </c>
      <c r="E60" s="2"/>
      <c r="F60" s="7">
        <f t="shared" si="36"/>
        <v>1.8176228306844284E-3</v>
      </c>
      <c r="G60" s="2"/>
      <c r="H60" s="6">
        <v>51</v>
      </c>
      <c r="I60" s="2"/>
      <c r="J60" s="7">
        <f t="shared" si="37"/>
        <v>4.0094339622641508E-4</v>
      </c>
      <c r="K60" s="2"/>
      <c r="L60" s="6">
        <f t="shared" si="38"/>
        <v>200.44</v>
      </c>
      <c r="M60" s="2"/>
      <c r="N60" s="7">
        <f t="shared" si="39"/>
        <v>3.9301960784313725</v>
      </c>
      <c r="O60" s="11"/>
      <c r="P60" s="6">
        <v>2212.6799999999998</v>
      </c>
      <c r="Q60" s="2"/>
      <c r="R60" s="7">
        <f t="shared" si="40"/>
        <v>3.3700433322617082E-3</v>
      </c>
      <c r="S60" s="2"/>
      <c r="T60" s="6">
        <v>381</v>
      </c>
      <c r="U60" s="2"/>
      <c r="V60" s="7">
        <f t="shared" si="41"/>
        <v>5.6797853309481213E-4</v>
      </c>
      <c r="W60" s="2"/>
      <c r="X60" s="6">
        <f t="shared" si="42"/>
        <v>1831.6799999999998</v>
      </c>
      <c r="Y60" s="2"/>
      <c r="Z60" s="7">
        <f t="shared" si="43"/>
        <v>4.8075590551181095</v>
      </c>
    </row>
    <row r="61" spans="1:26" s="26" customFormat="1" outlineLevel="1" collapsed="1" x14ac:dyDescent="0.25">
      <c r="A61" s="27"/>
      <c r="B61" s="13" t="str">
        <f>CONCATENATE("     ","General                                           ")</f>
        <v xml:space="preserve">     General                                           </v>
      </c>
      <c r="C61" s="13"/>
      <c r="D61" s="1">
        <f>SUM(OSRRefD22_8x_0)</f>
        <v>651.57000000000005</v>
      </c>
      <c r="E61" s="1"/>
      <c r="F61" s="5">
        <f t="shared" si="36"/>
        <v>4.7101038330776852E-3</v>
      </c>
      <c r="G61" s="1"/>
      <c r="H61" s="1">
        <f>SUM(OSRRefH22_8x_0)</f>
        <v>600</v>
      </c>
      <c r="I61" s="1"/>
      <c r="J61" s="5">
        <f t="shared" si="37"/>
        <v>4.7169811320754715E-3</v>
      </c>
      <c r="K61" s="1"/>
      <c r="L61" s="1">
        <f t="shared" si="38"/>
        <v>51.57000000000005</v>
      </c>
      <c r="M61" s="1"/>
      <c r="N61" s="5">
        <f t="shared" si="39"/>
        <v>8.5950000000000082E-2</v>
      </c>
      <c r="O61" s="13"/>
      <c r="P61" s="1">
        <f>SUM(OSRRefP22_8x_0)</f>
        <v>7411.62</v>
      </c>
      <c r="Q61" s="1"/>
      <c r="R61" s="5">
        <f t="shared" si="40"/>
        <v>1.1288338378011065E-2</v>
      </c>
      <c r="S61" s="1"/>
      <c r="T61" s="1">
        <f>SUM(OSRRefT22_8x_0)</f>
        <v>3750</v>
      </c>
      <c r="U61" s="1"/>
      <c r="V61" s="5">
        <f t="shared" si="41"/>
        <v>5.5903398926654743E-3</v>
      </c>
      <c r="W61" s="1"/>
      <c r="X61" s="1">
        <f t="shared" si="42"/>
        <v>3661.62</v>
      </c>
      <c r="Y61" s="1"/>
      <c r="Z61" s="5">
        <f t="shared" si="43"/>
        <v>0.97643199999999997</v>
      </c>
    </row>
    <row r="62" spans="1:26" s="24" customFormat="1" hidden="1" outlineLevel="2" x14ac:dyDescent="0.25">
      <c r="A62" s="25"/>
      <c r="B62" s="11" t="str">
        <f>CONCATENATE("          ", "6269", " - ", "ENTERTAINMENT")</f>
        <v xml:space="preserve">          6269 - ENTERTAINMENT</v>
      </c>
      <c r="C62" s="11"/>
      <c r="D62" s="6">
        <v>600</v>
      </c>
      <c r="E62" s="2"/>
      <c r="F62" s="7">
        <f t="shared" si="36"/>
        <v>4.3373118772297853E-3</v>
      </c>
      <c r="G62" s="2"/>
      <c r="H62" s="6">
        <v>600</v>
      </c>
      <c r="I62" s="2"/>
      <c r="J62" s="7">
        <f t="shared" si="37"/>
        <v>4.7169811320754715E-3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>
        <v>6100</v>
      </c>
      <c r="Q62" s="2"/>
      <c r="R62" s="7">
        <f t="shared" si="40"/>
        <v>9.2906630542131819E-3</v>
      </c>
      <c r="S62" s="2"/>
      <c r="T62" s="6">
        <v>3750</v>
      </c>
      <c r="U62" s="2"/>
      <c r="V62" s="7">
        <f t="shared" si="41"/>
        <v>5.5903398926654743E-3</v>
      </c>
      <c r="W62" s="2"/>
      <c r="X62" s="6">
        <f t="shared" si="42"/>
        <v>2350</v>
      </c>
      <c r="Y62" s="2"/>
      <c r="Z62" s="7">
        <f t="shared" si="43"/>
        <v>0.62666666666666671</v>
      </c>
    </row>
    <row r="63" spans="1:26" s="24" customFormat="1" hidden="1" outlineLevel="2" x14ac:dyDescent="0.25">
      <c r="A63" s="25"/>
      <c r="B63" s="11" t="str">
        <f>CONCATENATE("          ", "6279", " - ", "GENERAL EXPENSE")</f>
        <v xml:space="preserve">          6279 - GENERAL EXPENSE</v>
      </c>
      <c r="C63" s="11"/>
      <c r="D63" s="6">
        <v>51.57</v>
      </c>
      <c r="E63" s="2"/>
      <c r="F63" s="7">
        <f t="shared" si="36"/>
        <v>3.7279195584790005E-4</v>
      </c>
      <c r="G63" s="2"/>
      <c r="H63" s="6"/>
      <c r="I63" s="2"/>
      <c r="J63" s="7">
        <f t="shared" si="37"/>
        <v>0</v>
      </c>
      <c r="K63" s="2"/>
      <c r="L63" s="6">
        <f t="shared" si="38"/>
        <v>51.57</v>
      </c>
      <c r="M63" s="2"/>
      <c r="N63" s="7">
        <f t="shared" si="39"/>
        <v>0</v>
      </c>
      <c r="O63" s="11"/>
      <c r="P63" s="6">
        <v>1311.62</v>
      </c>
      <c r="Q63" s="2"/>
      <c r="R63" s="7">
        <f t="shared" si="40"/>
        <v>1.9976753237978839E-3</v>
      </c>
      <c r="S63" s="2"/>
      <c r="T63" s="6"/>
      <c r="U63" s="2"/>
      <c r="V63" s="7">
        <f t="shared" si="41"/>
        <v>0</v>
      </c>
      <c r="W63" s="2"/>
      <c r="X63" s="6">
        <f t="shared" si="42"/>
        <v>1311.62</v>
      </c>
      <c r="Y63" s="2"/>
      <c r="Z63" s="7">
        <f t="shared" si="43"/>
        <v>0</v>
      </c>
    </row>
    <row r="64" spans="1:26" s="26" customFormat="1" outlineLevel="1" collapsed="1" x14ac:dyDescent="0.25">
      <c r="A64" s="27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SUM(OSRRefD22_9x_0)</f>
        <v>0</v>
      </c>
      <c r="E64" s="1"/>
      <c r="F64" s="5">
        <f t="shared" ref="F64:F67" si="44">IF(D$12=0,0,D64/D$12)</f>
        <v>0</v>
      </c>
      <c r="G64" s="1"/>
      <c r="H64" s="1">
        <f>SUM(OSRRefH22_9x_0)</f>
        <v>1250</v>
      </c>
      <c r="I64" s="1"/>
      <c r="J64" s="5">
        <f t="shared" ref="J64:J67" si="45">IF(H$12=0,0,H64/H$12)</f>
        <v>9.8270440251572323E-3</v>
      </c>
      <c r="K64" s="1"/>
      <c r="L64" s="1">
        <f t="shared" ref="L64:L67" si="46">+D64-H64</f>
        <v>-1250</v>
      </c>
      <c r="M64" s="1"/>
      <c r="N64" s="5">
        <f t="shared" ref="N64:N67" si="47">IF(H64=0,0,L64/H64)</f>
        <v>-1</v>
      </c>
      <c r="O64" s="13"/>
      <c r="P64" s="1">
        <f>SUM(OSRRefP22_9x_0)</f>
        <v>11849.689999999999</v>
      </c>
      <c r="Q64" s="1"/>
      <c r="R64" s="5">
        <f t="shared" ref="R64:R67" si="48">IF(P$12=0,0,P64/P$12)</f>
        <v>1.804778312899662E-2</v>
      </c>
      <c r="S64" s="1"/>
      <c r="T64" s="1">
        <f>SUM(OSRRefT22_9x_0)</f>
        <v>6863</v>
      </c>
      <c r="U64" s="1"/>
      <c r="V64" s="5">
        <f t="shared" ref="V64:V67" si="49">IF(T$12=0,0,T64/T$12)</f>
        <v>1.0231067382230173E-2</v>
      </c>
      <c r="W64" s="1"/>
      <c r="X64" s="1">
        <f t="shared" ref="X64:X67" si="50">+P64-T64</f>
        <v>4986.6899999999987</v>
      </c>
      <c r="Y64" s="1"/>
      <c r="Z64" s="5">
        <f t="shared" ref="Z64:Z67" si="51">IF(T64=0,0,X64/T64)</f>
        <v>0.72660498324347933</v>
      </c>
    </row>
    <row r="65" spans="1:26" s="24" customFormat="1" hidden="1" outlineLevel="2" x14ac:dyDescent="0.25">
      <c r="A65" s="25"/>
      <c r="B65" s="11" t="str">
        <f>CONCATENATE("          ", "6371", " - ", "COMPUTER SOFTWARE MAINTENANCE")</f>
        <v xml:space="preserve">          6371 - COMPUTER SOFTWARE MAINTENANCE</v>
      </c>
      <c r="C65" s="11"/>
      <c r="D65" s="6"/>
      <c r="E65" s="2"/>
      <c r="F65" s="7">
        <f t="shared" si="44"/>
        <v>0</v>
      </c>
      <c r="G65" s="2"/>
      <c r="H65" s="6"/>
      <c r="I65" s="2"/>
      <c r="J65" s="7">
        <f t="shared" si="45"/>
        <v>0</v>
      </c>
      <c r="K65" s="2"/>
      <c r="L65" s="6">
        <f t="shared" si="46"/>
        <v>0</v>
      </c>
      <c r="M65" s="2"/>
      <c r="N65" s="7">
        <f t="shared" si="47"/>
        <v>0</v>
      </c>
      <c r="O65" s="11"/>
      <c r="P65" s="6">
        <v>2623.85</v>
      </c>
      <c r="Q65" s="2"/>
      <c r="R65" s="7">
        <f t="shared" si="48"/>
        <v>3.9962797139011892E-3</v>
      </c>
      <c r="S65" s="2"/>
      <c r="T65" s="6"/>
      <c r="U65" s="2"/>
      <c r="V65" s="7">
        <f t="shared" si="49"/>
        <v>0</v>
      </c>
      <c r="W65" s="2"/>
      <c r="X65" s="6">
        <f t="shared" si="50"/>
        <v>2623.85</v>
      </c>
      <c r="Y65" s="2"/>
      <c r="Z65" s="7">
        <f t="shared" si="51"/>
        <v>0</v>
      </c>
    </row>
    <row r="66" spans="1:26" s="24" customFormat="1" hidden="1" outlineLevel="2" x14ac:dyDescent="0.25">
      <c r="A66" s="25"/>
      <c r="B66" s="11" t="str">
        <f>CONCATENATE("          ", "6373", " - ", "MAINTENANCE CONTRACTS")</f>
        <v xml:space="preserve">          6373 - MAINTENANCE CONTRACTS</v>
      </c>
      <c r="C66" s="11"/>
      <c r="D66" s="6"/>
      <c r="E66" s="2"/>
      <c r="F66" s="7">
        <f t="shared" si="44"/>
        <v>0</v>
      </c>
      <c r="G66" s="2"/>
      <c r="H66" s="6"/>
      <c r="I66" s="2"/>
      <c r="J66" s="7">
        <f t="shared" si="45"/>
        <v>0</v>
      </c>
      <c r="K66" s="2"/>
      <c r="L66" s="6">
        <f t="shared" si="46"/>
        <v>0</v>
      </c>
      <c r="M66" s="2"/>
      <c r="N66" s="7">
        <f t="shared" si="47"/>
        <v>0</v>
      </c>
      <c r="O66" s="11"/>
      <c r="P66" s="6">
        <v>189.04</v>
      </c>
      <c r="Q66" s="2"/>
      <c r="R66" s="7">
        <f t="shared" si="48"/>
        <v>2.8791917110958357E-4</v>
      </c>
      <c r="S66" s="2"/>
      <c r="T66" s="6">
        <v>188</v>
      </c>
      <c r="U66" s="2"/>
      <c r="V66" s="7">
        <f t="shared" si="49"/>
        <v>2.8026237328562911E-4</v>
      </c>
      <c r="W66" s="2"/>
      <c r="X66" s="6">
        <f t="shared" si="50"/>
        <v>1.039999999999992</v>
      </c>
      <c r="Y66" s="2"/>
      <c r="Z66" s="7">
        <f t="shared" si="51"/>
        <v>5.5319148936169788E-3</v>
      </c>
    </row>
    <row r="67" spans="1:26" s="24" customFormat="1" hidden="1" outlineLevel="2" x14ac:dyDescent="0.25">
      <c r="A67" s="25"/>
      <c r="B67" s="11" t="str">
        <f>CONCATENATE("          ", "6375", " - ", "OUTSIDE REPAIRS &amp; MAINTENANCE")</f>
        <v xml:space="preserve">          6375 - OUTSIDE REPAIRS &amp; MAINTENANCE</v>
      </c>
      <c r="C67" s="11"/>
      <c r="D67" s="6"/>
      <c r="E67" s="2"/>
      <c r="F67" s="7">
        <f t="shared" si="44"/>
        <v>0</v>
      </c>
      <c r="G67" s="2"/>
      <c r="H67" s="6">
        <v>1250</v>
      </c>
      <c r="I67" s="2"/>
      <c r="J67" s="7">
        <f t="shared" si="45"/>
        <v>9.8270440251572323E-3</v>
      </c>
      <c r="K67" s="2"/>
      <c r="L67" s="6">
        <f t="shared" si="46"/>
        <v>-1250</v>
      </c>
      <c r="M67" s="2"/>
      <c r="N67" s="7">
        <f t="shared" si="47"/>
        <v>-1</v>
      </c>
      <c r="O67" s="11"/>
      <c r="P67" s="6">
        <v>9036.7999999999993</v>
      </c>
      <c r="Q67" s="2"/>
      <c r="R67" s="7">
        <f t="shared" si="48"/>
        <v>1.3763584243985848E-2</v>
      </c>
      <c r="S67" s="2"/>
      <c r="T67" s="6">
        <v>6675</v>
      </c>
      <c r="U67" s="2"/>
      <c r="V67" s="7">
        <f t="shared" si="49"/>
        <v>9.9508050089445431E-3</v>
      </c>
      <c r="W67" s="2"/>
      <c r="X67" s="6">
        <f t="shared" si="50"/>
        <v>2361.7999999999993</v>
      </c>
      <c r="Y67" s="2"/>
      <c r="Z67" s="7">
        <f t="shared" si="51"/>
        <v>0.35382771535580515</v>
      </c>
    </row>
    <row r="68" spans="1:26" s="26" customFormat="1" outlineLevel="1" collapsed="1" x14ac:dyDescent="0.25">
      <c r="A68" s="27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SUM(OSRRefD22_10x_0)</f>
        <v>177.45</v>
      </c>
      <c r="E68" s="1"/>
      <c r="F68" s="5">
        <f t="shared" ref="F68:F71" si="52">IF(D$12=0,0,D68/D$12)</f>
        <v>1.2827599876907088E-3</v>
      </c>
      <c r="G68" s="1"/>
      <c r="H68" s="1">
        <f>SUM(OSRRefH22_10x_0)</f>
        <v>566</v>
      </c>
      <c r="I68" s="1"/>
      <c r="J68" s="5">
        <f t="shared" ref="J68:J71" si="53">IF(H$12=0,0,H68/H$12)</f>
        <v>4.4496855345911952E-3</v>
      </c>
      <c r="K68" s="1"/>
      <c r="L68" s="1">
        <f t="shared" ref="L68:L71" si="54">+D68-H68</f>
        <v>-388.55</v>
      </c>
      <c r="M68" s="1"/>
      <c r="N68" s="5">
        <f t="shared" ref="N68:N71" si="55">IF(H68=0,0,L68/H68)</f>
        <v>-0.68648409893992934</v>
      </c>
      <c r="O68" s="13"/>
      <c r="P68" s="1">
        <f>SUM(OSRRefP22_10x_0)</f>
        <v>1483.45</v>
      </c>
      <c r="Q68" s="1"/>
      <c r="R68" s="5">
        <f t="shared" ref="R68:R71" si="56">IF(P$12=0,0,P68/P$12)</f>
        <v>2.2593826406184497E-3</v>
      </c>
      <c r="S68" s="1"/>
      <c r="T68" s="1">
        <f>SUM(OSRRefT22_10x_0)</f>
        <v>3058</v>
      </c>
      <c r="U68" s="1"/>
      <c r="V68" s="5">
        <f t="shared" ref="V68:V71" si="57">IF(T$12=0,0,T68/T$12)</f>
        <v>4.5587358378056057E-3</v>
      </c>
      <c r="W68" s="1"/>
      <c r="X68" s="1">
        <f t="shared" ref="X68:X71" si="58">+P68-T68</f>
        <v>-1574.55</v>
      </c>
      <c r="Y68" s="1"/>
      <c r="Z68" s="5">
        <f t="shared" ref="Z68:Z71" si="59">IF(T68=0,0,X68/T68)</f>
        <v>-0.51489535644211903</v>
      </c>
    </row>
    <row r="69" spans="1:26" s="24" customFormat="1" hidden="1" outlineLevel="2" x14ac:dyDescent="0.25">
      <c r="A69" s="25"/>
      <c r="B69" s="11" t="str">
        <f>CONCATENATE("          ", "6283", " - ", "PLANT SERVICE")</f>
        <v xml:space="preserve">          6283 - PLANT SERVICE</v>
      </c>
      <c r="C69" s="11"/>
      <c r="D69" s="6">
        <v>39.75</v>
      </c>
      <c r="E69" s="2"/>
      <c r="F69" s="7">
        <f t="shared" si="52"/>
        <v>2.8734691186647324E-4</v>
      </c>
      <c r="G69" s="2"/>
      <c r="H69" s="6">
        <v>30</v>
      </c>
      <c r="I69" s="2"/>
      <c r="J69" s="7">
        <f t="shared" si="53"/>
        <v>2.3584905660377359E-4</v>
      </c>
      <c r="K69" s="2"/>
      <c r="L69" s="6">
        <f t="shared" si="54"/>
        <v>9.75</v>
      </c>
      <c r="M69" s="2"/>
      <c r="N69" s="7">
        <f t="shared" si="55"/>
        <v>0.32500000000000001</v>
      </c>
      <c r="O69" s="11"/>
      <c r="P69" s="6">
        <v>159</v>
      </c>
      <c r="Q69" s="2"/>
      <c r="R69" s="7">
        <f t="shared" si="56"/>
        <v>2.4216646321637637E-4</v>
      </c>
      <c r="S69" s="2"/>
      <c r="T69" s="6">
        <v>150</v>
      </c>
      <c r="U69" s="2"/>
      <c r="V69" s="7">
        <f t="shared" si="57"/>
        <v>2.2361359570661896E-4</v>
      </c>
      <c r="W69" s="2"/>
      <c r="X69" s="6">
        <f t="shared" si="58"/>
        <v>9</v>
      </c>
      <c r="Y69" s="2"/>
      <c r="Z69" s="7">
        <f t="shared" si="59"/>
        <v>0.06</v>
      </c>
    </row>
    <row r="70" spans="1:26" s="24" customFormat="1" hidden="1" outlineLevel="2" x14ac:dyDescent="0.25">
      <c r="A70" s="25"/>
      <c r="B70" s="11" t="str">
        <f>CONCATENATE("          ", "6285", " - ", "JANITORIAL SERVICES")</f>
        <v xml:space="preserve">          6285 - JANITORIAL SERVICES</v>
      </c>
      <c r="C70" s="11"/>
      <c r="D70" s="6"/>
      <c r="E70" s="2"/>
      <c r="F70" s="7">
        <f t="shared" si="52"/>
        <v>0</v>
      </c>
      <c r="G70" s="2"/>
      <c r="H70" s="6">
        <v>288</v>
      </c>
      <c r="I70" s="2"/>
      <c r="J70" s="7">
        <f t="shared" si="53"/>
        <v>2.2641509433962265E-3</v>
      </c>
      <c r="K70" s="2"/>
      <c r="L70" s="6">
        <f t="shared" si="54"/>
        <v>-288</v>
      </c>
      <c r="M70" s="2"/>
      <c r="N70" s="7">
        <f t="shared" si="55"/>
        <v>-1</v>
      </c>
      <c r="O70" s="11"/>
      <c r="P70" s="6">
        <v>350</v>
      </c>
      <c r="Q70" s="2"/>
      <c r="R70" s="7">
        <f t="shared" si="56"/>
        <v>5.3307083097944483E-4</v>
      </c>
      <c r="S70" s="2"/>
      <c r="T70" s="6">
        <v>1584</v>
      </c>
      <c r="U70" s="2"/>
      <c r="V70" s="7">
        <f t="shared" si="57"/>
        <v>2.3613595706618962E-3</v>
      </c>
      <c r="W70" s="2"/>
      <c r="X70" s="6">
        <f t="shared" si="58"/>
        <v>-1234</v>
      </c>
      <c r="Y70" s="2"/>
      <c r="Z70" s="7">
        <f t="shared" si="59"/>
        <v>-0.77904040404040409</v>
      </c>
    </row>
    <row r="71" spans="1:26" s="24" customFormat="1" hidden="1" outlineLevel="2" x14ac:dyDescent="0.25">
      <c r="A71" s="25"/>
      <c r="B71" s="11" t="str">
        <f>CONCATENATE("          ", "6286", " - ", "LAUNDRY EXPENSE")</f>
        <v xml:space="preserve">          6286 - LAUNDRY EXPENSE</v>
      </c>
      <c r="C71" s="11"/>
      <c r="D71" s="6">
        <v>137.69999999999999</v>
      </c>
      <c r="E71" s="2"/>
      <c r="F71" s="7">
        <f t="shared" si="52"/>
        <v>9.9541307582423546E-4</v>
      </c>
      <c r="G71" s="2"/>
      <c r="H71" s="6">
        <v>248</v>
      </c>
      <c r="I71" s="2"/>
      <c r="J71" s="7">
        <f t="shared" si="53"/>
        <v>1.9496855345911949E-3</v>
      </c>
      <c r="K71" s="2"/>
      <c r="L71" s="6">
        <f t="shared" si="54"/>
        <v>-110.30000000000001</v>
      </c>
      <c r="M71" s="2"/>
      <c r="N71" s="7">
        <f t="shared" si="55"/>
        <v>-0.44475806451612909</v>
      </c>
      <c r="O71" s="11"/>
      <c r="P71" s="6">
        <v>974.45</v>
      </c>
      <c r="Q71" s="2"/>
      <c r="R71" s="7">
        <f t="shared" si="56"/>
        <v>1.4841453464226287E-3</v>
      </c>
      <c r="S71" s="2"/>
      <c r="T71" s="6">
        <v>1324</v>
      </c>
      <c r="U71" s="2"/>
      <c r="V71" s="7">
        <f t="shared" si="57"/>
        <v>1.97376267143709E-3</v>
      </c>
      <c r="W71" s="2"/>
      <c r="X71" s="6">
        <f t="shared" si="58"/>
        <v>-349.54999999999995</v>
      </c>
      <c r="Y71" s="2"/>
      <c r="Z71" s="7">
        <f t="shared" si="59"/>
        <v>-0.26401057401812683</v>
      </c>
    </row>
    <row r="72" spans="1:26" s="26" customFormat="1" outlineLevel="1" collapsed="1" x14ac:dyDescent="0.25">
      <c r="A72" s="27"/>
      <c r="B72" s="13" t="str">
        <f>CONCATENATE("     ","Subscriptions &amp; Dues                              ")</f>
        <v xml:space="preserve">     Subscriptions &amp; Dues                              </v>
      </c>
      <c r="C72" s="13"/>
      <c r="D72" s="1">
        <f>SUM(OSRRefD22_11x_0)</f>
        <v>196.71</v>
      </c>
      <c r="E72" s="1"/>
      <c r="F72" s="5">
        <f t="shared" ref="F72:F81" si="60">IF(D$12=0,0,D72/D$12)</f>
        <v>1.421987698949785E-3</v>
      </c>
      <c r="G72" s="1"/>
      <c r="H72" s="1">
        <f>SUM(OSRRefH22_11x_0)</f>
        <v>19</v>
      </c>
      <c r="I72" s="1"/>
      <c r="J72" s="5">
        <f t="shared" ref="J72:J81" si="61">IF(H$12=0,0,H72/H$12)</f>
        <v>1.4937106918238994E-4</v>
      </c>
      <c r="K72" s="1"/>
      <c r="L72" s="1">
        <f t="shared" ref="L72:L81" si="62">+D72-H72</f>
        <v>177.71</v>
      </c>
      <c r="M72" s="1"/>
      <c r="N72" s="5">
        <f t="shared" ref="N72:N81" si="63">IF(H72=0,0,L72/H72)</f>
        <v>9.3531578947368423</v>
      </c>
      <c r="O72" s="13"/>
      <c r="P72" s="1">
        <f>SUM(OSRRefP22_11x_0)</f>
        <v>983.55</v>
      </c>
      <c r="Q72" s="1"/>
      <c r="R72" s="5">
        <f t="shared" ref="R72:R81" si="64">IF(P$12=0,0,P72/P$12)</f>
        <v>1.4980051880280941E-3</v>
      </c>
      <c r="S72" s="1"/>
      <c r="T72" s="1">
        <f>SUM(OSRRefT22_11x_0)</f>
        <v>795</v>
      </c>
      <c r="U72" s="1"/>
      <c r="V72" s="5">
        <f t="shared" ref="V72:V81" si="65">IF(T$12=0,0,T72/T$12)</f>
        <v>1.1851520572450805E-3</v>
      </c>
      <c r="W72" s="1"/>
      <c r="X72" s="1">
        <f t="shared" ref="X72:X81" si="66">+P72-T72</f>
        <v>188.54999999999995</v>
      </c>
      <c r="Y72" s="1"/>
      <c r="Z72" s="5">
        <f t="shared" ref="Z72:Z81" si="67">IF(T72=0,0,X72/T72)</f>
        <v>0.23716981132075465</v>
      </c>
    </row>
    <row r="73" spans="1:26" s="24" customFormat="1" hidden="1" outlineLevel="2" x14ac:dyDescent="0.25">
      <c r="A73" s="25"/>
      <c r="B73" s="11" t="str">
        <f>CONCATENATE("          ", "6275", " - ", "SUBSCRIPTIONS")</f>
        <v xml:space="preserve">          6275 - SUBSCRIPTIONS</v>
      </c>
      <c r="C73" s="11"/>
      <c r="D73" s="6">
        <v>196.71</v>
      </c>
      <c r="E73" s="2"/>
      <c r="F73" s="7">
        <f t="shared" si="60"/>
        <v>1.421987698949785E-3</v>
      </c>
      <c r="G73" s="2"/>
      <c r="H73" s="6">
        <v>19</v>
      </c>
      <c r="I73" s="2"/>
      <c r="J73" s="7">
        <f t="shared" si="61"/>
        <v>1.4937106918238994E-4</v>
      </c>
      <c r="K73" s="2"/>
      <c r="L73" s="6">
        <f t="shared" si="62"/>
        <v>177.71</v>
      </c>
      <c r="M73" s="2"/>
      <c r="N73" s="7">
        <f t="shared" si="63"/>
        <v>9.3531578947368423</v>
      </c>
      <c r="O73" s="11"/>
      <c r="P73" s="6">
        <v>983.55</v>
      </c>
      <c r="Q73" s="2"/>
      <c r="R73" s="7">
        <f t="shared" si="64"/>
        <v>1.4980051880280941E-3</v>
      </c>
      <c r="S73" s="2"/>
      <c r="T73" s="6">
        <v>795</v>
      </c>
      <c r="U73" s="2"/>
      <c r="V73" s="7">
        <f t="shared" si="65"/>
        <v>1.1851520572450805E-3</v>
      </c>
      <c r="W73" s="2"/>
      <c r="X73" s="6">
        <f t="shared" si="66"/>
        <v>188.54999999999995</v>
      </c>
      <c r="Y73" s="2"/>
      <c r="Z73" s="7">
        <f t="shared" si="67"/>
        <v>0.23716981132075465</v>
      </c>
    </row>
    <row r="74" spans="1:26" s="26" customFormat="1" outlineLevel="1" collapsed="1" x14ac:dyDescent="0.25">
      <c r="A74" s="27"/>
      <c r="B74" s="13" t="str">
        <f>CONCATENATE("     ","Supplies                                          ")</f>
        <v xml:space="preserve">     Supplies                                          </v>
      </c>
      <c r="C74" s="13"/>
      <c r="D74" s="1">
        <f>SUM(OSRRefD22_12x_0)</f>
        <v>1013.3899999999999</v>
      </c>
      <c r="E74" s="1"/>
      <c r="F74" s="5">
        <f t="shared" si="60"/>
        <v>7.3256474721098185E-3</v>
      </c>
      <c r="G74" s="1"/>
      <c r="H74" s="1">
        <f>SUM(OSRRefH22_12x_0)</f>
        <v>670</v>
      </c>
      <c r="I74" s="1"/>
      <c r="J74" s="5">
        <f t="shared" si="61"/>
        <v>5.2672955974842764E-3</v>
      </c>
      <c r="K74" s="1"/>
      <c r="L74" s="1">
        <f t="shared" si="62"/>
        <v>343.38999999999987</v>
      </c>
      <c r="M74" s="1"/>
      <c r="N74" s="5">
        <f t="shared" si="63"/>
        <v>0.51252238805970129</v>
      </c>
      <c r="O74" s="13"/>
      <c r="P74" s="1">
        <f>SUM(OSRRefP22_12x_0)</f>
        <v>6035.65</v>
      </c>
      <c r="Q74" s="1"/>
      <c r="R74" s="5">
        <f t="shared" si="64"/>
        <v>9.1926541742888175E-3</v>
      </c>
      <c r="S74" s="1"/>
      <c r="T74" s="1">
        <f>SUM(OSRRefT22_12x_0)</f>
        <v>9605</v>
      </c>
      <c r="U74" s="1"/>
      <c r="V74" s="5">
        <f t="shared" si="65"/>
        <v>1.4318723911747168E-2</v>
      </c>
      <c r="W74" s="1"/>
      <c r="X74" s="1">
        <f t="shared" si="66"/>
        <v>-3569.3500000000004</v>
      </c>
      <c r="Y74" s="1"/>
      <c r="Z74" s="5">
        <f t="shared" si="67"/>
        <v>-0.37161374284226967</v>
      </c>
    </row>
    <row r="75" spans="1:26" s="24" customFormat="1" hidden="1" outlineLevel="2" x14ac:dyDescent="0.25">
      <c r="A75" s="25"/>
      <c r="B75" s="11" t="str">
        <f>CONCATENATE("          ", "6237", " - ", "JANITORIAL SUPPLIES")</f>
        <v xml:space="preserve">          6237 - JANITORIAL SUPPLIES</v>
      </c>
      <c r="C75" s="11"/>
      <c r="D75" s="6"/>
      <c r="E75" s="2"/>
      <c r="F75" s="7">
        <f t="shared" si="60"/>
        <v>0</v>
      </c>
      <c r="G75" s="2"/>
      <c r="H75" s="6"/>
      <c r="I75" s="2"/>
      <c r="J75" s="7">
        <f t="shared" si="61"/>
        <v>0</v>
      </c>
      <c r="K75" s="2"/>
      <c r="L75" s="6">
        <f t="shared" si="62"/>
        <v>0</v>
      </c>
      <c r="M75" s="2"/>
      <c r="N75" s="7">
        <f t="shared" si="63"/>
        <v>0</v>
      </c>
      <c r="O75" s="11"/>
      <c r="P75" s="6"/>
      <c r="Q75" s="2"/>
      <c r="R75" s="7">
        <f t="shared" si="64"/>
        <v>0</v>
      </c>
      <c r="S75" s="2"/>
      <c r="T75" s="6">
        <v>2600</v>
      </c>
      <c r="U75" s="2"/>
      <c r="V75" s="7">
        <f t="shared" si="65"/>
        <v>3.875968992248062E-3</v>
      </c>
      <c r="W75" s="2"/>
      <c r="X75" s="6">
        <f t="shared" si="66"/>
        <v>-2600</v>
      </c>
      <c r="Y75" s="2"/>
      <c r="Z75" s="7">
        <f t="shared" si="67"/>
        <v>-1</v>
      </c>
    </row>
    <row r="76" spans="1:26" s="24" customFormat="1" hidden="1" outlineLevel="2" x14ac:dyDescent="0.25">
      <c r="A76" s="25"/>
      <c r="B76" s="11" t="str">
        <f>CONCATENATE("          ", "6239", " - ", "KITCHEN SUPPLIES")</f>
        <v xml:space="preserve">          6239 - KITCHEN SUPPLIES</v>
      </c>
      <c r="C76" s="11"/>
      <c r="D76" s="6">
        <v>119.07</v>
      </c>
      <c r="E76" s="2"/>
      <c r="F76" s="7">
        <f t="shared" si="60"/>
        <v>8.6073954203625075E-4</v>
      </c>
      <c r="G76" s="2"/>
      <c r="H76" s="6"/>
      <c r="I76" s="2"/>
      <c r="J76" s="7">
        <f t="shared" si="61"/>
        <v>0</v>
      </c>
      <c r="K76" s="2"/>
      <c r="L76" s="6">
        <f t="shared" si="62"/>
        <v>119.07</v>
      </c>
      <c r="M76" s="2"/>
      <c r="N76" s="7">
        <f t="shared" si="63"/>
        <v>0</v>
      </c>
      <c r="O76" s="11"/>
      <c r="P76" s="6">
        <v>482.61</v>
      </c>
      <c r="Q76" s="2"/>
      <c r="R76" s="7">
        <f t="shared" si="64"/>
        <v>7.3504375353997109E-4</v>
      </c>
      <c r="S76" s="2"/>
      <c r="T76" s="6">
        <v>225</v>
      </c>
      <c r="U76" s="2"/>
      <c r="V76" s="7">
        <f t="shared" si="65"/>
        <v>3.3542039355992842E-4</v>
      </c>
      <c r="W76" s="2"/>
      <c r="X76" s="6">
        <f t="shared" si="66"/>
        <v>257.61</v>
      </c>
      <c r="Y76" s="2"/>
      <c r="Z76" s="7">
        <f t="shared" si="67"/>
        <v>1.1449333333333334</v>
      </c>
    </row>
    <row r="77" spans="1:26" s="24" customFormat="1" hidden="1" outlineLevel="2" x14ac:dyDescent="0.25">
      <c r="A77" s="25"/>
      <c r="B77" s="11" t="str">
        <f>CONCATENATE("          ", "6241", " - ", "OFFICE EXPENSE")</f>
        <v xml:space="preserve">          6241 - OFFICE EXPENSE</v>
      </c>
      <c r="C77" s="11"/>
      <c r="D77" s="6">
        <v>103.64</v>
      </c>
      <c r="E77" s="2"/>
      <c r="F77" s="7">
        <f t="shared" si="60"/>
        <v>7.4919833826015824E-4</v>
      </c>
      <c r="G77" s="2"/>
      <c r="H77" s="6">
        <v>120</v>
      </c>
      <c r="I77" s="2"/>
      <c r="J77" s="7">
        <f t="shared" si="61"/>
        <v>9.4339622641509435E-4</v>
      </c>
      <c r="K77" s="2"/>
      <c r="L77" s="6">
        <f t="shared" si="62"/>
        <v>-16.36</v>
      </c>
      <c r="M77" s="2"/>
      <c r="N77" s="7">
        <f t="shared" si="63"/>
        <v>-0.13633333333333333</v>
      </c>
      <c r="O77" s="11"/>
      <c r="P77" s="6">
        <v>1572.54</v>
      </c>
      <c r="Q77" s="2"/>
      <c r="R77" s="7">
        <f t="shared" si="64"/>
        <v>2.3950720129954747E-3</v>
      </c>
      <c r="S77" s="2"/>
      <c r="T77" s="6">
        <v>905</v>
      </c>
      <c r="U77" s="2"/>
      <c r="V77" s="7">
        <f t="shared" si="65"/>
        <v>1.3491353607632678E-3</v>
      </c>
      <c r="W77" s="2"/>
      <c r="X77" s="6">
        <f t="shared" si="66"/>
        <v>667.54</v>
      </c>
      <c r="Y77" s="2"/>
      <c r="Z77" s="7">
        <f t="shared" si="67"/>
        <v>0.73761325966850821</v>
      </c>
    </row>
    <row r="78" spans="1:26" s="24" customFormat="1" hidden="1" outlineLevel="2" x14ac:dyDescent="0.25">
      <c r="A78" s="25"/>
      <c r="B78" s="11" t="str">
        <f>CONCATENATE("          ", "6243", " - ", "PAPER SUPPLIES")</f>
        <v xml:space="preserve">          6243 - PAPER SUPPLIES</v>
      </c>
      <c r="C78" s="11"/>
      <c r="D78" s="6">
        <v>39.270000000000003</v>
      </c>
      <c r="E78" s="2"/>
      <c r="F78" s="7">
        <f t="shared" si="60"/>
        <v>2.8387706236468946E-4</v>
      </c>
      <c r="G78" s="2"/>
      <c r="H78" s="6">
        <v>550</v>
      </c>
      <c r="I78" s="2"/>
      <c r="J78" s="7">
        <f t="shared" si="61"/>
        <v>4.3238993710691823E-3</v>
      </c>
      <c r="K78" s="2"/>
      <c r="L78" s="6">
        <f t="shared" si="62"/>
        <v>-510.73</v>
      </c>
      <c r="M78" s="2"/>
      <c r="N78" s="7">
        <f t="shared" si="63"/>
        <v>-0.92859999999999998</v>
      </c>
      <c r="O78" s="11"/>
      <c r="P78" s="6">
        <v>1913.6</v>
      </c>
      <c r="Q78" s="2"/>
      <c r="R78" s="7">
        <f t="shared" si="64"/>
        <v>2.9145266918921874E-3</v>
      </c>
      <c r="S78" s="2"/>
      <c r="T78" s="6">
        <v>4075</v>
      </c>
      <c r="U78" s="2"/>
      <c r="V78" s="7">
        <f t="shared" si="65"/>
        <v>6.074836016696482E-3</v>
      </c>
      <c r="W78" s="2"/>
      <c r="X78" s="6">
        <f t="shared" si="66"/>
        <v>-2161.4</v>
      </c>
      <c r="Y78" s="2"/>
      <c r="Z78" s="7">
        <f t="shared" si="67"/>
        <v>-0.53040490797546014</v>
      </c>
    </row>
    <row r="79" spans="1:26" s="24" customFormat="1" hidden="1" outlineLevel="2" x14ac:dyDescent="0.25">
      <c r="A79" s="25"/>
      <c r="B79" s="11" t="str">
        <f>CONCATENATE("          ", "6245", " - ", "PRINTING")</f>
        <v xml:space="preserve">          6245 - PRINTING</v>
      </c>
      <c r="C79" s="11"/>
      <c r="D79" s="6"/>
      <c r="E79" s="2"/>
      <c r="F79" s="7">
        <f t="shared" si="60"/>
        <v>0</v>
      </c>
      <c r="G79" s="2"/>
      <c r="H79" s="6"/>
      <c r="I79" s="2"/>
      <c r="J79" s="7">
        <f t="shared" si="61"/>
        <v>0</v>
      </c>
      <c r="K79" s="2"/>
      <c r="L79" s="6">
        <f t="shared" si="62"/>
        <v>0</v>
      </c>
      <c r="M79" s="2"/>
      <c r="N79" s="7">
        <f t="shared" si="63"/>
        <v>0</v>
      </c>
      <c r="O79" s="11"/>
      <c r="P79" s="6">
        <v>22.05</v>
      </c>
      <c r="Q79" s="2"/>
      <c r="R79" s="7">
        <f t="shared" si="64"/>
        <v>3.3583462351705024E-5</v>
      </c>
      <c r="S79" s="2"/>
      <c r="T79" s="6"/>
      <c r="U79" s="2"/>
      <c r="V79" s="7">
        <f t="shared" si="65"/>
        <v>0</v>
      </c>
      <c r="W79" s="2"/>
      <c r="X79" s="6">
        <f t="shared" si="66"/>
        <v>22.05</v>
      </c>
      <c r="Y79" s="2"/>
      <c r="Z79" s="7">
        <f t="shared" si="67"/>
        <v>0</v>
      </c>
    </row>
    <row r="80" spans="1:26" s="24" customFormat="1" hidden="1" outlineLevel="2" x14ac:dyDescent="0.25">
      <c r="A80" s="25"/>
      <c r="B80" s="11" t="str">
        <f>CONCATENATE("          ", "6247", " - ", "STORE SUPPLIES")</f>
        <v xml:space="preserve">          6247 - STORE SUPPLIES</v>
      </c>
      <c r="C80" s="11"/>
      <c r="D80" s="6">
        <v>751.41</v>
      </c>
      <c r="E80" s="2"/>
      <c r="F80" s="7">
        <f t="shared" si="60"/>
        <v>5.4318325294487211E-3</v>
      </c>
      <c r="G80" s="2"/>
      <c r="H80" s="6"/>
      <c r="I80" s="2"/>
      <c r="J80" s="7">
        <f t="shared" si="61"/>
        <v>0</v>
      </c>
      <c r="K80" s="2"/>
      <c r="L80" s="6">
        <f t="shared" si="62"/>
        <v>751.41</v>
      </c>
      <c r="M80" s="2"/>
      <c r="N80" s="7">
        <f t="shared" si="63"/>
        <v>0</v>
      </c>
      <c r="O80" s="11"/>
      <c r="P80" s="6">
        <v>1264.6099999999999</v>
      </c>
      <c r="Q80" s="2"/>
      <c r="R80" s="7">
        <f t="shared" si="64"/>
        <v>1.926076295899759E-3</v>
      </c>
      <c r="S80" s="2"/>
      <c r="T80" s="6">
        <v>1000</v>
      </c>
      <c r="U80" s="2"/>
      <c r="V80" s="7">
        <f t="shared" si="65"/>
        <v>1.4907573047107932E-3</v>
      </c>
      <c r="W80" s="2"/>
      <c r="X80" s="6">
        <f t="shared" si="66"/>
        <v>264.6099999999999</v>
      </c>
      <c r="Y80" s="2"/>
      <c r="Z80" s="7">
        <f t="shared" si="67"/>
        <v>0.2646099999999999</v>
      </c>
    </row>
    <row r="81" spans="1:26" s="24" customFormat="1" hidden="1" outlineLevel="2" x14ac:dyDescent="0.25">
      <c r="A81" s="25"/>
      <c r="B81" s="11" t="str">
        <f>CONCATENATE("          ", "6248", " - ", "UNIFORMS")</f>
        <v xml:space="preserve">          6248 - UNIFORMS</v>
      </c>
      <c r="C81" s="11"/>
      <c r="D81" s="6"/>
      <c r="E81" s="2"/>
      <c r="F81" s="7">
        <f t="shared" si="60"/>
        <v>0</v>
      </c>
      <c r="G81" s="2"/>
      <c r="H81" s="6"/>
      <c r="I81" s="2"/>
      <c r="J81" s="7">
        <f t="shared" si="61"/>
        <v>0</v>
      </c>
      <c r="K81" s="2"/>
      <c r="L81" s="6">
        <f t="shared" si="62"/>
        <v>0</v>
      </c>
      <c r="M81" s="2"/>
      <c r="N81" s="7">
        <f t="shared" si="63"/>
        <v>0</v>
      </c>
      <c r="O81" s="11"/>
      <c r="P81" s="6">
        <v>780.24</v>
      </c>
      <c r="Q81" s="2"/>
      <c r="R81" s="7">
        <f t="shared" si="64"/>
        <v>1.1883519576097201E-3</v>
      </c>
      <c r="S81" s="2"/>
      <c r="T81" s="6">
        <v>800</v>
      </c>
      <c r="U81" s="2"/>
      <c r="V81" s="7">
        <f t="shared" si="65"/>
        <v>1.1926058437686344E-3</v>
      </c>
      <c r="W81" s="2"/>
      <c r="X81" s="6">
        <f t="shared" si="66"/>
        <v>-19.759999999999991</v>
      </c>
      <c r="Y81" s="2"/>
      <c r="Z81" s="7">
        <f t="shared" si="67"/>
        <v>-2.4699999999999989E-2</v>
      </c>
    </row>
    <row r="82" spans="1:26" s="26" customFormat="1" outlineLevel="1" collapsed="1" x14ac:dyDescent="0.25">
      <c r="A82" s="27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SUM(OSRRefD22_13x_0)</f>
        <v>157.44999999999999</v>
      </c>
      <c r="E82" s="1"/>
      <c r="F82" s="5">
        <f t="shared" ref="F82:F87" si="68">IF(D$12=0,0,D82/D$12)</f>
        <v>1.1381829251163828E-3</v>
      </c>
      <c r="G82" s="1"/>
      <c r="H82" s="1">
        <f>SUM(OSRRefH22_13x_0)</f>
        <v>160</v>
      </c>
      <c r="I82" s="1"/>
      <c r="J82" s="5">
        <f t="shared" ref="J82:J87" si="69">IF(H$12=0,0,H82/H$12)</f>
        <v>1.2578616352201257E-3</v>
      </c>
      <c r="K82" s="1"/>
      <c r="L82" s="1">
        <f t="shared" ref="L82:L87" si="70">+D82-H82</f>
        <v>-2.5500000000000114</v>
      </c>
      <c r="M82" s="1"/>
      <c r="N82" s="5">
        <f t="shared" ref="N82:N87" si="71">IF(H82=0,0,L82/H82)</f>
        <v>-1.593750000000007E-2</v>
      </c>
      <c r="O82" s="13"/>
      <c r="P82" s="1">
        <f>SUM(OSRRefP22_13x_0)</f>
        <v>696.9</v>
      </c>
      <c r="Q82" s="1"/>
      <c r="R82" s="5">
        <f t="shared" ref="R82:R87" si="72">IF(P$12=0,0,P82/P$12)</f>
        <v>1.0614201774559288E-3</v>
      </c>
      <c r="S82" s="1"/>
      <c r="T82" s="1">
        <f>SUM(OSRRefT22_13x_0)</f>
        <v>800</v>
      </c>
      <c r="U82" s="1"/>
      <c r="V82" s="5">
        <f t="shared" ref="V82:V87" si="73">IF(T$12=0,0,T82/T$12)</f>
        <v>1.1926058437686344E-3</v>
      </c>
      <c r="W82" s="1"/>
      <c r="X82" s="1">
        <f t="shared" ref="X82:X87" si="74">+P82-T82</f>
        <v>-103.10000000000002</v>
      </c>
      <c r="Y82" s="1"/>
      <c r="Z82" s="5">
        <f t="shared" ref="Z82:Z87" si="75">IF(T82=0,0,X82/T82)</f>
        <v>-0.12887500000000002</v>
      </c>
    </row>
    <row r="83" spans="1:26" s="24" customFormat="1" hidden="1" outlineLevel="2" x14ac:dyDescent="0.25">
      <c r="A83" s="25"/>
      <c r="B83" s="11" t="str">
        <f>CONCATENATE("          ", "6309", " - ", "TELEPHONE")</f>
        <v xml:space="preserve">          6309 - TELEPHONE</v>
      </c>
      <c r="C83" s="11"/>
      <c r="D83" s="6">
        <v>157.44999999999999</v>
      </c>
      <c r="E83" s="2"/>
      <c r="F83" s="7">
        <f t="shared" si="68"/>
        <v>1.1381829251163828E-3</v>
      </c>
      <c r="G83" s="2"/>
      <c r="H83" s="6">
        <v>160</v>
      </c>
      <c r="I83" s="2"/>
      <c r="J83" s="7">
        <f t="shared" si="69"/>
        <v>1.2578616352201257E-3</v>
      </c>
      <c r="K83" s="2"/>
      <c r="L83" s="6">
        <f t="shared" si="70"/>
        <v>-2.5500000000000114</v>
      </c>
      <c r="M83" s="2"/>
      <c r="N83" s="7">
        <f t="shared" si="71"/>
        <v>-1.593750000000007E-2</v>
      </c>
      <c r="O83" s="11"/>
      <c r="P83" s="6">
        <v>696.9</v>
      </c>
      <c r="Q83" s="2"/>
      <c r="R83" s="7">
        <f t="shared" si="72"/>
        <v>1.0614201774559288E-3</v>
      </c>
      <c r="S83" s="2"/>
      <c r="T83" s="6">
        <v>800</v>
      </c>
      <c r="U83" s="2"/>
      <c r="V83" s="7">
        <f t="shared" si="73"/>
        <v>1.1926058437686344E-3</v>
      </c>
      <c r="W83" s="2"/>
      <c r="X83" s="6">
        <f t="shared" si="74"/>
        <v>-103.10000000000002</v>
      </c>
      <c r="Y83" s="2"/>
      <c r="Z83" s="7">
        <f t="shared" si="75"/>
        <v>-0.12887500000000002</v>
      </c>
    </row>
    <row r="84" spans="1:26" s="26" customFormat="1" outlineLevel="1" collapsed="1" x14ac:dyDescent="0.25">
      <c r="A84" s="27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SUM(OSRRefD22_14x_0)</f>
        <v>0</v>
      </c>
      <c r="E84" s="1"/>
      <c r="F84" s="5">
        <f t="shared" si="68"/>
        <v>0</v>
      </c>
      <c r="G84" s="1"/>
      <c r="H84" s="1">
        <f>SUM(OSRRefH22_14x_0)</f>
        <v>0</v>
      </c>
      <c r="I84" s="1"/>
      <c r="J84" s="5">
        <f t="shared" si="69"/>
        <v>0</v>
      </c>
      <c r="K84" s="1"/>
      <c r="L84" s="1">
        <f t="shared" si="70"/>
        <v>0</v>
      </c>
      <c r="M84" s="1"/>
      <c r="N84" s="5">
        <f t="shared" si="71"/>
        <v>0</v>
      </c>
      <c r="O84" s="13"/>
      <c r="P84" s="1">
        <f>SUM(OSRRefP22_14x_0)</f>
        <v>140.94999999999999</v>
      </c>
      <c r="Q84" s="1"/>
      <c r="R84" s="5">
        <f t="shared" si="72"/>
        <v>2.1467523893300785E-4</v>
      </c>
      <c r="S84" s="1"/>
      <c r="T84" s="1">
        <f>SUM(OSRRefT22_14x_0)</f>
        <v>160</v>
      </c>
      <c r="U84" s="1"/>
      <c r="V84" s="5">
        <f t="shared" si="73"/>
        <v>2.385211687537269E-4</v>
      </c>
      <c r="W84" s="1"/>
      <c r="X84" s="1">
        <f t="shared" si="74"/>
        <v>-19.050000000000011</v>
      </c>
      <c r="Y84" s="1"/>
      <c r="Z84" s="5">
        <f t="shared" si="75"/>
        <v>-0.11906250000000007</v>
      </c>
    </row>
    <row r="85" spans="1:26" s="24" customFormat="1" hidden="1" outlineLevel="2" x14ac:dyDescent="0.25">
      <c r="A85" s="25"/>
      <c r="B85" s="11" t="str">
        <f>CONCATENATE("          ", "6376", " - ", "TRAINING")</f>
        <v xml:space="preserve">          6376 - TRAINING</v>
      </c>
      <c r="C85" s="11"/>
      <c r="D85" s="6"/>
      <c r="E85" s="2"/>
      <c r="F85" s="7">
        <f t="shared" si="68"/>
        <v>0</v>
      </c>
      <c r="G85" s="2"/>
      <c r="H85" s="6"/>
      <c r="I85" s="2"/>
      <c r="J85" s="7">
        <f t="shared" si="69"/>
        <v>0</v>
      </c>
      <c r="K85" s="2"/>
      <c r="L85" s="6">
        <f t="shared" si="70"/>
        <v>0</v>
      </c>
      <c r="M85" s="2"/>
      <c r="N85" s="7">
        <f t="shared" si="71"/>
        <v>0</v>
      </c>
      <c r="O85" s="11"/>
      <c r="P85" s="6">
        <v>140.94999999999999</v>
      </c>
      <c r="Q85" s="2"/>
      <c r="R85" s="7">
        <f t="shared" si="72"/>
        <v>2.1467523893300785E-4</v>
      </c>
      <c r="S85" s="2"/>
      <c r="T85" s="6">
        <v>160</v>
      </c>
      <c r="U85" s="2"/>
      <c r="V85" s="7">
        <f t="shared" si="73"/>
        <v>2.385211687537269E-4</v>
      </c>
      <c r="W85" s="2"/>
      <c r="X85" s="6">
        <f t="shared" si="74"/>
        <v>-19.050000000000011</v>
      </c>
      <c r="Y85" s="2"/>
      <c r="Z85" s="7">
        <f t="shared" si="75"/>
        <v>-0.11906250000000007</v>
      </c>
    </row>
    <row r="86" spans="1:26" s="26" customFormat="1" outlineLevel="1" collapsed="1" x14ac:dyDescent="0.25">
      <c r="A86" s="27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SUM(OSRRefD22_15x_0)</f>
        <v>0</v>
      </c>
      <c r="E86" s="1"/>
      <c r="F86" s="5">
        <f t="shared" si="68"/>
        <v>0</v>
      </c>
      <c r="G86" s="1"/>
      <c r="H86" s="1">
        <f>SUM(OSRRefH22_15x_0)</f>
        <v>0</v>
      </c>
      <c r="I86" s="1"/>
      <c r="J86" s="5">
        <f t="shared" si="69"/>
        <v>0</v>
      </c>
      <c r="K86" s="1"/>
      <c r="L86" s="1">
        <f t="shared" si="70"/>
        <v>0</v>
      </c>
      <c r="M86" s="1"/>
      <c r="N86" s="5">
        <f t="shared" si="71"/>
        <v>0</v>
      </c>
      <c r="O86" s="13"/>
      <c r="P86" s="1">
        <f>SUM(OSRRefP22_15x_0)</f>
        <v>0</v>
      </c>
      <c r="Q86" s="1"/>
      <c r="R86" s="5">
        <f t="shared" si="72"/>
        <v>0</v>
      </c>
      <c r="S86" s="1"/>
      <c r="T86" s="1">
        <f>SUM(OSRRefT22_15x_0)</f>
        <v>2000</v>
      </c>
      <c r="U86" s="1"/>
      <c r="V86" s="5">
        <f t="shared" si="73"/>
        <v>2.9815146094215863E-3</v>
      </c>
      <c r="W86" s="1"/>
      <c r="X86" s="1">
        <f t="shared" si="74"/>
        <v>-2000</v>
      </c>
      <c r="Y86" s="1"/>
      <c r="Z86" s="5">
        <f t="shared" si="75"/>
        <v>-1</v>
      </c>
    </row>
    <row r="87" spans="1:26" s="24" customFormat="1" hidden="1" outlineLevel="2" x14ac:dyDescent="0.25">
      <c r="A87" s="25"/>
      <c r="B87" s="11" t="str">
        <f>CONCATENATE("          ", "6292", " - ", "TRAVEL/CONFERENCE")</f>
        <v xml:space="preserve">          6292 - TRAVEL/CONFERENCE</v>
      </c>
      <c r="C87" s="11"/>
      <c r="D87" s="6"/>
      <c r="E87" s="2"/>
      <c r="F87" s="7">
        <f t="shared" si="68"/>
        <v>0</v>
      </c>
      <c r="G87" s="2"/>
      <c r="H87" s="6"/>
      <c r="I87" s="2"/>
      <c r="J87" s="7">
        <f t="shared" si="69"/>
        <v>0</v>
      </c>
      <c r="K87" s="2"/>
      <c r="L87" s="6">
        <f t="shared" si="70"/>
        <v>0</v>
      </c>
      <c r="M87" s="2"/>
      <c r="N87" s="7">
        <f t="shared" si="71"/>
        <v>0</v>
      </c>
      <c r="O87" s="11"/>
      <c r="P87" s="6"/>
      <c r="Q87" s="2"/>
      <c r="R87" s="7">
        <f t="shared" si="72"/>
        <v>0</v>
      </c>
      <c r="S87" s="2"/>
      <c r="T87" s="6">
        <v>2000</v>
      </c>
      <c r="U87" s="2"/>
      <c r="V87" s="7">
        <f t="shared" si="73"/>
        <v>2.9815146094215863E-3</v>
      </c>
      <c r="W87" s="2"/>
      <c r="X87" s="6">
        <f t="shared" si="74"/>
        <v>-2000</v>
      </c>
      <c r="Y87" s="2"/>
      <c r="Z87" s="7">
        <f t="shared" si="75"/>
        <v>-1</v>
      </c>
    </row>
    <row r="88" spans="1:26" s="59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9" t="s">
        <v>0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8" t="s">
        <v>3</v>
      </c>
      <c r="C91" s="28"/>
      <c r="D91" s="20">
        <f>+D23-D25+D89</f>
        <v>27428.279999999992</v>
      </c>
      <c r="E91" s="14"/>
      <c r="F91" s="22">
        <f>IF(D$12=0,0,D91/D$12)</f>
        <v>0.19827500769330689</v>
      </c>
      <c r="G91" s="14"/>
      <c r="H91" s="20">
        <f>+H23-H25+H89</f>
        <v>27389.600116415386</v>
      </c>
      <c r="I91" s="14"/>
      <c r="J91" s="22">
        <f>IF(H$12=0,0,H91/H$12)</f>
        <v>0.21532704494037253</v>
      </c>
      <c r="K91" s="16"/>
      <c r="L91" s="20">
        <f>+D91-H91</f>
        <v>38.679883584605705</v>
      </c>
      <c r="M91" s="16"/>
      <c r="N91" s="22">
        <f>IF(H91=0,0,L91/H91)</f>
        <v>1.4122105989208555E-3</v>
      </c>
      <c r="O91" s="29"/>
      <c r="P91" s="20">
        <f>+P23-P25+P89</f>
        <v>135942.99000000022</v>
      </c>
      <c r="Q91" s="14"/>
      <c r="R91" s="22">
        <f>IF(P$12=0,0,P91/P$12)</f>
        <v>0.2070492647003728</v>
      </c>
      <c r="S91" s="14"/>
      <c r="T91" s="20">
        <f>+T23-T25+T89</f>
        <v>144797.6653036307</v>
      </c>
      <c r="U91" s="14"/>
      <c r="V91" s="22">
        <f>IF(T$12=0,0,T91/T$12)</f>
        <v>0.21585817725645601</v>
      </c>
      <c r="W91" s="16"/>
      <c r="X91" s="20">
        <f>+P91-T91</f>
        <v>-8854.6753036304726</v>
      </c>
      <c r="Y91" s="16"/>
      <c r="Z91" s="22">
        <f>IF(T91=0,0,X91/T91)</f>
        <v>-6.1152058529830786E-2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2"/>
      <c r="B93" s="10" t="s">
        <v>14</v>
      </c>
      <c r="C93" s="10"/>
      <c r="D93" s="4">
        <v>17359.439999999999</v>
      </c>
      <c r="E93" s="4"/>
      <c r="F93" s="12">
        <f>IF(D$12=0,0,D93/D$12)</f>
        <v>0.12548884215676301</v>
      </c>
      <c r="G93" s="4"/>
      <c r="H93" s="4">
        <v>19550</v>
      </c>
      <c r="I93" s="4"/>
      <c r="J93" s="12">
        <f>IF(H$12=0,0,H93/H$12)</f>
        <v>0.15369496855345913</v>
      </c>
      <c r="K93" s="4"/>
      <c r="L93" s="4">
        <f>+D93-H93</f>
        <v>-2190.5600000000013</v>
      </c>
      <c r="M93" s="4"/>
      <c r="N93" s="12">
        <f>IF(H93=0,0,L93/H93)</f>
        <v>-0.1120491048593351</v>
      </c>
      <c r="O93" s="10"/>
      <c r="P93" s="4">
        <v>69526.66</v>
      </c>
      <c r="Q93" s="4"/>
      <c r="R93" s="12">
        <f>IF(P$12=0,0,P93/P$12)</f>
        <v>0.10589324120407237</v>
      </c>
      <c r="S93" s="4"/>
      <c r="T93" s="4">
        <v>85013</v>
      </c>
      <c r="U93" s="4"/>
      <c r="V93" s="12">
        <f>IF(T$12=0,0,T93/T$12)</f>
        <v>0.12673375074537865</v>
      </c>
      <c r="W93" s="4"/>
      <c r="X93" s="4">
        <f>+P93-T93</f>
        <v>-15486.339999999997</v>
      </c>
      <c r="Y93" s="4"/>
      <c r="Z93" s="12">
        <f>IF(T93=0,0,X93/T93)</f>
        <v>-0.18216437486031545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8" t="s">
        <v>4</v>
      </c>
      <c r="C95" s="28"/>
      <c r="D95" s="30">
        <f>+D91-D93</f>
        <v>10068.839999999993</v>
      </c>
      <c r="E95" s="14"/>
      <c r="F95" s="32">
        <f>IF(D$12=0,0,D95/D$12)</f>
        <v>7.2786165536543865E-2</v>
      </c>
      <c r="G95" s="14"/>
      <c r="H95" s="30">
        <f>+H91-H93</f>
        <v>7839.6001164153859</v>
      </c>
      <c r="I95" s="14"/>
      <c r="J95" s="32">
        <f>IF(H$12=0,0,H95/H$12)</f>
        <v>6.1632076386913412E-2</v>
      </c>
      <c r="K95" s="16"/>
      <c r="L95" s="30">
        <f>D95-H95</f>
        <v>2229.239883584607</v>
      </c>
      <c r="M95" s="16"/>
      <c r="N95" s="32">
        <f>IF(H95=0,0,L95/H95)</f>
        <v>0.28435632563921065</v>
      </c>
      <c r="O95" s="29"/>
      <c r="P95" s="30">
        <f>+P91-P93</f>
        <v>66416.33000000022</v>
      </c>
      <c r="Q95" s="14"/>
      <c r="R95" s="32">
        <f>IF(P$12=0,0,P95/P$12)</f>
        <v>0.10115602349630043</v>
      </c>
      <c r="S95" s="14"/>
      <c r="T95" s="30">
        <f>+T91-T93</f>
        <v>59784.665303630696</v>
      </c>
      <c r="U95" s="14"/>
      <c r="V95" s="32">
        <f>IF(T$12=0,0,T95/T$12)</f>
        <v>8.9124426511077368E-2</v>
      </c>
      <c r="W95" s="16"/>
      <c r="X95" s="30">
        <f>P95-T95</f>
        <v>6631.6646963695239</v>
      </c>
      <c r="Y95" s="16"/>
      <c r="Z95" s="32">
        <f>IF(T95=0,0,X95/T95)</f>
        <v>0.11092584800281195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8" t="s">
        <v>5</v>
      </c>
      <c r="C98" s="28"/>
      <c r="D98" s="31">
        <f>SUM(D95:D97)</f>
        <v>10068.839999999993</v>
      </c>
      <c r="E98" s="14"/>
      <c r="F98" s="35">
        <f>IF(D$12=0,0,D98/D$12)</f>
        <v>7.2786165536543865E-2</v>
      </c>
      <c r="G98" s="14"/>
      <c r="H98" s="31">
        <f>SUM(H95:H97)</f>
        <v>7839.6001164153859</v>
      </c>
      <c r="I98" s="14"/>
      <c r="J98" s="35">
        <f>IF(H$12=0,0,H98/H$12)</f>
        <v>6.1632076386913412E-2</v>
      </c>
      <c r="K98" s="16"/>
      <c r="L98" s="31">
        <f>+D98-H98</f>
        <v>2229.239883584607</v>
      </c>
      <c r="M98" s="16"/>
      <c r="N98" s="35">
        <f>IF(H98=0,0,L98/H98)</f>
        <v>0.28435632563921065</v>
      </c>
      <c r="O98" s="29"/>
      <c r="P98" s="31">
        <f>SUM(P95:P97)</f>
        <v>66416.33000000022</v>
      </c>
      <c r="Q98" s="14"/>
      <c r="R98" s="35">
        <f>IF(P$12=0,0,P98/P$12)</f>
        <v>0.10115602349630043</v>
      </c>
      <c r="S98" s="14"/>
      <c r="T98" s="31">
        <f>SUM(T95:T97)</f>
        <v>59784.665303630696</v>
      </c>
      <c r="U98" s="14"/>
      <c r="V98" s="35">
        <f>IF(T$12=0,0,T98/T$12)</f>
        <v>8.9124426511077368E-2</v>
      </c>
      <c r="W98" s="16"/>
      <c r="X98" s="31">
        <f>+P98-T98</f>
        <v>6631.6646963695239</v>
      </c>
      <c r="Y98" s="16"/>
      <c r="Z98" s="35">
        <f>IF(T98=0,0,X98/T98)</f>
        <v>0.11092584800281195</v>
      </c>
    </row>
    <row r="99" spans="1:26" ht="15.75" thickTop="1" x14ac:dyDescent="0.25">
      <c r="A99" s="9"/>
      <c r="C99" s="9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6" x14ac:dyDescent="0.25">
      <c r="A100" s="9"/>
      <c r="B100" s="56">
        <v>43815.484078969908</v>
      </c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62" t="s">
        <v>314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58"/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","423", " - ", "Contract Revenue")</f>
        <v>Department 423 - Contract Revenue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9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-805.48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-805.48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-805.48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-805.48</v>
      </c>
      <c r="Y15" s="2"/>
      <c r="Z15" s="19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0">
        <f>D12-D14</f>
        <v>0</v>
      </c>
      <c r="E17" s="14"/>
      <c r="F17" s="22">
        <f>IF(D$12=0,0,D17/D$12)</f>
        <v>0</v>
      </c>
      <c r="G17" s="14"/>
      <c r="H17" s="20">
        <f>H12-H14</f>
        <v>0</v>
      </c>
      <c r="I17" s="14"/>
      <c r="J17" s="22">
        <f>IF(H$12=0,0,H17/H$12)</f>
        <v>0</v>
      </c>
      <c r="K17" s="16"/>
      <c r="L17" s="20">
        <f>+D17-H17</f>
        <v>0</v>
      </c>
      <c r="M17" s="16"/>
      <c r="N17" s="22">
        <f>IF(H17=0,0,L17/H17)</f>
        <v>0</v>
      </c>
      <c r="O17" s="29"/>
      <c r="P17" s="20">
        <f>P12-P14</f>
        <v>805.48</v>
      </c>
      <c r="Q17" s="14"/>
      <c r="R17" s="22">
        <f>IF(P$12=0,0,P17/P$12)</f>
        <v>0</v>
      </c>
      <c r="S17" s="14"/>
      <c r="T17" s="20">
        <f>T12-T14</f>
        <v>0</v>
      </c>
      <c r="U17" s="14"/>
      <c r="V17" s="22">
        <f>IF(T$12=0,0,T17/T$12)</f>
        <v>0</v>
      </c>
      <c r="W17" s="16"/>
      <c r="X17" s="20">
        <f>+P17-T17</f>
        <v>805.48</v>
      </c>
      <c r="Y17" s="16"/>
      <c r="Z17" s="22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1">
        <f>SUM(OSRRefD22x_0)</f>
        <v>6983.75</v>
      </c>
      <c r="E19" s="21"/>
      <c r="F19" s="33">
        <f t="shared" ref="F19:F29" si="8">IF(D$12=0,0,D19/D$12)</f>
        <v>0</v>
      </c>
      <c r="G19" s="21"/>
      <c r="H19" s="21">
        <f>SUM(OSRRefH22x_0)</f>
        <v>6331.7953308384567</v>
      </c>
      <c r="I19" s="21"/>
      <c r="J19" s="33">
        <f t="shared" ref="J19:J29" si="9">IF(H$12=0,0,H19/H$12)</f>
        <v>0</v>
      </c>
      <c r="K19" s="4"/>
      <c r="L19" s="21">
        <f t="shared" ref="L19:L29" si="10">+D19-H19</f>
        <v>651.95466916154328</v>
      </c>
      <c r="M19" s="4"/>
      <c r="N19" s="33">
        <f t="shared" ref="N19:N29" si="11">IF(H19=0,0,L19/H19)</f>
        <v>0.10296521525044484</v>
      </c>
      <c r="O19" s="10"/>
      <c r="P19" s="21">
        <f>SUM(OSRRefP22x_0)</f>
        <v>61431.380000000005</v>
      </c>
      <c r="Q19" s="21"/>
      <c r="R19" s="33">
        <f t="shared" ref="R19:R29" si="12">IF(P$12=0,0,P19/P$12)</f>
        <v>0</v>
      </c>
      <c r="S19" s="21"/>
      <c r="T19" s="21">
        <f>SUM(OSRRefT22x_0)</f>
        <v>38284.124319611525</v>
      </c>
      <c r="U19" s="21"/>
      <c r="V19" s="33">
        <f t="shared" ref="V19:V29" si="13">IF(T$12=0,0,T19/T$12)</f>
        <v>0</v>
      </c>
      <c r="W19" s="4"/>
      <c r="X19" s="21">
        <f t="shared" ref="X19:X29" si="14">+P19-T19</f>
        <v>23147.25568038848</v>
      </c>
      <c r="Y19" s="4"/>
      <c r="Z19" s="33">
        <f t="shared" ref="Z19:Z29" si="15">IF(T19=0,0,X19/T19)</f>
        <v>0.60461760825834032</v>
      </c>
    </row>
    <row r="20" spans="1:26" s="26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2763.7400000000002</v>
      </c>
      <c r="E20" s="1"/>
      <c r="F20" s="5">
        <f t="shared" si="8"/>
        <v>0</v>
      </c>
      <c r="G20" s="1"/>
      <c r="H20" s="1">
        <f>SUM(OSRRefH22_0x_0)</f>
        <v>2140.130946223077</v>
      </c>
      <c r="I20" s="1"/>
      <c r="J20" s="5">
        <f t="shared" si="9"/>
        <v>0</v>
      </c>
      <c r="K20" s="1"/>
      <c r="L20" s="1">
        <f t="shared" si="10"/>
        <v>623.60905377692325</v>
      </c>
      <c r="M20" s="1"/>
      <c r="N20" s="5">
        <f t="shared" si="11"/>
        <v>0.29138826989884631</v>
      </c>
      <c r="O20" s="13"/>
      <c r="P20" s="1">
        <f>SUM(OSRRefP22_0x_0)</f>
        <v>24810.31</v>
      </c>
      <c r="Q20" s="1"/>
      <c r="R20" s="5">
        <f t="shared" si="12"/>
        <v>0</v>
      </c>
      <c r="S20" s="1"/>
      <c r="T20" s="1">
        <f>SUM(OSRRefT22_0x_0)</f>
        <v>11350.470204226924</v>
      </c>
      <c r="U20" s="1"/>
      <c r="V20" s="5">
        <f t="shared" si="13"/>
        <v>0</v>
      </c>
      <c r="W20" s="1"/>
      <c r="X20" s="1">
        <f t="shared" si="14"/>
        <v>13459.839795773078</v>
      </c>
      <c r="Y20" s="1"/>
      <c r="Z20" s="5">
        <f t="shared" si="15"/>
        <v>1.1858398421909098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6">
        <v>384.92</v>
      </c>
      <c r="E21" s="2"/>
      <c r="F21" s="7">
        <f t="shared" si="8"/>
        <v>0</v>
      </c>
      <c r="G21" s="2"/>
      <c r="H21" s="6">
        <v>350.05369483846198</v>
      </c>
      <c r="I21" s="2"/>
      <c r="J21" s="7">
        <f t="shared" si="9"/>
        <v>0</v>
      </c>
      <c r="K21" s="2"/>
      <c r="L21" s="6">
        <f t="shared" si="10"/>
        <v>34.866305161538037</v>
      </c>
      <c r="M21" s="2"/>
      <c r="N21" s="7">
        <f t="shared" si="11"/>
        <v>9.9602734310882401E-2</v>
      </c>
      <c r="O21" s="11"/>
      <c r="P21" s="6">
        <v>3548.2</v>
      </c>
      <c r="Q21" s="2"/>
      <c r="R21" s="7">
        <f t="shared" si="12"/>
        <v>0</v>
      </c>
      <c r="S21" s="2"/>
      <c r="T21" s="6">
        <v>1925.29532161154</v>
      </c>
      <c r="U21" s="2"/>
      <c r="V21" s="7">
        <f t="shared" si="13"/>
        <v>0</v>
      </c>
      <c r="W21" s="2"/>
      <c r="X21" s="6">
        <f t="shared" si="14"/>
        <v>1622.9046783884598</v>
      </c>
      <c r="Y21" s="2"/>
      <c r="Z21" s="7">
        <f t="shared" si="15"/>
        <v>0.84293804704726105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6">
        <v>17.11</v>
      </c>
      <c r="E22" s="2"/>
      <c r="F22" s="7">
        <f t="shared" si="8"/>
        <v>0</v>
      </c>
      <c r="G22" s="2"/>
      <c r="H22" s="6">
        <v>86.907359230769202</v>
      </c>
      <c r="I22" s="2"/>
      <c r="J22" s="7">
        <f t="shared" si="9"/>
        <v>0</v>
      </c>
      <c r="K22" s="2"/>
      <c r="L22" s="6">
        <f t="shared" si="10"/>
        <v>-69.797359230769203</v>
      </c>
      <c r="M22" s="2"/>
      <c r="N22" s="7">
        <f t="shared" si="11"/>
        <v>-0.80312369226906311</v>
      </c>
      <c r="O22" s="11"/>
      <c r="P22" s="6">
        <v>99.44</v>
      </c>
      <c r="Q22" s="2"/>
      <c r="R22" s="7">
        <f t="shared" si="12"/>
        <v>0</v>
      </c>
      <c r="S22" s="2"/>
      <c r="T22" s="6">
        <v>477.99047576923158</v>
      </c>
      <c r="U22" s="2"/>
      <c r="V22" s="7">
        <f t="shared" si="13"/>
        <v>0</v>
      </c>
      <c r="W22" s="2"/>
      <c r="X22" s="6">
        <f t="shared" si="14"/>
        <v>-378.55047576923158</v>
      </c>
      <c r="Y22" s="2"/>
      <c r="Z22" s="7">
        <f t="shared" si="15"/>
        <v>-0.7919623820119619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6">
        <v>1011.43</v>
      </c>
      <c r="E23" s="2"/>
      <c r="F23" s="7">
        <f t="shared" si="8"/>
        <v>0</v>
      </c>
      <c r="G23" s="2"/>
      <c r="H23" s="6">
        <v>690.5</v>
      </c>
      <c r="I23" s="2"/>
      <c r="J23" s="7">
        <f t="shared" si="9"/>
        <v>0</v>
      </c>
      <c r="K23" s="2"/>
      <c r="L23" s="6">
        <f t="shared" si="10"/>
        <v>320.92999999999995</v>
      </c>
      <c r="M23" s="2"/>
      <c r="N23" s="7">
        <f t="shared" si="11"/>
        <v>0.46477914554670524</v>
      </c>
      <c r="O23" s="11"/>
      <c r="P23" s="6">
        <v>5057.1499999999996</v>
      </c>
      <c r="Q23" s="2"/>
      <c r="R23" s="7">
        <f t="shared" si="12"/>
        <v>0</v>
      </c>
      <c r="S23" s="2"/>
      <c r="T23" s="6">
        <v>3452.5</v>
      </c>
      <c r="U23" s="2"/>
      <c r="V23" s="7">
        <f t="shared" si="13"/>
        <v>0</v>
      </c>
      <c r="W23" s="2"/>
      <c r="X23" s="6">
        <f t="shared" si="14"/>
        <v>1604.6499999999996</v>
      </c>
      <c r="Y23" s="2"/>
      <c r="Z23" s="7">
        <f t="shared" si="15"/>
        <v>0.46477914554670519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6">
        <v>13.08</v>
      </c>
      <c r="E24" s="2"/>
      <c r="F24" s="7">
        <f t="shared" si="8"/>
        <v>0</v>
      </c>
      <c r="G24" s="2"/>
      <c r="H24" s="6">
        <v>11.892586</v>
      </c>
      <c r="I24" s="2"/>
      <c r="J24" s="7">
        <f t="shared" si="9"/>
        <v>0</v>
      </c>
      <c r="K24" s="2"/>
      <c r="L24" s="6">
        <f t="shared" si="10"/>
        <v>1.1874140000000004</v>
      </c>
      <c r="M24" s="2"/>
      <c r="N24" s="7">
        <f t="shared" si="11"/>
        <v>9.9844894962289987E-2</v>
      </c>
      <c r="O24" s="11"/>
      <c r="P24" s="6">
        <v>88.53</v>
      </c>
      <c r="Q24" s="2"/>
      <c r="R24" s="7">
        <f t="shared" si="12"/>
        <v>0</v>
      </c>
      <c r="S24" s="2"/>
      <c r="T24" s="6">
        <v>65.409222999999997</v>
      </c>
      <c r="U24" s="2"/>
      <c r="V24" s="7">
        <f t="shared" si="13"/>
        <v>0</v>
      </c>
      <c r="W24" s="2"/>
      <c r="X24" s="6">
        <f t="shared" si="14"/>
        <v>23.120777000000004</v>
      </c>
      <c r="Y24" s="2"/>
      <c r="Z24" s="7">
        <f t="shared" si="15"/>
        <v>0.35347885113999911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6">
        <v>514.27</v>
      </c>
      <c r="E25" s="2"/>
      <c r="F25" s="7">
        <f t="shared" si="8"/>
        <v>0</v>
      </c>
      <c r="G25" s="2"/>
      <c r="H25" s="6">
        <v>393.37015230769197</v>
      </c>
      <c r="I25" s="2"/>
      <c r="J25" s="7">
        <f t="shared" si="9"/>
        <v>0</v>
      </c>
      <c r="K25" s="2"/>
      <c r="L25" s="6">
        <f t="shared" si="10"/>
        <v>120.89984769230801</v>
      </c>
      <c r="M25" s="2"/>
      <c r="N25" s="7">
        <f t="shared" si="11"/>
        <v>0.3073437244362679</v>
      </c>
      <c r="O25" s="11"/>
      <c r="P25" s="6">
        <v>3480.67</v>
      </c>
      <c r="Q25" s="2"/>
      <c r="R25" s="7">
        <f t="shared" si="12"/>
        <v>0</v>
      </c>
      <c r="S25" s="2"/>
      <c r="T25" s="6">
        <v>2163.5358376923064</v>
      </c>
      <c r="U25" s="2"/>
      <c r="V25" s="7">
        <f t="shared" si="13"/>
        <v>0</v>
      </c>
      <c r="W25" s="2"/>
      <c r="X25" s="6">
        <f t="shared" si="14"/>
        <v>1317.1341623076937</v>
      </c>
      <c r="Y25" s="2"/>
      <c r="Z25" s="7">
        <f t="shared" si="15"/>
        <v>0.60878777201702805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8"/>
        <v>0</v>
      </c>
      <c r="G26" s="2"/>
      <c r="H26" s="6">
        <v>0</v>
      </c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/>
      <c r="Q26" s="2"/>
      <c r="R26" s="7">
        <f t="shared" si="12"/>
        <v>0</v>
      </c>
      <c r="S26" s="2"/>
      <c r="T26" s="6">
        <v>0</v>
      </c>
      <c r="U26" s="2"/>
      <c r="V26" s="7">
        <f t="shared" si="13"/>
        <v>0</v>
      </c>
      <c r="W26" s="2"/>
      <c r="X26" s="6">
        <f t="shared" si="14"/>
        <v>0</v>
      </c>
      <c r="Y26" s="2"/>
      <c r="Z26" s="7">
        <f t="shared" si="15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464.78</v>
      </c>
      <c r="E27" s="2"/>
      <c r="F27" s="7">
        <f t="shared" si="8"/>
        <v>0</v>
      </c>
      <c r="G27" s="2"/>
      <c r="H27" s="6">
        <v>457.40715384615396</v>
      </c>
      <c r="I27" s="2"/>
      <c r="J27" s="7">
        <f t="shared" si="9"/>
        <v>0</v>
      </c>
      <c r="K27" s="2"/>
      <c r="L27" s="6">
        <f t="shared" si="10"/>
        <v>7.3728461538460124</v>
      </c>
      <c r="M27" s="2"/>
      <c r="N27" s="7">
        <f t="shared" si="11"/>
        <v>1.6118781903279596E-2</v>
      </c>
      <c r="O27" s="11"/>
      <c r="P27" s="6">
        <v>3919.03</v>
      </c>
      <c r="Q27" s="2"/>
      <c r="R27" s="7">
        <f t="shared" si="12"/>
        <v>0</v>
      </c>
      <c r="S27" s="2"/>
      <c r="T27" s="6">
        <v>2515.7393461538459</v>
      </c>
      <c r="U27" s="2"/>
      <c r="V27" s="7">
        <f t="shared" si="13"/>
        <v>0</v>
      </c>
      <c r="W27" s="2"/>
      <c r="X27" s="6">
        <f t="shared" si="14"/>
        <v>1403.2906538461543</v>
      </c>
      <c r="Y27" s="2"/>
      <c r="Z27" s="7">
        <f t="shared" si="15"/>
        <v>0.55780447047964499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232.08</v>
      </c>
      <c r="E28" s="2"/>
      <c r="F28" s="7">
        <f t="shared" si="8"/>
        <v>0</v>
      </c>
      <c r="G28" s="2"/>
      <c r="H28" s="6">
        <v>0</v>
      </c>
      <c r="I28" s="2"/>
      <c r="J28" s="7">
        <f t="shared" si="9"/>
        <v>0</v>
      </c>
      <c r="K28" s="2"/>
      <c r="L28" s="6">
        <f t="shared" si="10"/>
        <v>232.08</v>
      </c>
      <c r="M28" s="2"/>
      <c r="N28" s="7">
        <f t="shared" si="11"/>
        <v>0</v>
      </c>
      <c r="O28" s="11"/>
      <c r="P28" s="6">
        <v>7887.88</v>
      </c>
      <c r="Q28" s="2"/>
      <c r="R28" s="7">
        <f t="shared" si="12"/>
        <v>0</v>
      </c>
      <c r="S28" s="2"/>
      <c r="T28" s="6">
        <v>0</v>
      </c>
      <c r="U28" s="2"/>
      <c r="V28" s="7">
        <f t="shared" si="13"/>
        <v>0</v>
      </c>
      <c r="W28" s="2"/>
      <c r="X28" s="6">
        <f t="shared" si="14"/>
        <v>7887.88</v>
      </c>
      <c r="Y28" s="2"/>
      <c r="Z28" s="7">
        <f t="shared" si="15"/>
        <v>0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126.07</v>
      </c>
      <c r="E29" s="2"/>
      <c r="F29" s="7">
        <f t="shared" si="8"/>
        <v>0</v>
      </c>
      <c r="G29" s="2"/>
      <c r="H29" s="6">
        <v>150</v>
      </c>
      <c r="I29" s="2"/>
      <c r="J29" s="7">
        <f t="shared" si="9"/>
        <v>0</v>
      </c>
      <c r="K29" s="2"/>
      <c r="L29" s="6">
        <f t="shared" si="10"/>
        <v>-23.930000000000007</v>
      </c>
      <c r="M29" s="2"/>
      <c r="N29" s="7">
        <f t="shared" si="11"/>
        <v>-0.15953333333333339</v>
      </c>
      <c r="O29" s="11"/>
      <c r="P29" s="6">
        <v>729.41</v>
      </c>
      <c r="Q29" s="2"/>
      <c r="R29" s="7">
        <f t="shared" si="12"/>
        <v>0</v>
      </c>
      <c r="S29" s="2"/>
      <c r="T29" s="6">
        <v>750</v>
      </c>
      <c r="U29" s="2"/>
      <c r="V29" s="7">
        <f t="shared" si="13"/>
        <v>0</v>
      </c>
      <c r="W29" s="2"/>
      <c r="X29" s="6">
        <f t="shared" si="14"/>
        <v>-20.590000000000032</v>
      </c>
      <c r="Y29" s="2"/>
      <c r="Z29" s="7">
        <f t="shared" si="15"/>
        <v>-2.7453333333333375E-2</v>
      </c>
    </row>
    <row r="30" spans="1:26" s="26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4276.78</v>
      </c>
      <c r="E30" s="1"/>
      <c r="F30" s="5">
        <f t="shared" ref="F30:F40" si="16">IF(D$12=0,0,D30/D$12)</f>
        <v>0</v>
      </c>
      <c r="G30" s="1"/>
      <c r="H30" s="1">
        <f>SUM(OSRRefH22_1x_0)</f>
        <v>4116.6643846153802</v>
      </c>
      <c r="I30" s="1"/>
      <c r="J30" s="5">
        <f t="shared" ref="J30:J40" si="17">IF(H$12=0,0,H30/H$12)</f>
        <v>0</v>
      </c>
      <c r="K30" s="1"/>
      <c r="L30" s="1">
        <f t="shared" ref="L30:L40" si="18">+D30-H30</f>
        <v>160.11561538461956</v>
      </c>
      <c r="M30" s="1"/>
      <c r="N30" s="5">
        <f t="shared" ref="N30:N40" si="19">IF(H30=0,0,L30/H30)</f>
        <v>3.8894503030899655E-2</v>
      </c>
      <c r="O30" s="13"/>
      <c r="P30" s="1">
        <f>SUM(OSRRefP22_1x_0)</f>
        <v>23099.18</v>
      </c>
      <c r="Q30" s="1"/>
      <c r="R30" s="5">
        <f t="shared" ref="R30:R40" si="20">IF(P$12=0,0,P30/P$12)</f>
        <v>0</v>
      </c>
      <c r="S30" s="1"/>
      <c r="T30" s="1">
        <f>SUM(OSRRefT22_1x_0)</f>
        <v>22641.654115384601</v>
      </c>
      <c r="U30" s="1"/>
      <c r="V30" s="5">
        <f t="shared" ref="V30:V40" si="21">IF(T$12=0,0,T30/T$12)</f>
        <v>0</v>
      </c>
      <c r="W30" s="1"/>
      <c r="X30" s="1">
        <f t="shared" ref="X30:X40" si="22">+P30-T30</f>
        <v>457.52588461539926</v>
      </c>
      <c r="Y30" s="1"/>
      <c r="Z30" s="5">
        <f t="shared" ref="Z30:Z40" si="23">IF(T30=0,0,X30/T30)</f>
        <v>2.0207264110819474E-2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>
        <v>4276.78</v>
      </c>
      <c r="E31" s="2"/>
      <c r="F31" s="7">
        <f t="shared" si="16"/>
        <v>0</v>
      </c>
      <c r="G31" s="2"/>
      <c r="H31" s="6">
        <v>4116.6643846153802</v>
      </c>
      <c r="I31" s="2"/>
      <c r="J31" s="7">
        <f t="shared" si="17"/>
        <v>0</v>
      </c>
      <c r="K31" s="2"/>
      <c r="L31" s="6">
        <f t="shared" si="18"/>
        <v>160.11561538461956</v>
      </c>
      <c r="M31" s="2"/>
      <c r="N31" s="7">
        <f t="shared" si="19"/>
        <v>3.8894503030899655E-2</v>
      </c>
      <c r="O31" s="11"/>
      <c r="P31" s="6">
        <v>23099.18</v>
      </c>
      <c r="Q31" s="2"/>
      <c r="R31" s="7">
        <f t="shared" si="20"/>
        <v>0</v>
      </c>
      <c r="S31" s="2"/>
      <c r="T31" s="6">
        <v>22641.654115384601</v>
      </c>
      <c r="U31" s="2"/>
      <c r="V31" s="7">
        <f t="shared" si="21"/>
        <v>0</v>
      </c>
      <c r="W31" s="2"/>
      <c r="X31" s="6">
        <f t="shared" si="22"/>
        <v>457.52588461539926</v>
      </c>
      <c r="Y31" s="2"/>
      <c r="Z31" s="7">
        <f t="shared" si="23"/>
        <v>2.0207264110819474E-2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16"/>
        <v>0</v>
      </c>
      <c r="G32" s="2"/>
      <c r="H32" s="6">
        <v>0</v>
      </c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/>
      <c r="Q32" s="2"/>
      <c r="R32" s="7">
        <f t="shared" si="20"/>
        <v>0</v>
      </c>
      <c r="S32" s="2"/>
      <c r="T32" s="6">
        <v>0</v>
      </c>
      <c r="U32" s="2"/>
      <c r="V32" s="7">
        <f t="shared" si="21"/>
        <v>0</v>
      </c>
      <c r="W32" s="2"/>
      <c r="X32" s="6">
        <f t="shared" si="22"/>
        <v>0</v>
      </c>
      <c r="Y32" s="2"/>
      <c r="Z32" s="7">
        <f t="shared" si="23"/>
        <v>0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6"/>
        <v>0</v>
      </c>
      <c r="G33" s="2"/>
      <c r="H33" s="6">
        <v>0</v>
      </c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/>
      <c r="Q33" s="2"/>
      <c r="R33" s="7">
        <f t="shared" si="20"/>
        <v>0</v>
      </c>
      <c r="S33" s="2"/>
      <c r="T33" s="6">
        <v>0</v>
      </c>
      <c r="U33" s="2"/>
      <c r="V33" s="7">
        <f t="shared" si="21"/>
        <v>0</v>
      </c>
      <c r="W33" s="2"/>
      <c r="X33" s="6">
        <f t="shared" si="22"/>
        <v>0</v>
      </c>
      <c r="Y33" s="2"/>
      <c r="Z33" s="7">
        <f t="shared" si="23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6"/>
        <v>0</v>
      </c>
      <c r="G34" s="2"/>
      <c r="H34" s="6">
        <v>0</v>
      </c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0</v>
      </c>
      <c r="U34" s="2"/>
      <c r="V34" s="7">
        <f t="shared" si="21"/>
        <v>0</v>
      </c>
      <c r="W34" s="2"/>
      <c r="X34" s="6">
        <f t="shared" si="22"/>
        <v>0</v>
      </c>
      <c r="Y34" s="2"/>
      <c r="Z34" s="7">
        <f t="shared" si="23"/>
        <v>0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16"/>
        <v>0</v>
      </c>
      <c r="G35" s="2"/>
      <c r="H35" s="6">
        <v>0</v>
      </c>
      <c r="I35" s="2"/>
      <c r="J35" s="7">
        <f t="shared" si="17"/>
        <v>0</v>
      </c>
      <c r="K35" s="2"/>
      <c r="L35" s="6">
        <f t="shared" si="18"/>
        <v>0</v>
      </c>
      <c r="M35" s="2"/>
      <c r="N35" s="7">
        <f t="shared" si="19"/>
        <v>0</v>
      </c>
      <c r="O35" s="11"/>
      <c r="P35" s="6"/>
      <c r="Q35" s="2"/>
      <c r="R35" s="7">
        <f t="shared" si="20"/>
        <v>0</v>
      </c>
      <c r="S35" s="2"/>
      <c r="T35" s="6">
        <v>0</v>
      </c>
      <c r="U35" s="2"/>
      <c r="V35" s="7">
        <f t="shared" si="21"/>
        <v>0</v>
      </c>
      <c r="W35" s="2"/>
      <c r="X35" s="6">
        <f t="shared" si="22"/>
        <v>0</v>
      </c>
      <c r="Y35" s="2"/>
      <c r="Z35" s="7">
        <f t="shared" si="23"/>
        <v>0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6"/>
        <v>0</v>
      </c>
      <c r="G36" s="2"/>
      <c r="H36" s="6">
        <v>0</v>
      </c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/>
      <c r="Q36" s="2"/>
      <c r="R36" s="7">
        <f t="shared" si="20"/>
        <v>0</v>
      </c>
      <c r="S36" s="2"/>
      <c r="T36" s="6">
        <v>0</v>
      </c>
      <c r="U36" s="2"/>
      <c r="V36" s="7">
        <f t="shared" si="21"/>
        <v>0</v>
      </c>
      <c r="W36" s="2"/>
      <c r="X36" s="6">
        <f t="shared" si="22"/>
        <v>0</v>
      </c>
      <c r="Y36" s="2"/>
      <c r="Z36" s="7">
        <f t="shared" si="23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16"/>
        <v>0</v>
      </c>
      <c r="G37" s="2"/>
      <c r="H37" s="6">
        <v>0</v>
      </c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/>
      <c r="Q37" s="2"/>
      <c r="R37" s="7">
        <f t="shared" si="20"/>
        <v>0</v>
      </c>
      <c r="S37" s="2"/>
      <c r="T37" s="6">
        <v>0</v>
      </c>
      <c r="U37" s="2"/>
      <c r="V37" s="7">
        <f t="shared" si="21"/>
        <v>0</v>
      </c>
      <c r="W37" s="2"/>
      <c r="X37" s="6">
        <f t="shared" si="22"/>
        <v>0</v>
      </c>
      <c r="Y37" s="2"/>
      <c r="Z37" s="7">
        <f t="shared" si="23"/>
        <v>0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16"/>
        <v>0</v>
      </c>
      <c r="G38" s="2"/>
      <c r="H38" s="6">
        <v>0</v>
      </c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/>
      <c r="Q38" s="2"/>
      <c r="R38" s="7">
        <f t="shared" si="20"/>
        <v>0</v>
      </c>
      <c r="S38" s="2"/>
      <c r="T38" s="6">
        <v>0</v>
      </c>
      <c r="U38" s="2"/>
      <c r="V38" s="7">
        <f t="shared" si="21"/>
        <v>0</v>
      </c>
      <c r="W38" s="2"/>
      <c r="X38" s="6">
        <f t="shared" si="22"/>
        <v>0</v>
      </c>
      <c r="Y38" s="2"/>
      <c r="Z38" s="7">
        <f t="shared" si="23"/>
        <v>0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6"/>
        <v>0</v>
      </c>
      <c r="G39" s="2"/>
      <c r="H39" s="6">
        <v>0</v>
      </c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1"/>
      <c r="P39" s="6"/>
      <c r="Q39" s="2"/>
      <c r="R39" s="7">
        <f t="shared" si="20"/>
        <v>0</v>
      </c>
      <c r="S39" s="2"/>
      <c r="T39" s="6">
        <v>0</v>
      </c>
      <c r="U39" s="2"/>
      <c r="V39" s="7">
        <f t="shared" si="21"/>
        <v>0</v>
      </c>
      <c r="W39" s="2"/>
      <c r="X39" s="6">
        <f t="shared" si="22"/>
        <v>0</v>
      </c>
      <c r="Y39" s="2"/>
      <c r="Z39" s="7">
        <f t="shared" si="23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6"/>
        <v>0</v>
      </c>
      <c r="G40" s="2"/>
      <c r="H40" s="6">
        <v>0</v>
      </c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0</v>
      </c>
      <c r="U40" s="2"/>
      <c r="V40" s="7">
        <f t="shared" si="21"/>
        <v>0</v>
      </c>
      <c r="W40" s="2"/>
      <c r="X40" s="6">
        <f t="shared" si="22"/>
        <v>0</v>
      </c>
      <c r="Y40" s="2"/>
      <c r="Z40" s="7">
        <f t="shared" si="23"/>
        <v>0</v>
      </c>
    </row>
    <row r="41" spans="1:26" s="26" customFormat="1" outlineLevel="1" collapsed="1" x14ac:dyDescent="0.25">
      <c r="A41" s="27"/>
      <c r="B41" s="13" t="str">
        <f>CONCATENATE("     ","General                                           ")</f>
        <v xml:space="preserve">     General                                           </v>
      </c>
      <c r="C41" s="13"/>
      <c r="D41" s="1">
        <f>SUM(OSRRefD22_2x_0)</f>
        <v>0</v>
      </c>
      <c r="E41" s="1"/>
      <c r="F41" s="5">
        <f t="shared" ref="F41:F48" si="24">IF(D$12=0,0,D41/D$12)</f>
        <v>0</v>
      </c>
      <c r="G41" s="1"/>
      <c r="H41" s="1">
        <f>SUM(OSRRefH22_2x_0)</f>
        <v>0</v>
      </c>
      <c r="I41" s="1"/>
      <c r="J41" s="5">
        <f t="shared" ref="J41:J48" si="25">IF(H$12=0,0,H41/H$12)</f>
        <v>0</v>
      </c>
      <c r="K41" s="1"/>
      <c r="L41" s="1">
        <f t="shared" ref="L41:L48" si="26">+D41-H41</f>
        <v>0</v>
      </c>
      <c r="M41" s="1"/>
      <c r="N41" s="5">
        <f t="shared" ref="N41:N48" si="27">IF(H41=0,0,L41/H41)</f>
        <v>0</v>
      </c>
      <c r="O41" s="13"/>
      <c r="P41" s="1">
        <f>SUM(OSRRefP22_2x_0)</f>
        <v>2443.65</v>
      </c>
      <c r="Q41" s="1"/>
      <c r="R41" s="5">
        <f t="shared" ref="R41:R48" si="28">IF(P$12=0,0,P41/P$12)</f>
        <v>0</v>
      </c>
      <c r="S41" s="1"/>
      <c r="T41" s="1">
        <f>SUM(OSRRefT22_2x_0)</f>
        <v>2500</v>
      </c>
      <c r="U41" s="1"/>
      <c r="V41" s="5">
        <f t="shared" ref="V41:V48" si="29">IF(T$12=0,0,T41/T$12)</f>
        <v>0</v>
      </c>
      <c r="W41" s="1"/>
      <c r="X41" s="1">
        <f t="shared" ref="X41:X48" si="30">+P41-T41</f>
        <v>-56.349999999999909</v>
      </c>
      <c r="Y41" s="1"/>
      <c r="Z41" s="5">
        <f t="shared" ref="Z41:Z48" si="31">IF(T41=0,0,X41/T41)</f>
        <v>-2.2539999999999963E-2</v>
      </c>
    </row>
    <row r="42" spans="1:26" s="24" customFormat="1" hidden="1" outlineLevel="2" x14ac:dyDescent="0.25">
      <c r="A42" s="25"/>
      <c r="B42" s="11" t="str">
        <f>CONCATENATE("          ", "6279", " - ", "GENERAL EXPENSE")</f>
        <v xml:space="preserve">          6279 - GENERAL EXPENSE</v>
      </c>
      <c r="C42" s="11"/>
      <c r="D42" s="6"/>
      <c r="E42" s="2"/>
      <c r="F42" s="7">
        <f t="shared" si="24"/>
        <v>0</v>
      </c>
      <c r="G42" s="2"/>
      <c r="H42" s="6"/>
      <c r="I42" s="2"/>
      <c r="J42" s="7">
        <f t="shared" si="25"/>
        <v>0</v>
      </c>
      <c r="K42" s="2"/>
      <c r="L42" s="6">
        <f t="shared" si="26"/>
        <v>0</v>
      </c>
      <c r="M42" s="2"/>
      <c r="N42" s="7">
        <f t="shared" si="27"/>
        <v>0</v>
      </c>
      <c r="O42" s="11"/>
      <c r="P42" s="6">
        <v>2443.65</v>
      </c>
      <c r="Q42" s="2"/>
      <c r="R42" s="7">
        <f t="shared" si="28"/>
        <v>0</v>
      </c>
      <c r="S42" s="2"/>
      <c r="T42" s="6">
        <v>2500</v>
      </c>
      <c r="U42" s="2"/>
      <c r="V42" s="7">
        <f t="shared" si="29"/>
        <v>0</v>
      </c>
      <c r="W42" s="2"/>
      <c r="X42" s="6">
        <f t="shared" si="30"/>
        <v>-56.349999999999909</v>
      </c>
      <c r="Y42" s="2"/>
      <c r="Z42" s="7">
        <f t="shared" si="31"/>
        <v>-2.2539999999999963E-2</v>
      </c>
    </row>
    <row r="43" spans="1:26" s="26" customFormat="1" outlineLevel="1" collapsed="1" x14ac:dyDescent="0.25">
      <c r="A43" s="27"/>
      <c r="B43" s="13" t="str">
        <f>CONCATENATE("     ","Royalty &amp; Commissions                             ")</f>
        <v xml:space="preserve">     Royalty &amp; Commissions                             </v>
      </c>
      <c r="C43" s="13"/>
      <c r="D43" s="1">
        <f>SUM(OSRRefD22_3x_0)</f>
        <v>0</v>
      </c>
      <c r="E43" s="1"/>
      <c r="F43" s="5">
        <f t="shared" si="24"/>
        <v>0</v>
      </c>
      <c r="G43" s="1"/>
      <c r="H43" s="1">
        <f>SUM(OSRRefH22_3x_0)</f>
        <v>0</v>
      </c>
      <c r="I43" s="1"/>
      <c r="J43" s="5">
        <f t="shared" si="25"/>
        <v>0</v>
      </c>
      <c r="K43" s="1"/>
      <c r="L43" s="1">
        <f t="shared" si="26"/>
        <v>0</v>
      </c>
      <c r="M43" s="1"/>
      <c r="N43" s="5">
        <f t="shared" si="27"/>
        <v>0</v>
      </c>
      <c r="O43" s="13"/>
      <c r="P43" s="1">
        <f>SUM(OSRRefP22_3x_0)</f>
        <v>10393.31</v>
      </c>
      <c r="Q43" s="1"/>
      <c r="R43" s="5">
        <f t="shared" si="28"/>
        <v>0</v>
      </c>
      <c r="S43" s="1"/>
      <c r="T43" s="1">
        <f>SUM(OSRRefT22_3x_0)</f>
        <v>1117</v>
      </c>
      <c r="U43" s="1"/>
      <c r="V43" s="5">
        <f t="shared" si="29"/>
        <v>0</v>
      </c>
      <c r="W43" s="1"/>
      <c r="X43" s="1">
        <f t="shared" si="30"/>
        <v>9276.31</v>
      </c>
      <c r="Y43" s="1"/>
      <c r="Z43" s="5">
        <f t="shared" si="31"/>
        <v>8.3046642793196064</v>
      </c>
    </row>
    <row r="44" spans="1:26" s="24" customFormat="1" hidden="1" outlineLevel="2" x14ac:dyDescent="0.25">
      <c r="A44" s="25"/>
      <c r="B44" s="11" t="str">
        <f>CONCATENATE("          ", "6254", " - ", "ROYALTY &amp; COMMISSIONS")</f>
        <v xml:space="preserve">          6254 - ROYALTY &amp; COMMISSIONS</v>
      </c>
      <c r="C44" s="11"/>
      <c r="D44" s="6"/>
      <c r="E44" s="2"/>
      <c r="F44" s="7">
        <f t="shared" si="24"/>
        <v>0</v>
      </c>
      <c r="G44" s="2"/>
      <c r="H44" s="6"/>
      <c r="I44" s="2"/>
      <c r="J44" s="7">
        <f t="shared" si="25"/>
        <v>0</v>
      </c>
      <c r="K44" s="2"/>
      <c r="L44" s="6">
        <f t="shared" si="26"/>
        <v>0</v>
      </c>
      <c r="M44" s="2"/>
      <c r="N44" s="7">
        <f t="shared" si="27"/>
        <v>0</v>
      </c>
      <c r="O44" s="11"/>
      <c r="P44" s="6">
        <v>10393.31</v>
      </c>
      <c r="Q44" s="2"/>
      <c r="R44" s="7">
        <f t="shared" si="28"/>
        <v>0</v>
      </c>
      <c r="S44" s="2"/>
      <c r="T44" s="6">
        <v>1117</v>
      </c>
      <c r="U44" s="2"/>
      <c r="V44" s="7">
        <f t="shared" si="29"/>
        <v>0</v>
      </c>
      <c r="W44" s="2"/>
      <c r="X44" s="6">
        <f t="shared" si="30"/>
        <v>9276.31</v>
      </c>
      <c r="Y44" s="2"/>
      <c r="Z44" s="7">
        <f t="shared" si="31"/>
        <v>8.3046642793196064</v>
      </c>
    </row>
    <row r="45" spans="1:26" s="26" customFormat="1" outlineLevel="1" collapsed="1" x14ac:dyDescent="0.25">
      <c r="A45" s="27"/>
      <c r="B45" s="13" t="str">
        <f>CONCATENATE("     ","Supplies                                          ")</f>
        <v xml:space="preserve">     Supplies                                          </v>
      </c>
      <c r="C45" s="13"/>
      <c r="D45" s="1">
        <f>SUM(OSRRefD22_4x_0)</f>
        <v>5.78</v>
      </c>
      <c r="E45" s="1"/>
      <c r="F45" s="5">
        <f t="shared" si="24"/>
        <v>0</v>
      </c>
      <c r="G45" s="1"/>
      <c r="H45" s="1">
        <f>SUM(OSRRefH22_4x_0)</f>
        <v>0</v>
      </c>
      <c r="I45" s="1"/>
      <c r="J45" s="5">
        <f t="shared" si="25"/>
        <v>0</v>
      </c>
      <c r="K45" s="1"/>
      <c r="L45" s="1">
        <f t="shared" si="26"/>
        <v>5.78</v>
      </c>
      <c r="M45" s="1"/>
      <c r="N45" s="5">
        <f t="shared" si="27"/>
        <v>0</v>
      </c>
      <c r="O45" s="13"/>
      <c r="P45" s="1">
        <f>SUM(OSRRefP22_4x_0)</f>
        <v>37.53</v>
      </c>
      <c r="Q45" s="1"/>
      <c r="R45" s="5">
        <f t="shared" si="28"/>
        <v>0</v>
      </c>
      <c r="S45" s="1"/>
      <c r="T45" s="1">
        <f>SUM(OSRRefT22_4x_0)</f>
        <v>0</v>
      </c>
      <c r="U45" s="1"/>
      <c r="V45" s="5">
        <f t="shared" si="29"/>
        <v>0</v>
      </c>
      <c r="W45" s="1"/>
      <c r="X45" s="1">
        <f t="shared" si="30"/>
        <v>37.53</v>
      </c>
      <c r="Y45" s="1"/>
      <c r="Z45" s="5">
        <f t="shared" si="31"/>
        <v>0</v>
      </c>
    </row>
    <row r="46" spans="1:26" s="24" customFormat="1" hidden="1" outlineLevel="2" x14ac:dyDescent="0.25">
      <c r="A46" s="25"/>
      <c r="B46" s="11" t="str">
        <f>CONCATENATE("          ", "6241", " - ", "OFFICE EXPENSE")</f>
        <v xml:space="preserve">          6241 - OFFICE EXPENSE</v>
      </c>
      <c r="C46" s="11"/>
      <c r="D46" s="6">
        <v>5.78</v>
      </c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5.78</v>
      </c>
      <c r="M46" s="2"/>
      <c r="N46" s="7">
        <f t="shared" si="27"/>
        <v>0</v>
      </c>
      <c r="O46" s="11"/>
      <c r="P46" s="6">
        <v>37.53</v>
      </c>
      <c r="Q46" s="2"/>
      <c r="R46" s="7">
        <f t="shared" si="28"/>
        <v>0</v>
      </c>
      <c r="S46" s="2"/>
      <c r="T46" s="6"/>
      <c r="U46" s="2"/>
      <c r="V46" s="7">
        <f t="shared" si="29"/>
        <v>0</v>
      </c>
      <c r="W46" s="2"/>
      <c r="X46" s="6">
        <f t="shared" si="30"/>
        <v>37.53</v>
      </c>
      <c r="Y46" s="2"/>
      <c r="Z46" s="7">
        <f t="shared" si="31"/>
        <v>0</v>
      </c>
    </row>
    <row r="47" spans="1:26" s="26" customFormat="1" outlineLevel="1" collapsed="1" x14ac:dyDescent="0.25">
      <c r="A47" s="27"/>
      <c r="B47" s="13" t="str">
        <f>CONCATENATE("     ","Telephone/Data Lines                              ")</f>
        <v xml:space="preserve">     Telephone/Data Lines                              </v>
      </c>
      <c r="C47" s="13"/>
      <c r="D47" s="1">
        <f>SUM(OSRRefD22_5x_0)</f>
        <v>-62.55</v>
      </c>
      <c r="E47" s="1"/>
      <c r="F47" s="5">
        <f t="shared" si="24"/>
        <v>0</v>
      </c>
      <c r="G47" s="1"/>
      <c r="H47" s="1">
        <f>SUM(OSRRefH22_5x_0)</f>
        <v>75</v>
      </c>
      <c r="I47" s="1"/>
      <c r="J47" s="5">
        <f t="shared" si="25"/>
        <v>0</v>
      </c>
      <c r="K47" s="1"/>
      <c r="L47" s="1">
        <f t="shared" si="26"/>
        <v>-137.55000000000001</v>
      </c>
      <c r="M47" s="1"/>
      <c r="N47" s="5">
        <f t="shared" si="27"/>
        <v>-1.8340000000000001</v>
      </c>
      <c r="O47" s="13"/>
      <c r="P47" s="1">
        <f>SUM(OSRRefP22_5x_0)</f>
        <v>647.4</v>
      </c>
      <c r="Q47" s="1"/>
      <c r="R47" s="5">
        <f t="shared" si="28"/>
        <v>0</v>
      </c>
      <c r="S47" s="1"/>
      <c r="T47" s="1">
        <f>SUM(OSRRefT22_5x_0)</f>
        <v>675</v>
      </c>
      <c r="U47" s="1"/>
      <c r="V47" s="5">
        <f t="shared" si="29"/>
        <v>0</v>
      </c>
      <c r="W47" s="1"/>
      <c r="X47" s="1">
        <f t="shared" si="30"/>
        <v>-27.600000000000023</v>
      </c>
      <c r="Y47" s="1"/>
      <c r="Z47" s="5">
        <f t="shared" si="31"/>
        <v>-4.0888888888888926E-2</v>
      </c>
    </row>
    <row r="48" spans="1:26" s="24" customFormat="1" hidden="1" outlineLevel="2" x14ac:dyDescent="0.25">
      <c r="A48" s="25"/>
      <c r="B48" s="11" t="str">
        <f>CONCATENATE("          ", "6309", " - ", "TELEPHONE")</f>
        <v xml:space="preserve">          6309 - TELEPHONE</v>
      </c>
      <c r="C48" s="11"/>
      <c r="D48" s="6">
        <v>-62.55</v>
      </c>
      <c r="E48" s="2"/>
      <c r="F48" s="7">
        <f t="shared" si="24"/>
        <v>0</v>
      </c>
      <c r="G48" s="2"/>
      <c r="H48" s="6">
        <v>75</v>
      </c>
      <c r="I48" s="2"/>
      <c r="J48" s="7">
        <f t="shared" si="25"/>
        <v>0</v>
      </c>
      <c r="K48" s="2"/>
      <c r="L48" s="6">
        <f t="shared" si="26"/>
        <v>-137.55000000000001</v>
      </c>
      <c r="M48" s="2"/>
      <c r="N48" s="7">
        <f t="shared" si="27"/>
        <v>-1.8340000000000001</v>
      </c>
      <c r="O48" s="11"/>
      <c r="P48" s="6">
        <v>647.4</v>
      </c>
      <c r="Q48" s="2"/>
      <c r="R48" s="7">
        <f t="shared" si="28"/>
        <v>0</v>
      </c>
      <c r="S48" s="2"/>
      <c r="T48" s="6">
        <v>675</v>
      </c>
      <c r="U48" s="2"/>
      <c r="V48" s="7">
        <f t="shared" si="29"/>
        <v>0</v>
      </c>
      <c r="W48" s="2"/>
      <c r="X48" s="6">
        <f t="shared" si="30"/>
        <v>-27.600000000000023</v>
      </c>
      <c r="Y48" s="2"/>
      <c r="Z48" s="7">
        <f t="shared" si="31"/>
        <v>-4.0888888888888926E-2</v>
      </c>
    </row>
    <row r="49" spans="1:26" s="59" customFormat="1" x14ac:dyDescent="0.25">
      <c r="A49" s="36"/>
      <c r="B49" s="36"/>
      <c r="C49" s="36"/>
      <c r="D49" s="1"/>
      <c r="E49" s="1"/>
      <c r="F49" s="5"/>
      <c r="G49" s="1"/>
      <c r="H49" s="1"/>
      <c r="I49" s="1"/>
      <c r="J49" s="5"/>
      <c r="K49" s="1"/>
      <c r="L49" s="1"/>
      <c r="M49" s="1"/>
      <c r="N49" s="5"/>
      <c r="O49" s="36"/>
      <c r="P49" s="1"/>
      <c r="Q49" s="1"/>
      <c r="R49" s="5"/>
      <c r="S49" s="1"/>
      <c r="T49" s="1"/>
      <c r="U49" s="1"/>
      <c r="V49" s="5"/>
      <c r="W49" s="1"/>
      <c r="X49" s="1"/>
      <c r="Y49" s="1"/>
      <c r="Z49" s="5"/>
    </row>
    <row r="50" spans="1:26" s="23" customFormat="1" collapsed="1" x14ac:dyDescent="0.25">
      <c r="A50" s="10"/>
      <c r="B50" s="29" t="s">
        <v>0</v>
      </c>
      <c r="C50" s="10"/>
      <c r="D50" s="4">
        <f>SUM(OSRRefD25x_0)</f>
        <v>13054.32</v>
      </c>
      <c r="E50" s="4"/>
      <c r="F50" s="12">
        <f t="shared" ref="F50:F51" si="32">IF(D$12=0,0,D50/D$12)</f>
        <v>0</v>
      </c>
      <c r="G50" s="4"/>
      <c r="H50" s="4">
        <f>SUM(OSRRefH25x_0)</f>
        <v>45110</v>
      </c>
      <c r="I50" s="4"/>
      <c r="J50" s="12">
        <f t="shared" ref="J50:J51" si="33">IF(H$12=0,0,H50/H$12)</f>
        <v>0</v>
      </c>
      <c r="K50" s="4"/>
      <c r="L50" s="4">
        <f t="shared" ref="L50:L51" si="34">+D50-H50</f>
        <v>-32055.68</v>
      </c>
      <c r="M50" s="4"/>
      <c r="N50" s="12">
        <f t="shared" ref="N50:N51" si="35">IF(H50=0,0,L50/H50)</f>
        <v>-0.71061139436931942</v>
      </c>
      <c r="O50" s="10"/>
      <c r="P50" s="4">
        <f>SUM(OSRRefP25x_0)</f>
        <v>71483.75</v>
      </c>
      <c r="Q50" s="4"/>
      <c r="R50" s="12">
        <f t="shared" ref="R50:R51" si="36">IF(P$12=0,0,P50/P$12)</f>
        <v>0</v>
      </c>
      <c r="S50" s="4"/>
      <c r="T50" s="4">
        <f>SUM(OSRRefT25x_0)</f>
        <v>86759</v>
      </c>
      <c r="U50" s="4"/>
      <c r="V50" s="12">
        <f t="shared" ref="V50:V51" si="37">IF(T$12=0,0,T50/T$12)</f>
        <v>0</v>
      </c>
      <c r="W50" s="4"/>
      <c r="X50" s="4">
        <f t="shared" ref="X50:X51" si="38">+P50-T50</f>
        <v>-15275.25</v>
      </c>
      <c r="Y50" s="4"/>
      <c r="Z50" s="12">
        <f t="shared" ref="Z50:Z51" si="39">IF(T50=0,0,X50/T50)</f>
        <v>-0.17606530734563561</v>
      </c>
    </row>
    <row r="51" spans="1:26" s="24" customFormat="1" hidden="1" outlineLevel="1" x14ac:dyDescent="0.25">
      <c r="A51" s="44"/>
      <c r="B51" s="11" t="str">
        <f>CONCATENATE("          ", "9150", " - ", "MISC. INCOME")</f>
        <v xml:space="preserve">          9150 - MISC. INCOME</v>
      </c>
      <c r="C51" s="11"/>
      <c r="D51" s="2">
        <f>--13054.32</f>
        <v>13054.32</v>
      </c>
      <c r="E51" s="2"/>
      <c r="F51" s="19">
        <f t="shared" si="32"/>
        <v>0</v>
      </c>
      <c r="G51" s="2"/>
      <c r="H51" s="2">
        <v>45110</v>
      </c>
      <c r="I51" s="2"/>
      <c r="J51" s="19">
        <f t="shared" si="33"/>
        <v>0</v>
      </c>
      <c r="K51" s="2"/>
      <c r="L51" s="2">
        <f t="shared" si="34"/>
        <v>-32055.68</v>
      </c>
      <c r="M51" s="2"/>
      <c r="N51" s="19">
        <f t="shared" si="35"/>
        <v>-0.71061139436931942</v>
      </c>
      <c r="O51" s="11"/>
      <c r="P51" s="2">
        <f>--71483.75</f>
        <v>71483.75</v>
      </c>
      <c r="Q51" s="2"/>
      <c r="R51" s="19">
        <f t="shared" si="36"/>
        <v>0</v>
      </c>
      <c r="S51" s="2"/>
      <c r="T51" s="2">
        <v>86759</v>
      </c>
      <c r="U51" s="2"/>
      <c r="V51" s="19">
        <f t="shared" si="37"/>
        <v>0</v>
      </c>
      <c r="W51" s="2"/>
      <c r="X51" s="2">
        <f t="shared" si="38"/>
        <v>-15275.25</v>
      </c>
      <c r="Y51" s="2"/>
      <c r="Z51" s="19">
        <f t="shared" si="39"/>
        <v>-0.17606530734563561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8" t="s">
        <v>3</v>
      </c>
      <c r="C53" s="28"/>
      <c r="D53" s="20">
        <f>+D17-D19+D50</f>
        <v>6070.57</v>
      </c>
      <c r="E53" s="14"/>
      <c r="F53" s="22">
        <f>IF(D$12=0,0,D53/D$12)</f>
        <v>0</v>
      </c>
      <c r="G53" s="14"/>
      <c r="H53" s="20">
        <f>+H17-H19+H50</f>
        <v>38778.20466916154</v>
      </c>
      <c r="I53" s="14"/>
      <c r="J53" s="22">
        <f>IF(H$12=0,0,H53/H$12)</f>
        <v>0</v>
      </c>
      <c r="K53" s="16"/>
      <c r="L53" s="20">
        <f>+D53-H53</f>
        <v>-32707.63466916154</v>
      </c>
      <c r="M53" s="16"/>
      <c r="N53" s="22">
        <f>IF(H53=0,0,L53/H53)</f>
        <v>-0.84345407293113717</v>
      </c>
      <c r="O53" s="29"/>
      <c r="P53" s="20">
        <f>+P17-P19+P50</f>
        <v>10857.849999999999</v>
      </c>
      <c r="Q53" s="14"/>
      <c r="R53" s="22">
        <f>IF(P$12=0,0,P53/P$12)</f>
        <v>0</v>
      </c>
      <c r="S53" s="14"/>
      <c r="T53" s="20">
        <f>+T17-T19+T50</f>
        <v>48474.875680388475</v>
      </c>
      <c r="U53" s="14"/>
      <c r="V53" s="22">
        <f>IF(T$12=0,0,T53/T$12)</f>
        <v>0</v>
      </c>
      <c r="W53" s="16"/>
      <c r="X53" s="20">
        <f>+P53-T53</f>
        <v>-37617.025680388477</v>
      </c>
      <c r="Y53" s="16"/>
      <c r="Z53" s="22">
        <f>IF(T53=0,0,X53/T53)</f>
        <v>-0.77601077160899723</v>
      </c>
    </row>
    <row r="54" spans="1:26" x14ac:dyDescent="0.2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52"/>
      <c r="B55" s="10" t="s">
        <v>14</v>
      </c>
      <c r="C55" s="10"/>
      <c r="D55" s="4"/>
      <c r="E55" s="4"/>
      <c r="F55" s="12">
        <f>IF(D$12=0,0,D55/D$12)</f>
        <v>0</v>
      </c>
      <c r="G55" s="4"/>
      <c r="H55" s="4"/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/>
      <c r="Q55" s="4"/>
      <c r="R55" s="12">
        <f>IF(P$12=0,0,P55/P$12)</f>
        <v>0</v>
      </c>
      <c r="S55" s="4"/>
      <c r="T55" s="4"/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8" t="s">
        <v>4</v>
      </c>
      <c r="C57" s="28"/>
      <c r="D57" s="30">
        <f>+D53-D55</f>
        <v>6070.57</v>
      </c>
      <c r="E57" s="14"/>
      <c r="F57" s="32">
        <f>IF(D$12=0,0,D57/D$12)</f>
        <v>0</v>
      </c>
      <c r="G57" s="14"/>
      <c r="H57" s="30">
        <f>+H53-H55</f>
        <v>38778.20466916154</v>
      </c>
      <c r="I57" s="14"/>
      <c r="J57" s="32">
        <f>IF(H$12=0,0,H57/H$12)</f>
        <v>0</v>
      </c>
      <c r="K57" s="16"/>
      <c r="L57" s="30">
        <f>D57-H57</f>
        <v>-32707.63466916154</v>
      </c>
      <c r="M57" s="16"/>
      <c r="N57" s="32">
        <f>IF(H57=0,0,L57/H57)</f>
        <v>-0.84345407293113717</v>
      </c>
      <c r="O57" s="29"/>
      <c r="P57" s="30">
        <f>+P53-P55</f>
        <v>10857.849999999999</v>
      </c>
      <c r="Q57" s="14"/>
      <c r="R57" s="32">
        <f>IF(P$12=0,0,P57/P$12)</f>
        <v>0</v>
      </c>
      <c r="S57" s="14"/>
      <c r="T57" s="30">
        <f>+T53-T55</f>
        <v>48474.875680388475</v>
      </c>
      <c r="U57" s="14"/>
      <c r="V57" s="32">
        <f>IF(T$12=0,0,T57/T$12)</f>
        <v>0</v>
      </c>
      <c r="W57" s="16"/>
      <c r="X57" s="30">
        <f>P57-T57</f>
        <v>-37617.025680388477</v>
      </c>
      <c r="Y57" s="16"/>
      <c r="Z57" s="32">
        <f>IF(T57=0,0,X57/T57)</f>
        <v>-0.77601077160899723</v>
      </c>
    </row>
    <row r="58" spans="1:26" ht="15.75" thickTop="1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8" t="s">
        <v>5</v>
      </c>
      <c r="C60" s="28"/>
      <c r="D60" s="31">
        <f>SUM(D57:D59)</f>
        <v>6070.57</v>
      </c>
      <c r="E60" s="14"/>
      <c r="F60" s="35">
        <f>IF(D$12=0,0,D60/D$12)</f>
        <v>0</v>
      </c>
      <c r="G60" s="14"/>
      <c r="H60" s="31">
        <f>SUM(H57:H59)</f>
        <v>38778.20466916154</v>
      </c>
      <c r="I60" s="14"/>
      <c r="J60" s="35">
        <f>IF(H$12=0,0,H60/H$12)</f>
        <v>0</v>
      </c>
      <c r="K60" s="16"/>
      <c r="L60" s="31">
        <f>+D60-H60</f>
        <v>-32707.63466916154</v>
      </c>
      <c r="M60" s="16"/>
      <c r="N60" s="35">
        <f>IF(H60=0,0,L60/H60)</f>
        <v>-0.84345407293113717</v>
      </c>
      <c r="O60" s="29"/>
      <c r="P60" s="31">
        <f>SUM(P57:P59)</f>
        <v>10857.849999999999</v>
      </c>
      <c r="Q60" s="14"/>
      <c r="R60" s="35">
        <f>IF(P$12=0,0,P60/P$12)</f>
        <v>0</v>
      </c>
      <c r="S60" s="14"/>
      <c r="T60" s="31">
        <f>SUM(T57:T59)</f>
        <v>48474.875680388475</v>
      </c>
      <c r="U60" s="14"/>
      <c r="V60" s="35">
        <f>IF(T$12=0,0,T60/T$12)</f>
        <v>0</v>
      </c>
      <c r="W60" s="16"/>
      <c r="X60" s="31">
        <f>+P60-T60</f>
        <v>-37617.025680388477</v>
      </c>
      <c r="Y60" s="16"/>
      <c r="Z60" s="35">
        <f>IF(T60=0,0,X60/T60)</f>
        <v>-0.77601077160899723</v>
      </c>
    </row>
    <row r="61" spans="1:26" ht="15.75" thickTop="1" x14ac:dyDescent="0.25">
      <c r="A61" s="9"/>
      <c r="C61" s="9"/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  <row r="62" spans="1:26" x14ac:dyDescent="0.25">
      <c r="A62" s="9"/>
      <c r="B62" s="56">
        <v>43815.484105787036</v>
      </c>
      <c r="D62" s="17"/>
      <c r="E62" s="17"/>
      <c r="G62" s="17"/>
      <c r="H62" s="17"/>
      <c r="I62" s="17"/>
      <c r="J62" s="43"/>
      <c r="K62" s="17"/>
      <c r="L62" s="17"/>
      <c r="M62" s="17"/>
      <c r="P62" s="17"/>
      <c r="Q62" s="17"/>
      <c r="R62" s="43"/>
      <c r="S62" s="17"/>
      <c r="T62" s="17"/>
      <c r="U62" s="17"/>
      <c r="V62" s="43"/>
      <c r="W62" s="17"/>
      <c r="X62" s="17"/>
    </row>
    <row r="63" spans="1:26" x14ac:dyDescent="0.25">
      <c r="A63" s="9"/>
      <c r="B63" s="62" t="s">
        <v>314</v>
      </c>
      <c r="D63" s="17"/>
      <c r="E63" s="17"/>
      <c r="G63" s="17"/>
      <c r="H63" s="17"/>
      <c r="I63" s="17"/>
      <c r="J63" s="43"/>
      <c r="K63" s="17"/>
      <c r="L63" s="17"/>
      <c r="M63" s="17"/>
      <c r="P63" s="17"/>
      <c r="Q63" s="17"/>
      <c r="R63" s="43"/>
      <c r="S63" s="17"/>
      <c r="T63" s="17"/>
      <c r="U63" s="17"/>
      <c r="V63" s="43"/>
      <c r="W63" s="17"/>
      <c r="X63" s="17"/>
    </row>
    <row r="64" spans="1:26" x14ac:dyDescent="0.25">
      <c r="A64" s="9"/>
      <c r="B64" s="58"/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  <row r="65" spans="4:24" x14ac:dyDescent="0.25"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","424", " - ", "Blair Field")</f>
        <v>Department 424 - Blair Field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0</v>
      </c>
      <c r="M12" s="4"/>
      <c r="N12" s="12">
        <f t="shared" ref="N12:N15" si="1">IF(H12=0,0,L12/H12)</f>
        <v>0</v>
      </c>
      <c r="O12" s="10"/>
      <c r="P12" s="4">
        <f>SUM(OSRRefP13x_0)</f>
        <v>19851.87</v>
      </c>
      <c r="Q12" s="4"/>
      <c r="R12" s="12"/>
      <c r="S12" s="4"/>
      <c r="T12" s="4">
        <f>SUM(OSRRefT13x_0)</f>
        <v>20000</v>
      </c>
      <c r="U12" s="4"/>
      <c r="V12" s="12"/>
      <c r="W12" s="4"/>
      <c r="X12" s="4">
        <f t="shared" ref="X12:X15" si="2">+P12-T12</f>
        <v>-148.13000000000102</v>
      </c>
      <c r="Y12" s="4"/>
      <c r="Z12" s="12">
        <f t="shared" ref="Z12:Z15" si="3">IF(T12=0,0,X12/T12)</f>
        <v>-7.4065000000000511E-3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19"/>
      <c r="G13" s="2"/>
      <c r="H13" s="2"/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v>5000</v>
      </c>
      <c r="U13" s="2"/>
      <c r="V13" s="19"/>
      <c r="W13" s="2"/>
      <c r="X13" s="2">
        <f t="shared" si="2"/>
        <v>-5000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 t="shared" si="4"/>
        <v>0</v>
      </c>
      <c r="E14" s="2"/>
      <c r="F14" s="19"/>
      <c r="G14" s="2"/>
      <c r="H14" s="2"/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--19851.87</f>
        <v>19851.87</v>
      </c>
      <c r="Q14" s="2"/>
      <c r="R14" s="19"/>
      <c r="S14" s="2"/>
      <c r="T14" s="2"/>
      <c r="U14" s="2"/>
      <c r="V14" s="19"/>
      <c r="W14" s="2"/>
      <c r="X14" s="2">
        <f t="shared" si="2"/>
        <v>19851.87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0</f>
        <v>0</v>
      </c>
      <c r="Q15" s="2"/>
      <c r="R15" s="19"/>
      <c r="S15" s="2"/>
      <c r="T15" s="2">
        <v>15000</v>
      </c>
      <c r="U15" s="2"/>
      <c r="V15" s="19"/>
      <c r="W15" s="2"/>
      <c r="X15" s="2">
        <f t="shared" si="2"/>
        <v>-15000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9" t="s">
        <v>8</v>
      </c>
      <c r="C17" s="10"/>
      <c r="D17" s="4">
        <f>SUM(OSRRefD16x_0)</f>
        <v>0</v>
      </c>
      <c r="E17" s="4"/>
      <c r="F17" s="12">
        <f t="shared" ref="F17:F20" si="5">IF(D$12=0,0,D17/D$12)</f>
        <v>0</v>
      </c>
      <c r="G17" s="4"/>
      <c r="H17" s="4">
        <f>SUM(OSRRefH16x_0)</f>
        <v>0</v>
      </c>
      <c r="I17" s="4"/>
      <c r="J17" s="12">
        <f t="shared" ref="J17:J20" si="6">IF(H$12=0,0,H17/H$12)</f>
        <v>0</v>
      </c>
      <c r="K17" s="4"/>
      <c r="L17" s="4">
        <f t="shared" ref="L17:L20" si="7">+D17-H17</f>
        <v>0</v>
      </c>
      <c r="M17" s="4"/>
      <c r="N17" s="12">
        <f t="shared" ref="N17:N20" si="8">IF(H17=0,0,L17/H17)</f>
        <v>0</v>
      </c>
      <c r="O17" s="10"/>
      <c r="P17" s="4">
        <f>SUM(OSRRefP16x_0)</f>
        <v>4810.79</v>
      </c>
      <c r="Q17" s="4"/>
      <c r="R17" s="12">
        <f t="shared" ref="R17:R20" si="9">IF(P$12=0,0,P17/P$12)</f>
        <v>0.24233434935852391</v>
      </c>
      <c r="S17" s="4"/>
      <c r="T17" s="4">
        <f>SUM(OSRRefT16x_0)</f>
        <v>5000</v>
      </c>
      <c r="U17" s="4"/>
      <c r="V17" s="12">
        <f t="shared" ref="V17:V20" si="10">IF(T$12=0,0,T17/T$12)</f>
        <v>0.25</v>
      </c>
      <c r="W17" s="4"/>
      <c r="X17" s="4">
        <f t="shared" ref="X17:X20" si="11">+P17-T17</f>
        <v>-189.21000000000004</v>
      </c>
      <c r="Y17" s="4"/>
      <c r="Z17" s="12">
        <f t="shared" ref="Z17:Z20" si="12">IF(T17=0,0,X17/T17)</f>
        <v>-3.7842000000000008E-2</v>
      </c>
    </row>
    <row r="18" spans="1:26" s="24" customFormat="1" hidden="1" outlineLevel="1" x14ac:dyDescent="0.25">
      <c r="A18" s="44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19">
        <f t="shared" si="5"/>
        <v>0</v>
      </c>
      <c r="G18" s="2"/>
      <c r="H18" s="2"/>
      <c r="I18" s="2"/>
      <c r="J18" s="19">
        <f t="shared" si="6"/>
        <v>0</v>
      </c>
      <c r="K18" s="2"/>
      <c r="L18" s="2">
        <f t="shared" si="7"/>
        <v>0</v>
      </c>
      <c r="M18" s="2"/>
      <c r="N18" s="19">
        <f t="shared" si="8"/>
        <v>0</v>
      </c>
      <c r="O18" s="11"/>
      <c r="P18" s="2"/>
      <c r="Q18" s="2"/>
      <c r="R18" s="19">
        <f t="shared" si="9"/>
        <v>0</v>
      </c>
      <c r="S18" s="2"/>
      <c r="T18" s="2">
        <v>5000</v>
      </c>
      <c r="U18" s="2"/>
      <c r="V18" s="19">
        <f t="shared" si="10"/>
        <v>0.25</v>
      </c>
      <c r="W18" s="2"/>
      <c r="X18" s="2">
        <f t="shared" si="11"/>
        <v>-5000</v>
      </c>
      <c r="Y18" s="2"/>
      <c r="Z18" s="19">
        <f t="shared" si="12"/>
        <v>-1</v>
      </c>
    </row>
    <row r="19" spans="1:26" s="24" customFormat="1" hidden="1" outlineLevel="1" x14ac:dyDescent="0.25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5"/>
        <v>0</v>
      </c>
      <c r="G19" s="2"/>
      <c r="H19" s="2"/>
      <c r="I19" s="2"/>
      <c r="J19" s="19">
        <f t="shared" si="6"/>
        <v>0</v>
      </c>
      <c r="K19" s="2"/>
      <c r="L19" s="2">
        <f t="shared" si="7"/>
        <v>0</v>
      </c>
      <c r="M19" s="2"/>
      <c r="N19" s="19">
        <f t="shared" si="8"/>
        <v>0</v>
      </c>
      <c r="O19" s="11"/>
      <c r="P19" s="2">
        <v>6367.79</v>
      </c>
      <c r="Q19" s="2"/>
      <c r="R19" s="19">
        <f t="shared" si="9"/>
        <v>0.32076524780788912</v>
      </c>
      <c r="S19" s="2"/>
      <c r="T19" s="2"/>
      <c r="U19" s="2"/>
      <c r="V19" s="19">
        <f t="shared" si="10"/>
        <v>0</v>
      </c>
      <c r="W19" s="2"/>
      <c r="X19" s="2">
        <f t="shared" si="11"/>
        <v>6367.79</v>
      </c>
      <c r="Y19" s="2"/>
      <c r="Z19" s="19">
        <f t="shared" si="12"/>
        <v>0</v>
      </c>
    </row>
    <row r="20" spans="1:26" s="24" customFormat="1" hidden="1" outlineLevel="1" x14ac:dyDescent="0.25">
      <c r="A20" s="44"/>
      <c r="B20" s="11" t="str">
        <f>CONCATENATE("          ", "5059", " - ", "PURCHASES @ COST-FOOD")</f>
        <v xml:space="preserve">          5059 - PURCHASES @ COST-FOOD</v>
      </c>
      <c r="C20" s="11"/>
      <c r="D20" s="2"/>
      <c r="E20" s="2"/>
      <c r="F20" s="19">
        <f t="shared" si="5"/>
        <v>0</v>
      </c>
      <c r="G20" s="2"/>
      <c r="H20" s="2"/>
      <c r="I20" s="2"/>
      <c r="J20" s="19">
        <f t="shared" si="6"/>
        <v>0</v>
      </c>
      <c r="K20" s="2"/>
      <c r="L20" s="2">
        <f t="shared" si="7"/>
        <v>0</v>
      </c>
      <c r="M20" s="2"/>
      <c r="N20" s="19">
        <f t="shared" si="8"/>
        <v>0</v>
      </c>
      <c r="O20" s="11"/>
      <c r="P20" s="2">
        <v>-1557</v>
      </c>
      <c r="Q20" s="2"/>
      <c r="R20" s="19">
        <f t="shared" si="9"/>
        <v>-7.8430898449365224E-2</v>
      </c>
      <c r="S20" s="2"/>
      <c r="T20" s="2"/>
      <c r="U20" s="2"/>
      <c r="V20" s="19">
        <f t="shared" si="10"/>
        <v>0</v>
      </c>
      <c r="W20" s="2"/>
      <c r="X20" s="2">
        <f t="shared" si="11"/>
        <v>-1557</v>
      </c>
      <c r="Y20" s="2"/>
      <c r="Z20" s="19">
        <f t="shared" si="12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6</v>
      </c>
      <c r="C22" s="28"/>
      <c r="D22" s="20">
        <f>D12-D17</f>
        <v>0</v>
      </c>
      <c r="E22" s="14"/>
      <c r="F22" s="22">
        <f>IF(D$12=0,0,D22/D$12)</f>
        <v>0</v>
      </c>
      <c r="G22" s="14"/>
      <c r="H22" s="20">
        <f>H12-H17</f>
        <v>0</v>
      </c>
      <c r="I22" s="14"/>
      <c r="J22" s="22">
        <f>IF(H$12=0,0,H22/H$12)</f>
        <v>0</v>
      </c>
      <c r="K22" s="16"/>
      <c r="L22" s="20">
        <f>+D22-H22</f>
        <v>0</v>
      </c>
      <c r="M22" s="16"/>
      <c r="N22" s="22">
        <f>IF(H22=0,0,L22/H22)</f>
        <v>0</v>
      </c>
      <c r="O22" s="29"/>
      <c r="P22" s="20">
        <f>P12-P17</f>
        <v>15041.079999999998</v>
      </c>
      <c r="Q22" s="14"/>
      <c r="R22" s="22">
        <f>IF(P$12=0,0,P22/P$12)</f>
        <v>0.75766565064147606</v>
      </c>
      <c r="S22" s="14"/>
      <c r="T22" s="20">
        <f>T12-T17</f>
        <v>15000</v>
      </c>
      <c r="U22" s="14"/>
      <c r="V22" s="22">
        <f>IF(T$12=0,0,T22/T$12)</f>
        <v>0.75</v>
      </c>
      <c r="W22" s="16"/>
      <c r="X22" s="20">
        <f>+P22-T22</f>
        <v>41.079999999998108</v>
      </c>
      <c r="Y22" s="16"/>
      <c r="Z22" s="22">
        <f>IF(T22=0,0,X22/T22)</f>
        <v>2.7386666666665404E-3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9" t="s">
        <v>9</v>
      </c>
      <c r="C24" s="10"/>
      <c r="D24" s="21">
        <f>SUM(OSRRefD22x_0)</f>
        <v>1658.03</v>
      </c>
      <c r="E24" s="21"/>
      <c r="F24" s="33">
        <f t="shared" ref="F24:F33" si="13">IF(D$12=0,0,D24/D$12)</f>
        <v>0</v>
      </c>
      <c r="G24" s="21"/>
      <c r="H24" s="21">
        <f>SUM(OSRRefH22x_0)</f>
        <v>2156.6800000000003</v>
      </c>
      <c r="I24" s="21"/>
      <c r="J24" s="33">
        <f t="shared" ref="J24:J33" si="14">IF(H$12=0,0,H24/H$12)</f>
        <v>0</v>
      </c>
      <c r="K24" s="4"/>
      <c r="L24" s="21">
        <f t="shared" ref="L24:L33" si="15">+D24-H24</f>
        <v>-498.65000000000032</v>
      </c>
      <c r="M24" s="4"/>
      <c r="N24" s="33">
        <f t="shared" ref="N24:N33" si="16">IF(H24=0,0,L24/H24)</f>
        <v>-0.23121186267781974</v>
      </c>
      <c r="O24" s="10"/>
      <c r="P24" s="21">
        <f>SUM(OSRRefP22x_0)</f>
        <v>19694.789999999997</v>
      </c>
      <c r="Q24" s="21"/>
      <c r="R24" s="33">
        <f t="shared" ref="R24:R33" si="17">IF(P$12=0,0,P24/P$12)</f>
        <v>0.9920873952932393</v>
      </c>
      <c r="S24" s="21"/>
      <c r="T24" s="21">
        <f>SUM(OSRRefT22x_0)</f>
        <v>21247.713599999999</v>
      </c>
      <c r="U24" s="21"/>
      <c r="V24" s="33">
        <f t="shared" ref="V24:V33" si="18">IF(T$12=0,0,T24/T$12)</f>
        <v>1.06238568</v>
      </c>
      <c r="W24" s="4"/>
      <c r="X24" s="21">
        <f t="shared" ref="X24:X33" si="19">+P24-T24</f>
        <v>-1552.9236000000019</v>
      </c>
      <c r="Y24" s="4"/>
      <c r="Z24" s="33">
        <f t="shared" ref="Z24:Z33" si="20">IF(T24=0,0,X24/T24)</f>
        <v>-7.3086621423587059E-2</v>
      </c>
    </row>
    <row r="25" spans="1:26" s="26" customFormat="1" outlineLevel="1" collapsed="1" x14ac:dyDescent="0.25">
      <c r="A25" s="27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0</v>
      </c>
      <c r="E25" s="1"/>
      <c r="F25" s="5">
        <f t="shared" si="13"/>
        <v>0</v>
      </c>
      <c r="G25" s="1"/>
      <c r="H25" s="1">
        <f>SUM(OSRRefH22_0x_0)</f>
        <v>58.68</v>
      </c>
      <c r="I25" s="1"/>
      <c r="J25" s="5">
        <f t="shared" si="14"/>
        <v>0</v>
      </c>
      <c r="K25" s="1"/>
      <c r="L25" s="1">
        <f t="shared" si="15"/>
        <v>-58.68</v>
      </c>
      <c r="M25" s="1"/>
      <c r="N25" s="5">
        <f t="shared" si="16"/>
        <v>-1</v>
      </c>
      <c r="O25" s="13"/>
      <c r="P25" s="1">
        <f>SUM(OSRRefP22_0x_0)</f>
        <v>355.92</v>
      </c>
      <c r="Q25" s="1"/>
      <c r="R25" s="5">
        <f t="shared" si="17"/>
        <v>1.7928789580024453E-2</v>
      </c>
      <c r="S25" s="1"/>
      <c r="T25" s="1">
        <f>SUM(OSRRefT22_0x_0)</f>
        <v>421.71359999999999</v>
      </c>
      <c r="U25" s="1"/>
      <c r="V25" s="5">
        <f t="shared" si="18"/>
        <v>2.1085679999999999E-2</v>
      </c>
      <c r="W25" s="1"/>
      <c r="X25" s="1">
        <f t="shared" si="19"/>
        <v>-65.793599999999969</v>
      </c>
      <c r="Y25" s="1"/>
      <c r="Z25" s="5">
        <f t="shared" si="20"/>
        <v>-0.15601488782908585</v>
      </c>
    </row>
    <row r="26" spans="1:26" s="24" customFormat="1" hidden="1" outlineLevel="2" x14ac:dyDescent="0.25">
      <c r="A26" s="25"/>
      <c r="B26" s="11" t="str">
        <f>CONCATENATE("          ", "6111", " - ", "F.I.C.A.")</f>
        <v xml:space="preserve">          6111 - F.I.C.A.</v>
      </c>
      <c r="C26" s="11"/>
      <c r="D26" s="6"/>
      <c r="E26" s="2"/>
      <c r="F26" s="7">
        <f t="shared" si="13"/>
        <v>0</v>
      </c>
      <c r="G26" s="2"/>
      <c r="H26" s="6">
        <v>0</v>
      </c>
      <c r="I26" s="2"/>
      <c r="J26" s="7">
        <f t="shared" si="14"/>
        <v>0</v>
      </c>
      <c r="K26" s="2"/>
      <c r="L26" s="6">
        <f t="shared" si="15"/>
        <v>0</v>
      </c>
      <c r="M26" s="2"/>
      <c r="N26" s="7">
        <f t="shared" si="16"/>
        <v>0</v>
      </c>
      <c r="O26" s="11"/>
      <c r="P26" s="6">
        <v>366.32</v>
      </c>
      <c r="Q26" s="2"/>
      <c r="R26" s="7">
        <f t="shared" si="17"/>
        <v>1.8452669698119119E-2</v>
      </c>
      <c r="S26" s="2"/>
      <c r="T26" s="6">
        <v>0</v>
      </c>
      <c r="U26" s="2"/>
      <c r="V26" s="7">
        <f t="shared" si="18"/>
        <v>0</v>
      </c>
      <c r="W26" s="2"/>
      <c r="X26" s="6">
        <f t="shared" si="19"/>
        <v>366.32</v>
      </c>
      <c r="Y26" s="2"/>
      <c r="Z26" s="7">
        <f t="shared" si="20"/>
        <v>0</v>
      </c>
    </row>
    <row r="27" spans="1:26" s="24" customFormat="1" hidden="1" outlineLevel="2" x14ac:dyDescent="0.25">
      <c r="A27" s="25"/>
      <c r="B27" s="11" t="str">
        <f>CONCATENATE("          ", "6112", " - ", "COMPENSATION INSURANCE")</f>
        <v xml:space="preserve">          6112 - COMPENSATION INSURANCE</v>
      </c>
      <c r="C27" s="11"/>
      <c r="D27" s="6"/>
      <c r="E27" s="2"/>
      <c r="F27" s="7">
        <f t="shared" si="13"/>
        <v>0</v>
      </c>
      <c r="G27" s="2"/>
      <c r="H27" s="6">
        <v>0</v>
      </c>
      <c r="I27" s="2"/>
      <c r="J27" s="7">
        <f t="shared" si="14"/>
        <v>0</v>
      </c>
      <c r="K27" s="2"/>
      <c r="L27" s="6">
        <f t="shared" si="15"/>
        <v>0</v>
      </c>
      <c r="M27" s="2"/>
      <c r="N27" s="7">
        <f t="shared" si="16"/>
        <v>0</v>
      </c>
      <c r="O27" s="11"/>
      <c r="P27" s="6">
        <v>-10.4</v>
      </c>
      <c r="Q27" s="2"/>
      <c r="R27" s="7">
        <f t="shared" si="17"/>
        <v>-5.2388011809466816E-4</v>
      </c>
      <c r="S27" s="2"/>
      <c r="T27" s="6">
        <v>0</v>
      </c>
      <c r="U27" s="2"/>
      <c r="V27" s="7">
        <f t="shared" si="18"/>
        <v>0</v>
      </c>
      <c r="W27" s="2"/>
      <c r="X27" s="6">
        <f t="shared" si="19"/>
        <v>-10.4</v>
      </c>
      <c r="Y27" s="2"/>
      <c r="Z27" s="7">
        <f t="shared" si="20"/>
        <v>0</v>
      </c>
    </row>
    <row r="28" spans="1:26" s="24" customFormat="1" hidden="1" outlineLevel="2" x14ac:dyDescent="0.25">
      <c r="A28" s="25"/>
      <c r="B28" s="11" t="str">
        <f>CONCATENATE("          ", "6113", " - ", "GROUP INSURANCE")</f>
        <v xml:space="preserve">          6113 - GROUP INSURANCE</v>
      </c>
      <c r="C28" s="11"/>
      <c r="D28" s="6"/>
      <c r="E28" s="2"/>
      <c r="F28" s="7">
        <f t="shared" si="13"/>
        <v>0</v>
      </c>
      <c r="G28" s="2"/>
      <c r="H28" s="6">
        <v>0</v>
      </c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1"/>
      <c r="P28" s="6"/>
      <c r="Q28" s="2"/>
      <c r="R28" s="7">
        <f t="shared" si="17"/>
        <v>0</v>
      </c>
      <c r="S28" s="2"/>
      <c r="T28" s="6">
        <v>0</v>
      </c>
      <c r="U28" s="2"/>
      <c r="V28" s="7">
        <f t="shared" si="18"/>
        <v>0</v>
      </c>
      <c r="W28" s="2"/>
      <c r="X28" s="6">
        <f t="shared" si="19"/>
        <v>0</v>
      </c>
      <c r="Y28" s="2"/>
      <c r="Z28" s="7">
        <f t="shared" si="20"/>
        <v>0</v>
      </c>
    </row>
    <row r="29" spans="1:26" s="24" customFormat="1" hidden="1" outlineLevel="2" x14ac:dyDescent="0.25">
      <c r="A29" s="25"/>
      <c r="B29" s="11" t="str">
        <f>CONCATENATE("          ", "6114", " - ", "STATE UNEMPLOYMENT INSURANCE")</f>
        <v xml:space="preserve">          6114 - STATE UNEMPLOYMENT INSURANCE</v>
      </c>
      <c r="C29" s="11"/>
      <c r="D29" s="6"/>
      <c r="E29" s="2"/>
      <c r="F29" s="7">
        <f t="shared" si="13"/>
        <v>0</v>
      </c>
      <c r="G29" s="2"/>
      <c r="H29" s="6">
        <v>4.68</v>
      </c>
      <c r="I29" s="2"/>
      <c r="J29" s="7">
        <f t="shared" si="14"/>
        <v>0</v>
      </c>
      <c r="K29" s="2"/>
      <c r="L29" s="6">
        <f t="shared" si="15"/>
        <v>-4.68</v>
      </c>
      <c r="M29" s="2"/>
      <c r="N29" s="7">
        <f t="shared" si="16"/>
        <v>-1</v>
      </c>
      <c r="O29" s="11"/>
      <c r="P29" s="6"/>
      <c r="Q29" s="2"/>
      <c r="R29" s="7">
        <f t="shared" si="17"/>
        <v>0</v>
      </c>
      <c r="S29" s="2"/>
      <c r="T29" s="6">
        <v>33.633600000000001</v>
      </c>
      <c r="U29" s="2"/>
      <c r="V29" s="7">
        <f t="shared" si="18"/>
        <v>1.6816800000000001E-3</v>
      </c>
      <c r="W29" s="2"/>
      <c r="X29" s="6">
        <f t="shared" si="19"/>
        <v>-33.633600000000001</v>
      </c>
      <c r="Y29" s="2"/>
      <c r="Z29" s="7">
        <f t="shared" si="20"/>
        <v>-1</v>
      </c>
    </row>
    <row r="30" spans="1:26" s="24" customFormat="1" hidden="1" outlineLevel="2" x14ac:dyDescent="0.25">
      <c r="A30" s="25"/>
      <c r="B30" s="11" t="str">
        <f>CONCATENATE("          ", "6115", " - ", "P.E.R.S.")</f>
        <v xml:space="preserve">          6115 - P.E.R.S.</v>
      </c>
      <c r="C30" s="11"/>
      <c r="D30" s="6"/>
      <c r="E30" s="2"/>
      <c r="F30" s="7">
        <f t="shared" si="13"/>
        <v>0</v>
      </c>
      <c r="G30" s="2"/>
      <c r="H30" s="6">
        <v>0</v>
      </c>
      <c r="I30" s="2"/>
      <c r="J30" s="7">
        <f t="shared" si="14"/>
        <v>0</v>
      </c>
      <c r="K30" s="2"/>
      <c r="L30" s="6">
        <f t="shared" si="15"/>
        <v>0</v>
      </c>
      <c r="M30" s="2"/>
      <c r="N30" s="7">
        <f t="shared" si="16"/>
        <v>0</v>
      </c>
      <c r="O30" s="11"/>
      <c r="P30" s="6"/>
      <c r="Q30" s="2"/>
      <c r="R30" s="7">
        <f t="shared" si="17"/>
        <v>0</v>
      </c>
      <c r="S30" s="2"/>
      <c r="T30" s="6">
        <v>0</v>
      </c>
      <c r="U30" s="2"/>
      <c r="V30" s="7">
        <f t="shared" si="18"/>
        <v>0</v>
      </c>
      <c r="W30" s="2"/>
      <c r="X30" s="6">
        <f t="shared" si="19"/>
        <v>0</v>
      </c>
      <c r="Y30" s="2"/>
      <c r="Z30" s="7">
        <f t="shared" si="20"/>
        <v>0</v>
      </c>
    </row>
    <row r="31" spans="1:26" s="24" customFormat="1" hidden="1" outlineLevel="2" x14ac:dyDescent="0.25">
      <c r="A31" s="25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5"/>
      <c r="B32" s="11" t="str">
        <f>CONCATENATE("          ", "6118", " - ", "VACATION")</f>
        <v xml:space="preserve">          6118 - VACATION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5"/>
      <c r="B33" s="11" t="str">
        <f>CONCATENATE("          ", "6119", " - ", "SICK LEAVE")</f>
        <v xml:space="preserve">          6119 - SICK LEAVE</v>
      </c>
      <c r="C33" s="11"/>
      <c r="D33" s="6"/>
      <c r="E33" s="2"/>
      <c r="F33" s="7">
        <f t="shared" si="13"/>
        <v>0</v>
      </c>
      <c r="G33" s="2"/>
      <c r="H33" s="6">
        <v>54</v>
      </c>
      <c r="I33" s="2"/>
      <c r="J33" s="7">
        <f t="shared" si="14"/>
        <v>0</v>
      </c>
      <c r="K33" s="2"/>
      <c r="L33" s="6">
        <f t="shared" si="15"/>
        <v>-54</v>
      </c>
      <c r="M33" s="2"/>
      <c r="N33" s="7">
        <f t="shared" si="16"/>
        <v>-1</v>
      </c>
      <c r="O33" s="11"/>
      <c r="P33" s="6"/>
      <c r="Q33" s="2"/>
      <c r="R33" s="7">
        <f t="shared" si="17"/>
        <v>0</v>
      </c>
      <c r="S33" s="2"/>
      <c r="T33" s="6">
        <v>388.08</v>
      </c>
      <c r="U33" s="2"/>
      <c r="V33" s="7">
        <f t="shared" si="18"/>
        <v>1.9403999999999998E-2</v>
      </c>
      <c r="W33" s="2"/>
      <c r="X33" s="6">
        <f t="shared" si="19"/>
        <v>-388.08</v>
      </c>
      <c r="Y33" s="2"/>
      <c r="Z33" s="7">
        <f t="shared" si="20"/>
        <v>-1</v>
      </c>
    </row>
    <row r="34" spans="1:26" s="26" customFormat="1" outlineLevel="1" collapsed="1" x14ac:dyDescent="0.25">
      <c r="A34" s="27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0</v>
      </c>
      <c r="E34" s="1"/>
      <c r="F34" s="5">
        <f t="shared" ref="F34:F44" si="21">IF(D$12=0,0,D34/D$12)</f>
        <v>0</v>
      </c>
      <c r="G34" s="1"/>
      <c r="H34" s="1">
        <f>SUM(OSRRefH22_1x_0)</f>
        <v>1800</v>
      </c>
      <c r="I34" s="1"/>
      <c r="J34" s="5">
        <f t="shared" ref="J34:J44" si="22">IF(H$12=0,0,H34/H$12)</f>
        <v>0</v>
      </c>
      <c r="K34" s="1"/>
      <c r="L34" s="1">
        <f t="shared" ref="L34:L44" si="23">+D34-H34</f>
        <v>-1800</v>
      </c>
      <c r="M34" s="1"/>
      <c r="N34" s="5">
        <f t="shared" ref="N34:N44" si="24">IF(H34=0,0,L34/H34)</f>
        <v>-1</v>
      </c>
      <c r="O34" s="13"/>
      <c r="P34" s="1">
        <f>SUM(OSRRefP22_1x_0)</f>
        <v>5526.5300000000007</v>
      </c>
      <c r="Q34" s="1"/>
      <c r="R34" s="5">
        <f t="shared" ref="R34:R44" si="25">IF(P$12=0,0,P34/P$12)</f>
        <v>0.27838838356285833</v>
      </c>
      <c r="S34" s="1"/>
      <c r="T34" s="1">
        <f>SUM(OSRRefT22_1x_0)</f>
        <v>12936</v>
      </c>
      <c r="U34" s="1"/>
      <c r="V34" s="5">
        <f t="shared" ref="V34:V44" si="26">IF(T$12=0,0,T34/T$12)</f>
        <v>0.64680000000000004</v>
      </c>
      <c r="W34" s="1"/>
      <c r="X34" s="1">
        <f t="shared" ref="X34:X44" si="27">+P34-T34</f>
        <v>-7409.4699999999993</v>
      </c>
      <c r="Y34" s="1"/>
      <c r="Z34" s="5">
        <f t="shared" ref="Z34:Z44" si="28">IF(T34=0,0,X34/T34)</f>
        <v>-0.57277906617192331</v>
      </c>
    </row>
    <row r="35" spans="1:26" s="24" customFormat="1" hidden="1" outlineLevel="2" x14ac:dyDescent="0.25">
      <c r="A35" s="25"/>
      <c r="B35" s="11" t="str">
        <f>CONCATENATE("          ", "6001", " - ", "ADMINISTRATIVE SALARIES")</f>
        <v xml:space="preserve">          6001 - ADMINISTRATIVE SALARIES</v>
      </c>
      <c r="C35" s="11"/>
      <c r="D35" s="6"/>
      <c r="E35" s="2"/>
      <c r="F35" s="7">
        <f t="shared" si="21"/>
        <v>0</v>
      </c>
      <c r="G35" s="2"/>
      <c r="H35" s="6">
        <v>0</v>
      </c>
      <c r="I35" s="2"/>
      <c r="J35" s="7">
        <f t="shared" si="22"/>
        <v>0</v>
      </c>
      <c r="K35" s="2"/>
      <c r="L35" s="6">
        <f t="shared" si="23"/>
        <v>0</v>
      </c>
      <c r="M35" s="2"/>
      <c r="N35" s="7">
        <f t="shared" si="24"/>
        <v>0</v>
      </c>
      <c r="O35" s="11"/>
      <c r="P35" s="6"/>
      <c r="Q35" s="2"/>
      <c r="R35" s="7">
        <f t="shared" si="25"/>
        <v>0</v>
      </c>
      <c r="S35" s="2"/>
      <c r="T35" s="6">
        <v>0</v>
      </c>
      <c r="U35" s="2"/>
      <c r="V35" s="7">
        <f t="shared" si="26"/>
        <v>0</v>
      </c>
      <c r="W35" s="2"/>
      <c r="X35" s="6">
        <f t="shared" si="27"/>
        <v>0</v>
      </c>
      <c r="Y35" s="2"/>
      <c r="Z35" s="7">
        <f t="shared" si="28"/>
        <v>0</v>
      </c>
    </row>
    <row r="36" spans="1:26" s="24" customFormat="1" hidden="1" outlineLevel="2" x14ac:dyDescent="0.25">
      <c r="A36" s="25"/>
      <c r="B36" s="11" t="str">
        <f>CONCATENATE("          ", "6002", " - ", "STAFF SALARIES")</f>
        <v xml:space="preserve">          6002 - STAFF SALARIES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0</v>
      </c>
      <c r="Y36" s="2"/>
      <c r="Z36" s="7">
        <f t="shared" si="28"/>
        <v>0</v>
      </c>
    </row>
    <row r="37" spans="1:26" s="24" customFormat="1" hidden="1" outlineLevel="2" x14ac:dyDescent="0.25">
      <c r="A37" s="25"/>
      <c r="B37" s="11" t="str">
        <f>CONCATENATE("          ", "6003", " - ", "STAFF HOURLY-9 MONTH")</f>
        <v xml:space="preserve">          6003 - STAFF HOURLY-9 MONTH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5"/>
      <c r="B38" s="11" t="str">
        <f>CONCATENATE("          ", "6004", " - ", "STAFF HOURLY")</f>
        <v xml:space="preserve">          6004 - STAFF HOURLY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5"/>
      <c r="B39" s="11" t="str">
        <f>CONCATENATE("          ", "6005", " - ", "TEMPORARY WAGES-HOURLY")</f>
        <v xml:space="preserve">          6005 - TEMPORARY WAGES-HOURLY</v>
      </c>
      <c r="C39" s="11"/>
      <c r="D39" s="6"/>
      <c r="E39" s="2"/>
      <c r="F39" s="7">
        <f t="shared" si="21"/>
        <v>0</v>
      </c>
      <c r="G39" s="2"/>
      <c r="H39" s="6">
        <v>1800</v>
      </c>
      <c r="I39" s="2"/>
      <c r="J39" s="7">
        <f t="shared" si="22"/>
        <v>0</v>
      </c>
      <c r="K39" s="2"/>
      <c r="L39" s="6">
        <f t="shared" si="23"/>
        <v>-1800</v>
      </c>
      <c r="M39" s="2"/>
      <c r="N39" s="7">
        <f t="shared" si="24"/>
        <v>-1</v>
      </c>
      <c r="O39" s="11"/>
      <c r="P39" s="6">
        <v>2489.34</v>
      </c>
      <c r="Q39" s="2"/>
      <c r="R39" s="7">
        <f t="shared" si="25"/>
        <v>0.12539574357478667</v>
      </c>
      <c r="S39" s="2"/>
      <c r="T39" s="6">
        <v>9096</v>
      </c>
      <c r="U39" s="2"/>
      <c r="V39" s="7">
        <f t="shared" si="26"/>
        <v>0.45479999999999998</v>
      </c>
      <c r="W39" s="2"/>
      <c r="X39" s="6">
        <f t="shared" si="27"/>
        <v>-6606.66</v>
      </c>
      <c r="Y39" s="2"/>
      <c r="Z39" s="7">
        <f t="shared" si="28"/>
        <v>-0.72632585751978895</v>
      </c>
    </row>
    <row r="40" spans="1:26" s="24" customFormat="1" hidden="1" outlineLevel="2" x14ac:dyDescent="0.25">
      <c r="A40" s="25"/>
      <c r="B40" s="11" t="str">
        <f>CONCATENATE("          ", "6006", " - ", "TEMPORARY PART TIME")</f>
        <v xml:space="preserve">          6006 - TEMPORARY PART TIME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>
        <v>247.5</v>
      </c>
      <c r="Q40" s="2"/>
      <c r="R40" s="7">
        <f t="shared" si="25"/>
        <v>1.2467339348887536E-2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247.5</v>
      </c>
      <c r="Y40" s="2"/>
      <c r="Z40" s="7">
        <f t="shared" si="28"/>
        <v>0</v>
      </c>
    </row>
    <row r="41" spans="1:26" s="24" customFormat="1" hidden="1" outlineLevel="2" x14ac:dyDescent="0.25">
      <c r="A41" s="25"/>
      <c r="B41" s="11" t="str">
        <f>CONCATENATE("          ", "6007", " - ", "STUDENT HOURLY")</f>
        <v xml:space="preserve">          6007 - STUDENT HOURLY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>
        <v>2156.69</v>
      </c>
      <c r="Q41" s="2"/>
      <c r="R41" s="7">
        <f t="shared" si="25"/>
        <v>0.10863913575899903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2156.69</v>
      </c>
      <c r="Y41" s="2"/>
      <c r="Z41" s="7">
        <f t="shared" si="28"/>
        <v>0</v>
      </c>
    </row>
    <row r="42" spans="1:26" s="24" customFormat="1" hidden="1" outlineLevel="2" x14ac:dyDescent="0.25">
      <c r="A42" s="25"/>
      <c r="B42" s="11" t="str">
        <f>CONCATENATE("          ", "6008", " - ", "STUDENT HOURLY-FICA EXEMPT")</f>
        <v xml:space="preserve">          6008 - STUDENT HOURLY-FICA EXEMPT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>
        <v>633</v>
      </c>
      <c r="Q42" s="2"/>
      <c r="R42" s="7">
        <f t="shared" si="25"/>
        <v>3.1886164880185093E-2</v>
      </c>
      <c r="S42" s="2"/>
      <c r="T42" s="6">
        <v>3840</v>
      </c>
      <c r="U42" s="2"/>
      <c r="V42" s="7">
        <f t="shared" si="26"/>
        <v>0.192</v>
      </c>
      <c r="W42" s="2"/>
      <c r="X42" s="6">
        <f t="shared" si="27"/>
        <v>-3207</v>
      </c>
      <c r="Y42" s="2"/>
      <c r="Z42" s="7">
        <f t="shared" si="28"/>
        <v>-0.83515625000000004</v>
      </c>
    </row>
    <row r="43" spans="1:26" s="24" customFormat="1" hidden="1" outlineLevel="2" x14ac:dyDescent="0.25">
      <c r="A43" s="25"/>
      <c r="B43" s="11" t="str">
        <f>CONCATENATE("          ", "6009", " - ", "TEMPORARY-SEASONAL")</f>
        <v xml:space="preserve">          6009 - TEMPORARY-SEASONAL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4" customFormat="1" hidden="1" outlineLevel="2" x14ac:dyDescent="0.25">
      <c r="A44" s="25"/>
      <c r="B44" s="11" t="str">
        <f>CONCATENATE("          ", "6010", " - ", "GRATUITY")</f>
        <v xml:space="preserve">          6010 - GRATUITY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6" customFormat="1" outlineLevel="1" collapsed="1" x14ac:dyDescent="0.25">
      <c r="A45" s="27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424.65</v>
      </c>
      <c r="E45" s="1"/>
      <c r="F45" s="5">
        <f t="shared" ref="F45:F57" si="29">IF(D$12=0,0,D45/D$12)</f>
        <v>0</v>
      </c>
      <c r="G45" s="1"/>
      <c r="H45" s="1">
        <f>SUM(OSRRefH22_2x_0)</f>
        <v>0</v>
      </c>
      <c r="I45" s="1"/>
      <c r="J45" s="5">
        <f t="shared" ref="J45:J57" si="30">IF(H$12=0,0,H45/H$12)</f>
        <v>0</v>
      </c>
      <c r="K45" s="1"/>
      <c r="L45" s="1">
        <f t="shared" ref="L45:L57" si="31">+D45-H45</f>
        <v>424.65</v>
      </c>
      <c r="M45" s="1"/>
      <c r="N45" s="5">
        <f t="shared" ref="N45:N57" si="32">IF(H45=0,0,L45/H45)</f>
        <v>0</v>
      </c>
      <c r="O45" s="13"/>
      <c r="P45" s="1">
        <f>SUM(OSRRefP22_2x_0)</f>
        <v>933.03</v>
      </c>
      <c r="Q45" s="1"/>
      <c r="R45" s="5">
        <f t="shared" ref="R45:R57" si="33">IF(P$12=0,0,P45/P$12)</f>
        <v>4.6999602556333488E-2</v>
      </c>
      <c r="S45" s="1"/>
      <c r="T45" s="1">
        <f>SUM(OSRRefT22_2x_0)</f>
        <v>100</v>
      </c>
      <c r="U45" s="1"/>
      <c r="V45" s="5">
        <f t="shared" ref="V45:V57" si="34">IF(T$12=0,0,T45/T$12)</f>
        <v>5.0000000000000001E-3</v>
      </c>
      <c r="W45" s="1"/>
      <c r="X45" s="1">
        <f t="shared" ref="X45:X57" si="35">+P45-T45</f>
        <v>833.03</v>
      </c>
      <c r="Y45" s="1"/>
      <c r="Z45" s="5">
        <f t="shared" ref="Z45:Z57" si="36">IF(T45=0,0,X45/T45)</f>
        <v>8.3302999999999994</v>
      </c>
    </row>
    <row r="46" spans="1:26" s="24" customFormat="1" hidden="1" outlineLevel="2" x14ac:dyDescent="0.25">
      <c r="A46" s="25"/>
      <c r="B46" s="11" t="str">
        <f>CONCATENATE("          ", "6362", " - ", "ADVERTISING EXPENSE")</f>
        <v xml:space="preserve">          6362 - ADVERTISING EXPENSE</v>
      </c>
      <c r="C46" s="11"/>
      <c r="D46" s="6">
        <v>424.65</v>
      </c>
      <c r="E46" s="2"/>
      <c r="F46" s="7">
        <f t="shared" si="29"/>
        <v>0</v>
      </c>
      <c r="G46" s="2"/>
      <c r="H46" s="6"/>
      <c r="I46" s="2"/>
      <c r="J46" s="7">
        <f t="shared" si="30"/>
        <v>0</v>
      </c>
      <c r="K46" s="2"/>
      <c r="L46" s="6">
        <f t="shared" si="31"/>
        <v>424.65</v>
      </c>
      <c r="M46" s="2"/>
      <c r="N46" s="7">
        <f t="shared" si="32"/>
        <v>0</v>
      </c>
      <c r="O46" s="11"/>
      <c r="P46" s="6">
        <v>933.03</v>
      </c>
      <c r="Q46" s="2"/>
      <c r="R46" s="7">
        <f t="shared" si="33"/>
        <v>4.6999602556333488E-2</v>
      </c>
      <c r="S46" s="2"/>
      <c r="T46" s="6">
        <v>100</v>
      </c>
      <c r="U46" s="2"/>
      <c r="V46" s="7">
        <f t="shared" si="34"/>
        <v>5.0000000000000001E-3</v>
      </c>
      <c r="W46" s="2"/>
      <c r="X46" s="6">
        <f t="shared" si="35"/>
        <v>833.03</v>
      </c>
      <c r="Y46" s="2"/>
      <c r="Z46" s="7">
        <f t="shared" si="36"/>
        <v>8.3302999999999994</v>
      </c>
    </row>
    <row r="47" spans="1:26" s="26" customFormat="1" outlineLevel="1" collapsed="1" x14ac:dyDescent="0.25">
      <c r="A47" s="27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0</v>
      </c>
      <c r="E47" s="1"/>
      <c r="F47" s="5">
        <f t="shared" si="29"/>
        <v>0</v>
      </c>
      <c r="G47" s="1"/>
      <c r="H47" s="1">
        <f>SUM(OSRRefH22_3x_0)</f>
        <v>0</v>
      </c>
      <c r="I47" s="1"/>
      <c r="J47" s="5">
        <f t="shared" si="30"/>
        <v>0</v>
      </c>
      <c r="K47" s="1"/>
      <c r="L47" s="1">
        <f t="shared" si="31"/>
        <v>0</v>
      </c>
      <c r="M47" s="1"/>
      <c r="N47" s="5">
        <f t="shared" si="32"/>
        <v>0</v>
      </c>
      <c r="O47" s="13"/>
      <c r="P47" s="1">
        <f>SUM(OSRRefP22_3x_0)</f>
        <v>1.85</v>
      </c>
      <c r="Q47" s="1"/>
      <c r="R47" s="5">
        <f t="shared" si="33"/>
        <v>9.3190213314916939E-5</v>
      </c>
      <c r="S47" s="1"/>
      <c r="T47" s="1">
        <f>SUM(OSRRefT22_3x_0)</f>
        <v>25</v>
      </c>
      <c r="U47" s="1"/>
      <c r="V47" s="5">
        <f t="shared" si="34"/>
        <v>1.25E-3</v>
      </c>
      <c r="W47" s="1"/>
      <c r="X47" s="1">
        <f t="shared" si="35"/>
        <v>-23.15</v>
      </c>
      <c r="Y47" s="1"/>
      <c r="Z47" s="5">
        <f t="shared" si="36"/>
        <v>-0.92599999999999993</v>
      </c>
    </row>
    <row r="48" spans="1:26" s="24" customFormat="1" hidden="1" outlineLevel="2" x14ac:dyDescent="0.25">
      <c r="A48" s="25"/>
      <c r="B48" s="11" t="str">
        <f>CONCATENATE("          ", "6272", " - ", "CASH (OVER/SHORT)")</f>
        <v xml:space="preserve">          6272 - CASH (OVER/SHORT)</v>
      </c>
      <c r="C48" s="11"/>
      <c r="D48" s="6"/>
      <c r="E48" s="2"/>
      <c r="F48" s="7">
        <f t="shared" si="29"/>
        <v>0</v>
      </c>
      <c r="G48" s="2"/>
      <c r="H48" s="6"/>
      <c r="I48" s="2"/>
      <c r="J48" s="7">
        <f t="shared" si="30"/>
        <v>0</v>
      </c>
      <c r="K48" s="2"/>
      <c r="L48" s="6">
        <f t="shared" si="31"/>
        <v>0</v>
      </c>
      <c r="M48" s="2"/>
      <c r="N48" s="7">
        <f t="shared" si="32"/>
        <v>0</v>
      </c>
      <c r="O48" s="11"/>
      <c r="P48" s="6">
        <v>1.85</v>
      </c>
      <c r="Q48" s="2"/>
      <c r="R48" s="7">
        <f t="shared" si="33"/>
        <v>9.3190213314916939E-5</v>
      </c>
      <c r="S48" s="2"/>
      <c r="T48" s="6">
        <v>25</v>
      </c>
      <c r="U48" s="2"/>
      <c r="V48" s="7">
        <f t="shared" si="34"/>
        <v>1.25E-3</v>
      </c>
      <c r="W48" s="2"/>
      <c r="X48" s="6">
        <f t="shared" si="35"/>
        <v>-23.15</v>
      </c>
      <c r="Y48" s="2"/>
      <c r="Z48" s="7">
        <f t="shared" si="36"/>
        <v>-0.92599999999999993</v>
      </c>
    </row>
    <row r="49" spans="1:26" s="26" customFormat="1" outlineLevel="1" collapsed="1" x14ac:dyDescent="0.25">
      <c r="A49" s="27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0</v>
      </c>
      <c r="E49" s="1"/>
      <c r="F49" s="5">
        <f t="shared" si="29"/>
        <v>0</v>
      </c>
      <c r="G49" s="1"/>
      <c r="H49" s="1">
        <f>SUM(OSRRefH22_4x_0)</f>
        <v>0</v>
      </c>
      <c r="I49" s="1"/>
      <c r="J49" s="5">
        <f t="shared" si="30"/>
        <v>0</v>
      </c>
      <c r="K49" s="1"/>
      <c r="L49" s="1">
        <f t="shared" si="31"/>
        <v>0</v>
      </c>
      <c r="M49" s="1"/>
      <c r="N49" s="5">
        <f t="shared" si="32"/>
        <v>0</v>
      </c>
      <c r="O49" s="13"/>
      <c r="P49" s="1">
        <f>SUM(OSRRefP22_4x_0)</f>
        <v>348.55</v>
      </c>
      <c r="Q49" s="1"/>
      <c r="R49" s="5">
        <f t="shared" si="33"/>
        <v>1.7557539919413136E-2</v>
      </c>
      <c r="S49" s="1"/>
      <c r="T49" s="1">
        <f>SUM(OSRRefT22_4x_0)</f>
        <v>150</v>
      </c>
      <c r="U49" s="1"/>
      <c r="V49" s="5">
        <f t="shared" si="34"/>
        <v>7.4999999999999997E-3</v>
      </c>
      <c r="W49" s="1"/>
      <c r="X49" s="1">
        <f t="shared" si="35"/>
        <v>198.55</v>
      </c>
      <c r="Y49" s="1"/>
      <c r="Z49" s="5">
        <f t="shared" si="36"/>
        <v>1.3236666666666668</v>
      </c>
    </row>
    <row r="50" spans="1:26" s="24" customFormat="1" hidden="1" outlineLevel="2" x14ac:dyDescent="0.25">
      <c r="A50" s="25"/>
      <c r="B50" s="11" t="str">
        <f>CONCATENATE("          ", "6381", " - ", "BANK/CREDIT CARD FEES")</f>
        <v xml:space="preserve">          6381 - BANK/CREDIT CARD FEES</v>
      </c>
      <c r="C50" s="11"/>
      <c r="D50" s="6"/>
      <c r="E50" s="2"/>
      <c r="F50" s="7">
        <f t="shared" si="29"/>
        <v>0</v>
      </c>
      <c r="G50" s="2"/>
      <c r="H50" s="6"/>
      <c r="I50" s="2"/>
      <c r="J50" s="7">
        <f t="shared" si="30"/>
        <v>0</v>
      </c>
      <c r="K50" s="2"/>
      <c r="L50" s="6">
        <f t="shared" si="31"/>
        <v>0</v>
      </c>
      <c r="M50" s="2"/>
      <c r="N50" s="7">
        <f t="shared" si="32"/>
        <v>0</v>
      </c>
      <c r="O50" s="11"/>
      <c r="P50" s="6">
        <v>348.55</v>
      </c>
      <c r="Q50" s="2"/>
      <c r="R50" s="7">
        <f t="shared" si="33"/>
        <v>1.7557539919413136E-2</v>
      </c>
      <c r="S50" s="2"/>
      <c r="T50" s="6">
        <v>150</v>
      </c>
      <c r="U50" s="2"/>
      <c r="V50" s="7">
        <f t="shared" si="34"/>
        <v>7.4999999999999997E-3</v>
      </c>
      <c r="W50" s="2"/>
      <c r="X50" s="6">
        <f t="shared" si="35"/>
        <v>198.55</v>
      </c>
      <c r="Y50" s="2"/>
      <c r="Z50" s="7">
        <f t="shared" si="36"/>
        <v>1.3236666666666668</v>
      </c>
    </row>
    <row r="51" spans="1:26" s="26" customFormat="1" outlineLevel="1" collapsed="1" x14ac:dyDescent="0.25">
      <c r="A51" s="27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SUM(OSRRefD22_5x_0)</f>
        <v>0</v>
      </c>
      <c r="E51" s="1"/>
      <c r="F51" s="5">
        <f t="shared" si="29"/>
        <v>0</v>
      </c>
      <c r="G51" s="1"/>
      <c r="H51" s="1">
        <f>SUM(OSRRefH22_5x_0)</f>
        <v>0</v>
      </c>
      <c r="I51" s="1"/>
      <c r="J51" s="5">
        <f t="shared" si="30"/>
        <v>0</v>
      </c>
      <c r="K51" s="1"/>
      <c r="L51" s="1">
        <f t="shared" si="31"/>
        <v>0</v>
      </c>
      <c r="M51" s="1"/>
      <c r="N51" s="5">
        <f t="shared" si="32"/>
        <v>0</v>
      </c>
      <c r="O51" s="13"/>
      <c r="P51" s="1">
        <f>SUM(OSRRefP22_5x_0)</f>
        <v>114.64</v>
      </c>
      <c r="Q51" s="1"/>
      <c r="R51" s="5">
        <f t="shared" si="33"/>
        <v>5.7747708402281503E-3</v>
      </c>
      <c r="S51" s="1"/>
      <c r="T51" s="1">
        <f>SUM(OSRRefT22_5x_0)</f>
        <v>100</v>
      </c>
      <c r="U51" s="1"/>
      <c r="V51" s="5">
        <f t="shared" si="34"/>
        <v>5.0000000000000001E-3</v>
      </c>
      <c r="W51" s="1"/>
      <c r="X51" s="1">
        <f t="shared" si="35"/>
        <v>14.64</v>
      </c>
      <c r="Y51" s="1"/>
      <c r="Z51" s="5">
        <f t="shared" si="36"/>
        <v>0.1464</v>
      </c>
    </row>
    <row r="52" spans="1:26" s="24" customFormat="1" hidden="1" outlineLevel="2" x14ac:dyDescent="0.25">
      <c r="A52" s="25"/>
      <c r="B52" s="11" t="str">
        <f>CONCATENATE("          ", "6277", " - ", "EMPLOYEE APPRECIATION")</f>
        <v xml:space="preserve">          6277 - EMPLOYEE APPRECIATION</v>
      </c>
      <c r="C52" s="11"/>
      <c r="D52" s="6"/>
      <c r="E52" s="2"/>
      <c r="F52" s="7">
        <f t="shared" si="29"/>
        <v>0</v>
      </c>
      <c r="G52" s="2"/>
      <c r="H52" s="6"/>
      <c r="I52" s="2"/>
      <c r="J52" s="7">
        <f t="shared" si="30"/>
        <v>0</v>
      </c>
      <c r="K52" s="2"/>
      <c r="L52" s="6">
        <f t="shared" si="31"/>
        <v>0</v>
      </c>
      <c r="M52" s="2"/>
      <c r="N52" s="7">
        <f t="shared" si="32"/>
        <v>0</v>
      </c>
      <c r="O52" s="11"/>
      <c r="P52" s="6">
        <v>114.64</v>
      </c>
      <c r="Q52" s="2"/>
      <c r="R52" s="7">
        <f t="shared" si="33"/>
        <v>5.7747708402281503E-3</v>
      </c>
      <c r="S52" s="2"/>
      <c r="T52" s="6">
        <v>100</v>
      </c>
      <c r="U52" s="2"/>
      <c r="V52" s="7">
        <f t="shared" si="34"/>
        <v>5.0000000000000001E-3</v>
      </c>
      <c r="W52" s="2"/>
      <c r="X52" s="6">
        <f t="shared" si="35"/>
        <v>14.64</v>
      </c>
      <c r="Y52" s="2"/>
      <c r="Z52" s="7">
        <f t="shared" si="36"/>
        <v>0.1464</v>
      </c>
    </row>
    <row r="53" spans="1:26" s="26" customFormat="1" outlineLevel="1" collapsed="1" x14ac:dyDescent="0.25">
      <c r="A53" s="27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SUM(OSRRefD22_6x_0)</f>
        <v>0</v>
      </c>
      <c r="E53" s="1"/>
      <c r="F53" s="5">
        <f t="shared" si="29"/>
        <v>0</v>
      </c>
      <c r="G53" s="1"/>
      <c r="H53" s="1">
        <f>SUM(OSRRefH22_6x_0)</f>
        <v>0</v>
      </c>
      <c r="I53" s="1"/>
      <c r="J53" s="5">
        <f t="shared" si="30"/>
        <v>0</v>
      </c>
      <c r="K53" s="1"/>
      <c r="L53" s="1">
        <f t="shared" si="31"/>
        <v>0</v>
      </c>
      <c r="M53" s="1"/>
      <c r="N53" s="5">
        <f t="shared" si="32"/>
        <v>0</v>
      </c>
      <c r="O53" s="13"/>
      <c r="P53" s="1">
        <f>SUM(OSRRefP22_6x_0)</f>
        <v>3267.75</v>
      </c>
      <c r="Q53" s="1"/>
      <c r="R53" s="5">
        <f t="shared" si="33"/>
        <v>0.16460665922152423</v>
      </c>
      <c r="S53" s="1"/>
      <c r="T53" s="1">
        <f>SUM(OSRRefT22_6x_0)</f>
        <v>0</v>
      </c>
      <c r="U53" s="1"/>
      <c r="V53" s="5">
        <f t="shared" si="34"/>
        <v>0</v>
      </c>
      <c r="W53" s="1"/>
      <c r="X53" s="1">
        <f t="shared" si="35"/>
        <v>3267.75</v>
      </c>
      <c r="Y53" s="1"/>
      <c r="Z53" s="5">
        <f t="shared" si="36"/>
        <v>0</v>
      </c>
    </row>
    <row r="54" spans="1:26" s="24" customFormat="1" hidden="1" outlineLevel="2" x14ac:dyDescent="0.25">
      <c r="A54" s="25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29"/>
        <v>0</v>
      </c>
      <c r="G54" s="2"/>
      <c r="H54" s="6"/>
      <c r="I54" s="2"/>
      <c r="J54" s="7">
        <f t="shared" si="30"/>
        <v>0</v>
      </c>
      <c r="K54" s="2"/>
      <c r="L54" s="6">
        <f t="shared" si="31"/>
        <v>0</v>
      </c>
      <c r="M54" s="2"/>
      <c r="N54" s="7">
        <f t="shared" si="32"/>
        <v>0</v>
      </c>
      <c r="O54" s="11"/>
      <c r="P54" s="6">
        <v>3267.75</v>
      </c>
      <c r="Q54" s="2"/>
      <c r="R54" s="7">
        <f t="shared" si="33"/>
        <v>0.16460665922152423</v>
      </c>
      <c r="S54" s="2"/>
      <c r="T54" s="6"/>
      <c r="U54" s="2"/>
      <c r="V54" s="7">
        <f t="shared" si="34"/>
        <v>0</v>
      </c>
      <c r="W54" s="2"/>
      <c r="X54" s="6">
        <f t="shared" si="35"/>
        <v>3267.75</v>
      </c>
      <c r="Y54" s="2"/>
      <c r="Z54" s="7">
        <f t="shared" si="36"/>
        <v>0</v>
      </c>
    </row>
    <row r="55" spans="1:26" s="26" customFormat="1" outlineLevel="1" collapsed="1" x14ac:dyDescent="0.25">
      <c r="A55" s="27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SUM(OSRRefD22_7x_0)</f>
        <v>0</v>
      </c>
      <c r="E55" s="1"/>
      <c r="F55" s="5">
        <f t="shared" si="29"/>
        <v>0</v>
      </c>
      <c r="G55" s="1"/>
      <c r="H55" s="1">
        <f>SUM(OSRRefH22_7x_0)</f>
        <v>0</v>
      </c>
      <c r="I55" s="1"/>
      <c r="J55" s="5">
        <f t="shared" si="30"/>
        <v>0</v>
      </c>
      <c r="K55" s="1"/>
      <c r="L55" s="1">
        <f t="shared" si="31"/>
        <v>0</v>
      </c>
      <c r="M55" s="1"/>
      <c r="N55" s="5">
        <f t="shared" si="32"/>
        <v>0</v>
      </c>
      <c r="O55" s="13"/>
      <c r="P55" s="1">
        <f>SUM(OSRRefP22_7x_0)</f>
        <v>434.72</v>
      </c>
      <c r="Q55" s="1"/>
      <c r="R55" s="5">
        <f t="shared" si="33"/>
        <v>2.1898188936357133E-2</v>
      </c>
      <c r="S55" s="1"/>
      <c r="T55" s="1">
        <f>SUM(OSRRefT22_7x_0)</f>
        <v>1500</v>
      </c>
      <c r="U55" s="1"/>
      <c r="V55" s="5">
        <f t="shared" si="34"/>
        <v>7.4999999999999997E-2</v>
      </c>
      <c r="W55" s="1"/>
      <c r="X55" s="1">
        <f t="shared" si="35"/>
        <v>-1065.28</v>
      </c>
      <c r="Y55" s="1"/>
      <c r="Z55" s="5">
        <f t="shared" si="36"/>
        <v>-0.71018666666666663</v>
      </c>
    </row>
    <row r="56" spans="1:26" s="24" customFormat="1" hidden="1" outlineLevel="2" x14ac:dyDescent="0.25">
      <c r="A56" s="25"/>
      <c r="B56" s="11" t="str">
        <f>CONCATENATE("          ", "6373", " - ", "MAINTENANCE CONTRACTS")</f>
        <v xml:space="preserve">          6373 - MAINTENANCE CONTRACTS</v>
      </c>
      <c r="C56" s="11"/>
      <c r="D56" s="6"/>
      <c r="E56" s="2"/>
      <c r="F56" s="7">
        <f t="shared" si="29"/>
        <v>0</v>
      </c>
      <c r="G56" s="2"/>
      <c r="H56" s="6"/>
      <c r="I56" s="2"/>
      <c r="J56" s="7">
        <f t="shared" si="30"/>
        <v>0</v>
      </c>
      <c r="K56" s="2"/>
      <c r="L56" s="6">
        <f t="shared" si="31"/>
        <v>0</v>
      </c>
      <c r="M56" s="2"/>
      <c r="N56" s="7">
        <f t="shared" si="32"/>
        <v>0</v>
      </c>
      <c r="O56" s="11"/>
      <c r="P56" s="6">
        <v>296.64</v>
      </c>
      <c r="Q56" s="2"/>
      <c r="R56" s="7">
        <f t="shared" si="33"/>
        <v>1.4942672906884842E-2</v>
      </c>
      <c r="S56" s="2"/>
      <c r="T56" s="6"/>
      <c r="U56" s="2"/>
      <c r="V56" s="7">
        <f t="shared" si="34"/>
        <v>0</v>
      </c>
      <c r="W56" s="2"/>
      <c r="X56" s="6">
        <f t="shared" si="35"/>
        <v>296.64</v>
      </c>
      <c r="Y56" s="2"/>
      <c r="Z56" s="7">
        <f t="shared" si="36"/>
        <v>0</v>
      </c>
    </row>
    <row r="57" spans="1:26" s="24" customFormat="1" hidden="1" outlineLevel="2" x14ac:dyDescent="0.25">
      <c r="A57" s="25"/>
      <c r="B57" s="11" t="str">
        <f>CONCATENATE("          ", "6375", " - ", "OUTSIDE REPAIRS &amp; MAINTENANCE")</f>
        <v xml:space="preserve">          6375 - OUTSIDE REPAIRS &amp; MAINTENANCE</v>
      </c>
      <c r="C57" s="11"/>
      <c r="D57" s="6"/>
      <c r="E57" s="2"/>
      <c r="F57" s="7">
        <f t="shared" si="29"/>
        <v>0</v>
      </c>
      <c r="G57" s="2"/>
      <c r="H57" s="6"/>
      <c r="I57" s="2"/>
      <c r="J57" s="7">
        <f t="shared" si="30"/>
        <v>0</v>
      </c>
      <c r="K57" s="2"/>
      <c r="L57" s="6">
        <f t="shared" si="31"/>
        <v>0</v>
      </c>
      <c r="M57" s="2"/>
      <c r="N57" s="7">
        <f t="shared" si="32"/>
        <v>0</v>
      </c>
      <c r="O57" s="11"/>
      <c r="P57" s="6">
        <v>138.08000000000001</v>
      </c>
      <c r="Q57" s="2"/>
      <c r="R57" s="7">
        <f t="shared" si="33"/>
        <v>6.9555160294722876E-3</v>
      </c>
      <c r="S57" s="2"/>
      <c r="T57" s="6">
        <v>1500</v>
      </c>
      <c r="U57" s="2"/>
      <c r="V57" s="7">
        <f t="shared" si="34"/>
        <v>7.4999999999999997E-2</v>
      </c>
      <c r="W57" s="2"/>
      <c r="X57" s="6">
        <f t="shared" si="35"/>
        <v>-1361.92</v>
      </c>
      <c r="Y57" s="2"/>
      <c r="Z57" s="7">
        <f t="shared" si="36"/>
        <v>-0.90794666666666668</v>
      </c>
    </row>
    <row r="58" spans="1:26" s="26" customFormat="1" outlineLevel="1" collapsed="1" x14ac:dyDescent="0.25">
      <c r="A58" s="27"/>
      <c r="B58" s="13" t="str">
        <f>CONCATENATE("     ","Royalty &amp; Commissions                             ")</f>
        <v xml:space="preserve">     Royalty &amp; Commissions                             </v>
      </c>
      <c r="C58" s="13"/>
      <c r="D58" s="1">
        <f>SUM(OSRRefD22_8x_0)</f>
        <v>1019.37</v>
      </c>
      <c r="E58" s="1"/>
      <c r="F58" s="5">
        <f t="shared" ref="F58:F60" si="37">IF(D$12=0,0,D58/D$12)</f>
        <v>0</v>
      </c>
      <c r="G58" s="1"/>
      <c r="H58" s="1">
        <f>SUM(OSRRefH22_8x_0)</f>
        <v>0</v>
      </c>
      <c r="I58" s="1"/>
      <c r="J58" s="5">
        <f t="shared" ref="J58:J60" si="38">IF(H$12=0,0,H58/H$12)</f>
        <v>0</v>
      </c>
      <c r="K58" s="1"/>
      <c r="L58" s="1">
        <f t="shared" ref="L58:L60" si="39">+D58-H58</f>
        <v>1019.37</v>
      </c>
      <c r="M58" s="1"/>
      <c r="N58" s="5">
        <f t="shared" ref="N58:N60" si="40">IF(H58=0,0,L58/H58)</f>
        <v>0</v>
      </c>
      <c r="O58" s="13"/>
      <c r="P58" s="1">
        <f>SUM(OSRRefP22_8x_0)</f>
        <v>6595.88</v>
      </c>
      <c r="Q58" s="1"/>
      <c r="R58" s="5">
        <f t="shared" ref="R58:R60" si="41">IF(P$12=0,0,P58/P$12)</f>
        <v>0.33225484551329426</v>
      </c>
      <c r="S58" s="1"/>
      <c r="T58" s="1">
        <f>SUM(OSRRefT22_8x_0)</f>
        <v>4000</v>
      </c>
      <c r="U58" s="1"/>
      <c r="V58" s="5">
        <f t="shared" ref="V58:V60" si="42">IF(T$12=0,0,T58/T$12)</f>
        <v>0.2</v>
      </c>
      <c r="W58" s="1"/>
      <c r="X58" s="1">
        <f t="shared" ref="X58:X60" si="43">+P58-T58</f>
        <v>2595.88</v>
      </c>
      <c r="Y58" s="1"/>
      <c r="Z58" s="5">
        <f t="shared" ref="Z58:Z60" si="44">IF(T58=0,0,X58/T58)</f>
        <v>0.64897000000000005</v>
      </c>
    </row>
    <row r="59" spans="1:26" s="24" customFormat="1" hidden="1" outlineLevel="2" x14ac:dyDescent="0.25">
      <c r="A59" s="25"/>
      <c r="B59" s="11" t="str">
        <f>CONCATENATE("          ", "6253", " - ", "ROYALTY DUE ATHLETICS-LRG")</f>
        <v xml:space="preserve">          6253 - ROYALTY DUE ATHLETICS-LRG</v>
      </c>
      <c r="C59" s="11"/>
      <c r="D59" s="6"/>
      <c r="E59" s="2"/>
      <c r="F59" s="7">
        <f t="shared" si="37"/>
        <v>0</v>
      </c>
      <c r="G59" s="2"/>
      <c r="H59" s="6"/>
      <c r="I59" s="2"/>
      <c r="J59" s="7">
        <f t="shared" si="38"/>
        <v>0</v>
      </c>
      <c r="K59" s="2"/>
      <c r="L59" s="6">
        <f t="shared" si="39"/>
        <v>0</v>
      </c>
      <c r="M59" s="2"/>
      <c r="N59" s="7">
        <f t="shared" si="40"/>
        <v>0</v>
      </c>
      <c r="O59" s="11"/>
      <c r="P59" s="6"/>
      <c r="Q59" s="2"/>
      <c r="R59" s="7">
        <f t="shared" si="41"/>
        <v>0</v>
      </c>
      <c r="S59" s="2"/>
      <c r="T59" s="6">
        <v>4000</v>
      </c>
      <c r="U59" s="2"/>
      <c r="V59" s="7">
        <f t="shared" si="42"/>
        <v>0.2</v>
      </c>
      <c r="W59" s="2"/>
      <c r="X59" s="6">
        <f t="shared" si="43"/>
        <v>-4000</v>
      </c>
      <c r="Y59" s="2"/>
      <c r="Z59" s="7">
        <f t="shared" si="44"/>
        <v>-1</v>
      </c>
    </row>
    <row r="60" spans="1:26" s="24" customFormat="1" hidden="1" outlineLevel="2" x14ac:dyDescent="0.25">
      <c r="A60" s="25"/>
      <c r="B60" s="11" t="str">
        <f>CONCATENATE("          ", "6254", " - ", "ROYALTY &amp; COMMISSIONS")</f>
        <v xml:space="preserve">          6254 - ROYALTY &amp; COMMISSIONS</v>
      </c>
      <c r="C60" s="11"/>
      <c r="D60" s="6">
        <v>1019.37</v>
      </c>
      <c r="E60" s="2"/>
      <c r="F60" s="7">
        <f t="shared" si="37"/>
        <v>0</v>
      </c>
      <c r="G60" s="2"/>
      <c r="H60" s="6"/>
      <c r="I60" s="2"/>
      <c r="J60" s="7">
        <f t="shared" si="38"/>
        <v>0</v>
      </c>
      <c r="K60" s="2"/>
      <c r="L60" s="6">
        <f t="shared" si="39"/>
        <v>1019.37</v>
      </c>
      <c r="M60" s="2"/>
      <c r="N60" s="7">
        <f t="shared" si="40"/>
        <v>0</v>
      </c>
      <c r="O60" s="11"/>
      <c r="P60" s="6">
        <v>6595.88</v>
      </c>
      <c r="Q60" s="2"/>
      <c r="R60" s="7">
        <f t="shared" si="41"/>
        <v>0.33225484551329426</v>
      </c>
      <c r="S60" s="2"/>
      <c r="T60" s="6"/>
      <c r="U60" s="2"/>
      <c r="V60" s="7">
        <f t="shared" si="42"/>
        <v>0</v>
      </c>
      <c r="W60" s="2"/>
      <c r="X60" s="6">
        <f t="shared" si="43"/>
        <v>6595.88</v>
      </c>
      <c r="Y60" s="2"/>
      <c r="Z60" s="7">
        <f t="shared" si="44"/>
        <v>0</v>
      </c>
    </row>
    <row r="61" spans="1:26" s="26" customFormat="1" outlineLevel="1" collapsed="1" x14ac:dyDescent="0.25">
      <c r="A61" s="27"/>
      <c r="B61" s="13" t="str">
        <f>CONCATENATE("     ","Services                                          ")</f>
        <v xml:space="preserve">     Services                                          </v>
      </c>
      <c r="C61" s="13"/>
      <c r="D61" s="1">
        <f>SUM(OSRRefD22_9x_0)</f>
        <v>0</v>
      </c>
      <c r="E61" s="1"/>
      <c r="F61" s="5">
        <f t="shared" ref="F61:F67" si="45">IF(D$12=0,0,D61/D$12)</f>
        <v>0</v>
      </c>
      <c r="G61" s="1"/>
      <c r="H61" s="1">
        <f>SUM(OSRRefH22_9x_0)</f>
        <v>0</v>
      </c>
      <c r="I61" s="1"/>
      <c r="J61" s="5">
        <f t="shared" ref="J61:J67" si="46">IF(H$12=0,0,H61/H$12)</f>
        <v>0</v>
      </c>
      <c r="K61" s="1"/>
      <c r="L61" s="1">
        <f t="shared" ref="L61:L67" si="47">+D61-H61</f>
        <v>0</v>
      </c>
      <c r="M61" s="1"/>
      <c r="N61" s="5">
        <f t="shared" ref="N61:N67" si="48">IF(H61=0,0,L61/H61)</f>
        <v>0</v>
      </c>
      <c r="O61" s="13"/>
      <c r="P61" s="1">
        <f>SUM(OSRRefP22_9x_0)</f>
        <v>32.5</v>
      </c>
      <c r="Q61" s="1"/>
      <c r="R61" s="5">
        <f t="shared" ref="R61:R67" si="49">IF(P$12=0,0,P61/P$12)</f>
        <v>1.6371253690458381E-3</v>
      </c>
      <c r="S61" s="1"/>
      <c r="T61" s="1">
        <f>SUM(OSRRefT22_9x_0)</f>
        <v>25</v>
      </c>
      <c r="U61" s="1"/>
      <c r="V61" s="5">
        <f t="shared" ref="V61:V67" si="50">IF(T$12=0,0,T61/T$12)</f>
        <v>1.25E-3</v>
      </c>
      <c r="W61" s="1"/>
      <c r="X61" s="1">
        <f t="shared" ref="X61:X67" si="51">+P61-T61</f>
        <v>7.5</v>
      </c>
      <c r="Y61" s="1"/>
      <c r="Z61" s="5">
        <f t="shared" ref="Z61:Z67" si="52">IF(T61=0,0,X61/T61)</f>
        <v>0.3</v>
      </c>
    </row>
    <row r="62" spans="1:26" s="24" customFormat="1" hidden="1" outlineLevel="2" x14ac:dyDescent="0.25">
      <c r="A62" s="25"/>
      <c r="B62" s="11" t="str">
        <f>CONCATENATE("          ", "6286", " - ", "LAUNDRY EXPENSE")</f>
        <v xml:space="preserve">          6286 - LAUNDRY EXPENSE</v>
      </c>
      <c r="C62" s="11"/>
      <c r="D62" s="6"/>
      <c r="E62" s="2"/>
      <c r="F62" s="7">
        <f t="shared" si="45"/>
        <v>0</v>
      </c>
      <c r="G62" s="2"/>
      <c r="H62" s="6"/>
      <c r="I62" s="2"/>
      <c r="J62" s="7">
        <f t="shared" si="46"/>
        <v>0</v>
      </c>
      <c r="K62" s="2"/>
      <c r="L62" s="6">
        <f t="shared" si="47"/>
        <v>0</v>
      </c>
      <c r="M62" s="2"/>
      <c r="N62" s="7">
        <f t="shared" si="48"/>
        <v>0</v>
      </c>
      <c r="O62" s="11"/>
      <c r="P62" s="6">
        <v>32.5</v>
      </c>
      <c r="Q62" s="2"/>
      <c r="R62" s="7">
        <f t="shared" si="49"/>
        <v>1.6371253690458381E-3</v>
      </c>
      <c r="S62" s="2"/>
      <c r="T62" s="6">
        <v>25</v>
      </c>
      <c r="U62" s="2"/>
      <c r="V62" s="7">
        <f t="shared" si="50"/>
        <v>1.25E-3</v>
      </c>
      <c r="W62" s="2"/>
      <c r="X62" s="6">
        <f t="shared" si="51"/>
        <v>7.5</v>
      </c>
      <c r="Y62" s="2"/>
      <c r="Z62" s="7">
        <f t="shared" si="52"/>
        <v>0.3</v>
      </c>
    </row>
    <row r="63" spans="1:26" s="26" customFormat="1" outlineLevel="1" collapsed="1" x14ac:dyDescent="0.25">
      <c r="A63" s="27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SUM(OSRRefD22_10x_0)</f>
        <v>0</v>
      </c>
      <c r="E63" s="1"/>
      <c r="F63" s="5">
        <f t="shared" si="45"/>
        <v>0</v>
      </c>
      <c r="G63" s="1"/>
      <c r="H63" s="1">
        <f>SUM(OSRRefH22_10x_0)</f>
        <v>0</v>
      </c>
      <c r="I63" s="1"/>
      <c r="J63" s="5">
        <f t="shared" si="46"/>
        <v>0</v>
      </c>
      <c r="K63" s="1"/>
      <c r="L63" s="1">
        <f t="shared" si="47"/>
        <v>0</v>
      </c>
      <c r="M63" s="1"/>
      <c r="N63" s="5">
        <f t="shared" si="48"/>
        <v>0</v>
      </c>
      <c r="O63" s="13"/>
      <c r="P63" s="1">
        <f>SUM(OSRRefP22_10x_0)</f>
        <v>1013.37</v>
      </c>
      <c r="Q63" s="1"/>
      <c r="R63" s="5">
        <f t="shared" si="49"/>
        <v>5.1046576468614796E-2</v>
      </c>
      <c r="S63" s="1"/>
      <c r="T63" s="1">
        <f>SUM(OSRRefT22_10x_0)</f>
        <v>500</v>
      </c>
      <c r="U63" s="1"/>
      <c r="V63" s="5">
        <f t="shared" si="50"/>
        <v>2.5000000000000001E-2</v>
      </c>
      <c r="W63" s="1"/>
      <c r="X63" s="1">
        <f t="shared" si="51"/>
        <v>513.37</v>
      </c>
      <c r="Y63" s="1"/>
      <c r="Z63" s="5">
        <f t="shared" si="52"/>
        <v>1.02674</v>
      </c>
    </row>
    <row r="64" spans="1:26" s="24" customFormat="1" hidden="1" outlineLevel="2" x14ac:dyDescent="0.25">
      <c r="A64" s="25"/>
      <c r="B64" s="11" t="str">
        <f>CONCATENATE("          ", "6239", " - ", "KITCHEN SUPPLIES")</f>
        <v xml:space="preserve">          6239 - KITCHEN SUPPLIES</v>
      </c>
      <c r="C64" s="11"/>
      <c r="D64" s="6"/>
      <c r="E64" s="2"/>
      <c r="F64" s="7">
        <f t="shared" si="45"/>
        <v>0</v>
      </c>
      <c r="G64" s="2"/>
      <c r="H64" s="6"/>
      <c r="I64" s="2"/>
      <c r="J64" s="7">
        <f t="shared" si="46"/>
        <v>0</v>
      </c>
      <c r="K64" s="2"/>
      <c r="L64" s="6">
        <f t="shared" si="47"/>
        <v>0</v>
      </c>
      <c r="M64" s="2"/>
      <c r="N64" s="7">
        <f t="shared" si="48"/>
        <v>0</v>
      </c>
      <c r="O64" s="11"/>
      <c r="P64" s="6">
        <v>875.42</v>
      </c>
      <c r="Q64" s="2"/>
      <c r="R64" s="7">
        <f t="shared" si="49"/>
        <v>4.4097608940618691E-2</v>
      </c>
      <c r="S64" s="2"/>
      <c r="T64" s="6"/>
      <c r="U64" s="2"/>
      <c r="V64" s="7">
        <f t="shared" si="50"/>
        <v>0</v>
      </c>
      <c r="W64" s="2"/>
      <c r="X64" s="6">
        <f t="shared" si="51"/>
        <v>875.42</v>
      </c>
      <c r="Y64" s="2"/>
      <c r="Z64" s="7">
        <f t="shared" si="52"/>
        <v>0</v>
      </c>
    </row>
    <row r="65" spans="1:26" s="24" customFormat="1" hidden="1" outlineLevel="2" x14ac:dyDescent="0.25">
      <c r="A65" s="25"/>
      <c r="B65" s="11" t="str">
        <f>CONCATENATE("          ", "6241", " - ", "OFFICE EXPENSE")</f>
        <v xml:space="preserve">          6241 - OFFICE EXPENSE</v>
      </c>
      <c r="C65" s="11"/>
      <c r="D65" s="6"/>
      <c r="E65" s="2"/>
      <c r="F65" s="7">
        <f t="shared" si="45"/>
        <v>0</v>
      </c>
      <c r="G65" s="2"/>
      <c r="H65" s="6"/>
      <c r="I65" s="2"/>
      <c r="J65" s="7">
        <f t="shared" si="46"/>
        <v>0</v>
      </c>
      <c r="K65" s="2"/>
      <c r="L65" s="6">
        <f t="shared" si="47"/>
        <v>0</v>
      </c>
      <c r="M65" s="2"/>
      <c r="N65" s="7">
        <f t="shared" si="48"/>
        <v>0</v>
      </c>
      <c r="O65" s="11"/>
      <c r="P65" s="6">
        <v>33.06</v>
      </c>
      <c r="Q65" s="2"/>
      <c r="R65" s="7">
        <f t="shared" si="49"/>
        <v>1.6653342984817049E-3</v>
      </c>
      <c r="S65" s="2"/>
      <c r="T65" s="6"/>
      <c r="U65" s="2"/>
      <c r="V65" s="7">
        <f t="shared" si="50"/>
        <v>0</v>
      </c>
      <c r="W65" s="2"/>
      <c r="X65" s="6">
        <f t="shared" si="51"/>
        <v>33.06</v>
      </c>
      <c r="Y65" s="2"/>
      <c r="Z65" s="7">
        <f t="shared" si="52"/>
        <v>0</v>
      </c>
    </row>
    <row r="66" spans="1:26" s="24" customFormat="1" hidden="1" outlineLevel="2" x14ac:dyDescent="0.25">
      <c r="A66" s="25"/>
      <c r="B66" s="11" t="str">
        <f>CONCATENATE("          ", "6243", " - ", "PAPER SUPPLIES")</f>
        <v xml:space="preserve">          6243 - PAPER SUPPLIES</v>
      </c>
      <c r="C66" s="11"/>
      <c r="D66" s="6"/>
      <c r="E66" s="2"/>
      <c r="F66" s="7">
        <f t="shared" si="45"/>
        <v>0</v>
      </c>
      <c r="G66" s="2"/>
      <c r="H66" s="6"/>
      <c r="I66" s="2"/>
      <c r="J66" s="7">
        <f t="shared" si="46"/>
        <v>0</v>
      </c>
      <c r="K66" s="2"/>
      <c r="L66" s="6">
        <f t="shared" si="47"/>
        <v>0</v>
      </c>
      <c r="M66" s="2"/>
      <c r="N66" s="7">
        <f t="shared" si="48"/>
        <v>0</v>
      </c>
      <c r="O66" s="11"/>
      <c r="P66" s="6"/>
      <c r="Q66" s="2"/>
      <c r="R66" s="7">
        <f t="shared" si="49"/>
        <v>0</v>
      </c>
      <c r="S66" s="2"/>
      <c r="T66" s="6">
        <v>500</v>
      </c>
      <c r="U66" s="2"/>
      <c r="V66" s="7">
        <f t="shared" si="50"/>
        <v>2.5000000000000001E-2</v>
      </c>
      <c r="W66" s="2"/>
      <c r="X66" s="6">
        <f t="shared" si="51"/>
        <v>-500</v>
      </c>
      <c r="Y66" s="2"/>
      <c r="Z66" s="7">
        <f t="shared" si="52"/>
        <v>-1</v>
      </c>
    </row>
    <row r="67" spans="1:26" s="24" customFormat="1" hidden="1" outlineLevel="2" x14ac:dyDescent="0.25">
      <c r="A67" s="25"/>
      <c r="B67" s="11" t="str">
        <f>CONCATENATE("          ", "6247", " - ", "STORE SUPPLIES")</f>
        <v xml:space="preserve">          6247 - STORE SUPPLIES</v>
      </c>
      <c r="C67" s="11"/>
      <c r="D67" s="6"/>
      <c r="E67" s="2"/>
      <c r="F67" s="7">
        <f t="shared" si="45"/>
        <v>0</v>
      </c>
      <c r="G67" s="2"/>
      <c r="H67" s="6"/>
      <c r="I67" s="2"/>
      <c r="J67" s="7">
        <f t="shared" si="46"/>
        <v>0</v>
      </c>
      <c r="K67" s="2"/>
      <c r="L67" s="6">
        <f t="shared" si="47"/>
        <v>0</v>
      </c>
      <c r="M67" s="2"/>
      <c r="N67" s="7">
        <f t="shared" si="48"/>
        <v>0</v>
      </c>
      <c r="O67" s="11"/>
      <c r="P67" s="6">
        <v>104.89</v>
      </c>
      <c r="Q67" s="2"/>
      <c r="R67" s="7">
        <f t="shared" si="49"/>
        <v>5.2836332295143991E-3</v>
      </c>
      <c r="S67" s="2"/>
      <c r="T67" s="6"/>
      <c r="U67" s="2"/>
      <c r="V67" s="7">
        <f t="shared" si="50"/>
        <v>0</v>
      </c>
      <c r="W67" s="2"/>
      <c r="X67" s="6">
        <f t="shared" si="51"/>
        <v>104.89</v>
      </c>
      <c r="Y67" s="2"/>
      <c r="Z67" s="7">
        <f t="shared" si="52"/>
        <v>0</v>
      </c>
    </row>
    <row r="68" spans="1:26" s="26" customFormat="1" outlineLevel="1" collapsed="1" x14ac:dyDescent="0.25">
      <c r="A68" s="27"/>
      <c r="B68" s="13" t="str">
        <f>CONCATENATE("     ","Telephone/Data Lines                              ")</f>
        <v xml:space="preserve">     Telephone/Data Lines                              </v>
      </c>
      <c r="C68" s="13"/>
      <c r="D68" s="1">
        <f>SUM(OSRRefD22_11x_0)</f>
        <v>214.01</v>
      </c>
      <c r="E68" s="1"/>
      <c r="F68" s="5">
        <f t="shared" ref="F68:F70" si="53">IF(D$12=0,0,D68/D$12)</f>
        <v>0</v>
      </c>
      <c r="G68" s="1"/>
      <c r="H68" s="1">
        <f>SUM(OSRRefH22_11x_0)</f>
        <v>298</v>
      </c>
      <c r="I68" s="1"/>
      <c r="J68" s="5">
        <f t="shared" ref="J68:J70" si="54">IF(H$12=0,0,H68/H$12)</f>
        <v>0</v>
      </c>
      <c r="K68" s="1"/>
      <c r="L68" s="1">
        <f t="shared" ref="L68:L70" si="55">+D68-H68</f>
        <v>-83.990000000000009</v>
      </c>
      <c r="M68" s="1"/>
      <c r="N68" s="5">
        <f t="shared" ref="N68:N70" si="56">IF(H68=0,0,L68/H68)</f>
        <v>-0.28184563758389264</v>
      </c>
      <c r="O68" s="13"/>
      <c r="P68" s="1">
        <f>SUM(OSRRefP22_11x_0)</f>
        <v>1070.05</v>
      </c>
      <c r="Q68" s="1"/>
      <c r="R68" s="5">
        <f t="shared" ref="R68:R70" si="57">IF(P$12=0,0,P68/P$12)</f>
        <v>5.3901723112230737E-2</v>
      </c>
      <c r="S68" s="1"/>
      <c r="T68" s="1">
        <f>SUM(OSRRefT22_11x_0)</f>
        <v>1490</v>
      </c>
      <c r="U68" s="1"/>
      <c r="V68" s="5">
        <f t="shared" ref="V68:V70" si="58">IF(T$12=0,0,T68/T$12)</f>
        <v>7.4499999999999997E-2</v>
      </c>
      <c r="W68" s="1"/>
      <c r="X68" s="1">
        <f t="shared" ref="X68:X70" si="59">+P68-T68</f>
        <v>-419.95000000000005</v>
      </c>
      <c r="Y68" s="1"/>
      <c r="Z68" s="5">
        <f t="shared" ref="Z68:Z70" si="60">IF(T68=0,0,X68/T68)</f>
        <v>-0.28184563758389264</v>
      </c>
    </row>
    <row r="69" spans="1:26" s="24" customFormat="1" hidden="1" outlineLevel="2" x14ac:dyDescent="0.25">
      <c r="A69" s="25"/>
      <c r="B69" s="11" t="str">
        <f>CONCATENATE("          ", "6303", " - ", "DATA PHONE LINES")</f>
        <v xml:space="preserve">          6303 - DATA PHONE LINES</v>
      </c>
      <c r="C69" s="11"/>
      <c r="D69" s="6"/>
      <c r="E69" s="2"/>
      <c r="F69" s="7">
        <f t="shared" si="53"/>
        <v>0</v>
      </c>
      <c r="G69" s="2"/>
      <c r="H69" s="6">
        <v>298</v>
      </c>
      <c r="I69" s="2"/>
      <c r="J69" s="7">
        <f t="shared" si="54"/>
        <v>0</v>
      </c>
      <c r="K69" s="2"/>
      <c r="L69" s="6">
        <f t="shared" si="55"/>
        <v>-298</v>
      </c>
      <c r="M69" s="2"/>
      <c r="N69" s="7">
        <f t="shared" si="56"/>
        <v>-1</v>
      </c>
      <c r="O69" s="11"/>
      <c r="P69" s="6"/>
      <c r="Q69" s="2"/>
      <c r="R69" s="7">
        <f t="shared" si="57"/>
        <v>0</v>
      </c>
      <c r="S69" s="2"/>
      <c r="T69" s="6">
        <v>1490</v>
      </c>
      <c r="U69" s="2"/>
      <c r="V69" s="7">
        <f t="shared" si="58"/>
        <v>7.4499999999999997E-2</v>
      </c>
      <c r="W69" s="2"/>
      <c r="X69" s="6">
        <f t="shared" si="59"/>
        <v>-1490</v>
      </c>
      <c r="Y69" s="2"/>
      <c r="Z69" s="7">
        <f t="shared" si="60"/>
        <v>-1</v>
      </c>
    </row>
    <row r="70" spans="1:26" s="24" customFormat="1" hidden="1" outlineLevel="2" x14ac:dyDescent="0.25">
      <c r="A70" s="25"/>
      <c r="B70" s="11" t="str">
        <f>CONCATENATE("          ", "6309", " - ", "TELEPHONE")</f>
        <v xml:space="preserve">          6309 - TELEPHONE</v>
      </c>
      <c r="C70" s="11"/>
      <c r="D70" s="6">
        <v>214.01</v>
      </c>
      <c r="E70" s="2"/>
      <c r="F70" s="7">
        <f t="shared" si="53"/>
        <v>0</v>
      </c>
      <c r="G70" s="2"/>
      <c r="H70" s="6"/>
      <c r="I70" s="2"/>
      <c r="J70" s="7">
        <f t="shared" si="54"/>
        <v>0</v>
      </c>
      <c r="K70" s="2"/>
      <c r="L70" s="6">
        <f t="shared" si="55"/>
        <v>214.01</v>
      </c>
      <c r="M70" s="2"/>
      <c r="N70" s="7">
        <f t="shared" si="56"/>
        <v>0</v>
      </c>
      <c r="O70" s="11"/>
      <c r="P70" s="6">
        <v>1070.05</v>
      </c>
      <c r="Q70" s="2"/>
      <c r="R70" s="7">
        <f t="shared" si="57"/>
        <v>5.3901723112230737E-2</v>
      </c>
      <c r="S70" s="2"/>
      <c r="T70" s="6"/>
      <c r="U70" s="2"/>
      <c r="V70" s="7">
        <f t="shared" si="58"/>
        <v>0</v>
      </c>
      <c r="W70" s="2"/>
      <c r="X70" s="6">
        <f t="shared" si="59"/>
        <v>1070.05</v>
      </c>
      <c r="Y70" s="2"/>
      <c r="Z70" s="7">
        <f t="shared" si="60"/>
        <v>0</v>
      </c>
    </row>
    <row r="71" spans="1:26" s="59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25">
      <c r="A72" s="10"/>
      <c r="B72" s="29" t="s">
        <v>0</v>
      </c>
      <c r="C72" s="10"/>
      <c r="D72" s="4">
        <f>SUM(OSRRefD25x_0)</f>
        <v>2038.74</v>
      </c>
      <c r="E72" s="4"/>
      <c r="F72" s="12">
        <f t="shared" ref="F72:F73" si="61">IF(D$12=0,0,D72/D$12)</f>
        <v>0</v>
      </c>
      <c r="G72" s="4"/>
      <c r="H72" s="4">
        <f>SUM(OSRRefH25x_0)</f>
        <v>0</v>
      </c>
      <c r="I72" s="4"/>
      <c r="J72" s="12">
        <f t="shared" ref="J72:J73" si="62">IF(H$12=0,0,H72/H$12)</f>
        <v>0</v>
      </c>
      <c r="K72" s="4"/>
      <c r="L72" s="4">
        <f t="shared" ref="L72:L73" si="63">+D72-H72</f>
        <v>2038.74</v>
      </c>
      <c r="M72" s="4"/>
      <c r="N72" s="12">
        <f t="shared" ref="N72:N73" si="64">IF(H72=0,0,L72/H72)</f>
        <v>0</v>
      </c>
      <c r="O72" s="10"/>
      <c r="P72" s="4">
        <f>SUM(OSRRefP25x_0)</f>
        <v>5494.64</v>
      </c>
      <c r="Q72" s="4"/>
      <c r="R72" s="12">
        <f t="shared" ref="R72:R73" si="65">IF(P$12=0,0,P72/P$12)</f>
        <v>0.27678198577766228</v>
      </c>
      <c r="S72" s="4"/>
      <c r="T72" s="4">
        <f>SUM(OSRRefT25x_0)</f>
        <v>0</v>
      </c>
      <c r="U72" s="4"/>
      <c r="V72" s="12">
        <f t="shared" ref="V72:V73" si="66">IF(T$12=0,0,T72/T$12)</f>
        <v>0</v>
      </c>
      <c r="W72" s="4"/>
      <c r="X72" s="4">
        <f t="shared" ref="X72:X73" si="67">+P72-T72</f>
        <v>5494.64</v>
      </c>
      <c r="Y72" s="4"/>
      <c r="Z72" s="12">
        <f t="shared" ref="Z72:Z73" si="68">IF(T72=0,0,X72/T72)</f>
        <v>0</v>
      </c>
    </row>
    <row r="73" spans="1:26" s="24" customFormat="1" hidden="1" outlineLevel="1" x14ac:dyDescent="0.25">
      <c r="A73" s="44"/>
      <c r="B73" s="11" t="str">
        <f>CONCATENATE("          ", "9150", " - ", "MISC. INCOME")</f>
        <v xml:space="preserve">          9150 - MISC. INCOME</v>
      </c>
      <c r="C73" s="11"/>
      <c r="D73" s="2">
        <f>--2038.74</f>
        <v>2038.74</v>
      </c>
      <c r="E73" s="2"/>
      <c r="F73" s="19">
        <f t="shared" si="61"/>
        <v>0</v>
      </c>
      <c r="G73" s="2"/>
      <c r="H73" s="2"/>
      <c r="I73" s="2"/>
      <c r="J73" s="19">
        <f t="shared" si="62"/>
        <v>0</v>
      </c>
      <c r="K73" s="2"/>
      <c r="L73" s="2">
        <f t="shared" si="63"/>
        <v>2038.74</v>
      </c>
      <c r="M73" s="2"/>
      <c r="N73" s="19">
        <f t="shared" si="64"/>
        <v>0</v>
      </c>
      <c r="O73" s="11"/>
      <c r="P73" s="2">
        <f>--5494.64</f>
        <v>5494.64</v>
      </c>
      <c r="Q73" s="2"/>
      <c r="R73" s="19">
        <f t="shared" si="65"/>
        <v>0.27678198577766228</v>
      </c>
      <c r="S73" s="2"/>
      <c r="T73" s="2"/>
      <c r="U73" s="2"/>
      <c r="V73" s="19">
        <f t="shared" si="66"/>
        <v>0</v>
      </c>
      <c r="W73" s="2"/>
      <c r="X73" s="2">
        <f t="shared" si="67"/>
        <v>5494.64</v>
      </c>
      <c r="Y73" s="2"/>
      <c r="Z73" s="19">
        <f t="shared" si="68"/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8" t="s">
        <v>3</v>
      </c>
      <c r="C75" s="28"/>
      <c r="D75" s="20">
        <f>+D22-D24+D72</f>
        <v>380.71000000000004</v>
      </c>
      <c r="E75" s="14"/>
      <c r="F75" s="22">
        <f>IF(D$12=0,0,D75/D$12)</f>
        <v>0</v>
      </c>
      <c r="G75" s="14"/>
      <c r="H75" s="20">
        <f>+H22-H24+H72</f>
        <v>-2156.6800000000003</v>
      </c>
      <c r="I75" s="14"/>
      <c r="J75" s="22">
        <f>IF(H$12=0,0,H75/H$12)</f>
        <v>0</v>
      </c>
      <c r="K75" s="16"/>
      <c r="L75" s="20">
        <f>+D75-H75</f>
        <v>2537.3900000000003</v>
      </c>
      <c r="M75" s="16"/>
      <c r="N75" s="22">
        <f>IF(H75=0,0,L75/H75)</f>
        <v>-1.1765259565628652</v>
      </c>
      <c r="O75" s="29"/>
      <c r="P75" s="20">
        <f>+P22-P24+P72</f>
        <v>840.9300000000012</v>
      </c>
      <c r="Q75" s="14"/>
      <c r="R75" s="22">
        <f>IF(P$12=0,0,P75/P$12)</f>
        <v>4.2360241125899034E-2</v>
      </c>
      <c r="S75" s="14"/>
      <c r="T75" s="20">
        <f>+T22-T24+T72</f>
        <v>-6247.7135999999991</v>
      </c>
      <c r="U75" s="14"/>
      <c r="V75" s="22">
        <f>IF(T$12=0,0,T75/T$12)</f>
        <v>-0.31238567999999994</v>
      </c>
      <c r="W75" s="16"/>
      <c r="X75" s="20">
        <f>+P75-T75</f>
        <v>7088.6436000000003</v>
      </c>
      <c r="Y75" s="16"/>
      <c r="Z75" s="22">
        <f>IF(T75=0,0,X75/T75)</f>
        <v>-1.1345980391930899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2"/>
      <c r="B77" s="10" t="s">
        <v>14</v>
      </c>
      <c r="C77" s="10"/>
      <c r="D77" s="4">
        <v>103.84</v>
      </c>
      <c r="E77" s="4"/>
      <c r="F77" s="12">
        <f>IF(D$12=0,0,D77/D$12)</f>
        <v>0</v>
      </c>
      <c r="G77" s="4"/>
      <c r="H77" s="4">
        <v>126</v>
      </c>
      <c r="I77" s="4"/>
      <c r="J77" s="12">
        <f>IF(H$12=0,0,H77/H$12)</f>
        <v>0</v>
      </c>
      <c r="K77" s="4"/>
      <c r="L77" s="4">
        <f>+D77-H77</f>
        <v>-22.159999999999997</v>
      </c>
      <c r="M77" s="4"/>
      <c r="N77" s="12">
        <f>IF(H77=0,0,L77/H77)</f>
        <v>-0.17587301587301585</v>
      </c>
      <c r="O77" s="10"/>
      <c r="P77" s="4">
        <v>2102.1799999999998</v>
      </c>
      <c r="Q77" s="4"/>
      <c r="R77" s="12">
        <f>IF(P$12=0,0,P77/P$12)</f>
        <v>0.10589329871694707</v>
      </c>
      <c r="S77" s="4"/>
      <c r="T77" s="4">
        <v>2535</v>
      </c>
      <c r="U77" s="4"/>
      <c r="V77" s="12">
        <f>IF(T$12=0,0,T77/T$12)</f>
        <v>0.12675</v>
      </c>
      <c r="W77" s="4"/>
      <c r="X77" s="4">
        <f>+P77-T77</f>
        <v>-432.82000000000016</v>
      </c>
      <c r="Y77" s="4"/>
      <c r="Z77" s="12">
        <f>IF(T77=0,0,X77/T77)</f>
        <v>-0.17073767258382649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8" t="s">
        <v>4</v>
      </c>
      <c r="C79" s="28"/>
      <c r="D79" s="30">
        <f>+D75-D77</f>
        <v>276.87</v>
      </c>
      <c r="E79" s="14"/>
      <c r="F79" s="32">
        <f>IF(D$12=0,0,D79/D$12)</f>
        <v>0</v>
      </c>
      <c r="G79" s="14"/>
      <c r="H79" s="30">
        <f>+H75-H77</f>
        <v>-2282.6800000000003</v>
      </c>
      <c r="I79" s="14"/>
      <c r="J79" s="32">
        <f>IF(H$12=0,0,H79/H$12)</f>
        <v>0</v>
      </c>
      <c r="K79" s="16"/>
      <c r="L79" s="30">
        <f>D79-H79</f>
        <v>2559.5500000000002</v>
      </c>
      <c r="M79" s="16"/>
      <c r="N79" s="32">
        <f>IF(H79=0,0,L79/H79)</f>
        <v>-1.1212916396516375</v>
      </c>
      <c r="O79" s="29"/>
      <c r="P79" s="30">
        <f>+P75-P77</f>
        <v>-1261.2499999999986</v>
      </c>
      <c r="Q79" s="14"/>
      <c r="R79" s="32">
        <f>IF(P$12=0,0,P79/P$12)</f>
        <v>-6.3533057591048034E-2</v>
      </c>
      <c r="S79" s="14"/>
      <c r="T79" s="30">
        <f>+T75-T77</f>
        <v>-8782.7135999999991</v>
      </c>
      <c r="U79" s="14"/>
      <c r="V79" s="32">
        <f>IF(T$12=0,0,T79/T$12)</f>
        <v>-0.43913567999999997</v>
      </c>
      <c r="W79" s="16"/>
      <c r="X79" s="30">
        <f>P79-T79</f>
        <v>7521.463600000001</v>
      </c>
      <c r="Y79" s="16"/>
      <c r="Z79" s="32">
        <f>IF(T79=0,0,X79/T79)</f>
        <v>-0.85639404204185843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8" t="s">
        <v>5</v>
      </c>
      <c r="C82" s="28"/>
      <c r="D82" s="31">
        <f>SUM(D79:D81)</f>
        <v>276.87</v>
      </c>
      <c r="E82" s="14"/>
      <c r="F82" s="35">
        <f>IF(D$12=0,0,D82/D$12)</f>
        <v>0</v>
      </c>
      <c r="G82" s="14"/>
      <c r="H82" s="31">
        <f>SUM(H79:H81)</f>
        <v>-2282.6800000000003</v>
      </c>
      <c r="I82" s="14"/>
      <c r="J82" s="35">
        <f>IF(H$12=0,0,H82/H$12)</f>
        <v>0</v>
      </c>
      <c r="K82" s="16"/>
      <c r="L82" s="31">
        <f>+D82-H82</f>
        <v>2559.5500000000002</v>
      </c>
      <c r="M82" s="16"/>
      <c r="N82" s="35">
        <f>IF(H82=0,0,L82/H82)</f>
        <v>-1.1212916396516375</v>
      </c>
      <c r="O82" s="29"/>
      <c r="P82" s="31">
        <f>SUM(P79:P81)</f>
        <v>-1261.2499999999986</v>
      </c>
      <c r="Q82" s="14"/>
      <c r="R82" s="35">
        <f>IF(P$12=0,0,P82/P$12)</f>
        <v>-6.3533057591048034E-2</v>
      </c>
      <c r="S82" s="14"/>
      <c r="T82" s="31">
        <f>SUM(T79:T81)</f>
        <v>-8782.7135999999991</v>
      </c>
      <c r="U82" s="14"/>
      <c r="V82" s="35">
        <f>IF(T$12=0,0,T82/T$12)</f>
        <v>-0.43913567999999997</v>
      </c>
      <c r="W82" s="16"/>
      <c r="X82" s="31">
        <f>+P82-T82</f>
        <v>7521.463600000001</v>
      </c>
      <c r="Y82" s="16"/>
      <c r="Z82" s="35">
        <f>IF(T82=0,0,X82/T82)</f>
        <v>-0.85639404204185843</v>
      </c>
    </row>
    <row r="83" spans="1:26" ht="15.75" thickTop="1" x14ac:dyDescent="0.25">
      <c r="A83" s="9"/>
      <c r="C83" s="9"/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6" x14ac:dyDescent="0.25">
      <c r="A84" s="9"/>
      <c r="B84" s="56">
        <v>43815.484122337963</v>
      </c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62" t="s">
        <v>314</v>
      </c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58"/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","425", " - ", "Events Center")</f>
        <v>Department 425 - Events Center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32435.55</v>
      </c>
      <c r="E12" s="4"/>
      <c r="F12" s="12"/>
      <c r="G12" s="4"/>
      <c r="H12" s="4">
        <f>SUM(OSRRefH13x_0)</f>
        <v>40000</v>
      </c>
      <c r="I12" s="4"/>
      <c r="J12" s="12"/>
      <c r="K12" s="4"/>
      <c r="L12" s="4">
        <f t="shared" ref="L12:L16" si="0">+D12-H12</f>
        <v>-7564.4500000000007</v>
      </c>
      <c r="M12" s="4"/>
      <c r="N12" s="12">
        <f t="shared" ref="N12:N16" si="1">IF(H12=0,0,L12/H12)</f>
        <v>-0.18911125000000001</v>
      </c>
      <c r="O12" s="10"/>
      <c r="P12" s="4">
        <f>SUM(OSRRefP13x_0)</f>
        <v>166187.53999999998</v>
      </c>
      <c r="Q12" s="4"/>
      <c r="R12" s="12"/>
      <c r="S12" s="4"/>
      <c r="T12" s="4">
        <f>SUM(OSRRefT13x_0)</f>
        <v>155000</v>
      </c>
      <c r="U12" s="4"/>
      <c r="V12" s="12"/>
      <c r="W12" s="4"/>
      <c r="X12" s="4">
        <f t="shared" ref="X12:X16" si="2">+P12-T12</f>
        <v>11187.539999999979</v>
      </c>
      <c r="Y12" s="4"/>
      <c r="Z12" s="12">
        <f t="shared" ref="Z12:Z16" si="3">IF(T12=0,0,X12/T12)</f>
        <v>7.2177677419354699E-2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v>10000</v>
      </c>
      <c r="I13" s="2"/>
      <c r="J13" s="19"/>
      <c r="K13" s="2"/>
      <c r="L13" s="2">
        <f t="shared" si="0"/>
        <v>-10000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v>38750</v>
      </c>
      <c r="U13" s="2"/>
      <c r="V13" s="19"/>
      <c r="W13" s="2"/>
      <c r="X13" s="2">
        <f t="shared" si="2"/>
        <v>-38750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--22420.87</f>
        <v>22420.87</v>
      </c>
      <c r="E14" s="2"/>
      <c r="F14" s="19"/>
      <c r="G14" s="2"/>
      <c r="H14" s="2"/>
      <c r="I14" s="2"/>
      <c r="J14" s="19"/>
      <c r="K14" s="2"/>
      <c r="L14" s="2">
        <f t="shared" si="0"/>
        <v>22420.87</v>
      </c>
      <c r="M14" s="2"/>
      <c r="N14" s="19">
        <f t="shared" si="1"/>
        <v>0</v>
      </c>
      <c r="O14" s="11"/>
      <c r="P14" s="2">
        <f>--115524.12</f>
        <v>115524.12</v>
      </c>
      <c r="Q14" s="2"/>
      <c r="R14" s="19"/>
      <c r="S14" s="2"/>
      <c r="T14" s="2"/>
      <c r="U14" s="2"/>
      <c r="V14" s="19"/>
      <c r="W14" s="2"/>
      <c r="X14" s="2">
        <f t="shared" si="2"/>
        <v>115524.12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--10014.68</f>
        <v>10014.68</v>
      </c>
      <c r="E15" s="2"/>
      <c r="F15" s="19"/>
      <c r="G15" s="2"/>
      <c r="H15" s="2"/>
      <c r="I15" s="2"/>
      <c r="J15" s="19"/>
      <c r="K15" s="2"/>
      <c r="L15" s="2">
        <f t="shared" si="0"/>
        <v>10014.68</v>
      </c>
      <c r="M15" s="2"/>
      <c r="N15" s="19">
        <f t="shared" si="1"/>
        <v>0</v>
      </c>
      <c r="O15" s="11"/>
      <c r="P15" s="2">
        <f>--50663.42</f>
        <v>50663.42</v>
      </c>
      <c r="Q15" s="2"/>
      <c r="R15" s="19"/>
      <c r="S15" s="2"/>
      <c r="T15" s="2"/>
      <c r="U15" s="2"/>
      <c r="V15" s="19"/>
      <c r="W15" s="2"/>
      <c r="X15" s="2">
        <f t="shared" si="2"/>
        <v>50663.42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0</f>
        <v>0</v>
      </c>
      <c r="E16" s="2"/>
      <c r="F16" s="19"/>
      <c r="G16" s="2"/>
      <c r="H16" s="2">
        <v>30000</v>
      </c>
      <c r="I16" s="2"/>
      <c r="J16" s="19"/>
      <c r="K16" s="2"/>
      <c r="L16" s="2">
        <f t="shared" si="0"/>
        <v>-30000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v>116250</v>
      </c>
      <c r="U16" s="2"/>
      <c r="V16" s="19"/>
      <c r="W16" s="2"/>
      <c r="X16" s="2">
        <f t="shared" si="2"/>
        <v>-116250</v>
      </c>
      <c r="Y16" s="2"/>
      <c r="Z16" s="19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7758.6299999999992</v>
      </c>
      <c r="E18" s="4"/>
      <c r="F18" s="12">
        <f t="shared" ref="F18:F21" si="4">IF(D$12=0,0,D18/D$12)</f>
        <v>0.23920143176237182</v>
      </c>
      <c r="G18" s="4"/>
      <c r="H18" s="4">
        <f>SUM(OSRRefH16x_0)</f>
        <v>9200</v>
      </c>
      <c r="I18" s="4"/>
      <c r="J18" s="12">
        <f t="shared" ref="J18:J21" si="5">IF(H$12=0,0,H18/H$12)</f>
        <v>0.23</v>
      </c>
      <c r="K18" s="4"/>
      <c r="L18" s="4">
        <f t="shared" ref="L18:L21" si="6">+D18-H18</f>
        <v>-1441.3700000000008</v>
      </c>
      <c r="M18" s="4"/>
      <c r="N18" s="12">
        <f t="shared" ref="N18:N21" si="7">IF(H18=0,0,L18/H18)</f>
        <v>-0.15667065217391313</v>
      </c>
      <c r="O18" s="10"/>
      <c r="P18" s="4">
        <f>SUM(OSRRefP16x_0)</f>
        <v>38993.32</v>
      </c>
      <c r="Q18" s="4"/>
      <c r="R18" s="12">
        <f t="shared" ref="R18:R21" si="8">IF(P$12=0,0,P18/P$12)</f>
        <v>0.23463443769611131</v>
      </c>
      <c r="S18" s="4"/>
      <c r="T18" s="4">
        <f>SUM(OSRRefT16x_0)</f>
        <v>35650</v>
      </c>
      <c r="U18" s="4"/>
      <c r="V18" s="12">
        <f t="shared" ref="V18:V21" si="9">IF(T$12=0,0,T18/T$12)</f>
        <v>0.23</v>
      </c>
      <c r="W18" s="4"/>
      <c r="X18" s="4">
        <f t="shared" ref="X18:X21" si="10">+P18-T18</f>
        <v>3343.3199999999997</v>
      </c>
      <c r="Y18" s="4"/>
      <c r="Z18" s="12">
        <f t="shared" ref="Z18:Z21" si="11">IF(T18=0,0,X18/T18)</f>
        <v>9.3781767180925651E-2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9200</v>
      </c>
      <c r="I19" s="2"/>
      <c r="J19" s="19">
        <f t="shared" si="5"/>
        <v>0.23</v>
      </c>
      <c r="K19" s="2"/>
      <c r="L19" s="2">
        <f t="shared" si="6"/>
        <v>-9200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35650</v>
      </c>
      <c r="U19" s="2"/>
      <c r="V19" s="19">
        <f t="shared" si="9"/>
        <v>0.23</v>
      </c>
      <c r="W19" s="2"/>
      <c r="X19" s="2">
        <f t="shared" si="10"/>
        <v>-35650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10887.63</v>
      </c>
      <c r="E20" s="2"/>
      <c r="F20" s="19">
        <f t="shared" si="4"/>
        <v>0.33566965875405225</v>
      </c>
      <c r="G20" s="2"/>
      <c r="H20" s="2"/>
      <c r="I20" s="2"/>
      <c r="J20" s="19">
        <f t="shared" si="5"/>
        <v>0</v>
      </c>
      <c r="K20" s="2"/>
      <c r="L20" s="2">
        <f t="shared" si="6"/>
        <v>10887.63</v>
      </c>
      <c r="M20" s="2"/>
      <c r="N20" s="19">
        <f t="shared" si="7"/>
        <v>0</v>
      </c>
      <c r="O20" s="11"/>
      <c r="P20" s="2">
        <v>51542.32</v>
      </c>
      <c r="Q20" s="2"/>
      <c r="R20" s="19">
        <f t="shared" si="8"/>
        <v>0.31014551391758977</v>
      </c>
      <c r="S20" s="2"/>
      <c r="T20" s="2"/>
      <c r="U20" s="2"/>
      <c r="V20" s="19">
        <f t="shared" si="9"/>
        <v>0</v>
      </c>
      <c r="W20" s="2"/>
      <c r="X20" s="2">
        <f t="shared" si="10"/>
        <v>51542.32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-3129</v>
      </c>
      <c r="E21" s="2"/>
      <c r="F21" s="19">
        <f t="shared" si="4"/>
        <v>-9.6468226991680422E-2</v>
      </c>
      <c r="G21" s="2"/>
      <c r="H21" s="2"/>
      <c r="I21" s="2"/>
      <c r="J21" s="19">
        <f t="shared" si="5"/>
        <v>0</v>
      </c>
      <c r="K21" s="2"/>
      <c r="L21" s="2">
        <f t="shared" si="6"/>
        <v>-3129</v>
      </c>
      <c r="M21" s="2"/>
      <c r="N21" s="19">
        <f t="shared" si="7"/>
        <v>0</v>
      </c>
      <c r="O21" s="11"/>
      <c r="P21" s="2">
        <v>-12549</v>
      </c>
      <c r="Q21" s="2"/>
      <c r="R21" s="19">
        <f t="shared" si="8"/>
        <v>-7.5511076221478471E-2</v>
      </c>
      <c r="S21" s="2"/>
      <c r="T21" s="2"/>
      <c r="U21" s="2"/>
      <c r="V21" s="19">
        <f t="shared" si="9"/>
        <v>0</v>
      </c>
      <c r="W21" s="2"/>
      <c r="X21" s="2">
        <f t="shared" si="10"/>
        <v>-12549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D12-D18</f>
        <v>24676.92</v>
      </c>
      <c r="E23" s="14"/>
      <c r="F23" s="22">
        <f>IF(D$12=0,0,D23/D$12)</f>
        <v>0.76079856823762815</v>
      </c>
      <c r="G23" s="14"/>
      <c r="H23" s="20">
        <f>H12-H18</f>
        <v>30800</v>
      </c>
      <c r="I23" s="14"/>
      <c r="J23" s="22">
        <f>IF(H$12=0,0,H23/H$12)</f>
        <v>0.77</v>
      </c>
      <c r="K23" s="16"/>
      <c r="L23" s="20">
        <f>+D23-H23</f>
        <v>-6123.0800000000017</v>
      </c>
      <c r="M23" s="16"/>
      <c r="N23" s="22">
        <f>IF(H23=0,0,L23/H23)</f>
        <v>-0.19880129870129876</v>
      </c>
      <c r="O23" s="29"/>
      <c r="P23" s="20">
        <f>P12-P18</f>
        <v>127194.21999999997</v>
      </c>
      <c r="Q23" s="14"/>
      <c r="R23" s="22">
        <f>IF(P$12=0,0,P23/P$12)</f>
        <v>0.76536556230388864</v>
      </c>
      <c r="S23" s="14"/>
      <c r="T23" s="20">
        <f>T12-T18</f>
        <v>119350</v>
      </c>
      <c r="U23" s="14"/>
      <c r="V23" s="22">
        <f>IF(T$12=0,0,T23/T$12)</f>
        <v>0.77</v>
      </c>
      <c r="W23" s="16"/>
      <c r="X23" s="20">
        <f>+P23-T23</f>
        <v>7844.2199999999721</v>
      </c>
      <c r="Y23" s="16"/>
      <c r="Z23" s="22">
        <f>IF(T23=0,0,X23/T23)</f>
        <v>6.5724507750313965E-2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26739.890000000007</v>
      </c>
      <c r="E25" s="21"/>
      <c r="F25" s="33">
        <f t="shared" ref="F25:F35" si="12">IF(D$12=0,0,D25/D$12)</f>
        <v>0.82440069614974953</v>
      </c>
      <c r="G25" s="21"/>
      <c r="H25" s="21">
        <f>SUM(OSRRefH22x_0)</f>
        <v>26999.783924999996</v>
      </c>
      <c r="I25" s="21"/>
      <c r="J25" s="33">
        <f t="shared" ref="J25:J35" si="13">IF(H$12=0,0,H25/H$12)</f>
        <v>0.67499459812499996</v>
      </c>
      <c r="K25" s="4"/>
      <c r="L25" s="21">
        <f t="shared" ref="L25:L35" si="14">+D25-H25</f>
        <v>-259.89392499998939</v>
      </c>
      <c r="M25" s="4"/>
      <c r="N25" s="33">
        <f t="shared" ref="N25:N35" si="15">IF(H25=0,0,L25/H25)</f>
        <v>-9.6257779588874784E-3</v>
      </c>
      <c r="O25" s="10"/>
      <c r="P25" s="21">
        <f>SUM(OSRRefP22x_0)</f>
        <v>146359.26</v>
      </c>
      <c r="Q25" s="21"/>
      <c r="R25" s="33">
        <f t="shared" ref="R25:R35" si="16">IF(P$12=0,0,P25/P$12)</f>
        <v>0.88068732469353617</v>
      </c>
      <c r="S25" s="21"/>
      <c r="T25" s="21">
        <f>SUM(OSRRefT22x_0)</f>
        <v>100087.83182499999</v>
      </c>
      <c r="U25" s="21"/>
      <c r="V25" s="33">
        <f t="shared" ref="V25:V35" si="17">IF(T$12=0,0,T25/T$12)</f>
        <v>0.64572794725806448</v>
      </c>
      <c r="W25" s="4"/>
      <c r="X25" s="21">
        <f t="shared" ref="X25:X35" si="18">+P25-T25</f>
        <v>46271.428175000023</v>
      </c>
      <c r="Y25" s="4"/>
      <c r="Z25" s="33">
        <f t="shared" ref="Z25:Z35" si="19">IF(T25=0,0,X25/T25)</f>
        <v>0.46230822799622606</v>
      </c>
    </row>
    <row r="26" spans="1:26" s="26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2793.89</v>
      </c>
      <c r="E26" s="1"/>
      <c r="F26" s="5">
        <f t="shared" si="12"/>
        <v>8.6136661780053053E-2</v>
      </c>
      <c r="G26" s="1"/>
      <c r="H26" s="1">
        <f>SUM(OSRRefH22_0x_0)</f>
        <v>2912.4377711538468</v>
      </c>
      <c r="I26" s="1"/>
      <c r="J26" s="5">
        <f t="shared" si="13"/>
        <v>7.2810944278846171E-2</v>
      </c>
      <c r="K26" s="1"/>
      <c r="L26" s="1">
        <f t="shared" si="14"/>
        <v>-118.54777115384695</v>
      </c>
      <c r="M26" s="1"/>
      <c r="N26" s="5">
        <f t="shared" si="15"/>
        <v>-4.0703967078026461E-2</v>
      </c>
      <c r="O26" s="13"/>
      <c r="P26" s="1">
        <f>SUM(OSRRefP22_0x_0)</f>
        <v>13783.200000000003</v>
      </c>
      <c r="Q26" s="1"/>
      <c r="R26" s="5">
        <f t="shared" si="16"/>
        <v>8.2937625769055875E-2</v>
      </c>
      <c r="S26" s="1"/>
      <c r="T26" s="1">
        <f>SUM(OSRRefT22_0x_0)</f>
        <v>14780.677978846159</v>
      </c>
      <c r="U26" s="1"/>
      <c r="V26" s="5">
        <f t="shared" si="17"/>
        <v>9.5359212766749413E-2</v>
      </c>
      <c r="W26" s="1"/>
      <c r="X26" s="1">
        <f t="shared" si="18"/>
        <v>-997.47797884615647</v>
      </c>
      <c r="Y26" s="1"/>
      <c r="Z26" s="5">
        <f t="shared" si="19"/>
        <v>-6.7485265579409079E-2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596.1</v>
      </c>
      <c r="E27" s="2"/>
      <c r="F27" s="7">
        <f t="shared" si="12"/>
        <v>1.8377983416344106E-2</v>
      </c>
      <c r="G27" s="2"/>
      <c r="H27" s="6">
        <v>534.78280961538496</v>
      </c>
      <c r="I27" s="2"/>
      <c r="J27" s="7">
        <f t="shared" si="13"/>
        <v>1.3369570240384624E-2</v>
      </c>
      <c r="K27" s="2"/>
      <c r="L27" s="6">
        <f t="shared" si="14"/>
        <v>61.31719038461506</v>
      </c>
      <c r="M27" s="2"/>
      <c r="N27" s="7">
        <f t="shared" si="15"/>
        <v>0.11465811780433686</v>
      </c>
      <c r="O27" s="11"/>
      <c r="P27" s="6">
        <v>3633.51</v>
      </c>
      <c r="Q27" s="2"/>
      <c r="R27" s="7">
        <f t="shared" si="16"/>
        <v>2.1863913503984721E-2</v>
      </c>
      <c r="S27" s="2"/>
      <c r="T27" s="6">
        <v>2826.7974403846169</v>
      </c>
      <c r="U27" s="2"/>
      <c r="V27" s="7">
        <f t="shared" si="17"/>
        <v>1.8237402841191078E-2</v>
      </c>
      <c r="W27" s="2"/>
      <c r="X27" s="6">
        <f t="shared" si="18"/>
        <v>806.71255961538327</v>
      </c>
      <c r="Y27" s="2"/>
      <c r="Z27" s="7">
        <f t="shared" si="19"/>
        <v>0.28538039128322584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582.62</v>
      </c>
      <c r="E28" s="2"/>
      <c r="F28" s="7">
        <f t="shared" si="12"/>
        <v>1.796239003192485E-2</v>
      </c>
      <c r="G28" s="2"/>
      <c r="H28" s="6">
        <v>352.609923076923</v>
      </c>
      <c r="I28" s="2"/>
      <c r="J28" s="7">
        <f t="shared" si="13"/>
        <v>8.815248076923075E-3</v>
      </c>
      <c r="K28" s="2"/>
      <c r="L28" s="6">
        <f t="shared" si="14"/>
        <v>230.01007692307701</v>
      </c>
      <c r="M28" s="2"/>
      <c r="N28" s="7">
        <f t="shared" si="15"/>
        <v>0.65230744193463763</v>
      </c>
      <c r="O28" s="11"/>
      <c r="P28" s="6">
        <v>1791.56</v>
      </c>
      <c r="Q28" s="2"/>
      <c r="R28" s="7">
        <f t="shared" si="16"/>
        <v>1.0780350921615424E-2</v>
      </c>
      <c r="S28" s="2"/>
      <c r="T28" s="6">
        <v>1617.072076923077</v>
      </c>
      <c r="U28" s="2"/>
      <c r="V28" s="7">
        <f t="shared" si="17"/>
        <v>1.0432723076923077E-2</v>
      </c>
      <c r="W28" s="2"/>
      <c r="X28" s="6">
        <f t="shared" si="18"/>
        <v>174.48792307692293</v>
      </c>
      <c r="Y28" s="2"/>
      <c r="Z28" s="7">
        <f t="shared" si="19"/>
        <v>0.10790361516162844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698.2</v>
      </c>
      <c r="E29" s="2"/>
      <c r="F29" s="7">
        <f t="shared" si="12"/>
        <v>2.1525764169252566E-2</v>
      </c>
      <c r="G29" s="2"/>
      <c r="H29" s="6">
        <v>663</v>
      </c>
      <c r="I29" s="2"/>
      <c r="J29" s="7">
        <f t="shared" si="13"/>
        <v>1.6574999999999999E-2</v>
      </c>
      <c r="K29" s="2"/>
      <c r="L29" s="6">
        <f t="shared" si="14"/>
        <v>35.200000000000045</v>
      </c>
      <c r="M29" s="2"/>
      <c r="N29" s="7">
        <f t="shared" si="15"/>
        <v>5.3092006033182572E-2</v>
      </c>
      <c r="O29" s="11"/>
      <c r="P29" s="6">
        <v>3491</v>
      </c>
      <c r="Q29" s="2"/>
      <c r="R29" s="7">
        <f t="shared" si="16"/>
        <v>2.1006388324900895E-2</v>
      </c>
      <c r="S29" s="2"/>
      <c r="T29" s="6">
        <v>3315</v>
      </c>
      <c r="U29" s="2"/>
      <c r="V29" s="7">
        <f t="shared" si="17"/>
        <v>2.1387096774193547E-2</v>
      </c>
      <c r="W29" s="2"/>
      <c r="X29" s="6">
        <f t="shared" si="18"/>
        <v>176</v>
      </c>
      <c r="Y29" s="2"/>
      <c r="Z29" s="7">
        <f t="shared" si="19"/>
        <v>5.3092006033182503E-2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39.04</v>
      </c>
      <c r="E30" s="2"/>
      <c r="F30" s="7">
        <f t="shared" si="12"/>
        <v>1.2036176355881124E-3</v>
      </c>
      <c r="G30" s="2"/>
      <c r="H30" s="6">
        <v>27.528500000000001</v>
      </c>
      <c r="I30" s="2"/>
      <c r="J30" s="7">
        <f t="shared" si="13"/>
        <v>6.8821250000000007E-4</v>
      </c>
      <c r="K30" s="2"/>
      <c r="L30" s="6">
        <f t="shared" si="14"/>
        <v>11.511499999999998</v>
      </c>
      <c r="M30" s="2"/>
      <c r="N30" s="7">
        <f t="shared" si="15"/>
        <v>0.41816662731351134</v>
      </c>
      <c r="O30" s="11"/>
      <c r="P30" s="6">
        <v>193.51</v>
      </c>
      <c r="Q30" s="2"/>
      <c r="R30" s="7">
        <f t="shared" si="16"/>
        <v>1.1644073917936328E-3</v>
      </c>
      <c r="S30" s="2"/>
      <c r="T30" s="6">
        <v>125.93</v>
      </c>
      <c r="U30" s="2"/>
      <c r="V30" s="7">
        <f t="shared" si="17"/>
        <v>8.1245161290322584E-4</v>
      </c>
      <c r="W30" s="2"/>
      <c r="X30" s="6">
        <f t="shared" si="18"/>
        <v>67.579999999999984</v>
      </c>
      <c r="Y30" s="2"/>
      <c r="Z30" s="7">
        <f t="shared" si="19"/>
        <v>0.53664734376240752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320.99</v>
      </c>
      <c r="E31" s="2"/>
      <c r="F31" s="7">
        <f t="shared" si="12"/>
        <v>9.8962403905591238E-3</v>
      </c>
      <c r="G31" s="2"/>
      <c r="H31" s="6">
        <v>395.20307692307699</v>
      </c>
      <c r="I31" s="2"/>
      <c r="J31" s="7">
        <f t="shared" si="13"/>
        <v>9.8800769230769254E-3</v>
      </c>
      <c r="K31" s="2"/>
      <c r="L31" s="6">
        <f t="shared" si="14"/>
        <v>-74.213076923076983</v>
      </c>
      <c r="M31" s="2"/>
      <c r="N31" s="7">
        <f t="shared" si="15"/>
        <v>-0.18778466377558581</v>
      </c>
      <c r="O31" s="11"/>
      <c r="P31" s="6">
        <v>1604.95</v>
      </c>
      <c r="Q31" s="2"/>
      <c r="R31" s="7">
        <f t="shared" si="16"/>
        <v>9.6574628880119421E-3</v>
      </c>
      <c r="S31" s="2"/>
      <c r="T31" s="6">
        <v>2173.6169230769228</v>
      </c>
      <c r="U31" s="2"/>
      <c r="V31" s="7">
        <f t="shared" si="17"/>
        <v>1.4023334987593051E-2</v>
      </c>
      <c r="W31" s="2"/>
      <c r="X31" s="6">
        <f t="shared" si="18"/>
        <v>-568.66692307692279</v>
      </c>
      <c r="Y31" s="2"/>
      <c r="Z31" s="7">
        <f t="shared" si="19"/>
        <v>-0.26162242161416871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>
        <v>176.92</v>
      </c>
      <c r="E33" s="2"/>
      <c r="F33" s="7">
        <f t="shared" si="12"/>
        <v>5.454509018653915E-3</v>
      </c>
      <c r="G33" s="2"/>
      <c r="H33" s="6">
        <v>229.769230769231</v>
      </c>
      <c r="I33" s="2"/>
      <c r="J33" s="7">
        <f t="shared" si="13"/>
        <v>5.7442307692307749E-3</v>
      </c>
      <c r="K33" s="2"/>
      <c r="L33" s="6">
        <f t="shared" si="14"/>
        <v>-52.849230769231013</v>
      </c>
      <c r="M33" s="2"/>
      <c r="N33" s="7">
        <f t="shared" si="15"/>
        <v>-0.23001004352192919</v>
      </c>
      <c r="O33" s="11"/>
      <c r="P33" s="6">
        <v>999.36</v>
      </c>
      <c r="Q33" s="2"/>
      <c r="R33" s="7">
        <f t="shared" si="16"/>
        <v>6.0134472175230472E-3</v>
      </c>
      <c r="S33" s="2"/>
      <c r="T33" s="6">
        <v>1263.7307692307711</v>
      </c>
      <c r="U33" s="2"/>
      <c r="V33" s="7">
        <f t="shared" si="17"/>
        <v>8.1531017369727166E-3</v>
      </c>
      <c r="W33" s="2"/>
      <c r="X33" s="6">
        <f t="shared" si="18"/>
        <v>-264.37076923077109</v>
      </c>
      <c r="Y33" s="2"/>
      <c r="Z33" s="7">
        <f t="shared" si="19"/>
        <v>-0.20919864868977808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>
        <v>211.96</v>
      </c>
      <c r="E34" s="2"/>
      <c r="F34" s="7">
        <f t="shared" si="12"/>
        <v>6.5348051751858687E-3</v>
      </c>
      <c r="G34" s="2"/>
      <c r="H34" s="6">
        <v>409.54423076923098</v>
      </c>
      <c r="I34" s="2"/>
      <c r="J34" s="7">
        <f t="shared" si="13"/>
        <v>1.0238605769230774E-2</v>
      </c>
      <c r="K34" s="2"/>
      <c r="L34" s="6">
        <f t="shared" si="14"/>
        <v>-197.58423076923097</v>
      </c>
      <c r="M34" s="2"/>
      <c r="N34" s="7">
        <f t="shared" si="15"/>
        <v>-0.48244906392190218</v>
      </c>
      <c r="O34" s="11"/>
      <c r="P34" s="6">
        <v>1259.6199999999999</v>
      </c>
      <c r="Q34" s="2"/>
      <c r="R34" s="7">
        <f t="shared" si="16"/>
        <v>7.5795092700692247E-3</v>
      </c>
      <c r="S34" s="2"/>
      <c r="T34" s="6">
        <v>1958.5307692307701</v>
      </c>
      <c r="U34" s="2"/>
      <c r="V34" s="7">
        <f t="shared" si="17"/>
        <v>1.2635682382134E-2</v>
      </c>
      <c r="W34" s="2"/>
      <c r="X34" s="6">
        <f t="shared" si="18"/>
        <v>-698.91076923077026</v>
      </c>
      <c r="Y34" s="2"/>
      <c r="Z34" s="7">
        <f t="shared" si="19"/>
        <v>-0.35685462807677693</v>
      </c>
    </row>
    <row r="35" spans="1:26" s="24" customFormat="1" hidden="1" outlineLevel="2" x14ac:dyDescent="0.25">
      <c r="A35" s="25"/>
      <c r="B35" s="11" t="str">
        <f>CONCATENATE("          ", "6156", " - ", "EMPLOYEE MEALS")</f>
        <v xml:space="preserve">          6156 - EMPLOYEE MEALS</v>
      </c>
      <c r="C35" s="11"/>
      <c r="D35" s="6">
        <v>168.06</v>
      </c>
      <c r="E35" s="2"/>
      <c r="F35" s="7">
        <f t="shared" si="12"/>
        <v>5.1813519425445232E-3</v>
      </c>
      <c r="G35" s="2"/>
      <c r="H35" s="6">
        <v>300</v>
      </c>
      <c r="I35" s="2"/>
      <c r="J35" s="7">
        <f t="shared" si="13"/>
        <v>7.4999999999999997E-3</v>
      </c>
      <c r="K35" s="2"/>
      <c r="L35" s="6">
        <f t="shared" si="14"/>
        <v>-131.94</v>
      </c>
      <c r="M35" s="2"/>
      <c r="N35" s="7">
        <f t="shared" si="15"/>
        <v>-0.43979999999999997</v>
      </c>
      <c r="O35" s="11"/>
      <c r="P35" s="6">
        <v>809.69</v>
      </c>
      <c r="Q35" s="2"/>
      <c r="R35" s="7">
        <f t="shared" si="16"/>
        <v>4.8721462511569771E-3</v>
      </c>
      <c r="S35" s="2"/>
      <c r="T35" s="6">
        <v>1500</v>
      </c>
      <c r="U35" s="2"/>
      <c r="V35" s="7">
        <f t="shared" si="17"/>
        <v>9.6774193548387101E-3</v>
      </c>
      <c r="W35" s="2"/>
      <c r="X35" s="6">
        <f t="shared" si="18"/>
        <v>-690.31</v>
      </c>
      <c r="Y35" s="2"/>
      <c r="Z35" s="7">
        <f t="shared" si="19"/>
        <v>-0.46020666666666665</v>
      </c>
    </row>
    <row r="36" spans="1:26" s="26" customFormat="1" outlineLevel="1" collapsed="1" x14ac:dyDescent="0.25">
      <c r="A36" s="27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12691.39</v>
      </c>
      <c r="E36" s="1"/>
      <c r="F36" s="5">
        <f t="shared" ref="F36:F46" si="20">IF(D$12=0,0,D36/D$12)</f>
        <v>0.39128024651963661</v>
      </c>
      <c r="G36" s="1"/>
      <c r="H36" s="1">
        <f>SUM(OSRRefH22_1x_0)</f>
        <v>10128.346153846149</v>
      </c>
      <c r="I36" s="1"/>
      <c r="J36" s="5">
        <f t="shared" ref="J36:J46" si="21">IF(H$12=0,0,H36/H$12)</f>
        <v>0.25320865384615371</v>
      </c>
      <c r="K36" s="1"/>
      <c r="L36" s="1">
        <f t="shared" ref="L36:L46" si="22">+D36-H36</f>
        <v>2563.0438461538506</v>
      </c>
      <c r="M36" s="1"/>
      <c r="N36" s="5">
        <f t="shared" ref="N36:N46" si="23">IF(H36=0,0,L36/H36)</f>
        <v>0.25305650174491295</v>
      </c>
      <c r="O36" s="13"/>
      <c r="P36" s="1">
        <f>SUM(OSRRefP22_1x_0)</f>
        <v>58256.31</v>
      </c>
      <c r="Q36" s="1"/>
      <c r="R36" s="5">
        <f t="shared" ref="R36:R46" si="24">IF(P$12=0,0,P36/P$12)</f>
        <v>0.35054559445311007</v>
      </c>
      <c r="S36" s="1"/>
      <c r="T36" s="1">
        <f>SUM(OSRRefT22_1x_0)</f>
        <v>45907.153846153829</v>
      </c>
      <c r="U36" s="1"/>
      <c r="V36" s="5">
        <f t="shared" ref="V36:V46" si="25">IF(T$12=0,0,T36/T$12)</f>
        <v>0.29617518610421828</v>
      </c>
      <c r="W36" s="1"/>
      <c r="X36" s="1">
        <f t="shared" ref="X36:X46" si="26">+P36-T36</f>
        <v>12349.156153846168</v>
      </c>
      <c r="Y36" s="1"/>
      <c r="Z36" s="5">
        <f t="shared" ref="Z36:Z46" si="27">IF(T36=0,0,X36/T36)</f>
        <v>0.26900287034197828</v>
      </c>
    </row>
    <row r="37" spans="1:26" s="24" customFormat="1" hidden="1" outlineLevel="2" x14ac:dyDescent="0.25">
      <c r="A37" s="25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5"/>
      <c r="B38" s="11" t="str">
        <f>CONCATENATE("          ", "6002", " - ", "STAFF SALARIES")</f>
        <v xml:space="preserve">          6002 - STAFF SALARIES</v>
      </c>
      <c r="C38" s="11"/>
      <c r="D38" s="6">
        <v>4595.38</v>
      </c>
      <c r="E38" s="2"/>
      <c r="F38" s="7">
        <f t="shared" si="20"/>
        <v>0.14167726460627306</v>
      </c>
      <c r="G38" s="2"/>
      <c r="H38" s="6">
        <v>4135.8461538461497</v>
      </c>
      <c r="I38" s="2"/>
      <c r="J38" s="7">
        <f t="shared" si="21"/>
        <v>0.10339615384615375</v>
      </c>
      <c r="K38" s="2"/>
      <c r="L38" s="6">
        <f t="shared" si="22"/>
        <v>459.53384615385039</v>
      </c>
      <c r="M38" s="2"/>
      <c r="N38" s="7">
        <f t="shared" si="23"/>
        <v>0.11110999516423131</v>
      </c>
      <c r="O38" s="11"/>
      <c r="P38" s="6">
        <v>24585.279999999999</v>
      </c>
      <c r="Q38" s="2"/>
      <c r="R38" s="7">
        <f t="shared" si="24"/>
        <v>0.1479369632645143</v>
      </c>
      <c r="S38" s="2"/>
      <c r="T38" s="6">
        <v>22747.153846153829</v>
      </c>
      <c r="U38" s="2"/>
      <c r="V38" s="7">
        <f t="shared" si="25"/>
        <v>0.14675583126550856</v>
      </c>
      <c r="W38" s="2"/>
      <c r="X38" s="6">
        <f t="shared" si="26"/>
        <v>1838.1261538461695</v>
      </c>
      <c r="Y38" s="2"/>
      <c r="Z38" s="7">
        <f t="shared" si="27"/>
        <v>8.0806863411484173E-2</v>
      </c>
    </row>
    <row r="39" spans="1:26" s="24" customFormat="1" hidden="1" outlineLevel="2" x14ac:dyDescent="0.25">
      <c r="A39" s="25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5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0"/>
        <v>0</v>
      </c>
      <c r="G40" s="2"/>
      <c r="H40" s="6">
        <v>1500</v>
      </c>
      <c r="I40" s="2"/>
      <c r="J40" s="7">
        <f t="shared" si="21"/>
        <v>3.7499999999999999E-2</v>
      </c>
      <c r="K40" s="2"/>
      <c r="L40" s="6">
        <f t="shared" si="22"/>
        <v>-1500</v>
      </c>
      <c r="M40" s="2"/>
      <c r="N40" s="7">
        <f t="shared" si="23"/>
        <v>-1</v>
      </c>
      <c r="O40" s="11"/>
      <c r="P40" s="6"/>
      <c r="Q40" s="2"/>
      <c r="R40" s="7">
        <f t="shared" si="24"/>
        <v>0</v>
      </c>
      <c r="S40" s="2"/>
      <c r="T40" s="6">
        <v>5100</v>
      </c>
      <c r="U40" s="2"/>
      <c r="V40" s="7">
        <f t="shared" si="25"/>
        <v>3.2903225806451615E-2</v>
      </c>
      <c r="W40" s="2"/>
      <c r="X40" s="6">
        <f t="shared" si="26"/>
        <v>-5100</v>
      </c>
      <c r="Y40" s="2"/>
      <c r="Z40" s="7">
        <f t="shared" si="27"/>
        <v>-1</v>
      </c>
    </row>
    <row r="41" spans="1:26" s="24" customFormat="1" hidden="1" outlineLevel="2" x14ac:dyDescent="0.25">
      <c r="A41" s="25"/>
      <c r="B41" s="11" t="str">
        <f>CONCATENATE("          ", "6005", " - ", "TEMPORARY WAGES-HOURLY")</f>
        <v xml:space="preserve">          6005 - TEMPORARY WAGES-HOURLY</v>
      </c>
      <c r="C41" s="11"/>
      <c r="D41" s="6">
        <v>3250.02</v>
      </c>
      <c r="E41" s="2"/>
      <c r="F41" s="7">
        <f t="shared" si="20"/>
        <v>0.10019931834052452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3250.02</v>
      </c>
      <c r="M41" s="2"/>
      <c r="N41" s="7">
        <f t="shared" si="23"/>
        <v>0</v>
      </c>
      <c r="O41" s="11"/>
      <c r="P41" s="6">
        <v>13199.71</v>
      </c>
      <c r="Q41" s="2"/>
      <c r="R41" s="7">
        <f t="shared" si="24"/>
        <v>7.9426592390741207E-2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13199.71</v>
      </c>
      <c r="Y41" s="2"/>
      <c r="Z41" s="7">
        <f t="shared" si="27"/>
        <v>0</v>
      </c>
    </row>
    <row r="42" spans="1:26" s="24" customFormat="1" hidden="1" outlineLevel="2" x14ac:dyDescent="0.25">
      <c r="A42" s="25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303.38</v>
      </c>
      <c r="Q42" s="2"/>
      <c r="R42" s="7">
        <f t="shared" si="24"/>
        <v>1.8255279547431777E-3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303.38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"6007", " - ", "STUDENT HOURLY")</f>
        <v xml:space="preserve">          6007 - STUDENT HOURLY</v>
      </c>
      <c r="C43" s="11"/>
      <c r="D43" s="6">
        <v>4185.99</v>
      </c>
      <c r="E43" s="2"/>
      <c r="F43" s="7">
        <f t="shared" si="20"/>
        <v>0.12905561952857281</v>
      </c>
      <c r="G43" s="2"/>
      <c r="H43" s="6">
        <v>892.5</v>
      </c>
      <c r="I43" s="2"/>
      <c r="J43" s="7">
        <f t="shared" si="21"/>
        <v>2.2312499999999999E-2</v>
      </c>
      <c r="K43" s="2"/>
      <c r="L43" s="6">
        <f t="shared" si="22"/>
        <v>3293.49</v>
      </c>
      <c r="M43" s="2"/>
      <c r="N43" s="7">
        <f t="shared" si="23"/>
        <v>3.6901848739495797</v>
      </c>
      <c r="O43" s="11"/>
      <c r="P43" s="6">
        <v>17602.939999999999</v>
      </c>
      <c r="Q43" s="2"/>
      <c r="R43" s="7">
        <f t="shared" si="24"/>
        <v>0.10592214073329445</v>
      </c>
      <c r="S43" s="2"/>
      <c r="T43" s="6">
        <v>6562.5</v>
      </c>
      <c r="U43" s="2"/>
      <c r="V43" s="7">
        <f t="shared" si="25"/>
        <v>4.2338709677419352E-2</v>
      </c>
      <c r="W43" s="2"/>
      <c r="X43" s="6">
        <f t="shared" si="26"/>
        <v>11040.439999999999</v>
      </c>
      <c r="Y43" s="2"/>
      <c r="Z43" s="7">
        <f t="shared" si="27"/>
        <v>1.6823527619047618</v>
      </c>
    </row>
    <row r="44" spans="1:26" s="24" customFormat="1" hidden="1" outlineLevel="2" x14ac:dyDescent="0.25">
      <c r="A44" s="25"/>
      <c r="B44" s="11" t="str">
        <f>CONCATENATE("          ", "6008", " - ", "STUDENT HOURLY-FICA EXEMPT")</f>
        <v xml:space="preserve">          6008 - STUDENT HOURLY-FICA EXEMPT</v>
      </c>
      <c r="C44" s="11"/>
      <c r="D44" s="6">
        <v>660</v>
      </c>
      <c r="E44" s="2"/>
      <c r="F44" s="7">
        <f t="shared" si="20"/>
        <v>2.0348044044266246E-2</v>
      </c>
      <c r="G44" s="2"/>
      <c r="H44" s="6">
        <v>3600</v>
      </c>
      <c r="I44" s="2"/>
      <c r="J44" s="7">
        <f t="shared" si="21"/>
        <v>0.09</v>
      </c>
      <c r="K44" s="2"/>
      <c r="L44" s="6">
        <f t="shared" si="22"/>
        <v>-2940</v>
      </c>
      <c r="M44" s="2"/>
      <c r="N44" s="7">
        <f t="shared" si="23"/>
        <v>-0.81666666666666665</v>
      </c>
      <c r="O44" s="11"/>
      <c r="P44" s="6">
        <v>2565</v>
      </c>
      <c r="Q44" s="2"/>
      <c r="R44" s="7">
        <f t="shared" si="24"/>
        <v>1.54343701098169E-2</v>
      </c>
      <c r="S44" s="2"/>
      <c r="T44" s="6">
        <v>11497.5</v>
      </c>
      <c r="U44" s="2"/>
      <c r="V44" s="7">
        <f t="shared" si="25"/>
        <v>7.4177419354838708E-2</v>
      </c>
      <c r="W44" s="2"/>
      <c r="X44" s="6">
        <f t="shared" si="26"/>
        <v>-8932.5</v>
      </c>
      <c r="Y44" s="2"/>
      <c r="Z44" s="7">
        <f t="shared" si="27"/>
        <v>-0.77690802348336596</v>
      </c>
    </row>
    <row r="45" spans="1:26" s="24" customFormat="1" hidden="1" outlineLevel="2" x14ac:dyDescent="0.25">
      <c r="A45" s="25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5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6" customFormat="1" outlineLevel="1" collapsed="1" x14ac:dyDescent="0.25">
      <c r="A47" s="27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703.28</v>
      </c>
      <c r="E47" s="1"/>
      <c r="F47" s="5">
        <f t="shared" ref="F47:F55" si="28">IF(D$12=0,0,D47/D$12)</f>
        <v>2.1682382447653886E-2</v>
      </c>
      <c r="G47" s="1"/>
      <c r="H47" s="1">
        <f>SUM(OSRRefH22_2x_0)</f>
        <v>500</v>
      </c>
      <c r="I47" s="1"/>
      <c r="J47" s="5">
        <f t="shared" ref="J47:J55" si="29">IF(H$12=0,0,H47/H$12)</f>
        <v>1.2500000000000001E-2</v>
      </c>
      <c r="K47" s="1"/>
      <c r="L47" s="1">
        <f t="shared" ref="L47:L55" si="30">+D47-H47</f>
        <v>203.27999999999997</v>
      </c>
      <c r="M47" s="1"/>
      <c r="N47" s="5">
        <f t="shared" ref="N47:N55" si="31">IF(H47=0,0,L47/H47)</f>
        <v>0.40655999999999992</v>
      </c>
      <c r="O47" s="13"/>
      <c r="P47" s="1">
        <f>SUM(OSRRefP22_2x_0)</f>
        <v>1773.24</v>
      </c>
      <c r="Q47" s="1"/>
      <c r="R47" s="5">
        <f t="shared" ref="R47:R55" si="32">IF(P$12=0,0,P47/P$12)</f>
        <v>1.0670114016971431E-2</v>
      </c>
      <c r="S47" s="1"/>
      <c r="T47" s="1">
        <f>SUM(OSRRefT22_2x_0)</f>
        <v>1225</v>
      </c>
      <c r="U47" s="1"/>
      <c r="V47" s="5">
        <f t="shared" ref="V47:V55" si="33">IF(T$12=0,0,T47/T$12)</f>
        <v>7.9032258064516137E-3</v>
      </c>
      <c r="W47" s="1"/>
      <c r="X47" s="1">
        <f t="shared" ref="X47:X55" si="34">+P47-T47</f>
        <v>548.24</v>
      </c>
      <c r="Y47" s="1"/>
      <c r="Z47" s="5">
        <f t="shared" ref="Z47:Z55" si="35">IF(T47=0,0,X47/T47)</f>
        <v>0.44754285714285713</v>
      </c>
    </row>
    <row r="48" spans="1:26" s="24" customFormat="1" hidden="1" outlineLevel="2" x14ac:dyDescent="0.25">
      <c r="A48" s="25"/>
      <c r="B48" s="11" t="str">
        <f>CONCATENATE("          ", "6362", " - ", "ADVERTISING EXPENSE")</f>
        <v xml:space="preserve">          6362 - ADVERTISING EXPENSE</v>
      </c>
      <c r="C48" s="11"/>
      <c r="D48" s="6">
        <v>703.28</v>
      </c>
      <c r="E48" s="2"/>
      <c r="F48" s="7">
        <f t="shared" si="28"/>
        <v>2.1682382447653886E-2</v>
      </c>
      <c r="G48" s="2"/>
      <c r="H48" s="6">
        <v>500</v>
      </c>
      <c r="I48" s="2"/>
      <c r="J48" s="7">
        <f t="shared" si="29"/>
        <v>1.2500000000000001E-2</v>
      </c>
      <c r="K48" s="2"/>
      <c r="L48" s="6">
        <f t="shared" si="30"/>
        <v>203.27999999999997</v>
      </c>
      <c r="M48" s="2"/>
      <c r="N48" s="7">
        <f t="shared" si="31"/>
        <v>0.40655999999999992</v>
      </c>
      <c r="O48" s="11"/>
      <c r="P48" s="6">
        <v>1773.24</v>
      </c>
      <c r="Q48" s="2"/>
      <c r="R48" s="7">
        <f t="shared" si="32"/>
        <v>1.0670114016971431E-2</v>
      </c>
      <c r="S48" s="2"/>
      <c r="T48" s="6">
        <v>1225</v>
      </c>
      <c r="U48" s="2"/>
      <c r="V48" s="7">
        <f t="shared" si="33"/>
        <v>7.9032258064516137E-3</v>
      </c>
      <c r="W48" s="2"/>
      <c r="X48" s="6">
        <f t="shared" si="34"/>
        <v>548.24</v>
      </c>
      <c r="Y48" s="2"/>
      <c r="Z48" s="7">
        <f t="shared" si="35"/>
        <v>0.44754285714285713</v>
      </c>
    </row>
    <row r="49" spans="1:26" s="26" customFormat="1" outlineLevel="1" collapsed="1" x14ac:dyDescent="0.25">
      <c r="A49" s="27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-12.58</v>
      </c>
      <c r="E49" s="1"/>
      <c r="F49" s="5">
        <f t="shared" si="28"/>
        <v>-3.8784605163162027E-4</v>
      </c>
      <c r="G49" s="1"/>
      <c r="H49" s="1">
        <f>SUM(OSRRefH22_3x_0)</f>
        <v>50</v>
      </c>
      <c r="I49" s="1"/>
      <c r="J49" s="5">
        <f t="shared" si="29"/>
        <v>1.25E-3</v>
      </c>
      <c r="K49" s="1"/>
      <c r="L49" s="1">
        <f t="shared" si="30"/>
        <v>-62.58</v>
      </c>
      <c r="M49" s="1"/>
      <c r="N49" s="5">
        <f t="shared" si="31"/>
        <v>-1.2516</v>
      </c>
      <c r="O49" s="13"/>
      <c r="P49" s="1">
        <f>SUM(OSRRefP22_3x_0)</f>
        <v>2.06</v>
      </c>
      <c r="Q49" s="1"/>
      <c r="R49" s="5">
        <f t="shared" si="32"/>
        <v>1.2395634474160941E-5</v>
      </c>
      <c r="S49" s="1"/>
      <c r="T49" s="1">
        <f>SUM(OSRRefT22_3x_0)</f>
        <v>250</v>
      </c>
      <c r="U49" s="1"/>
      <c r="V49" s="5">
        <f t="shared" si="33"/>
        <v>1.6129032258064516E-3</v>
      </c>
      <c r="W49" s="1"/>
      <c r="X49" s="1">
        <f t="shared" si="34"/>
        <v>-247.94</v>
      </c>
      <c r="Y49" s="1"/>
      <c r="Z49" s="5">
        <f t="shared" si="35"/>
        <v>-0.99175999999999997</v>
      </c>
    </row>
    <row r="50" spans="1:26" s="24" customFormat="1" hidden="1" outlineLevel="2" x14ac:dyDescent="0.25">
      <c r="A50" s="25"/>
      <c r="B50" s="11" t="str">
        <f>CONCATENATE("          ", "6272", " - ", "CASH (OVER/SHORT)")</f>
        <v xml:space="preserve">          6272 - CASH (OVER/SHORT)</v>
      </c>
      <c r="C50" s="11"/>
      <c r="D50" s="6">
        <v>-12.58</v>
      </c>
      <c r="E50" s="2"/>
      <c r="F50" s="7">
        <f t="shared" si="28"/>
        <v>-3.8784605163162027E-4</v>
      </c>
      <c r="G50" s="2"/>
      <c r="H50" s="6">
        <v>50</v>
      </c>
      <c r="I50" s="2"/>
      <c r="J50" s="7">
        <f t="shared" si="29"/>
        <v>1.25E-3</v>
      </c>
      <c r="K50" s="2"/>
      <c r="L50" s="6">
        <f t="shared" si="30"/>
        <v>-62.58</v>
      </c>
      <c r="M50" s="2"/>
      <c r="N50" s="7">
        <f t="shared" si="31"/>
        <v>-1.2516</v>
      </c>
      <c r="O50" s="11"/>
      <c r="P50" s="6">
        <v>2.06</v>
      </c>
      <c r="Q50" s="2"/>
      <c r="R50" s="7">
        <f t="shared" si="32"/>
        <v>1.2395634474160941E-5</v>
      </c>
      <c r="S50" s="2"/>
      <c r="T50" s="6">
        <v>250</v>
      </c>
      <c r="U50" s="2"/>
      <c r="V50" s="7">
        <f t="shared" si="33"/>
        <v>1.6129032258064516E-3</v>
      </c>
      <c r="W50" s="2"/>
      <c r="X50" s="6">
        <f t="shared" si="34"/>
        <v>-247.94</v>
      </c>
      <c r="Y50" s="2"/>
      <c r="Z50" s="7">
        <f t="shared" si="35"/>
        <v>-0.99175999999999997</v>
      </c>
    </row>
    <row r="51" spans="1:26" s="26" customFormat="1" outlineLevel="1" collapsed="1" x14ac:dyDescent="0.25">
      <c r="A51" s="27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1073.4100000000001</v>
      </c>
      <c r="E51" s="1"/>
      <c r="F51" s="5">
        <f t="shared" si="28"/>
        <v>3.3093627208417929E-2</v>
      </c>
      <c r="G51" s="1"/>
      <c r="H51" s="1">
        <f>SUM(OSRRefH22_4x_0)</f>
        <v>500</v>
      </c>
      <c r="I51" s="1"/>
      <c r="J51" s="5">
        <f t="shared" si="29"/>
        <v>1.2500000000000001E-2</v>
      </c>
      <c r="K51" s="1"/>
      <c r="L51" s="1">
        <f t="shared" si="30"/>
        <v>573.41000000000008</v>
      </c>
      <c r="M51" s="1"/>
      <c r="N51" s="5">
        <f t="shared" si="31"/>
        <v>1.1468200000000002</v>
      </c>
      <c r="O51" s="13"/>
      <c r="P51" s="1">
        <f>SUM(OSRRefP22_4x_0)</f>
        <v>4012.16</v>
      </c>
      <c r="Q51" s="1"/>
      <c r="R51" s="5">
        <f t="shared" si="32"/>
        <v>2.4142363500897844E-2</v>
      </c>
      <c r="S51" s="1"/>
      <c r="T51" s="1">
        <f>SUM(OSRRefT22_4x_0)</f>
        <v>1800</v>
      </c>
      <c r="U51" s="1"/>
      <c r="V51" s="5">
        <f t="shared" si="33"/>
        <v>1.1612903225806452E-2</v>
      </c>
      <c r="W51" s="1"/>
      <c r="X51" s="1">
        <f t="shared" si="34"/>
        <v>2212.16</v>
      </c>
      <c r="Y51" s="1"/>
      <c r="Z51" s="5">
        <f t="shared" si="35"/>
        <v>1.2289777777777777</v>
      </c>
    </row>
    <row r="52" spans="1:26" s="24" customFormat="1" hidden="1" outlineLevel="2" x14ac:dyDescent="0.25">
      <c r="A52" s="25"/>
      <c r="B52" s="11" t="str">
        <f>CONCATENATE("          ", "6381", " - ", "BANK/CREDIT CARD FEES")</f>
        <v xml:space="preserve">          6381 - BANK/CREDIT CARD FEES</v>
      </c>
      <c r="C52" s="11"/>
      <c r="D52" s="6">
        <v>1073.4100000000001</v>
      </c>
      <c r="E52" s="2"/>
      <c r="F52" s="7">
        <f t="shared" si="28"/>
        <v>3.3093627208417929E-2</v>
      </c>
      <c r="G52" s="2"/>
      <c r="H52" s="6">
        <v>500</v>
      </c>
      <c r="I52" s="2"/>
      <c r="J52" s="7">
        <f t="shared" si="29"/>
        <v>1.2500000000000001E-2</v>
      </c>
      <c r="K52" s="2"/>
      <c r="L52" s="6">
        <f t="shared" si="30"/>
        <v>573.41000000000008</v>
      </c>
      <c r="M52" s="2"/>
      <c r="N52" s="7">
        <f t="shared" si="31"/>
        <v>1.1468200000000002</v>
      </c>
      <c r="O52" s="11"/>
      <c r="P52" s="6">
        <v>4012.16</v>
      </c>
      <c r="Q52" s="2"/>
      <c r="R52" s="7">
        <f t="shared" si="32"/>
        <v>2.4142363500897844E-2</v>
      </c>
      <c r="S52" s="2"/>
      <c r="T52" s="6">
        <v>1800</v>
      </c>
      <c r="U52" s="2"/>
      <c r="V52" s="7">
        <f t="shared" si="33"/>
        <v>1.1612903225806452E-2</v>
      </c>
      <c r="W52" s="2"/>
      <c r="X52" s="6">
        <f t="shared" si="34"/>
        <v>2212.16</v>
      </c>
      <c r="Y52" s="2"/>
      <c r="Z52" s="7">
        <f t="shared" si="35"/>
        <v>1.2289777777777777</v>
      </c>
    </row>
    <row r="53" spans="1:26" s="26" customFormat="1" outlineLevel="1" collapsed="1" x14ac:dyDescent="0.25">
      <c r="A53" s="27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255.35</v>
      </c>
      <c r="E53" s="1"/>
      <c r="F53" s="5">
        <f t="shared" si="28"/>
        <v>7.8725349192475536E-3</v>
      </c>
      <c r="G53" s="1"/>
      <c r="H53" s="1">
        <f>SUM(OSRRefH22_5x_0)</f>
        <v>436</v>
      </c>
      <c r="I53" s="1"/>
      <c r="J53" s="5">
        <f t="shared" si="29"/>
        <v>1.09E-2</v>
      </c>
      <c r="K53" s="1"/>
      <c r="L53" s="1">
        <f t="shared" si="30"/>
        <v>-180.65</v>
      </c>
      <c r="M53" s="1"/>
      <c r="N53" s="5">
        <f t="shared" si="31"/>
        <v>-0.41433486238532113</v>
      </c>
      <c r="O53" s="13"/>
      <c r="P53" s="1">
        <f>SUM(OSRRefP22_5x_0)</f>
        <v>1276.75</v>
      </c>
      <c r="Q53" s="1"/>
      <c r="R53" s="5">
        <f t="shared" si="32"/>
        <v>7.6825855897499906E-3</v>
      </c>
      <c r="S53" s="1"/>
      <c r="T53" s="1">
        <f>SUM(OSRRefT22_5x_0)</f>
        <v>1679</v>
      </c>
      <c r="U53" s="1"/>
      <c r="V53" s="5">
        <f t="shared" si="33"/>
        <v>1.0832258064516129E-2</v>
      </c>
      <c r="W53" s="1"/>
      <c r="X53" s="1">
        <f t="shared" si="34"/>
        <v>-402.25</v>
      </c>
      <c r="Y53" s="1"/>
      <c r="Z53" s="5">
        <f t="shared" si="35"/>
        <v>-0.23957712924359739</v>
      </c>
    </row>
    <row r="54" spans="1:26" s="24" customFormat="1" hidden="1" outlineLevel="2" x14ac:dyDescent="0.25">
      <c r="A54" s="25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255.35</v>
      </c>
      <c r="E54" s="2"/>
      <c r="F54" s="7">
        <f t="shared" si="28"/>
        <v>7.8725349192475536E-3</v>
      </c>
      <c r="G54" s="2"/>
      <c r="H54" s="6">
        <v>269</v>
      </c>
      <c r="I54" s="2"/>
      <c r="J54" s="7">
        <f t="shared" si="29"/>
        <v>6.7250000000000001E-3</v>
      </c>
      <c r="K54" s="2"/>
      <c r="L54" s="6">
        <f t="shared" si="30"/>
        <v>-13.650000000000006</v>
      </c>
      <c r="M54" s="2"/>
      <c r="N54" s="7">
        <f t="shared" si="31"/>
        <v>-5.0743494423791842E-2</v>
      </c>
      <c r="O54" s="11"/>
      <c r="P54" s="6">
        <v>1276.75</v>
      </c>
      <c r="Q54" s="2"/>
      <c r="R54" s="7">
        <f t="shared" si="32"/>
        <v>7.6825855897499906E-3</v>
      </c>
      <c r="S54" s="2"/>
      <c r="T54" s="6">
        <v>1345</v>
      </c>
      <c r="U54" s="2"/>
      <c r="V54" s="7">
        <f t="shared" si="33"/>
        <v>8.6774193548387092E-3</v>
      </c>
      <c r="W54" s="2"/>
      <c r="X54" s="6">
        <f t="shared" si="34"/>
        <v>-68.25</v>
      </c>
      <c r="Y54" s="2"/>
      <c r="Z54" s="7">
        <f t="shared" si="35"/>
        <v>-5.0743494423791821E-2</v>
      </c>
    </row>
    <row r="55" spans="1:26" s="24" customFormat="1" hidden="1" outlineLevel="2" x14ac:dyDescent="0.25">
      <c r="A55" s="25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167</v>
      </c>
      <c r="I55" s="2"/>
      <c r="J55" s="7">
        <f t="shared" si="29"/>
        <v>4.1749999999999999E-3</v>
      </c>
      <c r="K55" s="2"/>
      <c r="L55" s="6">
        <f t="shared" si="30"/>
        <v>-167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334</v>
      </c>
      <c r="U55" s="2"/>
      <c r="V55" s="7">
        <f t="shared" si="33"/>
        <v>2.1548387096774193E-3</v>
      </c>
      <c r="W55" s="2"/>
      <c r="X55" s="6">
        <f t="shared" si="34"/>
        <v>-334</v>
      </c>
      <c r="Y55" s="2"/>
      <c r="Z55" s="7">
        <f t="shared" si="35"/>
        <v>-1</v>
      </c>
    </row>
    <row r="56" spans="1:26" s="26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65" si="36">IF(D$12=0,0,D56/D$12)</f>
        <v>0</v>
      </c>
      <c r="G56" s="1"/>
      <c r="H56" s="1">
        <f>SUM(OSRRefH22_6x_0)</f>
        <v>0</v>
      </c>
      <c r="I56" s="1"/>
      <c r="J56" s="5">
        <f t="shared" ref="J56:J65" si="37">IF(H$12=0,0,H56/H$12)</f>
        <v>0</v>
      </c>
      <c r="K56" s="1"/>
      <c r="L56" s="1">
        <f t="shared" ref="L56:L65" si="38">+D56-H56</f>
        <v>0</v>
      </c>
      <c r="M56" s="1"/>
      <c r="N56" s="5">
        <f t="shared" ref="N56:N65" si="39">IF(H56=0,0,L56/H56)</f>
        <v>0</v>
      </c>
      <c r="O56" s="13"/>
      <c r="P56" s="1">
        <f>SUM(OSRRefP22_6x_0)</f>
        <v>88.6</v>
      </c>
      <c r="Q56" s="1"/>
      <c r="R56" s="5">
        <f t="shared" ref="R56:R65" si="40">IF(P$12=0,0,P56/P$12)</f>
        <v>5.3313262835468899E-4</v>
      </c>
      <c r="S56" s="1"/>
      <c r="T56" s="1">
        <f>SUM(OSRRefT22_6x_0)</f>
        <v>0</v>
      </c>
      <c r="U56" s="1"/>
      <c r="V56" s="5">
        <f t="shared" ref="V56:V65" si="41">IF(T$12=0,0,T56/T$12)</f>
        <v>0</v>
      </c>
      <c r="W56" s="1"/>
      <c r="X56" s="1">
        <f t="shared" ref="X56:X65" si="42">+P56-T56</f>
        <v>88.6</v>
      </c>
      <c r="Y56" s="1"/>
      <c r="Z56" s="5">
        <f t="shared" ref="Z56:Z65" si="43">IF(T56=0,0,X56/T56)</f>
        <v>0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6"/>
        <v>0</v>
      </c>
      <c r="G57" s="2"/>
      <c r="H57" s="6"/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>
        <v>88.6</v>
      </c>
      <c r="Q57" s="2"/>
      <c r="R57" s="7">
        <f t="shared" si="40"/>
        <v>5.3313262835468899E-4</v>
      </c>
      <c r="S57" s="2"/>
      <c r="T57" s="6"/>
      <c r="U57" s="2"/>
      <c r="V57" s="7">
        <f t="shared" si="41"/>
        <v>0</v>
      </c>
      <c r="W57" s="2"/>
      <c r="X57" s="6">
        <f t="shared" si="42"/>
        <v>88.6</v>
      </c>
      <c r="Y57" s="2"/>
      <c r="Z57" s="7">
        <f t="shared" si="43"/>
        <v>0</v>
      </c>
    </row>
    <row r="58" spans="1:26" s="26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0</v>
      </c>
      <c r="M58" s="1"/>
      <c r="N58" s="5">
        <f t="shared" si="39"/>
        <v>0</v>
      </c>
      <c r="O58" s="13"/>
      <c r="P58" s="1">
        <f>SUM(OSRRefP22_7x_0)</f>
        <v>350</v>
      </c>
      <c r="Q58" s="1"/>
      <c r="R58" s="5">
        <f t="shared" si="40"/>
        <v>2.1060544009496745E-3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350</v>
      </c>
      <c r="Y58" s="1"/>
      <c r="Z58" s="5">
        <f t="shared" si="43"/>
        <v>0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350</v>
      </c>
      <c r="Q59" s="2"/>
      <c r="R59" s="7">
        <f t="shared" si="40"/>
        <v>2.1060544009496745E-3</v>
      </c>
      <c r="S59" s="2"/>
      <c r="T59" s="6"/>
      <c r="U59" s="2"/>
      <c r="V59" s="7">
        <f t="shared" si="41"/>
        <v>0</v>
      </c>
      <c r="W59" s="2"/>
      <c r="X59" s="6">
        <f t="shared" si="42"/>
        <v>350</v>
      </c>
      <c r="Y59" s="2"/>
      <c r="Z59" s="7">
        <f t="shared" si="43"/>
        <v>0</v>
      </c>
    </row>
    <row r="60" spans="1:26" s="26" customFormat="1" outlineLevel="1" collapsed="1" x14ac:dyDescent="0.25">
      <c r="A60" s="27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322.36</v>
      </c>
      <c r="E60" s="1"/>
      <c r="F60" s="5">
        <f t="shared" si="36"/>
        <v>9.9384779971358594E-3</v>
      </c>
      <c r="G60" s="1"/>
      <c r="H60" s="1">
        <f>SUM(OSRRefH22_8x_0)</f>
        <v>500</v>
      </c>
      <c r="I60" s="1"/>
      <c r="J60" s="5">
        <f t="shared" si="37"/>
        <v>1.2500000000000001E-2</v>
      </c>
      <c r="K60" s="1"/>
      <c r="L60" s="1">
        <f t="shared" si="38"/>
        <v>-177.64</v>
      </c>
      <c r="M60" s="1"/>
      <c r="N60" s="5">
        <f t="shared" si="39"/>
        <v>-0.35527999999999998</v>
      </c>
      <c r="O60" s="13"/>
      <c r="P60" s="1">
        <f>SUM(OSRRefP22_8x_0)</f>
        <v>11540.85</v>
      </c>
      <c r="Q60" s="1"/>
      <c r="R60" s="5">
        <f t="shared" si="40"/>
        <v>6.9444736952000138E-2</v>
      </c>
      <c r="S60" s="1"/>
      <c r="T60" s="1">
        <f>SUM(OSRRefT22_8x_0)</f>
        <v>2050</v>
      </c>
      <c r="U60" s="1"/>
      <c r="V60" s="5">
        <f t="shared" si="41"/>
        <v>1.3225806451612903E-2</v>
      </c>
      <c r="W60" s="1"/>
      <c r="X60" s="1">
        <f t="shared" si="42"/>
        <v>9490.85</v>
      </c>
      <c r="Y60" s="1"/>
      <c r="Z60" s="5">
        <f t="shared" si="43"/>
        <v>4.6296829268292683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6">
        <v>322.36</v>
      </c>
      <c r="E61" s="2"/>
      <c r="F61" s="7">
        <f t="shared" si="36"/>
        <v>9.9384779971358594E-3</v>
      </c>
      <c r="G61" s="2"/>
      <c r="H61" s="6">
        <v>500</v>
      </c>
      <c r="I61" s="2"/>
      <c r="J61" s="7">
        <f t="shared" si="37"/>
        <v>1.2500000000000001E-2</v>
      </c>
      <c r="K61" s="2"/>
      <c r="L61" s="6">
        <f t="shared" si="38"/>
        <v>-177.64</v>
      </c>
      <c r="M61" s="2"/>
      <c r="N61" s="7">
        <f t="shared" si="39"/>
        <v>-0.35527999999999998</v>
      </c>
      <c r="O61" s="11"/>
      <c r="P61" s="6">
        <v>11540.85</v>
      </c>
      <c r="Q61" s="2"/>
      <c r="R61" s="7">
        <f t="shared" si="40"/>
        <v>6.9444736952000138E-2</v>
      </c>
      <c r="S61" s="2"/>
      <c r="T61" s="6">
        <v>2050</v>
      </c>
      <c r="U61" s="2"/>
      <c r="V61" s="7">
        <f t="shared" si="41"/>
        <v>1.3225806451612903E-2</v>
      </c>
      <c r="W61" s="2"/>
      <c r="X61" s="6">
        <f t="shared" si="42"/>
        <v>9490.85</v>
      </c>
      <c r="Y61" s="2"/>
      <c r="Z61" s="7">
        <f t="shared" si="43"/>
        <v>4.6296829268292683</v>
      </c>
    </row>
    <row r="62" spans="1:26" s="26" customFormat="1" outlineLevel="1" collapsed="1" x14ac:dyDescent="0.25">
      <c r="A62" s="27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SUM(OSRRefD22_9x_0)</f>
        <v>0</v>
      </c>
      <c r="E62" s="1"/>
      <c r="F62" s="5">
        <f t="shared" si="36"/>
        <v>0</v>
      </c>
      <c r="G62" s="1"/>
      <c r="H62" s="1">
        <f>SUM(OSRRefH22_9x_0)</f>
        <v>925</v>
      </c>
      <c r="I62" s="1"/>
      <c r="J62" s="5">
        <f t="shared" si="37"/>
        <v>2.3125E-2</v>
      </c>
      <c r="K62" s="1"/>
      <c r="L62" s="1">
        <f t="shared" si="38"/>
        <v>-925</v>
      </c>
      <c r="M62" s="1"/>
      <c r="N62" s="5">
        <f t="shared" si="39"/>
        <v>-1</v>
      </c>
      <c r="O62" s="13"/>
      <c r="P62" s="1">
        <f>SUM(OSRRefP22_9x_0)</f>
        <v>4808.05</v>
      </c>
      <c r="Q62" s="1"/>
      <c r="R62" s="5">
        <f t="shared" si="40"/>
        <v>2.8931471035674519E-2</v>
      </c>
      <c r="S62" s="1"/>
      <c r="T62" s="1">
        <f>SUM(OSRRefT22_9x_0)</f>
        <v>4250</v>
      </c>
      <c r="U62" s="1"/>
      <c r="V62" s="5">
        <f t="shared" si="41"/>
        <v>2.7419354838709678E-2</v>
      </c>
      <c r="W62" s="1"/>
      <c r="X62" s="1">
        <f t="shared" si="42"/>
        <v>558.05000000000018</v>
      </c>
      <c r="Y62" s="1"/>
      <c r="Z62" s="5">
        <f t="shared" si="43"/>
        <v>0.13130588235294122</v>
      </c>
    </row>
    <row r="63" spans="1:26" s="24" customFormat="1" hidden="1" outlineLevel="2" x14ac:dyDescent="0.25">
      <c r="A63" s="25"/>
      <c r="B63" s="11" t="str">
        <f>CONCATENATE("          ", "6371", " - ", "COMPUTER SOFTWARE MAINTENANCE")</f>
        <v xml:space="preserve">          6371 - COMPUTER SOFTWARE MAINTENANCE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2623.84</v>
      </c>
      <c r="Q63" s="2"/>
      <c r="R63" s="7">
        <f t="shared" si="40"/>
        <v>1.5788427941107984E-2</v>
      </c>
      <c r="S63" s="2"/>
      <c r="T63" s="6"/>
      <c r="U63" s="2"/>
      <c r="V63" s="7">
        <f t="shared" si="41"/>
        <v>0</v>
      </c>
      <c r="W63" s="2"/>
      <c r="X63" s="6">
        <f t="shared" si="42"/>
        <v>2623.84</v>
      </c>
      <c r="Y63" s="2"/>
      <c r="Z63" s="7">
        <f t="shared" si="43"/>
        <v>0</v>
      </c>
    </row>
    <row r="64" spans="1:26" s="24" customFormat="1" hidden="1" outlineLevel="2" x14ac:dyDescent="0.25">
      <c r="A64" s="25"/>
      <c r="B64" s="11" t="str">
        <f>CONCATENATE("          ", "6373", " - ", "MAINTENANCE CONTRACTS")</f>
        <v xml:space="preserve">          6373 - MAINTENANCE CONTRACTS</v>
      </c>
      <c r="C64" s="11"/>
      <c r="D64" s="6"/>
      <c r="E64" s="2"/>
      <c r="F64" s="7">
        <f t="shared" si="36"/>
        <v>0</v>
      </c>
      <c r="G64" s="2"/>
      <c r="H64" s="6">
        <v>125</v>
      </c>
      <c r="I64" s="2"/>
      <c r="J64" s="7">
        <f t="shared" si="37"/>
        <v>3.1250000000000002E-3</v>
      </c>
      <c r="K64" s="2"/>
      <c r="L64" s="6">
        <f t="shared" si="38"/>
        <v>-125</v>
      </c>
      <c r="M64" s="2"/>
      <c r="N64" s="7">
        <f t="shared" si="39"/>
        <v>-1</v>
      </c>
      <c r="O64" s="11"/>
      <c r="P64" s="6"/>
      <c r="Q64" s="2"/>
      <c r="R64" s="7">
        <f t="shared" si="40"/>
        <v>0</v>
      </c>
      <c r="S64" s="2"/>
      <c r="T64" s="6">
        <v>250</v>
      </c>
      <c r="U64" s="2"/>
      <c r="V64" s="7">
        <f t="shared" si="41"/>
        <v>1.6129032258064516E-3</v>
      </c>
      <c r="W64" s="2"/>
      <c r="X64" s="6">
        <f t="shared" si="42"/>
        <v>-250</v>
      </c>
      <c r="Y64" s="2"/>
      <c r="Z64" s="7">
        <f t="shared" si="43"/>
        <v>-1</v>
      </c>
    </row>
    <row r="65" spans="1:26" s="24" customFormat="1" hidden="1" outlineLevel="2" x14ac:dyDescent="0.25">
      <c r="A65" s="25"/>
      <c r="B65" s="11" t="str">
        <f>CONCATENATE("          ", "6375", " - ", "OUTSIDE REPAIRS &amp; MAINTENANCE")</f>
        <v xml:space="preserve">          6375 - OUTSIDE REPAIRS &amp; MAINTENANCE</v>
      </c>
      <c r="C65" s="11"/>
      <c r="D65" s="6"/>
      <c r="E65" s="2"/>
      <c r="F65" s="7">
        <f t="shared" si="36"/>
        <v>0</v>
      </c>
      <c r="G65" s="2"/>
      <c r="H65" s="6">
        <v>800</v>
      </c>
      <c r="I65" s="2"/>
      <c r="J65" s="7">
        <f t="shared" si="37"/>
        <v>0.02</v>
      </c>
      <c r="K65" s="2"/>
      <c r="L65" s="6">
        <f t="shared" si="38"/>
        <v>-800</v>
      </c>
      <c r="M65" s="2"/>
      <c r="N65" s="7">
        <f t="shared" si="39"/>
        <v>-1</v>
      </c>
      <c r="O65" s="11"/>
      <c r="P65" s="6">
        <v>2184.21</v>
      </c>
      <c r="Q65" s="2"/>
      <c r="R65" s="7">
        <f t="shared" si="40"/>
        <v>1.3143043094566539E-2</v>
      </c>
      <c r="S65" s="2"/>
      <c r="T65" s="6">
        <v>4000</v>
      </c>
      <c r="U65" s="2"/>
      <c r="V65" s="7">
        <f t="shared" si="41"/>
        <v>2.5806451612903226E-2</v>
      </c>
      <c r="W65" s="2"/>
      <c r="X65" s="6">
        <f t="shared" si="42"/>
        <v>-1815.79</v>
      </c>
      <c r="Y65" s="2"/>
      <c r="Z65" s="7">
        <f t="shared" si="43"/>
        <v>-0.4539475</v>
      </c>
    </row>
    <row r="66" spans="1:26" s="26" customFormat="1" outlineLevel="1" collapsed="1" x14ac:dyDescent="0.25">
      <c r="A66" s="27"/>
      <c r="B66" s="13" t="str">
        <f>CONCATENATE("     ","Royalty &amp; Commissions                             ")</f>
        <v xml:space="preserve">     Royalty &amp; Commissions                             </v>
      </c>
      <c r="C66" s="13"/>
      <c r="D66" s="1">
        <f>SUM(OSRRefD22_10x_0)</f>
        <v>6987.84</v>
      </c>
      <c r="E66" s="1"/>
      <c r="F66" s="5">
        <f t="shared" ref="F66:F68" si="44">IF(D$12=0,0,D66/D$12)</f>
        <v>0.21543769105194763</v>
      </c>
      <c r="G66" s="1"/>
      <c r="H66" s="1">
        <f>SUM(OSRRefH22_10x_0)</f>
        <v>10000</v>
      </c>
      <c r="I66" s="1"/>
      <c r="J66" s="5">
        <f t="shared" ref="J66:J68" si="45">IF(H$12=0,0,H66/H$12)</f>
        <v>0.25</v>
      </c>
      <c r="K66" s="1"/>
      <c r="L66" s="1">
        <f t="shared" ref="L66:L68" si="46">+D66-H66</f>
        <v>-3012.16</v>
      </c>
      <c r="M66" s="1"/>
      <c r="N66" s="5">
        <f t="shared" ref="N66:N68" si="47">IF(H66=0,0,L66/H66)</f>
        <v>-0.30121599999999998</v>
      </c>
      <c r="O66" s="13"/>
      <c r="P66" s="1">
        <f>SUM(OSRRefP22_10x_0)</f>
        <v>35997.53</v>
      </c>
      <c r="Q66" s="1"/>
      <c r="R66" s="5">
        <f t="shared" ref="R66:R68" si="48">IF(P$12=0,0,P66/P$12)</f>
        <v>0.21660787565662265</v>
      </c>
      <c r="S66" s="1"/>
      <c r="T66" s="1">
        <f>SUM(OSRRefT22_10x_0)</f>
        <v>23000</v>
      </c>
      <c r="U66" s="1"/>
      <c r="V66" s="5">
        <f t="shared" ref="V66:V68" si="49">IF(T$12=0,0,T66/T$12)</f>
        <v>0.14838709677419354</v>
      </c>
      <c r="W66" s="1"/>
      <c r="X66" s="1">
        <f t="shared" ref="X66:X68" si="50">+P66-T66</f>
        <v>12997.529999999999</v>
      </c>
      <c r="Y66" s="1"/>
      <c r="Z66" s="5">
        <f t="shared" ref="Z66:Z68" si="51">IF(T66=0,0,X66/T66)</f>
        <v>0.56511</v>
      </c>
    </row>
    <row r="67" spans="1:26" s="24" customFormat="1" hidden="1" outlineLevel="2" x14ac:dyDescent="0.25">
      <c r="A67" s="25"/>
      <c r="B67" s="11" t="str">
        <f>CONCATENATE("          ", "6253", " - ", "ROYALTY DUE ATHLETICS-LRG")</f>
        <v xml:space="preserve">          6253 - ROYALTY DUE ATHLETICS-LRG</v>
      </c>
      <c r="C67" s="11"/>
      <c r="D67" s="6"/>
      <c r="E67" s="2"/>
      <c r="F67" s="7">
        <f t="shared" si="44"/>
        <v>0</v>
      </c>
      <c r="G67" s="2"/>
      <c r="H67" s="6">
        <v>10000</v>
      </c>
      <c r="I67" s="2"/>
      <c r="J67" s="7">
        <f t="shared" si="45"/>
        <v>0.25</v>
      </c>
      <c r="K67" s="2"/>
      <c r="L67" s="6">
        <f t="shared" si="46"/>
        <v>-10000</v>
      </c>
      <c r="M67" s="2"/>
      <c r="N67" s="7">
        <f t="shared" si="47"/>
        <v>-1</v>
      </c>
      <c r="O67" s="11"/>
      <c r="P67" s="6"/>
      <c r="Q67" s="2"/>
      <c r="R67" s="7">
        <f t="shared" si="48"/>
        <v>0</v>
      </c>
      <c r="S67" s="2"/>
      <c r="T67" s="6">
        <v>23000</v>
      </c>
      <c r="U67" s="2"/>
      <c r="V67" s="7">
        <f t="shared" si="49"/>
        <v>0.14838709677419354</v>
      </c>
      <c r="W67" s="2"/>
      <c r="X67" s="6">
        <f t="shared" si="50"/>
        <v>-23000</v>
      </c>
      <c r="Y67" s="2"/>
      <c r="Z67" s="7">
        <f t="shared" si="51"/>
        <v>-1</v>
      </c>
    </row>
    <row r="68" spans="1:26" s="24" customFormat="1" hidden="1" outlineLevel="2" x14ac:dyDescent="0.25">
      <c r="A68" s="25"/>
      <c r="B68" s="11" t="str">
        <f>CONCATENATE("          ", "6254", " - ", "ROYALTY &amp; COMMISSIONS")</f>
        <v xml:space="preserve">          6254 - ROYALTY &amp; COMMISSIONS</v>
      </c>
      <c r="C68" s="11"/>
      <c r="D68" s="6">
        <v>6987.84</v>
      </c>
      <c r="E68" s="2"/>
      <c r="F68" s="7">
        <f t="shared" si="44"/>
        <v>0.21543769105194763</v>
      </c>
      <c r="G68" s="2"/>
      <c r="H68" s="6"/>
      <c r="I68" s="2"/>
      <c r="J68" s="7">
        <f t="shared" si="45"/>
        <v>0</v>
      </c>
      <c r="K68" s="2"/>
      <c r="L68" s="6">
        <f t="shared" si="46"/>
        <v>6987.84</v>
      </c>
      <c r="M68" s="2"/>
      <c r="N68" s="7">
        <f t="shared" si="47"/>
        <v>0</v>
      </c>
      <c r="O68" s="11"/>
      <c r="P68" s="6">
        <v>35997.53</v>
      </c>
      <c r="Q68" s="2"/>
      <c r="R68" s="7">
        <f t="shared" si="48"/>
        <v>0.21660787565662265</v>
      </c>
      <c r="S68" s="2"/>
      <c r="T68" s="6"/>
      <c r="U68" s="2"/>
      <c r="V68" s="7">
        <f t="shared" si="49"/>
        <v>0</v>
      </c>
      <c r="W68" s="2"/>
      <c r="X68" s="6">
        <f t="shared" si="50"/>
        <v>35997.53</v>
      </c>
      <c r="Y68" s="2"/>
      <c r="Z68" s="7">
        <f t="shared" si="51"/>
        <v>0</v>
      </c>
    </row>
    <row r="69" spans="1:26" s="26" customFormat="1" outlineLevel="1" collapsed="1" x14ac:dyDescent="0.25">
      <c r="A69" s="27"/>
      <c r="B69" s="13" t="str">
        <f>CONCATENATE("     ","Services                                          ")</f>
        <v xml:space="preserve">     Services                                          </v>
      </c>
      <c r="C69" s="13"/>
      <c r="D69" s="1">
        <f>SUM(OSRRefD22_11x_0)</f>
        <v>274.56</v>
      </c>
      <c r="E69" s="1"/>
      <c r="F69" s="5">
        <f t="shared" ref="F69:F71" si="52">IF(D$12=0,0,D69/D$12)</f>
        <v>8.4647863224147583E-3</v>
      </c>
      <c r="G69" s="1"/>
      <c r="H69" s="1">
        <f>SUM(OSRRefH22_11x_0)</f>
        <v>255</v>
      </c>
      <c r="I69" s="1"/>
      <c r="J69" s="5">
        <f t="shared" ref="J69:J71" si="53">IF(H$12=0,0,H69/H$12)</f>
        <v>6.3749999999999996E-3</v>
      </c>
      <c r="K69" s="1"/>
      <c r="L69" s="1">
        <f t="shared" ref="L69:L71" si="54">+D69-H69</f>
        <v>19.560000000000002</v>
      </c>
      <c r="M69" s="1"/>
      <c r="N69" s="5">
        <f t="shared" ref="N69:N71" si="55">IF(H69=0,0,L69/H69)</f>
        <v>7.6705882352941179E-2</v>
      </c>
      <c r="O69" s="13"/>
      <c r="P69" s="1">
        <f>SUM(OSRRefP22_11x_0)</f>
        <v>1380.9099999999999</v>
      </c>
      <c r="Q69" s="1"/>
      <c r="R69" s="5">
        <f t="shared" ref="R69:R71" si="56">IF(P$12=0,0,P69/P$12)</f>
        <v>8.309347379472613E-3</v>
      </c>
      <c r="S69" s="1"/>
      <c r="T69" s="1">
        <f>SUM(OSRRefT22_11x_0)</f>
        <v>1010</v>
      </c>
      <c r="U69" s="1"/>
      <c r="V69" s="5">
        <f t="shared" ref="V69:V71" si="57">IF(T$12=0,0,T69/T$12)</f>
        <v>6.5161290322580641E-3</v>
      </c>
      <c r="W69" s="1"/>
      <c r="X69" s="1">
        <f t="shared" ref="X69:X71" si="58">+P69-T69</f>
        <v>370.90999999999985</v>
      </c>
      <c r="Y69" s="1"/>
      <c r="Z69" s="5">
        <f t="shared" ref="Z69:Z71" si="59">IF(T69=0,0,X69/T69)</f>
        <v>0.36723762376237612</v>
      </c>
    </row>
    <row r="70" spans="1:26" s="24" customFormat="1" hidden="1" outlineLevel="2" x14ac:dyDescent="0.25">
      <c r="A70" s="25"/>
      <c r="B70" s="11" t="str">
        <f>CONCATENATE("          ", "6282", " - ", "JANITORIAL/EXTERMINATOR EXPENS")</f>
        <v xml:space="preserve">          6282 - JANITORIAL/EXTERMINATOR EXPENS</v>
      </c>
      <c r="C70" s="11"/>
      <c r="D70" s="6">
        <v>225.81</v>
      </c>
      <c r="E70" s="2"/>
      <c r="F70" s="7">
        <f t="shared" si="52"/>
        <v>6.9618057964178194E-3</v>
      </c>
      <c r="G70" s="2"/>
      <c r="H70" s="6">
        <v>205</v>
      </c>
      <c r="I70" s="2"/>
      <c r="J70" s="7">
        <f t="shared" si="53"/>
        <v>5.1250000000000002E-3</v>
      </c>
      <c r="K70" s="2"/>
      <c r="L70" s="6">
        <f t="shared" si="54"/>
        <v>20.810000000000002</v>
      </c>
      <c r="M70" s="2"/>
      <c r="N70" s="7">
        <f t="shared" si="55"/>
        <v>0.10151219512195123</v>
      </c>
      <c r="O70" s="11"/>
      <c r="P70" s="6">
        <v>1129.05</v>
      </c>
      <c r="Q70" s="2"/>
      <c r="R70" s="7">
        <f t="shared" si="56"/>
        <v>6.7938306325492281E-3</v>
      </c>
      <c r="S70" s="2"/>
      <c r="T70" s="6">
        <v>810</v>
      </c>
      <c r="U70" s="2"/>
      <c r="V70" s="7">
        <f t="shared" si="57"/>
        <v>5.2258064516129028E-3</v>
      </c>
      <c r="W70" s="2"/>
      <c r="X70" s="6">
        <f t="shared" si="58"/>
        <v>319.04999999999995</v>
      </c>
      <c r="Y70" s="2"/>
      <c r="Z70" s="7">
        <f t="shared" si="59"/>
        <v>0.39388888888888884</v>
      </c>
    </row>
    <row r="71" spans="1:26" s="24" customFormat="1" hidden="1" outlineLevel="2" x14ac:dyDescent="0.25">
      <c r="A71" s="25"/>
      <c r="B71" s="11" t="str">
        <f>CONCATENATE("          ", "6286", " - ", "LAUNDRY EXPENSE")</f>
        <v xml:space="preserve">          6286 - LAUNDRY EXPENSE</v>
      </c>
      <c r="C71" s="11"/>
      <c r="D71" s="6">
        <v>48.75</v>
      </c>
      <c r="E71" s="2"/>
      <c r="F71" s="7">
        <f t="shared" si="52"/>
        <v>1.5029805259969386E-3</v>
      </c>
      <c r="G71" s="2"/>
      <c r="H71" s="6">
        <v>50</v>
      </c>
      <c r="I71" s="2"/>
      <c r="J71" s="7">
        <f t="shared" si="53"/>
        <v>1.25E-3</v>
      </c>
      <c r="K71" s="2"/>
      <c r="L71" s="6">
        <f t="shared" si="54"/>
        <v>-1.25</v>
      </c>
      <c r="M71" s="2"/>
      <c r="N71" s="7">
        <f t="shared" si="55"/>
        <v>-2.5000000000000001E-2</v>
      </c>
      <c r="O71" s="11"/>
      <c r="P71" s="6">
        <v>251.86</v>
      </c>
      <c r="Q71" s="2"/>
      <c r="R71" s="7">
        <f t="shared" si="56"/>
        <v>1.5155167469233857E-3</v>
      </c>
      <c r="S71" s="2"/>
      <c r="T71" s="6">
        <v>200</v>
      </c>
      <c r="U71" s="2"/>
      <c r="V71" s="7">
        <f t="shared" si="57"/>
        <v>1.2903225806451613E-3</v>
      </c>
      <c r="W71" s="2"/>
      <c r="X71" s="6">
        <f t="shared" si="58"/>
        <v>51.860000000000014</v>
      </c>
      <c r="Y71" s="2"/>
      <c r="Z71" s="7">
        <f t="shared" si="59"/>
        <v>0.25930000000000009</v>
      </c>
    </row>
    <row r="72" spans="1:26" s="26" customFormat="1" outlineLevel="1" collapsed="1" x14ac:dyDescent="0.25">
      <c r="A72" s="27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SUM(OSRRefD22_12x_0)</f>
        <v>1338.21</v>
      </c>
      <c r="E72" s="1"/>
      <c r="F72" s="5">
        <f t="shared" ref="F72:F79" si="60">IF(D$12=0,0,D72/D$12)</f>
        <v>4.1257509121935654E-2</v>
      </c>
      <c r="G72" s="1"/>
      <c r="H72" s="1">
        <f>SUM(OSRRefH22_12x_0)</f>
        <v>450</v>
      </c>
      <c r="I72" s="1"/>
      <c r="J72" s="5">
        <f t="shared" ref="J72:J79" si="61">IF(H$12=0,0,H72/H$12)</f>
        <v>1.125E-2</v>
      </c>
      <c r="K72" s="1"/>
      <c r="L72" s="1">
        <f t="shared" ref="L72:L79" si="62">+D72-H72</f>
        <v>888.21</v>
      </c>
      <c r="M72" s="1"/>
      <c r="N72" s="5">
        <f t="shared" ref="N72:N79" si="63">IF(H72=0,0,L72/H72)</f>
        <v>1.9738</v>
      </c>
      <c r="O72" s="13"/>
      <c r="P72" s="1">
        <f>SUM(OSRRefP22_12x_0)</f>
        <v>11302.230000000001</v>
      </c>
      <c r="Q72" s="1"/>
      <c r="R72" s="5">
        <f t="shared" ref="R72:R79" si="64">IF(P$12=0,0,P72/P$12)</f>
        <v>6.8008889234415545E-2</v>
      </c>
      <c r="S72" s="1"/>
      <c r="T72" s="1">
        <f>SUM(OSRRefT22_12x_0)</f>
        <v>2350</v>
      </c>
      <c r="U72" s="1"/>
      <c r="V72" s="5">
        <f t="shared" ref="V72:V79" si="65">IF(T$12=0,0,T72/T$12)</f>
        <v>1.5161290322580645E-2</v>
      </c>
      <c r="W72" s="1"/>
      <c r="X72" s="1">
        <f t="shared" ref="X72:X79" si="66">+P72-T72</f>
        <v>8952.2300000000014</v>
      </c>
      <c r="Y72" s="1"/>
      <c r="Z72" s="5">
        <f t="shared" ref="Z72:Z79" si="67">IF(T72=0,0,X72/T72)</f>
        <v>3.8094595744680855</v>
      </c>
    </row>
    <row r="73" spans="1:26" s="24" customFormat="1" hidden="1" outlineLevel="2" x14ac:dyDescent="0.25">
      <c r="A73" s="25"/>
      <c r="B73" s="11" t="str">
        <f>CONCATENATE("          ", "6234", " - ", "EXPENDABLE SUPPLIES &amp; EQUIPMEN")</f>
        <v xml:space="preserve">          6234 - EXPENDABLE SUPPLIES &amp; EQUIPMEN</v>
      </c>
      <c r="C73" s="11"/>
      <c r="D73" s="6"/>
      <c r="E73" s="2"/>
      <c r="F73" s="7">
        <f t="shared" si="60"/>
        <v>0</v>
      </c>
      <c r="G73" s="2"/>
      <c r="H73" s="6"/>
      <c r="I73" s="2"/>
      <c r="J73" s="7">
        <f t="shared" si="61"/>
        <v>0</v>
      </c>
      <c r="K73" s="2"/>
      <c r="L73" s="6">
        <f t="shared" si="62"/>
        <v>0</v>
      </c>
      <c r="M73" s="2"/>
      <c r="N73" s="7">
        <f t="shared" si="63"/>
        <v>0</v>
      </c>
      <c r="O73" s="11"/>
      <c r="P73" s="6">
        <v>3756.46</v>
      </c>
      <c r="Q73" s="2"/>
      <c r="R73" s="7">
        <f t="shared" si="64"/>
        <v>2.2603740328546895E-2</v>
      </c>
      <c r="S73" s="2"/>
      <c r="T73" s="6"/>
      <c r="U73" s="2"/>
      <c r="V73" s="7">
        <f t="shared" si="65"/>
        <v>0</v>
      </c>
      <c r="W73" s="2"/>
      <c r="X73" s="6">
        <f t="shared" si="66"/>
        <v>3756.46</v>
      </c>
      <c r="Y73" s="2"/>
      <c r="Z73" s="7">
        <f t="shared" si="67"/>
        <v>0</v>
      </c>
    </row>
    <row r="74" spans="1:26" s="24" customFormat="1" hidden="1" outlineLevel="2" x14ac:dyDescent="0.25">
      <c r="A74" s="25"/>
      <c r="B74" s="11" t="str">
        <f>CONCATENATE("          ", "6237", " - ", "JANITORIAL SUPPLIES")</f>
        <v xml:space="preserve">          6237 - JANITORIAL SUPPLIES</v>
      </c>
      <c r="C74" s="11"/>
      <c r="D74" s="6">
        <v>101.38</v>
      </c>
      <c r="E74" s="2"/>
      <c r="F74" s="7">
        <f t="shared" si="60"/>
        <v>3.1255828866783514E-3</v>
      </c>
      <c r="G74" s="2"/>
      <c r="H74" s="6"/>
      <c r="I74" s="2"/>
      <c r="J74" s="7">
        <f t="shared" si="61"/>
        <v>0</v>
      </c>
      <c r="K74" s="2"/>
      <c r="L74" s="6">
        <f t="shared" si="62"/>
        <v>101.38</v>
      </c>
      <c r="M74" s="2"/>
      <c r="N74" s="7">
        <f t="shared" si="63"/>
        <v>0</v>
      </c>
      <c r="O74" s="11"/>
      <c r="P74" s="6">
        <v>341.94</v>
      </c>
      <c r="Q74" s="2"/>
      <c r="R74" s="7">
        <f t="shared" si="64"/>
        <v>2.0575549767449476E-3</v>
      </c>
      <c r="S74" s="2"/>
      <c r="T74" s="6">
        <v>300</v>
      </c>
      <c r="U74" s="2"/>
      <c r="V74" s="7">
        <f t="shared" si="65"/>
        <v>1.9354838709677419E-3</v>
      </c>
      <c r="W74" s="2"/>
      <c r="X74" s="6">
        <f t="shared" si="66"/>
        <v>41.94</v>
      </c>
      <c r="Y74" s="2"/>
      <c r="Z74" s="7">
        <f t="shared" si="67"/>
        <v>0.13979999999999998</v>
      </c>
    </row>
    <row r="75" spans="1:26" s="24" customFormat="1" hidden="1" outlineLevel="2" x14ac:dyDescent="0.25">
      <c r="A75" s="25"/>
      <c r="B75" s="11" t="str">
        <f>CONCATENATE("          ", "6239", " - ", "KITCHEN SUPPLIES")</f>
        <v xml:space="preserve">          6239 - KITCHEN SUPPLIES</v>
      </c>
      <c r="C75" s="11"/>
      <c r="D75" s="6">
        <v>699.28</v>
      </c>
      <c r="E75" s="2"/>
      <c r="F75" s="7">
        <f t="shared" si="60"/>
        <v>2.1559060968597728E-2</v>
      </c>
      <c r="G75" s="2"/>
      <c r="H75" s="6">
        <v>200</v>
      </c>
      <c r="I75" s="2"/>
      <c r="J75" s="7">
        <f t="shared" si="61"/>
        <v>5.0000000000000001E-3</v>
      </c>
      <c r="K75" s="2"/>
      <c r="L75" s="6">
        <f t="shared" si="62"/>
        <v>499.28</v>
      </c>
      <c r="M75" s="2"/>
      <c r="N75" s="7">
        <f t="shared" si="63"/>
        <v>2.4964</v>
      </c>
      <c r="O75" s="11"/>
      <c r="P75" s="6">
        <v>4533.28</v>
      </c>
      <c r="Q75" s="2"/>
      <c r="R75" s="7">
        <f t="shared" si="64"/>
        <v>2.7278097984963254E-2</v>
      </c>
      <c r="S75" s="2"/>
      <c r="T75" s="6">
        <v>200</v>
      </c>
      <c r="U75" s="2"/>
      <c r="V75" s="7">
        <f t="shared" si="65"/>
        <v>1.2903225806451613E-3</v>
      </c>
      <c r="W75" s="2"/>
      <c r="X75" s="6">
        <f t="shared" si="66"/>
        <v>4333.28</v>
      </c>
      <c r="Y75" s="2"/>
      <c r="Z75" s="7">
        <f t="shared" si="67"/>
        <v>21.666399999999999</v>
      </c>
    </row>
    <row r="76" spans="1:26" s="24" customFormat="1" hidden="1" outlineLevel="2" x14ac:dyDescent="0.25">
      <c r="A76" s="25"/>
      <c r="B76" s="11" t="str">
        <f>CONCATENATE("          ", "6241", " - ", "OFFICE EXPENSE")</f>
        <v xml:space="preserve">          6241 - OFFICE EXPENSE</v>
      </c>
      <c r="C76" s="11"/>
      <c r="D76" s="6">
        <v>85.97</v>
      </c>
      <c r="E76" s="2"/>
      <c r="F76" s="7">
        <f t="shared" si="60"/>
        <v>2.6504868886144985E-3</v>
      </c>
      <c r="G76" s="2"/>
      <c r="H76" s="6"/>
      <c r="I76" s="2"/>
      <c r="J76" s="7">
        <f t="shared" si="61"/>
        <v>0</v>
      </c>
      <c r="K76" s="2"/>
      <c r="L76" s="6">
        <f t="shared" si="62"/>
        <v>85.97</v>
      </c>
      <c r="M76" s="2"/>
      <c r="N76" s="7">
        <f t="shared" si="63"/>
        <v>0</v>
      </c>
      <c r="O76" s="11"/>
      <c r="P76" s="6">
        <v>599.88</v>
      </c>
      <c r="Q76" s="2"/>
      <c r="R76" s="7">
        <f t="shared" si="64"/>
        <v>3.6096568972619732E-3</v>
      </c>
      <c r="S76" s="2"/>
      <c r="T76" s="6"/>
      <c r="U76" s="2"/>
      <c r="V76" s="7">
        <f t="shared" si="65"/>
        <v>0</v>
      </c>
      <c r="W76" s="2"/>
      <c r="X76" s="6">
        <f t="shared" si="66"/>
        <v>599.88</v>
      </c>
      <c r="Y76" s="2"/>
      <c r="Z76" s="7">
        <f t="shared" si="67"/>
        <v>0</v>
      </c>
    </row>
    <row r="77" spans="1:26" s="24" customFormat="1" hidden="1" outlineLevel="2" x14ac:dyDescent="0.25">
      <c r="A77" s="25"/>
      <c r="B77" s="11" t="str">
        <f>CONCATENATE("          ", "6243", " - ", "PAPER SUPPLIES")</f>
        <v xml:space="preserve">          6243 - PAPER SUPPLIES</v>
      </c>
      <c r="C77" s="11"/>
      <c r="D77" s="6">
        <v>406.38</v>
      </c>
      <c r="E77" s="2"/>
      <c r="F77" s="7">
        <f t="shared" si="60"/>
        <v>1.252884566471048E-2</v>
      </c>
      <c r="G77" s="2"/>
      <c r="H77" s="6">
        <v>250</v>
      </c>
      <c r="I77" s="2"/>
      <c r="J77" s="7">
        <f t="shared" si="61"/>
        <v>6.2500000000000003E-3</v>
      </c>
      <c r="K77" s="2"/>
      <c r="L77" s="6">
        <f t="shared" si="62"/>
        <v>156.38</v>
      </c>
      <c r="M77" s="2"/>
      <c r="N77" s="7">
        <f t="shared" si="63"/>
        <v>0.62551999999999996</v>
      </c>
      <c r="O77" s="11"/>
      <c r="P77" s="6">
        <v>1571.03</v>
      </c>
      <c r="Q77" s="2"/>
      <c r="R77" s="7">
        <f t="shared" si="64"/>
        <v>9.4533561300684764E-3</v>
      </c>
      <c r="S77" s="2"/>
      <c r="T77" s="6">
        <v>1250</v>
      </c>
      <c r="U77" s="2"/>
      <c r="V77" s="7">
        <f t="shared" si="65"/>
        <v>8.0645161290322578E-3</v>
      </c>
      <c r="W77" s="2"/>
      <c r="X77" s="6">
        <f t="shared" si="66"/>
        <v>321.02999999999997</v>
      </c>
      <c r="Y77" s="2"/>
      <c r="Z77" s="7">
        <f t="shared" si="67"/>
        <v>0.256824</v>
      </c>
    </row>
    <row r="78" spans="1:26" s="24" customFormat="1" hidden="1" outlineLevel="2" x14ac:dyDescent="0.25">
      <c r="A78" s="25"/>
      <c r="B78" s="11" t="str">
        <f>CONCATENATE("          ", "6247", " - ", "STORE SUPPLIES")</f>
        <v xml:space="preserve">          6247 - STORE SUPPLIES</v>
      </c>
      <c r="C78" s="11"/>
      <c r="D78" s="6">
        <v>45.2</v>
      </c>
      <c r="E78" s="2"/>
      <c r="F78" s="7">
        <f t="shared" si="60"/>
        <v>1.3935327133345974E-3</v>
      </c>
      <c r="G78" s="2"/>
      <c r="H78" s="6"/>
      <c r="I78" s="2"/>
      <c r="J78" s="7">
        <f t="shared" si="61"/>
        <v>0</v>
      </c>
      <c r="K78" s="2"/>
      <c r="L78" s="6">
        <f t="shared" si="62"/>
        <v>45.2</v>
      </c>
      <c r="M78" s="2"/>
      <c r="N78" s="7">
        <f t="shared" si="63"/>
        <v>0</v>
      </c>
      <c r="O78" s="11"/>
      <c r="P78" s="6">
        <v>45.2</v>
      </c>
      <c r="Q78" s="2"/>
      <c r="R78" s="7">
        <f t="shared" si="64"/>
        <v>2.7198188263692939E-4</v>
      </c>
      <c r="S78" s="2"/>
      <c r="T78" s="6"/>
      <c r="U78" s="2"/>
      <c r="V78" s="7">
        <f t="shared" si="65"/>
        <v>0</v>
      </c>
      <c r="W78" s="2"/>
      <c r="X78" s="6">
        <f t="shared" si="66"/>
        <v>45.2</v>
      </c>
      <c r="Y78" s="2"/>
      <c r="Z78" s="7">
        <f t="shared" si="67"/>
        <v>0</v>
      </c>
    </row>
    <row r="79" spans="1:26" s="24" customFormat="1" hidden="1" outlineLevel="2" x14ac:dyDescent="0.25">
      <c r="A79" s="25"/>
      <c r="B79" s="11" t="str">
        <f>CONCATENATE("          ", "6248", " - ", "UNIFORMS")</f>
        <v xml:space="preserve">          6248 - UNIFORMS</v>
      </c>
      <c r="C79" s="11"/>
      <c r="D79" s="6"/>
      <c r="E79" s="2"/>
      <c r="F79" s="7">
        <f t="shared" si="60"/>
        <v>0</v>
      </c>
      <c r="G79" s="2"/>
      <c r="H79" s="6"/>
      <c r="I79" s="2"/>
      <c r="J79" s="7">
        <f t="shared" si="61"/>
        <v>0</v>
      </c>
      <c r="K79" s="2"/>
      <c r="L79" s="6">
        <f t="shared" si="62"/>
        <v>0</v>
      </c>
      <c r="M79" s="2"/>
      <c r="N79" s="7">
        <f t="shared" si="63"/>
        <v>0</v>
      </c>
      <c r="O79" s="11"/>
      <c r="P79" s="6">
        <v>454.44</v>
      </c>
      <c r="Q79" s="2"/>
      <c r="R79" s="7">
        <f t="shared" si="64"/>
        <v>2.7345010341930571E-3</v>
      </c>
      <c r="S79" s="2"/>
      <c r="T79" s="6">
        <v>600</v>
      </c>
      <c r="U79" s="2"/>
      <c r="V79" s="7">
        <f t="shared" si="65"/>
        <v>3.8709677419354839E-3</v>
      </c>
      <c r="W79" s="2"/>
      <c r="X79" s="6">
        <f t="shared" si="66"/>
        <v>-145.56</v>
      </c>
      <c r="Y79" s="2"/>
      <c r="Z79" s="7">
        <f t="shared" si="67"/>
        <v>-0.24260000000000001</v>
      </c>
    </row>
    <row r="80" spans="1:26" s="26" customFormat="1" outlineLevel="1" collapsed="1" x14ac:dyDescent="0.25">
      <c r="A80" s="27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SUM(OSRRefD22_13x_0)</f>
        <v>312.18</v>
      </c>
      <c r="E80" s="1"/>
      <c r="F80" s="5">
        <f t="shared" ref="F80:F82" si="68">IF(D$12=0,0,D80/D$12)</f>
        <v>9.6246248329379339E-3</v>
      </c>
      <c r="G80" s="1"/>
      <c r="H80" s="1">
        <f>SUM(OSRRefH22_13x_0)</f>
        <v>343</v>
      </c>
      <c r="I80" s="1"/>
      <c r="J80" s="5">
        <f t="shared" ref="J80:J82" si="69">IF(H$12=0,0,H80/H$12)</f>
        <v>8.5749999999999993E-3</v>
      </c>
      <c r="K80" s="1"/>
      <c r="L80" s="1">
        <f t="shared" ref="L80:L82" si="70">+D80-H80</f>
        <v>-30.819999999999993</v>
      </c>
      <c r="M80" s="1"/>
      <c r="N80" s="5">
        <f t="shared" ref="N80:N82" si="71">IF(H80=0,0,L80/H80)</f>
        <v>-8.9854227405247789E-2</v>
      </c>
      <c r="O80" s="13"/>
      <c r="P80" s="1">
        <f>SUM(OSRRefP22_13x_0)</f>
        <v>1549.42</v>
      </c>
      <c r="Q80" s="1"/>
      <c r="R80" s="5">
        <f t="shared" ref="R80:R82" si="72">IF(P$12=0,0,P80/P$12)</f>
        <v>9.3233223140555561E-3</v>
      </c>
      <c r="S80" s="1"/>
      <c r="T80" s="1">
        <f>SUM(OSRRefT22_13x_0)</f>
        <v>786</v>
      </c>
      <c r="U80" s="1"/>
      <c r="V80" s="5">
        <f t="shared" ref="V80:V82" si="73">IF(T$12=0,0,T80/T$12)</f>
        <v>5.0709677419354835E-3</v>
      </c>
      <c r="W80" s="1"/>
      <c r="X80" s="1">
        <f t="shared" ref="X80:X82" si="74">+P80-T80</f>
        <v>763.42000000000007</v>
      </c>
      <c r="Y80" s="1"/>
      <c r="Z80" s="5">
        <f t="shared" ref="Z80:Z82" si="75">IF(T80=0,0,X80/T80)</f>
        <v>0.97127226463104332</v>
      </c>
    </row>
    <row r="81" spans="1:26" s="24" customFormat="1" hidden="1" outlineLevel="2" x14ac:dyDescent="0.25">
      <c r="A81" s="25"/>
      <c r="B81" s="11" t="str">
        <f>CONCATENATE("          ", "6303", " - ", "DATA PHONE LINES")</f>
        <v xml:space="preserve">          6303 - DATA PHONE LINES</v>
      </c>
      <c r="C81" s="11"/>
      <c r="D81" s="6"/>
      <c r="E81" s="2"/>
      <c r="F81" s="7">
        <f t="shared" si="68"/>
        <v>0</v>
      </c>
      <c r="G81" s="2"/>
      <c r="H81" s="6">
        <v>298</v>
      </c>
      <c r="I81" s="2"/>
      <c r="J81" s="7">
        <f t="shared" si="69"/>
        <v>7.45E-3</v>
      </c>
      <c r="K81" s="2"/>
      <c r="L81" s="6">
        <f t="shared" si="70"/>
        <v>-298</v>
      </c>
      <c r="M81" s="2"/>
      <c r="N81" s="7">
        <f t="shared" si="71"/>
        <v>-1</v>
      </c>
      <c r="O81" s="11"/>
      <c r="P81" s="6"/>
      <c r="Q81" s="2"/>
      <c r="R81" s="7">
        <f t="shared" si="72"/>
        <v>0</v>
      </c>
      <c r="S81" s="2"/>
      <c r="T81" s="6">
        <v>696</v>
      </c>
      <c r="U81" s="2"/>
      <c r="V81" s="7">
        <f t="shared" si="73"/>
        <v>4.490322580645161E-3</v>
      </c>
      <c r="W81" s="2"/>
      <c r="X81" s="6">
        <f t="shared" si="74"/>
        <v>-696</v>
      </c>
      <c r="Y81" s="2"/>
      <c r="Z81" s="7">
        <f t="shared" si="75"/>
        <v>-1</v>
      </c>
    </row>
    <row r="82" spans="1:26" s="24" customFormat="1" hidden="1" outlineLevel="2" x14ac:dyDescent="0.25">
      <c r="A82" s="25"/>
      <c r="B82" s="11" t="str">
        <f>CONCATENATE("          ", "6309", " - ", "TELEPHONE")</f>
        <v xml:space="preserve">          6309 - TELEPHONE</v>
      </c>
      <c r="C82" s="11"/>
      <c r="D82" s="6">
        <v>312.18</v>
      </c>
      <c r="E82" s="2"/>
      <c r="F82" s="7">
        <f t="shared" si="68"/>
        <v>9.6246248329379339E-3</v>
      </c>
      <c r="G82" s="2"/>
      <c r="H82" s="6">
        <v>45</v>
      </c>
      <c r="I82" s="2"/>
      <c r="J82" s="7">
        <f t="shared" si="69"/>
        <v>1.1249999999999999E-3</v>
      </c>
      <c r="K82" s="2"/>
      <c r="L82" s="6">
        <f t="shared" si="70"/>
        <v>267.18</v>
      </c>
      <c r="M82" s="2"/>
      <c r="N82" s="7">
        <f t="shared" si="71"/>
        <v>5.9373333333333331</v>
      </c>
      <c r="O82" s="11"/>
      <c r="P82" s="6">
        <v>1549.42</v>
      </c>
      <c r="Q82" s="2"/>
      <c r="R82" s="7">
        <f t="shared" si="72"/>
        <v>9.3233223140555561E-3</v>
      </c>
      <c r="S82" s="2"/>
      <c r="T82" s="6">
        <v>90</v>
      </c>
      <c r="U82" s="2"/>
      <c r="V82" s="7">
        <f t="shared" si="73"/>
        <v>5.8064516129032254E-4</v>
      </c>
      <c r="W82" s="2"/>
      <c r="X82" s="6">
        <f t="shared" si="74"/>
        <v>1459.42</v>
      </c>
      <c r="Y82" s="2"/>
      <c r="Z82" s="7">
        <f t="shared" si="75"/>
        <v>16.215777777777777</v>
      </c>
    </row>
    <row r="83" spans="1:26" s="26" customFormat="1" outlineLevel="1" collapsed="1" x14ac:dyDescent="0.25">
      <c r="A83" s="27"/>
      <c r="B83" s="13" t="str">
        <f>CONCATENATE("     ","Training                                          ")</f>
        <v xml:space="preserve">     Training                                          </v>
      </c>
      <c r="C83" s="13"/>
      <c r="D83" s="1">
        <f>SUM(OSRRefD22_14x_0)</f>
        <v>0</v>
      </c>
      <c r="E83" s="1"/>
      <c r="F83" s="5">
        <f t="shared" ref="F83:F86" si="76">IF(D$12=0,0,D83/D$12)</f>
        <v>0</v>
      </c>
      <c r="G83" s="1"/>
      <c r="H83" s="1">
        <f>SUM(OSRRefH22_14x_0)</f>
        <v>0</v>
      </c>
      <c r="I83" s="1"/>
      <c r="J83" s="5">
        <f t="shared" ref="J83:J86" si="77">IF(H$12=0,0,H83/H$12)</f>
        <v>0</v>
      </c>
      <c r="K83" s="1"/>
      <c r="L83" s="1">
        <f t="shared" ref="L83:L86" si="78">+D83-H83</f>
        <v>0</v>
      </c>
      <c r="M83" s="1"/>
      <c r="N83" s="5">
        <f t="shared" ref="N83:N86" si="79">IF(H83=0,0,L83/H83)</f>
        <v>0</v>
      </c>
      <c r="O83" s="13"/>
      <c r="P83" s="1">
        <f>SUM(OSRRefP22_14x_0)</f>
        <v>237.95</v>
      </c>
      <c r="Q83" s="1"/>
      <c r="R83" s="5">
        <f t="shared" ref="R83:R86" si="80">IF(P$12=0,0,P83/P$12)</f>
        <v>1.4318161277313572E-3</v>
      </c>
      <c r="S83" s="1"/>
      <c r="T83" s="1">
        <f>SUM(OSRRefT22_14x_0)</f>
        <v>500</v>
      </c>
      <c r="U83" s="1"/>
      <c r="V83" s="5">
        <f t="shared" ref="V83:V86" si="81">IF(T$12=0,0,T83/T$12)</f>
        <v>3.2258064516129032E-3</v>
      </c>
      <c r="W83" s="1"/>
      <c r="X83" s="1">
        <f t="shared" ref="X83:X86" si="82">+P83-T83</f>
        <v>-262.05</v>
      </c>
      <c r="Y83" s="1"/>
      <c r="Z83" s="5">
        <f t="shared" ref="Z83:Z86" si="83">IF(T83=0,0,X83/T83)</f>
        <v>-0.52410000000000001</v>
      </c>
    </row>
    <row r="84" spans="1:26" s="24" customFormat="1" hidden="1" outlineLevel="2" x14ac:dyDescent="0.25">
      <c r="A84" s="25"/>
      <c r="B84" s="11" t="str">
        <f>CONCATENATE("          ", "6376", " - ", "TRAINING")</f>
        <v xml:space="preserve">          6376 - TRAINING</v>
      </c>
      <c r="C84" s="11"/>
      <c r="D84" s="6"/>
      <c r="E84" s="2"/>
      <c r="F84" s="7">
        <f t="shared" si="76"/>
        <v>0</v>
      </c>
      <c r="G84" s="2"/>
      <c r="H84" s="6"/>
      <c r="I84" s="2"/>
      <c r="J84" s="7">
        <f t="shared" si="77"/>
        <v>0</v>
      </c>
      <c r="K84" s="2"/>
      <c r="L84" s="6">
        <f t="shared" si="78"/>
        <v>0</v>
      </c>
      <c r="M84" s="2"/>
      <c r="N84" s="7">
        <f t="shared" si="79"/>
        <v>0</v>
      </c>
      <c r="O84" s="11"/>
      <c r="P84" s="6">
        <v>237.95</v>
      </c>
      <c r="Q84" s="2"/>
      <c r="R84" s="7">
        <f t="shared" si="80"/>
        <v>1.4318161277313572E-3</v>
      </c>
      <c r="S84" s="2"/>
      <c r="T84" s="6">
        <v>500</v>
      </c>
      <c r="U84" s="2"/>
      <c r="V84" s="7">
        <f t="shared" si="81"/>
        <v>3.2258064516129032E-3</v>
      </c>
      <c r="W84" s="2"/>
      <c r="X84" s="6">
        <f t="shared" si="82"/>
        <v>-262.05</v>
      </c>
      <c r="Y84" s="2"/>
      <c r="Z84" s="7">
        <f t="shared" si="83"/>
        <v>-0.52410000000000001</v>
      </c>
    </row>
    <row r="85" spans="1:26" s="26" customFormat="1" outlineLevel="1" collapsed="1" x14ac:dyDescent="0.25">
      <c r="A85" s="27"/>
      <c r="B85" s="13" t="str">
        <f>CONCATENATE("     ","Travel                                            ")</f>
        <v xml:space="preserve">     Travel                                            </v>
      </c>
      <c r="C85" s="13"/>
      <c r="D85" s="1">
        <f>SUM(OSRRefD22_15x_0)</f>
        <v>0</v>
      </c>
      <c r="E85" s="1"/>
      <c r="F85" s="5">
        <f t="shared" si="76"/>
        <v>0</v>
      </c>
      <c r="G85" s="1"/>
      <c r="H85" s="1">
        <f>SUM(OSRRefH22_15x_0)</f>
        <v>0</v>
      </c>
      <c r="I85" s="1"/>
      <c r="J85" s="5">
        <f t="shared" si="77"/>
        <v>0</v>
      </c>
      <c r="K85" s="1"/>
      <c r="L85" s="1">
        <f t="shared" si="78"/>
        <v>0</v>
      </c>
      <c r="M85" s="1"/>
      <c r="N85" s="5">
        <f t="shared" si="79"/>
        <v>0</v>
      </c>
      <c r="O85" s="13"/>
      <c r="P85" s="1">
        <f>SUM(OSRRefP22_15x_0)</f>
        <v>0</v>
      </c>
      <c r="Q85" s="1"/>
      <c r="R85" s="5">
        <f t="shared" si="80"/>
        <v>0</v>
      </c>
      <c r="S85" s="1"/>
      <c r="T85" s="1">
        <f>SUM(OSRRefT22_15x_0)</f>
        <v>500</v>
      </c>
      <c r="U85" s="1"/>
      <c r="V85" s="5">
        <f t="shared" si="81"/>
        <v>3.2258064516129032E-3</v>
      </c>
      <c r="W85" s="1"/>
      <c r="X85" s="1">
        <f t="shared" si="82"/>
        <v>-500</v>
      </c>
      <c r="Y85" s="1"/>
      <c r="Z85" s="5">
        <f t="shared" si="83"/>
        <v>-1</v>
      </c>
    </row>
    <row r="86" spans="1:26" s="24" customFormat="1" hidden="1" outlineLevel="2" x14ac:dyDescent="0.25">
      <c r="A86" s="25"/>
      <c r="B86" s="11" t="str">
        <f>CONCATENATE("          ", "6292", " - ", "TRAVEL/CONFERENCE")</f>
        <v xml:space="preserve">          6292 - TRAVEL/CONFERENCE</v>
      </c>
      <c r="C86" s="11"/>
      <c r="D86" s="6"/>
      <c r="E86" s="2"/>
      <c r="F86" s="7">
        <f t="shared" si="76"/>
        <v>0</v>
      </c>
      <c r="G86" s="2"/>
      <c r="H86" s="6"/>
      <c r="I86" s="2"/>
      <c r="J86" s="7">
        <f t="shared" si="77"/>
        <v>0</v>
      </c>
      <c r="K86" s="2"/>
      <c r="L86" s="6">
        <f t="shared" si="78"/>
        <v>0</v>
      </c>
      <c r="M86" s="2"/>
      <c r="N86" s="7">
        <f t="shared" si="79"/>
        <v>0</v>
      </c>
      <c r="O86" s="11"/>
      <c r="P86" s="6"/>
      <c r="Q86" s="2"/>
      <c r="R86" s="7">
        <f t="shared" si="80"/>
        <v>0</v>
      </c>
      <c r="S86" s="2"/>
      <c r="T86" s="6">
        <v>500</v>
      </c>
      <c r="U86" s="2"/>
      <c r="V86" s="7">
        <f t="shared" si="81"/>
        <v>3.2258064516129032E-3</v>
      </c>
      <c r="W86" s="2"/>
      <c r="X86" s="6">
        <f t="shared" si="82"/>
        <v>-500</v>
      </c>
      <c r="Y86" s="2"/>
      <c r="Z86" s="7">
        <f t="shared" si="83"/>
        <v>-1</v>
      </c>
    </row>
    <row r="87" spans="1:26" s="59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collapsed="1" x14ac:dyDescent="0.25">
      <c r="A88" s="10"/>
      <c r="B88" s="29" t="s">
        <v>0</v>
      </c>
      <c r="C88" s="10"/>
      <c r="D88" s="4">
        <f>SUM(OSRRefD25x_0)</f>
        <v>3178.96</v>
      </c>
      <c r="E88" s="4"/>
      <c r="F88" s="12">
        <f t="shared" ref="F88:F89" si="84">IF(D$12=0,0,D88/D$12)</f>
        <v>9.8008512265091857E-2</v>
      </c>
      <c r="G88" s="4"/>
      <c r="H88" s="4">
        <f>SUM(OSRRefH25x_0)</f>
        <v>2050</v>
      </c>
      <c r="I88" s="4"/>
      <c r="J88" s="12">
        <f t="shared" ref="J88:J89" si="85">IF(H$12=0,0,H88/H$12)</f>
        <v>5.1249999999999997E-2</v>
      </c>
      <c r="K88" s="4"/>
      <c r="L88" s="4">
        <f t="shared" ref="L88:L89" si="86">+D88-H88</f>
        <v>1128.96</v>
      </c>
      <c r="M88" s="4"/>
      <c r="N88" s="12">
        <f t="shared" ref="N88:N89" si="87">IF(H88=0,0,L88/H88)</f>
        <v>0.55071219512195124</v>
      </c>
      <c r="O88" s="10"/>
      <c r="P88" s="4">
        <f>SUM(OSRRefP25x_0)</f>
        <v>32460.44</v>
      </c>
      <c r="Q88" s="4"/>
      <c r="R88" s="12">
        <f t="shared" ref="R88:R89" si="88">IF(P$12=0,0,P88/P$12)</f>
        <v>0.19532415005360812</v>
      </c>
      <c r="S88" s="4"/>
      <c r="T88" s="4">
        <f>SUM(OSRRefT25x_0)</f>
        <v>4100</v>
      </c>
      <c r="U88" s="4"/>
      <c r="V88" s="12">
        <f t="shared" ref="V88:V89" si="89">IF(T$12=0,0,T88/T$12)</f>
        <v>2.6451612903225806E-2</v>
      </c>
      <c r="W88" s="4"/>
      <c r="X88" s="4">
        <f t="shared" ref="X88:X89" si="90">+P88-T88</f>
        <v>28360.44</v>
      </c>
      <c r="Y88" s="4"/>
      <c r="Z88" s="12">
        <f t="shared" ref="Z88:Z89" si="91">IF(T88=0,0,X88/T88)</f>
        <v>6.9171804878048775</v>
      </c>
    </row>
    <row r="89" spans="1:26" s="24" customFormat="1" hidden="1" outlineLevel="1" x14ac:dyDescent="0.25">
      <c r="A89" s="44"/>
      <c r="B89" s="11" t="str">
        <f>CONCATENATE("          ", "9150", " - ", "MISC. INCOME")</f>
        <v xml:space="preserve">          9150 - MISC. INCOME</v>
      </c>
      <c r="C89" s="11"/>
      <c r="D89" s="2">
        <f>--3178.96</f>
        <v>3178.96</v>
      </c>
      <c r="E89" s="2"/>
      <c r="F89" s="19">
        <f t="shared" si="84"/>
        <v>9.8008512265091857E-2</v>
      </c>
      <c r="G89" s="2"/>
      <c r="H89" s="2">
        <v>2050</v>
      </c>
      <c r="I89" s="2"/>
      <c r="J89" s="19">
        <f t="shared" si="85"/>
        <v>5.1249999999999997E-2</v>
      </c>
      <c r="K89" s="2"/>
      <c r="L89" s="2">
        <f t="shared" si="86"/>
        <v>1128.96</v>
      </c>
      <c r="M89" s="2"/>
      <c r="N89" s="19">
        <f t="shared" si="87"/>
        <v>0.55071219512195124</v>
      </c>
      <c r="O89" s="11"/>
      <c r="P89" s="2">
        <f>--32460.44</f>
        <v>32460.44</v>
      </c>
      <c r="Q89" s="2"/>
      <c r="R89" s="19">
        <f t="shared" si="88"/>
        <v>0.19532415005360812</v>
      </c>
      <c r="S89" s="2"/>
      <c r="T89" s="2">
        <v>4100</v>
      </c>
      <c r="U89" s="2"/>
      <c r="V89" s="19">
        <f t="shared" si="89"/>
        <v>2.6451612903225806E-2</v>
      </c>
      <c r="W89" s="2"/>
      <c r="X89" s="2">
        <f t="shared" si="90"/>
        <v>28360.44</v>
      </c>
      <c r="Y89" s="2"/>
      <c r="Z89" s="19">
        <f t="shared" si="91"/>
        <v>6.9171804878048775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8" t="s">
        <v>3</v>
      </c>
      <c r="C91" s="28"/>
      <c r="D91" s="20">
        <f>+D23-D25+D88</f>
        <v>1115.9899999999916</v>
      </c>
      <c r="E91" s="14"/>
      <c r="F91" s="22">
        <f>IF(D$12=0,0,D91/D$12)</f>
        <v>3.4406384352970477E-2</v>
      </c>
      <c r="G91" s="14"/>
      <c r="H91" s="20">
        <f>+H23-H25+H88</f>
        <v>5850.2160750000039</v>
      </c>
      <c r="I91" s="14"/>
      <c r="J91" s="22">
        <f>IF(H$12=0,0,H91/H$12)</f>
        <v>0.14625540187500011</v>
      </c>
      <c r="K91" s="16"/>
      <c r="L91" s="20">
        <f>+D91-H91</f>
        <v>-4734.2260750000123</v>
      </c>
      <c r="M91" s="16"/>
      <c r="N91" s="22">
        <f>IF(H91=0,0,L91/H91)</f>
        <v>-0.80923952454183656</v>
      </c>
      <c r="O91" s="29"/>
      <c r="P91" s="20">
        <f>+P23-P25+P88</f>
        <v>13295.399999999961</v>
      </c>
      <c r="Q91" s="14"/>
      <c r="R91" s="22">
        <f>IF(P$12=0,0,P91/P$12)</f>
        <v>8.0002387663960631E-2</v>
      </c>
      <c r="S91" s="14"/>
      <c r="T91" s="20">
        <f>+T23-T25+T88</f>
        <v>23362.168175000013</v>
      </c>
      <c r="U91" s="14"/>
      <c r="V91" s="22">
        <f>IF(T$12=0,0,T91/T$12)</f>
        <v>0.15072366564516138</v>
      </c>
      <c r="W91" s="16"/>
      <c r="X91" s="20">
        <f>+P91-T91</f>
        <v>-10066.768175000052</v>
      </c>
      <c r="Y91" s="16"/>
      <c r="Z91" s="22">
        <f>IF(T91=0,0,X91/T91)</f>
        <v>-0.43090042412127472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2"/>
      <c r="B93" s="10" t="s">
        <v>14</v>
      </c>
      <c r="C93" s="10"/>
      <c r="D93" s="4">
        <v>4134.32</v>
      </c>
      <c r="E93" s="4"/>
      <c r="F93" s="12">
        <f>IF(D$12=0,0,D93/D$12)</f>
        <v>0.12746261432286488</v>
      </c>
      <c r="G93" s="4"/>
      <c r="H93" s="4">
        <v>5795</v>
      </c>
      <c r="I93" s="4"/>
      <c r="J93" s="12">
        <f>IF(H$12=0,0,H93/H$12)</f>
        <v>0.144875</v>
      </c>
      <c r="K93" s="4"/>
      <c r="L93" s="4">
        <f>+D93-H93</f>
        <v>-1660.6800000000003</v>
      </c>
      <c r="M93" s="4"/>
      <c r="N93" s="12">
        <f>IF(H93=0,0,L93/H93)</f>
        <v>-0.28657118205349447</v>
      </c>
      <c r="O93" s="10"/>
      <c r="P93" s="4">
        <v>17598.14</v>
      </c>
      <c r="Q93" s="4"/>
      <c r="R93" s="12">
        <f>IF(P$12=0,0,P93/P$12)</f>
        <v>0.10589325770151001</v>
      </c>
      <c r="S93" s="4"/>
      <c r="T93" s="4">
        <v>19643</v>
      </c>
      <c r="U93" s="4"/>
      <c r="V93" s="12">
        <f>IF(T$12=0,0,T93/T$12)</f>
        <v>0.12672903225806451</v>
      </c>
      <c r="W93" s="4"/>
      <c r="X93" s="4">
        <f>+P93-T93</f>
        <v>-2044.8600000000006</v>
      </c>
      <c r="Y93" s="4"/>
      <c r="Z93" s="12">
        <f>IF(T93=0,0,X93/T93)</f>
        <v>-0.10410120653667976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8" t="s">
        <v>4</v>
      </c>
      <c r="C95" s="28"/>
      <c r="D95" s="30">
        <f>+D91-D93</f>
        <v>-3018.3300000000081</v>
      </c>
      <c r="E95" s="14"/>
      <c r="F95" s="32">
        <f>IF(D$12=0,0,D95/D$12)</f>
        <v>-9.3056229969894391E-2</v>
      </c>
      <c r="G95" s="14"/>
      <c r="H95" s="30">
        <f>+H91-H93</f>
        <v>55.216075000003912</v>
      </c>
      <c r="I95" s="14"/>
      <c r="J95" s="32">
        <f>IF(H$12=0,0,H95/H$12)</f>
        <v>1.3804018750000978E-3</v>
      </c>
      <c r="K95" s="16"/>
      <c r="L95" s="30">
        <f>D95-H95</f>
        <v>-3073.546075000012</v>
      </c>
      <c r="M95" s="16"/>
      <c r="N95" s="32">
        <f>IF(H95=0,0,L95/H95)</f>
        <v>-55.663972402960447</v>
      </c>
      <c r="O95" s="29"/>
      <c r="P95" s="30">
        <f>+P91-P93</f>
        <v>-4302.740000000038</v>
      </c>
      <c r="Q95" s="14"/>
      <c r="R95" s="32">
        <f>IF(P$12=0,0,P95/P$12)</f>
        <v>-2.5890870037549377E-2</v>
      </c>
      <c r="S95" s="14"/>
      <c r="T95" s="30">
        <f>+T91-T93</f>
        <v>3719.1681750000134</v>
      </c>
      <c r="U95" s="14"/>
      <c r="V95" s="32">
        <f>IF(T$12=0,0,T95/T$12)</f>
        <v>2.3994633387096859E-2</v>
      </c>
      <c r="W95" s="16"/>
      <c r="X95" s="30">
        <f>P95-T95</f>
        <v>-8021.9081750000514</v>
      </c>
      <c r="Y95" s="16"/>
      <c r="Z95" s="32">
        <f>IF(T95=0,0,X95/T95)</f>
        <v>-2.1569092328017736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8" t="s">
        <v>5</v>
      </c>
      <c r="C98" s="28"/>
      <c r="D98" s="31">
        <f>SUM(D95:D97)</f>
        <v>-3018.3300000000081</v>
      </c>
      <c r="E98" s="14"/>
      <c r="F98" s="35">
        <f>IF(D$12=0,0,D98/D$12)</f>
        <v>-9.3056229969894391E-2</v>
      </c>
      <c r="G98" s="14"/>
      <c r="H98" s="31">
        <f>SUM(H95:H97)</f>
        <v>55.216075000003912</v>
      </c>
      <c r="I98" s="14"/>
      <c r="J98" s="35">
        <f>IF(H$12=0,0,H98/H$12)</f>
        <v>1.3804018750000978E-3</v>
      </c>
      <c r="K98" s="16"/>
      <c r="L98" s="31">
        <f>+D98-H98</f>
        <v>-3073.546075000012</v>
      </c>
      <c r="M98" s="16"/>
      <c r="N98" s="35">
        <f>IF(H98=0,0,L98/H98)</f>
        <v>-55.663972402960447</v>
      </c>
      <c r="O98" s="29"/>
      <c r="P98" s="31">
        <f>SUM(P95:P97)</f>
        <v>-4302.740000000038</v>
      </c>
      <c r="Q98" s="14"/>
      <c r="R98" s="35">
        <f>IF(P$12=0,0,P98/P$12)</f>
        <v>-2.5890870037549377E-2</v>
      </c>
      <c r="S98" s="14"/>
      <c r="T98" s="31">
        <f>SUM(T95:T97)</f>
        <v>3719.1681750000134</v>
      </c>
      <c r="U98" s="14"/>
      <c r="V98" s="35">
        <f>IF(T$12=0,0,T98/T$12)</f>
        <v>2.3994633387096859E-2</v>
      </c>
      <c r="W98" s="16"/>
      <c r="X98" s="31">
        <f>+P98-T98</f>
        <v>-8021.9081750000514</v>
      </c>
      <c r="Y98" s="16"/>
      <c r="Z98" s="35">
        <f>IF(T98=0,0,X98/T98)</f>
        <v>-2.1569092328017736</v>
      </c>
    </row>
    <row r="99" spans="1:26" ht="15.75" thickTop="1" x14ac:dyDescent="0.25">
      <c r="A99" s="9"/>
      <c r="C99" s="9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6" x14ac:dyDescent="0.25">
      <c r="A100" s="9"/>
      <c r="B100" s="56">
        <v>43815.484137233798</v>
      </c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62" t="s">
        <v>314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58"/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300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9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8" t="s">
        <v>6</v>
      </c>
      <c r="C18" s="28"/>
      <c r="D18" s="20" t="e">
        <f ca="1">D12-D15</f>
        <v>#NAME?</v>
      </c>
      <c r="E18" s="14"/>
      <c r="F18" s="22" t="e">
        <f ca="1">IF(D$12=0,0,D18/D$12)</f>
        <v>#NAME?</v>
      </c>
      <c r="G18" s="14"/>
      <c r="H18" s="20" t="e">
        <f ca="1">H12-H15</f>
        <v>#NAME?</v>
      </c>
      <c r="I18" s="14"/>
      <c r="J18" s="22" t="e">
        <f ca="1">IF(H$12=0,0,H18/H$12)</f>
        <v>#NAME?</v>
      </c>
      <c r="K18" s="16"/>
      <c r="L18" s="20" t="e">
        <f ca="1">+D18-H18</f>
        <v>#NAME?</v>
      </c>
      <c r="M18" s="16"/>
      <c r="N18" s="22" t="e">
        <f ca="1">IF(H18=0,0,L18/H18)</f>
        <v>#NAME?</v>
      </c>
      <c r="O18" s="29"/>
      <c r="P18" s="20" t="e">
        <f ca="1">P12-P15</f>
        <v>#NAME?</v>
      </c>
      <c r="Q18" s="14"/>
      <c r="R18" s="22" t="e">
        <f ca="1">IF(P$12=0,0,P18/P$12)</f>
        <v>#NAME?</v>
      </c>
      <c r="S18" s="14"/>
      <c r="T18" s="20" t="e">
        <f ca="1">T12-T15</f>
        <v>#NAME?</v>
      </c>
      <c r="U18" s="14"/>
      <c r="V18" s="22" t="e">
        <f ca="1">IF(T$12=0,0,T18/T$12)</f>
        <v>#NAME?</v>
      </c>
      <c r="W18" s="16"/>
      <c r="X18" s="20" t="e">
        <f ca="1">+P18-T18</f>
        <v>#NAME?</v>
      </c>
      <c r="Y18" s="16"/>
      <c r="Z18" s="22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9</v>
      </c>
      <c r="C20" s="10"/>
      <c r="D20" s="21" t="e">
        <f ca="1">SUM(_xll.OneStop.ReportPlayer.OSRFunctions.OSRRef(D22))</f>
        <v>#NAME?</v>
      </c>
      <c r="E20" s="21"/>
      <c r="F20" s="33" t="e">
        <f t="shared" ref="F20:F22" ca="1" si="12">IF(D$12=0,0,D20/D$12)</f>
        <v>#NAME?</v>
      </c>
      <c r="G20" s="21"/>
      <c r="H20" s="21" t="e">
        <f ca="1">SUM(_xll.OneStop.ReportPlayer.OSRFunctions.OSRRef(H22))</f>
        <v>#NAME?</v>
      </c>
      <c r="I20" s="21"/>
      <c r="J20" s="33" t="e">
        <f t="shared" ref="J20:J22" ca="1" si="13">IF(H$12=0,0,H20/H$12)</f>
        <v>#NAME?</v>
      </c>
      <c r="K20" s="4"/>
      <c r="L20" s="21" t="e">
        <f t="shared" ref="L20:L22" ca="1" si="14">+D20-H20</f>
        <v>#NAME?</v>
      </c>
      <c r="M20" s="4"/>
      <c r="N20" s="33" t="e">
        <f t="shared" ref="N20:N22" ca="1" si="15">IF(H20=0,0,L20/H20)</f>
        <v>#NAME?</v>
      </c>
      <c r="O20" s="10"/>
      <c r="P20" s="21" t="e">
        <f ca="1">SUM(_xll.OneStop.ReportPlayer.OSRFunctions.OSRRef(P22))</f>
        <v>#NAME?</v>
      </c>
      <c r="Q20" s="21"/>
      <c r="R20" s="33" t="e">
        <f t="shared" ref="R20:R22" ca="1" si="16">IF(P$12=0,0,P20/P$12)</f>
        <v>#NAME?</v>
      </c>
      <c r="S20" s="21"/>
      <c r="T20" s="21" t="e">
        <f ca="1">SUM(_xll.OneStop.ReportPlayer.OSRFunctions.OSRRef(T22))</f>
        <v>#NAME?</v>
      </c>
      <c r="U20" s="21"/>
      <c r="V20" s="33" t="e">
        <f t="shared" ref="V20:V22" ca="1" si="17">IF(T$12=0,0,T20/T$12)</f>
        <v>#NAME?</v>
      </c>
      <c r="W20" s="4"/>
      <c r="X20" s="21" t="e">
        <f t="shared" ref="X20:X22" ca="1" si="18">+P20-T20</f>
        <v>#NAME?</v>
      </c>
      <c r="Y20" s="4"/>
      <c r="Z20" s="33" t="e">
        <f t="shared" ref="Z20:Z22" ca="1" si="19">IF(T20=0,0,X20/T20)</f>
        <v>#NAME?</v>
      </c>
    </row>
    <row r="21" spans="1:26" s="26" customFormat="1" outlineLevel="1" collapsed="1" x14ac:dyDescent="0.25">
      <c r="A21" s="27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5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59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9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3</v>
      </c>
      <c r="C27" s="28"/>
      <c r="D27" s="20" t="e">
        <f ca="1">+D18-D20+D24</f>
        <v>#NAME?</v>
      </c>
      <c r="E27" s="14"/>
      <c r="F27" s="22" t="e">
        <f ca="1">IF(D$12=0,0,D27/D$12)</f>
        <v>#NAME?</v>
      </c>
      <c r="G27" s="14"/>
      <c r="H27" s="20" t="e">
        <f ca="1">+H18-H20+H24</f>
        <v>#NAME?</v>
      </c>
      <c r="I27" s="14"/>
      <c r="J27" s="22" t="e">
        <f ca="1">IF(H$12=0,0,H27/H$12)</f>
        <v>#NAME?</v>
      </c>
      <c r="K27" s="16"/>
      <c r="L27" s="20" t="e">
        <f ca="1">+D27-H27</f>
        <v>#NAME?</v>
      </c>
      <c r="M27" s="16"/>
      <c r="N27" s="22" t="e">
        <f ca="1">IF(H27=0,0,L27/H27)</f>
        <v>#NAME?</v>
      </c>
      <c r="O27" s="29"/>
      <c r="P27" s="20" t="e">
        <f ca="1">+P18-P20+P24</f>
        <v>#NAME?</v>
      </c>
      <c r="Q27" s="14"/>
      <c r="R27" s="22" t="e">
        <f ca="1">IF(P$12=0,0,P27/P$12)</f>
        <v>#NAME?</v>
      </c>
      <c r="S27" s="14"/>
      <c r="T27" s="20" t="e">
        <f ca="1">+T18-T20+T24</f>
        <v>#NAME?</v>
      </c>
      <c r="U27" s="14"/>
      <c r="V27" s="22" t="e">
        <f ca="1">IF(T$12=0,0,T27/T$12)</f>
        <v>#NAME?</v>
      </c>
      <c r="W27" s="16"/>
      <c r="X27" s="20" t="e">
        <f ca="1">+P27-T27</f>
        <v>#NAME?</v>
      </c>
      <c r="Y27" s="16"/>
      <c r="Z27" s="22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8" t="s">
        <v>4</v>
      </c>
      <c r="C31" s="28"/>
      <c r="D31" s="30" t="e">
        <f ca="1">+D27-D29</f>
        <v>#NAME?</v>
      </c>
      <c r="E31" s="14"/>
      <c r="F31" s="32" t="e">
        <f ca="1">IF(D$12=0,0,D31/D$12)</f>
        <v>#NAME?</v>
      </c>
      <c r="G31" s="14"/>
      <c r="H31" s="30" t="e">
        <f ca="1">+H27-H29</f>
        <v>#NAME?</v>
      </c>
      <c r="I31" s="14"/>
      <c r="J31" s="32" t="e">
        <f ca="1">IF(H$12=0,0,H31/H$12)</f>
        <v>#NAME?</v>
      </c>
      <c r="K31" s="16"/>
      <c r="L31" s="30" t="e">
        <f ca="1">D31-H31</f>
        <v>#NAME?</v>
      </c>
      <c r="M31" s="16"/>
      <c r="N31" s="32" t="e">
        <f ca="1">IF(H31=0,0,L31/H31)</f>
        <v>#NAME?</v>
      </c>
      <c r="O31" s="29"/>
      <c r="P31" s="30" t="e">
        <f ca="1">+P27-P29</f>
        <v>#NAME?</v>
      </c>
      <c r="Q31" s="14"/>
      <c r="R31" s="32" t="e">
        <f ca="1">IF(P$12=0,0,P31/P$12)</f>
        <v>#NAME?</v>
      </c>
      <c r="S31" s="14"/>
      <c r="T31" s="30" t="e">
        <f ca="1">+T27-T29</f>
        <v>#NAME?</v>
      </c>
      <c r="U31" s="14"/>
      <c r="V31" s="32" t="e">
        <f ca="1">IF(T$12=0,0,T31/T$12)</f>
        <v>#NAME?</v>
      </c>
      <c r="W31" s="16"/>
      <c r="X31" s="30" t="e">
        <f ca="1">P31-T31</f>
        <v>#NAME?</v>
      </c>
      <c r="Y31" s="16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8" t="s">
        <v>5</v>
      </c>
      <c r="C36" s="28"/>
      <c r="D36" s="31" t="e">
        <f ca="1">SUM(D31:D35)</f>
        <v>#NAME?</v>
      </c>
      <c r="E36" s="14"/>
      <c r="F36" s="35" t="e">
        <f ca="1">IF(D$12=0,0,D36/D$12)</f>
        <v>#NAME?</v>
      </c>
      <c r="G36" s="14"/>
      <c r="H36" s="31" t="e">
        <f ca="1">SUM(H31:H35)</f>
        <v>#NAME?</v>
      </c>
      <c r="I36" s="14"/>
      <c r="J36" s="35" t="e">
        <f ca="1">IF(H$12=0,0,H36/H$12)</f>
        <v>#NAME?</v>
      </c>
      <c r="K36" s="16"/>
      <c r="L36" s="31" t="e">
        <f ca="1">+D36-H36</f>
        <v>#NAME?</v>
      </c>
      <c r="M36" s="16"/>
      <c r="N36" s="35" t="e">
        <f ca="1">IF(H36=0,0,L36/H36)</f>
        <v>#NAME?</v>
      </c>
      <c r="O36" s="29"/>
      <c r="P36" s="31" t="e">
        <f ca="1">SUM(P31:P35)</f>
        <v>#NAME?</v>
      </c>
      <c r="Q36" s="14"/>
      <c r="R36" s="35" t="e">
        <f ca="1">IF(P$12=0,0,P36/P$12)</f>
        <v>#NAME?</v>
      </c>
      <c r="S36" s="14"/>
      <c r="T36" s="31" t="e">
        <f ca="1">SUM(T31:T35)</f>
        <v>#NAME?</v>
      </c>
      <c r="U36" s="14"/>
      <c r="V36" s="35" t="e">
        <f ca="1">IF(T$12=0,0,T36/T$12)</f>
        <v>#NAME?</v>
      </c>
      <c r="W36" s="16"/>
      <c r="X36" s="31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6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","455", " - ", "Vending")</f>
        <v>Department 455 - Vending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6685.41</v>
      </c>
      <c r="E18" s="21"/>
      <c r="F18" s="33">
        <f t="shared" ref="F18:F27" si="0">IF(D$12=0,0,D18/D$12)</f>
        <v>0</v>
      </c>
      <c r="G18" s="21"/>
      <c r="H18" s="21">
        <f>SUM(OSRRefH22x_0)</f>
        <v>5329.3879716076881</v>
      </c>
      <c r="I18" s="21"/>
      <c r="J18" s="33">
        <f t="shared" ref="J18:J27" si="1">IF(H$12=0,0,H18/H$12)</f>
        <v>0</v>
      </c>
      <c r="K18" s="4"/>
      <c r="L18" s="21">
        <f t="shared" ref="L18:L27" si="2">+D18-H18</f>
        <v>1356.0220283923118</v>
      </c>
      <c r="M18" s="4"/>
      <c r="N18" s="33">
        <f t="shared" ref="N18:N27" si="3">IF(H18=0,0,L18/H18)</f>
        <v>0.25444235541051213</v>
      </c>
      <c r="O18" s="10"/>
      <c r="P18" s="21">
        <f>SUM(OSRRefP22x_0)</f>
        <v>45131.89</v>
      </c>
      <c r="Q18" s="21"/>
      <c r="R18" s="33">
        <f t="shared" ref="R18:R27" si="4">IF(P$12=0,0,P18/P$12)</f>
        <v>0</v>
      </c>
      <c r="S18" s="21"/>
      <c r="T18" s="21">
        <f>SUM(OSRRefT22x_0)</f>
        <v>29311.633843842294</v>
      </c>
      <c r="U18" s="21"/>
      <c r="V18" s="33">
        <f t="shared" ref="V18:V27" si="5">IF(T$12=0,0,T18/T$12)</f>
        <v>0</v>
      </c>
      <c r="W18" s="4"/>
      <c r="X18" s="21">
        <f t="shared" ref="X18:X27" si="6">+P18-T18</f>
        <v>15820.256156157706</v>
      </c>
      <c r="Y18" s="4"/>
      <c r="Z18" s="33">
        <f t="shared" ref="Z18:Z27" si="7">IF(T18=0,0,X18/T18)</f>
        <v>0.53972617972918557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2408.66</v>
      </c>
      <c r="E19" s="1"/>
      <c r="F19" s="5">
        <f t="shared" si="0"/>
        <v>0</v>
      </c>
      <c r="G19" s="1"/>
      <c r="H19" s="1">
        <f>SUM(OSRRefH22_0x_0)</f>
        <v>1212.7235869923079</v>
      </c>
      <c r="I19" s="1"/>
      <c r="J19" s="5">
        <f t="shared" si="1"/>
        <v>0</v>
      </c>
      <c r="K19" s="1"/>
      <c r="L19" s="1">
        <f t="shared" si="2"/>
        <v>1195.936413007692</v>
      </c>
      <c r="M19" s="1"/>
      <c r="N19" s="5">
        <f t="shared" si="3"/>
        <v>0.98615746064092802</v>
      </c>
      <c r="O19" s="13"/>
      <c r="P19" s="1">
        <f>SUM(OSRRefP22_0x_0)</f>
        <v>22032.829999999998</v>
      </c>
      <c r="Q19" s="1"/>
      <c r="R19" s="5">
        <f t="shared" si="4"/>
        <v>0</v>
      </c>
      <c r="S19" s="1"/>
      <c r="T19" s="1">
        <f>SUM(OSRRefT22_0x_0)</f>
        <v>6669.9797284576916</v>
      </c>
      <c r="U19" s="1"/>
      <c r="V19" s="5">
        <f t="shared" si="5"/>
        <v>0</v>
      </c>
      <c r="W19" s="1"/>
      <c r="X19" s="1">
        <f t="shared" si="6"/>
        <v>15362.850271542306</v>
      </c>
      <c r="Y19" s="1"/>
      <c r="Z19" s="5">
        <f t="shared" si="7"/>
        <v>2.303282902944396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235.39</v>
      </c>
      <c r="E20" s="2"/>
      <c r="F20" s="7">
        <f t="shared" si="0"/>
        <v>0</v>
      </c>
      <c r="G20" s="2"/>
      <c r="H20" s="6">
        <v>350.05369483846198</v>
      </c>
      <c r="I20" s="2"/>
      <c r="J20" s="7">
        <f t="shared" si="1"/>
        <v>0</v>
      </c>
      <c r="K20" s="2"/>
      <c r="L20" s="6">
        <f t="shared" si="2"/>
        <v>-114.66369483846199</v>
      </c>
      <c r="M20" s="2"/>
      <c r="N20" s="7">
        <f t="shared" si="3"/>
        <v>-0.32756030440237299</v>
      </c>
      <c r="O20" s="11"/>
      <c r="P20" s="6">
        <v>1897.53</v>
      </c>
      <c r="Q20" s="2"/>
      <c r="R20" s="7">
        <f t="shared" si="4"/>
        <v>0</v>
      </c>
      <c r="S20" s="2"/>
      <c r="T20" s="6">
        <v>1925.29532161154</v>
      </c>
      <c r="U20" s="2"/>
      <c r="V20" s="7">
        <f t="shared" si="5"/>
        <v>0</v>
      </c>
      <c r="W20" s="2"/>
      <c r="X20" s="6">
        <f t="shared" si="6"/>
        <v>-27.765321611540003</v>
      </c>
      <c r="Y20" s="2"/>
      <c r="Z20" s="7">
        <f t="shared" si="7"/>
        <v>-1.4421331262727762E-2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17.11</v>
      </c>
      <c r="E21" s="2"/>
      <c r="F21" s="7">
        <f t="shared" si="0"/>
        <v>0</v>
      </c>
      <c r="G21" s="2"/>
      <c r="H21" s="6">
        <v>0</v>
      </c>
      <c r="I21" s="2"/>
      <c r="J21" s="7">
        <f t="shared" si="1"/>
        <v>0</v>
      </c>
      <c r="K21" s="2"/>
      <c r="L21" s="6">
        <f t="shared" si="2"/>
        <v>17.11</v>
      </c>
      <c r="M21" s="2"/>
      <c r="N21" s="7">
        <f t="shared" si="3"/>
        <v>0</v>
      </c>
      <c r="O21" s="11"/>
      <c r="P21" s="6">
        <v>99.44</v>
      </c>
      <c r="Q21" s="2"/>
      <c r="R21" s="7">
        <f t="shared" si="4"/>
        <v>0</v>
      </c>
      <c r="S21" s="2"/>
      <c r="T21" s="6">
        <v>0</v>
      </c>
      <c r="U21" s="2"/>
      <c r="V21" s="7">
        <f t="shared" si="5"/>
        <v>0</v>
      </c>
      <c r="W21" s="2"/>
      <c r="X21" s="6">
        <f t="shared" si="6"/>
        <v>99.44</v>
      </c>
      <c r="Y21" s="2"/>
      <c r="Z21" s="7">
        <f t="shared" si="7"/>
        <v>0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931.95</v>
      </c>
      <c r="E22" s="2"/>
      <c r="F22" s="7">
        <f t="shared" si="0"/>
        <v>0</v>
      </c>
      <c r="G22" s="2"/>
      <c r="H22" s="6">
        <v>0</v>
      </c>
      <c r="I22" s="2"/>
      <c r="J22" s="7">
        <f t="shared" si="1"/>
        <v>0</v>
      </c>
      <c r="K22" s="2"/>
      <c r="L22" s="6">
        <f t="shared" si="2"/>
        <v>931.95</v>
      </c>
      <c r="M22" s="2"/>
      <c r="N22" s="7">
        <f t="shared" si="3"/>
        <v>0</v>
      </c>
      <c r="O22" s="11"/>
      <c r="P22" s="6">
        <v>4659.75</v>
      </c>
      <c r="Q22" s="2"/>
      <c r="R22" s="7">
        <f t="shared" si="4"/>
        <v>0</v>
      </c>
      <c r="S22" s="2"/>
      <c r="T22" s="6">
        <v>0</v>
      </c>
      <c r="U22" s="2"/>
      <c r="V22" s="7">
        <f t="shared" si="5"/>
        <v>0</v>
      </c>
      <c r="W22" s="2"/>
      <c r="X22" s="6">
        <f t="shared" si="6"/>
        <v>4659.75</v>
      </c>
      <c r="Y22" s="2"/>
      <c r="Z22" s="7">
        <f t="shared" si="7"/>
        <v>0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13.08</v>
      </c>
      <c r="E23" s="2"/>
      <c r="F23" s="7">
        <f t="shared" si="0"/>
        <v>0</v>
      </c>
      <c r="G23" s="2"/>
      <c r="H23" s="6">
        <v>11.892586</v>
      </c>
      <c r="I23" s="2"/>
      <c r="J23" s="7">
        <f t="shared" si="1"/>
        <v>0</v>
      </c>
      <c r="K23" s="2"/>
      <c r="L23" s="6">
        <f t="shared" si="2"/>
        <v>1.1874140000000004</v>
      </c>
      <c r="M23" s="2"/>
      <c r="N23" s="7">
        <f t="shared" si="3"/>
        <v>9.9844894962289987E-2</v>
      </c>
      <c r="O23" s="11"/>
      <c r="P23" s="6">
        <v>88.53</v>
      </c>
      <c r="Q23" s="2"/>
      <c r="R23" s="7">
        <f t="shared" si="4"/>
        <v>0</v>
      </c>
      <c r="S23" s="2"/>
      <c r="T23" s="6">
        <v>65.409222999999997</v>
      </c>
      <c r="U23" s="2"/>
      <c r="V23" s="7">
        <f t="shared" si="5"/>
        <v>0</v>
      </c>
      <c r="W23" s="2"/>
      <c r="X23" s="6">
        <f t="shared" si="6"/>
        <v>23.120777000000004</v>
      </c>
      <c r="Y23" s="2"/>
      <c r="Z23" s="7">
        <f t="shared" si="7"/>
        <v>0.35347885113999911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514.27</v>
      </c>
      <c r="E24" s="2"/>
      <c r="F24" s="7">
        <f t="shared" si="0"/>
        <v>0</v>
      </c>
      <c r="G24" s="2"/>
      <c r="H24" s="6">
        <v>393.37015230769197</v>
      </c>
      <c r="I24" s="2"/>
      <c r="J24" s="7">
        <f t="shared" si="1"/>
        <v>0</v>
      </c>
      <c r="K24" s="2"/>
      <c r="L24" s="6">
        <f t="shared" si="2"/>
        <v>120.89984769230801</v>
      </c>
      <c r="M24" s="2"/>
      <c r="N24" s="7">
        <f t="shared" si="3"/>
        <v>0.3073437244362679</v>
      </c>
      <c r="O24" s="11"/>
      <c r="P24" s="6">
        <v>3480.67</v>
      </c>
      <c r="Q24" s="2"/>
      <c r="R24" s="7">
        <f t="shared" si="4"/>
        <v>0</v>
      </c>
      <c r="S24" s="2"/>
      <c r="T24" s="6">
        <v>2163.5358376923064</v>
      </c>
      <c r="U24" s="2"/>
      <c r="V24" s="7">
        <f t="shared" si="5"/>
        <v>0</v>
      </c>
      <c r="W24" s="2"/>
      <c r="X24" s="6">
        <f t="shared" si="6"/>
        <v>1317.1341623076937</v>
      </c>
      <c r="Y24" s="2"/>
      <c r="Z24" s="7">
        <f t="shared" si="7"/>
        <v>0.60878777201702805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464.78</v>
      </c>
      <c r="E26" s="2"/>
      <c r="F26" s="7">
        <f t="shared" si="0"/>
        <v>0</v>
      </c>
      <c r="G26" s="2"/>
      <c r="H26" s="6">
        <v>457.40715384615396</v>
      </c>
      <c r="I26" s="2"/>
      <c r="J26" s="7">
        <f t="shared" si="1"/>
        <v>0</v>
      </c>
      <c r="K26" s="2"/>
      <c r="L26" s="6">
        <f t="shared" si="2"/>
        <v>7.3728461538460124</v>
      </c>
      <c r="M26" s="2"/>
      <c r="N26" s="7">
        <f t="shared" si="3"/>
        <v>1.6118781903279596E-2</v>
      </c>
      <c r="O26" s="11"/>
      <c r="P26" s="6">
        <v>3919.04</v>
      </c>
      <c r="Q26" s="2"/>
      <c r="R26" s="7">
        <f t="shared" si="4"/>
        <v>0</v>
      </c>
      <c r="S26" s="2"/>
      <c r="T26" s="6">
        <v>2515.7393461538459</v>
      </c>
      <c r="U26" s="2"/>
      <c r="V26" s="7">
        <f t="shared" si="5"/>
        <v>0</v>
      </c>
      <c r="W26" s="2"/>
      <c r="X26" s="6">
        <f t="shared" si="6"/>
        <v>1403.3006538461541</v>
      </c>
      <c r="Y26" s="2"/>
      <c r="Z26" s="7">
        <f t="shared" si="7"/>
        <v>0.55780844545424446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232.08</v>
      </c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232.08</v>
      </c>
      <c r="M27" s="2"/>
      <c r="N27" s="7">
        <f t="shared" si="3"/>
        <v>0</v>
      </c>
      <c r="O27" s="11"/>
      <c r="P27" s="6">
        <v>7887.87</v>
      </c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7887.87</v>
      </c>
      <c r="Y27" s="2"/>
      <c r="Z27" s="7">
        <f t="shared" si="7"/>
        <v>0</v>
      </c>
    </row>
    <row r="28" spans="1:26" s="26" customFormat="1" outlineLevel="1" collapsed="1" x14ac:dyDescent="0.25">
      <c r="A28" s="27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4276.75</v>
      </c>
      <c r="E28" s="1"/>
      <c r="F28" s="5">
        <f t="shared" ref="F28:F38" si="8">IF(D$12=0,0,D28/D$12)</f>
        <v>0</v>
      </c>
      <c r="G28" s="1"/>
      <c r="H28" s="1">
        <f>SUM(OSRRefH22_1x_0)</f>
        <v>4116.6643846153802</v>
      </c>
      <c r="I28" s="1"/>
      <c r="J28" s="5">
        <f t="shared" ref="J28:J38" si="9">IF(H$12=0,0,H28/H$12)</f>
        <v>0</v>
      </c>
      <c r="K28" s="1"/>
      <c r="L28" s="1">
        <f t="shared" ref="L28:L38" si="10">+D28-H28</f>
        <v>160.08561538461981</v>
      </c>
      <c r="M28" s="1"/>
      <c r="N28" s="5">
        <f t="shared" ref="N28:N38" si="11">IF(H28=0,0,L28/H28)</f>
        <v>3.8887215577467243E-2</v>
      </c>
      <c r="O28" s="13"/>
      <c r="P28" s="1">
        <f>SUM(OSRRefP22_1x_0)</f>
        <v>23099.06</v>
      </c>
      <c r="Q28" s="1"/>
      <c r="R28" s="5">
        <f t="shared" ref="R28:R38" si="12">IF(P$12=0,0,P28/P$12)</f>
        <v>0</v>
      </c>
      <c r="S28" s="1"/>
      <c r="T28" s="1">
        <f>SUM(OSRRefT22_1x_0)</f>
        <v>22641.654115384601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457.40588461540028</v>
      </c>
      <c r="Y28" s="1"/>
      <c r="Z28" s="5">
        <f t="shared" ref="Z28:Z38" si="15">IF(T28=0,0,X28/T28)</f>
        <v>2.020196414468681E-2</v>
      </c>
    </row>
    <row r="29" spans="1:26" s="24" customFormat="1" hidden="1" outlineLevel="2" x14ac:dyDescent="0.25">
      <c r="A29" s="25"/>
      <c r="B29" s="11" t="str">
        <f>CONCATENATE("          ", "6001", " - ", "ADMINISTRATIVE SALARIES")</f>
        <v xml:space="preserve">          6001 - ADMINISTRATIVE SALARIES</v>
      </c>
      <c r="C29" s="11"/>
      <c r="D29" s="6">
        <v>4276.75</v>
      </c>
      <c r="E29" s="2"/>
      <c r="F29" s="7">
        <f t="shared" si="8"/>
        <v>0</v>
      </c>
      <c r="G29" s="2"/>
      <c r="H29" s="6">
        <v>4116.6643846153802</v>
      </c>
      <c r="I29" s="2"/>
      <c r="J29" s="7">
        <f t="shared" si="9"/>
        <v>0</v>
      </c>
      <c r="K29" s="2"/>
      <c r="L29" s="6">
        <f t="shared" si="10"/>
        <v>160.08561538461981</v>
      </c>
      <c r="M29" s="2"/>
      <c r="N29" s="7">
        <f t="shared" si="11"/>
        <v>3.8887215577467243E-2</v>
      </c>
      <c r="O29" s="11"/>
      <c r="P29" s="6">
        <v>23099.06</v>
      </c>
      <c r="Q29" s="2"/>
      <c r="R29" s="7">
        <f t="shared" si="12"/>
        <v>0</v>
      </c>
      <c r="S29" s="2"/>
      <c r="T29" s="6">
        <v>22641.654115384601</v>
      </c>
      <c r="U29" s="2"/>
      <c r="V29" s="7">
        <f t="shared" si="13"/>
        <v>0</v>
      </c>
      <c r="W29" s="2"/>
      <c r="X29" s="6">
        <f t="shared" si="14"/>
        <v>457.40588461540028</v>
      </c>
      <c r="Y29" s="2"/>
      <c r="Z29" s="7">
        <f t="shared" si="15"/>
        <v>2.020196414468681E-2</v>
      </c>
    </row>
    <row r="30" spans="1:26" s="24" customFormat="1" hidden="1" outlineLevel="2" x14ac:dyDescent="0.25">
      <c r="A30" s="25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>
        <v>0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5"/>
      <c r="B31" s="11" t="str">
        <f>CONCATENATE("          ", "6003", " - ", "STAFF HOURLY-9 MONTH")</f>
        <v xml:space="preserve">          6003 - STAFF HOURLY-9 MONTH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5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5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5"/>
      <c r="B37" s="11" t="str">
        <f>CONCATENATE("          ", "6009", " - ", "TEMPORARY-SEASONAL")</f>
        <v xml:space="preserve">          6009 - TEMPORARY-SEASONAL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5"/>
      <c r="B38" s="11" t="str">
        <f>CONCATENATE("          ", "6010", " - ", "GRATUITY")</f>
        <v xml:space="preserve">          6010 - GRATUITY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59" customFormat="1" x14ac:dyDescent="0.25">
      <c r="A39" s="36"/>
      <c r="B39" s="36"/>
      <c r="C39" s="36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6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9" t="s">
        <v>0</v>
      </c>
      <c r="C40" s="10"/>
      <c r="D40" s="4">
        <f>SUM(OSRRefD25x_0)</f>
        <v>18196.37</v>
      </c>
      <c r="E40" s="4"/>
      <c r="F40" s="12">
        <f t="shared" ref="F40:F44" si="16">IF(D$12=0,0,D40/D$12)</f>
        <v>0</v>
      </c>
      <c r="G40" s="4"/>
      <c r="H40" s="4">
        <f>SUM(OSRRefH25x_0)</f>
        <v>36681</v>
      </c>
      <c r="I40" s="4"/>
      <c r="J40" s="12">
        <f t="shared" ref="J40:J44" si="17">IF(H$12=0,0,H40/H$12)</f>
        <v>0</v>
      </c>
      <c r="K40" s="4"/>
      <c r="L40" s="4">
        <f t="shared" ref="L40:L44" si="18">+D40-H40</f>
        <v>-18484.63</v>
      </c>
      <c r="M40" s="4"/>
      <c r="N40" s="12">
        <f t="shared" ref="N40:N44" si="19">IF(H40=0,0,L40/H40)</f>
        <v>-0.50392928218968946</v>
      </c>
      <c r="O40" s="10"/>
      <c r="P40" s="4">
        <f>SUM(OSRRefP25x_0)</f>
        <v>326413.39</v>
      </c>
      <c r="Q40" s="4"/>
      <c r="R40" s="12">
        <f t="shared" ref="R40:R44" si="20">IF(P$12=0,0,P40/P$12)</f>
        <v>0</v>
      </c>
      <c r="S40" s="4"/>
      <c r="T40" s="4">
        <f>SUM(OSRRefT25x_0)</f>
        <v>297703</v>
      </c>
      <c r="U40" s="4"/>
      <c r="V40" s="12">
        <f t="shared" ref="V40:V44" si="21">IF(T$12=0,0,T40/T$12)</f>
        <v>0</v>
      </c>
      <c r="W40" s="4"/>
      <c r="X40" s="4">
        <f t="shared" ref="X40:X44" si="22">+P40-T40</f>
        <v>28710.390000000014</v>
      </c>
      <c r="Y40" s="4"/>
      <c r="Z40" s="12">
        <f t="shared" ref="Z40:Z44" si="23">IF(T40=0,0,X40/T40)</f>
        <v>9.6439706687537624E-2</v>
      </c>
    </row>
    <row r="41" spans="1:26" s="24" customFormat="1" hidden="1" outlineLevel="1" x14ac:dyDescent="0.25">
      <c r="A41" s="44"/>
      <c r="B41" s="11" t="str">
        <f>CONCATENATE("          ", "9150", " - ", "MISC. INCOME")</f>
        <v xml:space="preserve">          9150 - MISC. INCOME</v>
      </c>
      <c r="C41" s="11"/>
      <c r="D41" s="2">
        <f t="shared" ref="D41:D42" si="24">0</f>
        <v>0</v>
      </c>
      <c r="E41" s="2"/>
      <c r="F41" s="19">
        <f t="shared" si="16"/>
        <v>0</v>
      </c>
      <c r="G41" s="2"/>
      <c r="H41" s="2">
        <v>14981</v>
      </c>
      <c r="I41" s="2"/>
      <c r="J41" s="19">
        <f t="shared" si="17"/>
        <v>0</v>
      </c>
      <c r="K41" s="2"/>
      <c r="L41" s="2">
        <f t="shared" si="18"/>
        <v>-14981</v>
      </c>
      <c r="M41" s="2"/>
      <c r="N41" s="19">
        <f t="shared" si="19"/>
        <v>-1</v>
      </c>
      <c r="O41" s="11"/>
      <c r="P41" s="2">
        <f t="shared" ref="P41:P42" si="25">0</f>
        <v>0</v>
      </c>
      <c r="Q41" s="2"/>
      <c r="R41" s="19">
        <f t="shared" si="20"/>
        <v>0</v>
      </c>
      <c r="S41" s="2"/>
      <c r="T41" s="2">
        <v>39886</v>
      </c>
      <c r="U41" s="2"/>
      <c r="V41" s="19">
        <f t="shared" si="21"/>
        <v>0</v>
      </c>
      <c r="W41" s="2"/>
      <c r="X41" s="2">
        <f t="shared" si="22"/>
        <v>-39886</v>
      </c>
      <c r="Y41" s="2"/>
      <c r="Z41" s="19">
        <f t="shared" si="23"/>
        <v>-1</v>
      </c>
    </row>
    <row r="42" spans="1:26" s="24" customFormat="1" hidden="1" outlineLevel="1" x14ac:dyDescent="0.25">
      <c r="A42" s="44"/>
      <c r="B42" s="11" t="str">
        <f>CONCATENATE("          ", "9151", " - ", "MISC. INCOME")</f>
        <v xml:space="preserve">          9151 - MISC. INCOME</v>
      </c>
      <c r="C42" s="11"/>
      <c r="D42" s="2">
        <f t="shared" si="24"/>
        <v>0</v>
      </c>
      <c r="E42" s="2"/>
      <c r="F42" s="19">
        <f t="shared" si="16"/>
        <v>0</v>
      </c>
      <c r="G42" s="2"/>
      <c r="H42" s="2">
        <v>21700</v>
      </c>
      <c r="I42" s="2"/>
      <c r="J42" s="19">
        <f t="shared" si="17"/>
        <v>0</v>
      </c>
      <c r="K42" s="2"/>
      <c r="L42" s="2">
        <f t="shared" si="18"/>
        <v>-21700</v>
      </c>
      <c r="M42" s="2"/>
      <c r="N42" s="19">
        <f t="shared" si="19"/>
        <v>-1</v>
      </c>
      <c r="O42" s="11"/>
      <c r="P42" s="2">
        <f t="shared" si="25"/>
        <v>0</v>
      </c>
      <c r="Q42" s="2"/>
      <c r="R42" s="19">
        <f t="shared" si="20"/>
        <v>0</v>
      </c>
      <c r="S42" s="2"/>
      <c r="T42" s="2">
        <v>257817</v>
      </c>
      <c r="U42" s="2"/>
      <c r="V42" s="19">
        <f t="shared" si="21"/>
        <v>0</v>
      </c>
      <c r="W42" s="2"/>
      <c r="X42" s="2">
        <f t="shared" si="22"/>
        <v>-257817</v>
      </c>
      <c r="Y42" s="2"/>
      <c r="Z42" s="19">
        <f t="shared" si="23"/>
        <v>-1</v>
      </c>
    </row>
    <row r="43" spans="1:26" s="24" customFormat="1" hidden="1" outlineLevel="1" x14ac:dyDescent="0.25">
      <c r="A43" s="44"/>
      <c r="B43" s="11" t="str">
        <f>CONCATENATE("          ", "9160", " - ", "MISC. INCOME")</f>
        <v xml:space="preserve">          9160 - MISC. INCOME</v>
      </c>
      <c r="C43" s="11"/>
      <c r="D43" s="2">
        <f>--7692.32</f>
        <v>7692.32</v>
      </c>
      <c r="E43" s="2"/>
      <c r="F43" s="19">
        <f t="shared" si="16"/>
        <v>0</v>
      </c>
      <c r="G43" s="2"/>
      <c r="H43" s="2"/>
      <c r="I43" s="2"/>
      <c r="J43" s="19">
        <f t="shared" si="17"/>
        <v>0</v>
      </c>
      <c r="K43" s="2"/>
      <c r="L43" s="2">
        <f t="shared" si="18"/>
        <v>7692.32</v>
      </c>
      <c r="M43" s="2"/>
      <c r="N43" s="19">
        <f t="shared" si="19"/>
        <v>0</v>
      </c>
      <c r="O43" s="11"/>
      <c r="P43" s="2">
        <f>--103039.27</f>
        <v>103039.27</v>
      </c>
      <c r="Q43" s="2"/>
      <c r="R43" s="19">
        <f t="shared" si="20"/>
        <v>0</v>
      </c>
      <c r="S43" s="2"/>
      <c r="T43" s="2"/>
      <c r="U43" s="2"/>
      <c r="V43" s="19">
        <f t="shared" si="21"/>
        <v>0</v>
      </c>
      <c r="W43" s="2"/>
      <c r="X43" s="2">
        <f t="shared" si="22"/>
        <v>103039.27</v>
      </c>
      <c r="Y43" s="2"/>
      <c r="Z43" s="19">
        <f t="shared" si="23"/>
        <v>0</v>
      </c>
    </row>
    <row r="44" spans="1:26" s="24" customFormat="1" hidden="1" outlineLevel="1" x14ac:dyDescent="0.25">
      <c r="A44" s="44"/>
      <c r="B44" s="11" t="str">
        <f>CONCATENATE("          ", "9165", " - ", "OTHER INCOME")</f>
        <v xml:space="preserve">          9165 - OTHER INCOME</v>
      </c>
      <c r="C44" s="11"/>
      <c r="D44" s="2">
        <f>--10504.05</f>
        <v>10504.05</v>
      </c>
      <c r="E44" s="2"/>
      <c r="F44" s="19">
        <f t="shared" si="16"/>
        <v>0</v>
      </c>
      <c r="G44" s="2"/>
      <c r="H44" s="2"/>
      <c r="I44" s="2"/>
      <c r="J44" s="19">
        <f t="shared" si="17"/>
        <v>0</v>
      </c>
      <c r="K44" s="2"/>
      <c r="L44" s="2">
        <f t="shared" si="18"/>
        <v>10504.05</v>
      </c>
      <c r="M44" s="2"/>
      <c r="N44" s="19">
        <f t="shared" si="19"/>
        <v>0</v>
      </c>
      <c r="O44" s="11"/>
      <c r="P44" s="2">
        <f>--223374.12</f>
        <v>223374.12</v>
      </c>
      <c r="Q44" s="2"/>
      <c r="R44" s="19">
        <f t="shared" si="20"/>
        <v>0</v>
      </c>
      <c r="S44" s="2"/>
      <c r="T44" s="2"/>
      <c r="U44" s="2"/>
      <c r="V44" s="19">
        <f t="shared" si="21"/>
        <v>0</v>
      </c>
      <c r="W44" s="2"/>
      <c r="X44" s="2">
        <f t="shared" si="22"/>
        <v>223374.12</v>
      </c>
      <c r="Y44" s="2"/>
      <c r="Z44" s="19">
        <f t="shared" si="23"/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8" t="s">
        <v>3</v>
      </c>
      <c r="C46" s="28"/>
      <c r="D46" s="20">
        <f>+D16-D18+D40</f>
        <v>11510.96</v>
      </c>
      <c r="E46" s="14"/>
      <c r="F46" s="22">
        <f>IF(D$12=0,0,D46/D$12)</f>
        <v>0</v>
      </c>
      <c r="G46" s="14"/>
      <c r="H46" s="20">
        <f>+H16-H18+H40</f>
        <v>31351.612028392312</v>
      </c>
      <c r="I46" s="14"/>
      <c r="J46" s="22">
        <f>IF(H$12=0,0,H46/H$12)</f>
        <v>0</v>
      </c>
      <c r="K46" s="16"/>
      <c r="L46" s="20">
        <f>+D46-H46</f>
        <v>-19840.652028392313</v>
      </c>
      <c r="M46" s="16"/>
      <c r="N46" s="22">
        <f>IF(H46=0,0,L46/H46)</f>
        <v>-0.63284312176434288</v>
      </c>
      <c r="O46" s="29"/>
      <c r="P46" s="20">
        <f>+P16-P18+P40</f>
        <v>281281.5</v>
      </c>
      <c r="Q46" s="14"/>
      <c r="R46" s="22">
        <f>IF(P$12=0,0,P46/P$12)</f>
        <v>0</v>
      </c>
      <c r="S46" s="14"/>
      <c r="T46" s="20">
        <f>+T16-T18+T40</f>
        <v>268391.36615615769</v>
      </c>
      <c r="U46" s="14"/>
      <c r="V46" s="22">
        <f>IF(T$12=0,0,T46/T$12)</f>
        <v>0</v>
      </c>
      <c r="W46" s="16"/>
      <c r="X46" s="20">
        <f>+P46-T46</f>
        <v>12890.133843842312</v>
      </c>
      <c r="Y46" s="16"/>
      <c r="Z46" s="22">
        <f>IF(T46=0,0,X46/T46)</f>
        <v>4.8027378929702484E-2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2"/>
      <c r="B48" s="10" t="s">
        <v>14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8" t="s">
        <v>4</v>
      </c>
      <c r="C50" s="28"/>
      <c r="D50" s="30">
        <f>+D46-D48</f>
        <v>11510.96</v>
      </c>
      <c r="E50" s="14"/>
      <c r="F50" s="32">
        <f>IF(D$12=0,0,D50/D$12)</f>
        <v>0</v>
      </c>
      <c r="G50" s="14"/>
      <c r="H50" s="30">
        <f>+H46-H48</f>
        <v>31351.612028392312</v>
      </c>
      <c r="I50" s="14"/>
      <c r="J50" s="32">
        <f>IF(H$12=0,0,H50/H$12)</f>
        <v>0</v>
      </c>
      <c r="K50" s="16"/>
      <c r="L50" s="30">
        <f>D50-H50</f>
        <v>-19840.652028392313</v>
      </c>
      <c r="M50" s="16"/>
      <c r="N50" s="32">
        <f>IF(H50=0,0,L50/H50)</f>
        <v>-0.63284312176434288</v>
      </c>
      <c r="O50" s="29"/>
      <c r="P50" s="30">
        <f>+P46-P48</f>
        <v>281281.5</v>
      </c>
      <c r="Q50" s="14"/>
      <c r="R50" s="32">
        <f>IF(P$12=0,0,P50/P$12)</f>
        <v>0</v>
      </c>
      <c r="S50" s="14"/>
      <c r="T50" s="30">
        <f>+T46-T48</f>
        <v>268391.36615615769</v>
      </c>
      <c r="U50" s="14"/>
      <c r="V50" s="32">
        <f>IF(T$12=0,0,T50/T$12)</f>
        <v>0</v>
      </c>
      <c r="W50" s="16"/>
      <c r="X50" s="30">
        <f>P50-T50</f>
        <v>12890.133843842312</v>
      </c>
      <c r="Y50" s="16"/>
      <c r="Z50" s="32">
        <f>IF(T50=0,0,X50/T50)</f>
        <v>4.8027378929702484E-2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8" t="s">
        <v>5</v>
      </c>
      <c r="C53" s="28"/>
      <c r="D53" s="31">
        <f>SUM(D50:D52)</f>
        <v>11510.96</v>
      </c>
      <c r="E53" s="14"/>
      <c r="F53" s="35">
        <f>IF(D$12=0,0,D53/D$12)</f>
        <v>0</v>
      </c>
      <c r="G53" s="14"/>
      <c r="H53" s="31">
        <f>SUM(H50:H52)</f>
        <v>31351.612028392312</v>
      </c>
      <c r="I53" s="14"/>
      <c r="J53" s="35">
        <f>IF(H$12=0,0,H53/H$12)</f>
        <v>0</v>
      </c>
      <c r="K53" s="16"/>
      <c r="L53" s="31">
        <f>+D53-H53</f>
        <v>-19840.652028392313</v>
      </c>
      <c r="M53" s="16"/>
      <c r="N53" s="35">
        <f>IF(H53=0,0,L53/H53)</f>
        <v>-0.63284312176434288</v>
      </c>
      <c r="O53" s="29"/>
      <c r="P53" s="31">
        <f>SUM(P50:P52)</f>
        <v>281281.5</v>
      </c>
      <c r="Q53" s="14"/>
      <c r="R53" s="35">
        <f>IF(P$12=0,0,P53/P$12)</f>
        <v>0</v>
      </c>
      <c r="S53" s="14"/>
      <c r="T53" s="31">
        <f>SUM(T50:T52)</f>
        <v>268391.36615615769</v>
      </c>
      <c r="U53" s="14"/>
      <c r="V53" s="35">
        <f>IF(T$12=0,0,T53/T$12)</f>
        <v>0</v>
      </c>
      <c r="W53" s="16"/>
      <c r="X53" s="31">
        <f>+P53-T53</f>
        <v>12890.133843842312</v>
      </c>
      <c r="Y53" s="16"/>
      <c r="Z53" s="35">
        <f>IF(T53=0,0,X53/T53)</f>
        <v>4.8027378929702484E-2</v>
      </c>
    </row>
    <row r="54" spans="1:26" ht="15.75" thickTop="1" x14ac:dyDescent="0.25">
      <c r="A54" s="9"/>
      <c r="C54" s="9"/>
      <c r="D54" s="17"/>
      <c r="E54" s="17"/>
      <c r="G54" s="17"/>
      <c r="H54" s="17"/>
      <c r="I54" s="17"/>
      <c r="J54" s="43"/>
      <c r="K54" s="17"/>
      <c r="L54" s="17"/>
      <c r="M54" s="17"/>
      <c r="P54" s="17"/>
      <c r="Q54" s="17"/>
      <c r="R54" s="43"/>
      <c r="S54" s="17"/>
      <c r="T54" s="17"/>
      <c r="U54" s="17"/>
      <c r="V54" s="43"/>
      <c r="W54" s="17"/>
      <c r="X54" s="17"/>
    </row>
    <row r="55" spans="1:26" x14ac:dyDescent="0.25">
      <c r="A55" s="9"/>
      <c r="B55" s="56">
        <v>43815.484247337961</v>
      </c>
      <c r="D55" s="17"/>
      <c r="E55" s="17"/>
      <c r="G55" s="17"/>
      <c r="H55" s="17"/>
      <c r="I55" s="17"/>
      <c r="J55" s="43"/>
      <c r="K55" s="17"/>
      <c r="L55" s="17"/>
      <c r="M55" s="17"/>
      <c r="P55" s="17"/>
      <c r="Q55" s="17"/>
      <c r="R55" s="43"/>
      <c r="S55" s="17"/>
      <c r="T55" s="17"/>
      <c r="U55" s="17"/>
      <c r="V55" s="43"/>
      <c r="W55" s="17"/>
      <c r="X55" s="17"/>
    </row>
    <row r="56" spans="1:26" x14ac:dyDescent="0.25">
      <c r="A56" s="9"/>
      <c r="B56" s="62" t="s">
        <v>314</v>
      </c>
      <c r="D56" s="17"/>
      <c r="E56" s="17"/>
      <c r="G56" s="17"/>
      <c r="H56" s="17"/>
      <c r="I56" s="17"/>
      <c r="J56" s="43"/>
      <c r="K56" s="17"/>
      <c r="L56" s="17"/>
      <c r="M56" s="17"/>
      <c r="P56" s="17"/>
      <c r="Q56" s="17"/>
      <c r="R56" s="43"/>
      <c r="S56" s="17"/>
      <c r="T56" s="17"/>
      <c r="U56" s="17"/>
      <c r="V56" s="43"/>
      <c r="W56" s="17"/>
      <c r="X56" s="17"/>
    </row>
    <row r="57" spans="1:26" x14ac:dyDescent="0.25">
      <c r="A57" s="9"/>
      <c r="B57" s="58"/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25"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302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1143734.8299999998</v>
      </c>
      <c r="E12" s="4"/>
      <c r="F12" s="12"/>
      <c r="G12" s="4"/>
      <c r="H12" s="4">
        <f>SUM(OSRRefH13x_0)</f>
        <v>1026382.9999999999</v>
      </c>
      <c r="I12" s="4"/>
      <c r="J12" s="12"/>
      <c r="K12" s="4"/>
      <c r="L12" s="4">
        <f t="shared" ref="L12:L18" si="0">+D12-H12</f>
        <v>117351.82999999996</v>
      </c>
      <c r="M12" s="4"/>
      <c r="N12" s="12">
        <f t="shared" ref="N12:N18" si="1">IF(H12=0,0,L12/H12)</f>
        <v>0.11433532122024621</v>
      </c>
      <c r="O12" s="10"/>
      <c r="P12" s="4">
        <f>SUM(OSRRefP13x_0)</f>
        <v>5289699.8599999994</v>
      </c>
      <c r="Q12" s="4"/>
      <c r="R12" s="12"/>
      <c r="S12" s="4"/>
      <c r="T12" s="4">
        <f>SUM(OSRRefT13x_0)</f>
        <v>5190014</v>
      </c>
      <c r="U12" s="4"/>
      <c r="V12" s="12"/>
      <c r="W12" s="4"/>
      <c r="X12" s="4">
        <f t="shared" ref="X12:X18" si="2">+P12-T12</f>
        <v>99685.859999999404</v>
      </c>
      <c r="Y12" s="4"/>
      <c r="Z12" s="12">
        <f t="shared" ref="Z12:Z18" si="3">IF(T12=0,0,X12/T12)</f>
        <v>1.9207242986242313E-2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--10277.85</f>
        <v>10277.85</v>
      </c>
      <c r="E13" s="2"/>
      <c r="F13" s="19"/>
      <c r="G13" s="2"/>
      <c r="H13" s="2"/>
      <c r="I13" s="2"/>
      <c r="J13" s="19"/>
      <c r="K13" s="2"/>
      <c r="L13" s="2">
        <f t="shared" si="0"/>
        <v>10277.85</v>
      </c>
      <c r="M13" s="2"/>
      <c r="N13" s="19">
        <f t="shared" si="1"/>
        <v>0</v>
      </c>
      <c r="O13" s="11"/>
      <c r="P13" s="2">
        <f>--19655.64</f>
        <v>19655.64</v>
      </c>
      <c r="Q13" s="2"/>
      <c r="R13" s="19"/>
      <c r="S13" s="2"/>
      <c r="T13" s="2"/>
      <c r="U13" s="2"/>
      <c r="V13" s="19"/>
      <c r="W13" s="2"/>
      <c r="X13" s="2">
        <f t="shared" si="2"/>
        <v>19655.64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--152.78</f>
        <v>152.78</v>
      </c>
      <c r="E14" s="2"/>
      <c r="F14" s="19"/>
      <c r="G14" s="2"/>
      <c r="H14" s="2"/>
      <c r="I14" s="2"/>
      <c r="J14" s="19"/>
      <c r="K14" s="2"/>
      <c r="L14" s="2">
        <f t="shared" si="0"/>
        <v>152.78</v>
      </c>
      <c r="M14" s="2"/>
      <c r="N14" s="19">
        <f t="shared" si="1"/>
        <v>0</v>
      </c>
      <c r="O14" s="11"/>
      <c r="P14" s="2">
        <f>--803.92</f>
        <v>803.92</v>
      </c>
      <c r="Q14" s="2"/>
      <c r="R14" s="19"/>
      <c r="S14" s="2"/>
      <c r="T14" s="2"/>
      <c r="U14" s="2"/>
      <c r="V14" s="19"/>
      <c r="W14" s="2"/>
      <c r="X14" s="2">
        <f t="shared" si="2"/>
        <v>803.92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19"/>
      <c r="G15" s="2"/>
      <c r="H15" s="2">
        <v>1026382.9999999999</v>
      </c>
      <c r="I15" s="2"/>
      <c r="J15" s="19"/>
      <c r="K15" s="2"/>
      <c r="L15" s="2">
        <f t="shared" si="0"/>
        <v>-1026382.9999999999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v>5190014</v>
      </c>
      <c r="U15" s="2"/>
      <c r="V15" s="19"/>
      <c r="W15" s="2"/>
      <c r="X15" s="2">
        <f t="shared" si="2"/>
        <v>-5190014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"4151", " - ", "NON-TAXABLE SALES-FOOD")</f>
        <v xml:space="preserve">          4151 - NON-TAXABLE SALES-FOOD</v>
      </c>
      <c r="C16" s="11"/>
      <c r="D16" s="2">
        <f>--1110207.4</f>
        <v>1110207.3999999999</v>
      </c>
      <c r="E16" s="2"/>
      <c r="F16" s="19"/>
      <c r="G16" s="2"/>
      <c r="H16" s="2"/>
      <c r="I16" s="2"/>
      <c r="J16" s="19"/>
      <c r="K16" s="2"/>
      <c r="L16" s="2">
        <f t="shared" si="0"/>
        <v>1110207.3999999999</v>
      </c>
      <c r="M16" s="2"/>
      <c r="N16" s="19">
        <f t="shared" si="1"/>
        <v>0</v>
      </c>
      <c r="O16" s="11"/>
      <c r="P16" s="2">
        <f>--5054212.33</f>
        <v>5054212.33</v>
      </c>
      <c r="Q16" s="2"/>
      <c r="R16" s="19"/>
      <c r="S16" s="2"/>
      <c r="T16" s="2"/>
      <c r="U16" s="2"/>
      <c r="V16" s="19"/>
      <c r="W16" s="2"/>
      <c r="X16" s="2">
        <f t="shared" si="2"/>
        <v>5054212.33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"4153", " - ", "NON-TAXABLE SALES-FOOD")</f>
        <v xml:space="preserve">          4153 - NON-TAXABLE SALES-FOOD</v>
      </c>
      <c r="C17" s="11"/>
      <c r="D17" s="2">
        <f>--22208.1</f>
        <v>22208.1</v>
      </c>
      <c r="E17" s="2"/>
      <c r="F17" s="19"/>
      <c r="G17" s="2"/>
      <c r="H17" s="2"/>
      <c r="I17" s="2"/>
      <c r="J17" s="19"/>
      <c r="K17" s="2"/>
      <c r="L17" s="2">
        <f t="shared" si="0"/>
        <v>22208.1</v>
      </c>
      <c r="M17" s="2"/>
      <c r="N17" s="19">
        <f t="shared" si="1"/>
        <v>0</v>
      </c>
      <c r="O17" s="11"/>
      <c r="P17" s="2">
        <f>--211996.16</f>
        <v>211996.16</v>
      </c>
      <c r="Q17" s="2"/>
      <c r="R17" s="19"/>
      <c r="S17" s="2"/>
      <c r="T17" s="2"/>
      <c r="U17" s="2"/>
      <c r="V17" s="19"/>
      <c r="W17" s="2"/>
      <c r="X17" s="2">
        <f t="shared" si="2"/>
        <v>211996.16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"4155", " - ", "NON-TAXABLE SALES-FOOD")</f>
        <v xml:space="preserve">          4155 - NON-TAXABLE SALES-FOOD</v>
      </c>
      <c r="C18" s="11"/>
      <c r="D18" s="2">
        <f>--888.7</f>
        <v>888.7</v>
      </c>
      <c r="E18" s="2"/>
      <c r="F18" s="19"/>
      <c r="G18" s="2"/>
      <c r="H18" s="2"/>
      <c r="I18" s="2"/>
      <c r="J18" s="19"/>
      <c r="K18" s="2"/>
      <c r="L18" s="2">
        <f t="shared" si="0"/>
        <v>888.7</v>
      </c>
      <c r="M18" s="2"/>
      <c r="N18" s="19">
        <f t="shared" si="1"/>
        <v>0</v>
      </c>
      <c r="O18" s="11"/>
      <c r="P18" s="2">
        <f>--3031.81</f>
        <v>3031.81</v>
      </c>
      <c r="Q18" s="2"/>
      <c r="R18" s="19"/>
      <c r="S18" s="2"/>
      <c r="T18" s="2"/>
      <c r="U18" s="2"/>
      <c r="V18" s="19"/>
      <c r="W18" s="2"/>
      <c r="X18" s="2">
        <f t="shared" si="2"/>
        <v>3031.81</v>
      </c>
      <c r="Y18" s="2"/>
      <c r="Z18" s="19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9" t="s">
        <v>8</v>
      </c>
      <c r="C20" s="10"/>
      <c r="D20" s="4">
        <f>SUM(OSRRefD16x_0)</f>
        <v>261352.09</v>
      </c>
      <c r="E20" s="4"/>
      <c r="F20" s="12">
        <f t="shared" ref="F20:F23" si="4">IF(D$12=0,0,D20/D$12)</f>
        <v>0.22850759034766829</v>
      </c>
      <c r="G20" s="4"/>
      <c r="H20" s="4">
        <f>SUM(OSRRefH16x_0)</f>
        <v>261716.62</v>
      </c>
      <c r="I20" s="4"/>
      <c r="J20" s="12">
        <f t="shared" ref="J20:J23" si="5">IF(H$12=0,0,H20/H$12)</f>
        <v>0.25498923890984165</v>
      </c>
      <c r="K20" s="4"/>
      <c r="L20" s="4">
        <f t="shared" ref="L20:L23" si="6">+D20-H20</f>
        <v>-364.52999999999884</v>
      </c>
      <c r="M20" s="4"/>
      <c r="N20" s="12">
        <f t="shared" ref="N20:N23" si="7">IF(H20=0,0,L20/H20)</f>
        <v>-1.3928423804342226E-3</v>
      </c>
      <c r="O20" s="10"/>
      <c r="P20" s="4">
        <f>SUM(OSRRefP16x_0)</f>
        <v>1271423.05</v>
      </c>
      <c r="Q20" s="4"/>
      <c r="R20" s="12">
        <f t="shared" ref="R20:R23" si="8">IF(P$12=0,0,P20/P$12)</f>
        <v>0.24035825919242235</v>
      </c>
      <c r="S20" s="4"/>
      <c r="T20" s="4">
        <f>SUM(OSRRefT16x_0)</f>
        <v>1381835.2100000002</v>
      </c>
      <c r="U20" s="4"/>
      <c r="V20" s="12">
        <f t="shared" ref="V20:V23" si="9">IF(T$12=0,0,T20/T$12)</f>
        <v>0.26624884056189446</v>
      </c>
      <c r="W20" s="4"/>
      <c r="X20" s="4">
        <f t="shared" ref="X20:X23" si="10">+P20-T20</f>
        <v>-110412.16000000015</v>
      </c>
      <c r="Y20" s="4"/>
      <c r="Z20" s="12">
        <f t="shared" ref="Z20:Z23" si="11">IF(T20=0,0,X20/T20)</f>
        <v>-7.9902552200851892E-2</v>
      </c>
    </row>
    <row r="21" spans="1:26" s="24" customFormat="1" hidden="1" outlineLevel="1" x14ac:dyDescent="0.25">
      <c r="A21" s="44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19">
        <f t="shared" si="4"/>
        <v>0</v>
      </c>
      <c r="G21" s="2"/>
      <c r="H21" s="2">
        <v>261716.62</v>
      </c>
      <c r="I21" s="2"/>
      <c r="J21" s="19">
        <f t="shared" si="5"/>
        <v>0.25498923890984165</v>
      </c>
      <c r="K21" s="2"/>
      <c r="L21" s="2">
        <f t="shared" si="6"/>
        <v>-261716.62</v>
      </c>
      <c r="M21" s="2"/>
      <c r="N21" s="19">
        <f t="shared" si="7"/>
        <v>-1</v>
      </c>
      <c r="O21" s="11"/>
      <c r="P21" s="2"/>
      <c r="Q21" s="2"/>
      <c r="R21" s="19">
        <f t="shared" si="8"/>
        <v>0</v>
      </c>
      <c r="S21" s="2"/>
      <c r="T21" s="2">
        <v>1381835.2100000002</v>
      </c>
      <c r="U21" s="2"/>
      <c r="V21" s="19">
        <f t="shared" si="9"/>
        <v>0.26624884056189446</v>
      </c>
      <c r="W21" s="2"/>
      <c r="X21" s="2">
        <f t="shared" si="10"/>
        <v>-1381835.2100000002</v>
      </c>
      <c r="Y21" s="2"/>
      <c r="Z21" s="19">
        <f t="shared" si="11"/>
        <v>-1</v>
      </c>
    </row>
    <row r="22" spans="1:26" s="24" customFormat="1" hidden="1" outlineLevel="1" x14ac:dyDescent="0.25">
      <c r="A22" s="44"/>
      <c r="B22" s="11" t="str">
        <f>CONCATENATE("          ", "5053", " - ", "PURCHASES @ COST-FOOD")</f>
        <v xml:space="preserve">          5053 - PURCHASES @ COST-FOOD</v>
      </c>
      <c r="C22" s="11"/>
      <c r="D22" s="2">
        <v>238826.84</v>
      </c>
      <c r="E22" s="2"/>
      <c r="F22" s="19">
        <f t="shared" si="4"/>
        <v>0.20881312148201348</v>
      </c>
      <c r="G22" s="2"/>
      <c r="H22" s="2"/>
      <c r="I22" s="2"/>
      <c r="J22" s="19">
        <f t="shared" si="5"/>
        <v>0</v>
      </c>
      <c r="K22" s="2"/>
      <c r="L22" s="2">
        <f t="shared" si="6"/>
        <v>238826.84</v>
      </c>
      <c r="M22" s="2"/>
      <c r="N22" s="19">
        <f t="shared" si="7"/>
        <v>0</v>
      </c>
      <c r="O22" s="11"/>
      <c r="P22" s="2">
        <v>1275186.31</v>
      </c>
      <c r="Q22" s="2"/>
      <c r="R22" s="19">
        <f t="shared" si="8"/>
        <v>0.24106969086143956</v>
      </c>
      <c r="S22" s="2"/>
      <c r="T22" s="2"/>
      <c r="U22" s="2"/>
      <c r="V22" s="19">
        <f t="shared" si="9"/>
        <v>0</v>
      </c>
      <c r="W22" s="2"/>
      <c r="X22" s="2">
        <f t="shared" si="10"/>
        <v>1275186.31</v>
      </c>
      <c r="Y22" s="2"/>
      <c r="Z22" s="19">
        <f t="shared" si="11"/>
        <v>0</v>
      </c>
    </row>
    <row r="23" spans="1:26" s="24" customFormat="1" hidden="1" outlineLevel="1" x14ac:dyDescent="0.25">
      <c r="A23" s="44"/>
      <c r="B23" s="11" t="str">
        <f>CONCATENATE("          ", "5059", " - ", "PURCHASES @ COST-FOOD")</f>
        <v xml:space="preserve">          5059 - PURCHASES @ COST-FOOD</v>
      </c>
      <c r="C23" s="11"/>
      <c r="D23" s="2">
        <v>22525.25</v>
      </c>
      <c r="E23" s="2"/>
      <c r="F23" s="19">
        <f t="shared" si="4"/>
        <v>1.9694468865654815E-2</v>
      </c>
      <c r="G23" s="2"/>
      <c r="H23" s="2"/>
      <c r="I23" s="2"/>
      <c r="J23" s="19">
        <f t="shared" si="5"/>
        <v>0</v>
      </c>
      <c r="K23" s="2"/>
      <c r="L23" s="2">
        <f t="shared" si="6"/>
        <v>22525.25</v>
      </c>
      <c r="M23" s="2"/>
      <c r="N23" s="19">
        <f t="shared" si="7"/>
        <v>0</v>
      </c>
      <c r="O23" s="11"/>
      <c r="P23" s="2">
        <v>-3763.26</v>
      </c>
      <c r="Q23" s="2"/>
      <c r="R23" s="19">
        <f t="shared" si="8"/>
        <v>-7.1143166901722866E-4</v>
      </c>
      <c r="S23" s="2"/>
      <c r="T23" s="2"/>
      <c r="U23" s="2"/>
      <c r="V23" s="19">
        <f t="shared" si="9"/>
        <v>0</v>
      </c>
      <c r="W23" s="2"/>
      <c r="X23" s="2">
        <f t="shared" si="10"/>
        <v>-3763.26</v>
      </c>
      <c r="Y23" s="2"/>
      <c r="Z23" s="19">
        <f t="shared" si="11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8" t="s">
        <v>6</v>
      </c>
      <c r="C25" s="28"/>
      <c r="D25" s="20">
        <f>D12-D20</f>
        <v>882382.73999999987</v>
      </c>
      <c r="E25" s="14"/>
      <c r="F25" s="22">
        <f>IF(D$12=0,0,D25/D$12)</f>
        <v>0.77149240965233179</v>
      </c>
      <c r="G25" s="14"/>
      <c r="H25" s="20">
        <f>H12-H20</f>
        <v>764666.37999999989</v>
      </c>
      <c r="I25" s="14"/>
      <c r="J25" s="22">
        <f>IF(H$12=0,0,H25/H$12)</f>
        <v>0.74501076109015829</v>
      </c>
      <c r="K25" s="16"/>
      <c r="L25" s="20">
        <f>+D25-H25</f>
        <v>117716.35999999999</v>
      </c>
      <c r="M25" s="16"/>
      <c r="N25" s="22">
        <f>IF(H25=0,0,L25/H25)</f>
        <v>0.15394473077265408</v>
      </c>
      <c r="O25" s="29"/>
      <c r="P25" s="20">
        <f>P12-P20</f>
        <v>4018276.8099999996</v>
      </c>
      <c r="Q25" s="14"/>
      <c r="R25" s="22">
        <f>IF(P$12=0,0,P25/P$12)</f>
        <v>0.75964174080757774</v>
      </c>
      <c r="S25" s="14"/>
      <c r="T25" s="20">
        <f>T12-T20</f>
        <v>3808178.79</v>
      </c>
      <c r="U25" s="14"/>
      <c r="V25" s="22">
        <f>IF(T$12=0,0,T25/T$12)</f>
        <v>0.73375115943810554</v>
      </c>
      <c r="W25" s="16"/>
      <c r="X25" s="20">
        <f>+P25-T25</f>
        <v>210098.01999999955</v>
      </c>
      <c r="Y25" s="16"/>
      <c r="Z25" s="22">
        <f>IF(T25=0,0,X25/T25)</f>
        <v>5.5170209064685102E-2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9" t="s">
        <v>9</v>
      </c>
      <c r="C27" s="10"/>
      <c r="D27" s="21">
        <f>SUM(OSRRefD22x_0)</f>
        <v>509287.63000000006</v>
      </c>
      <c r="E27" s="21"/>
      <c r="F27" s="33">
        <f t="shared" ref="F27:F38" si="12">IF(D$12=0,0,D27/D$12)</f>
        <v>0.44528470816963767</v>
      </c>
      <c r="G27" s="21"/>
      <c r="H27" s="21">
        <f>SUM(OSRRefH22x_0)</f>
        <v>481402.59344788024</v>
      </c>
      <c r="I27" s="21"/>
      <c r="J27" s="33">
        <f t="shared" ref="J27:J38" si="13">IF(H$12=0,0,H27/H$12)</f>
        <v>0.46902822187027676</v>
      </c>
      <c r="K27" s="4"/>
      <c r="L27" s="21">
        <f t="shared" ref="L27:L38" si="14">+D27-H27</f>
        <v>27885.036552119826</v>
      </c>
      <c r="M27" s="4"/>
      <c r="N27" s="33">
        <f t="shared" ref="N27:N38" si="15">IF(H27=0,0,L27/H27)</f>
        <v>5.7924566530485132E-2</v>
      </c>
      <c r="O27" s="10"/>
      <c r="P27" s="21">
        <f>SUM(OSRRefP22x_0)</f>
        <v>2524670.4900000002</v>
      </c>
      <c r="Q27" s="21"/>
      <c r="R27" s="33">
        <f t="shared" ref="R27:R38" si="16">IF(P$12=0,0,P27/P$12)</f>
        <v>0.47728048033333986</v>
      </c>
      <c r="S27" s="21"/>
      <c r="T27" s="21">
        <f>SUM(OSRRefT22x_0)</f>
        <v>2468121.0168217989</v>
      </c>
      <c r="U27" s="21"/>
      <c r="V27" s="33">
        <f t="shared" ref="V27:V38" si="17">IF(T$12=0,0,T27/T$12)</f>
        <v>0.47555189963298727</v>
      </c>
      <c r="W27" s="4"/>
      <c r="X27" s="21">
        <f t="shared" ref="X27:X38" si="18">+P27-T27</f>
        <v>56549.473178201355</v>
      </c>
      <c r="Y27" s="4"/>
      <c r="Z27" s="33">
        <f t="shared" ref="Z27:Z38" si="19">IF(T27=0,0,X27/T27)</f>
        <v>2.2911953179273255E-2</v>
      </c>
    </row>
    <row r="28" spans="1:26" s="26" customFormat="1" outlineLevel="1" collapsed="1" x14ac:dyDescent="0.25">
      <c r="A28" s="27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94696.54</v>
      </c>
      <c r="E28" s="1"/>
      <c r="F28" s="5">
        <f t="shared" si="12"/>
        <v>8.279588722501352E-2</v>
      </c>
      <c r="G28" s="1"/>
      <c r="H28" s="1">
        <f>SUM(OSRRefH22_0x_0)</f>
        <v>82717.108194111075</v>
      </c>
      <c r="I28" s="1"/>
      <c r="J28" s="5">
        <f t="shared" si="13"/>
        <v>8.0590879032594154E-2</v>
      </c>
      <c r="K28" s="1"/>
      <c r="L28" s="1">
        <f t="shared" si="14"/>
        <v>11979.431805888918</v>
      </c>
      <c r="M28" s="1"/>
      <c r="N28" s="5">
        <f t="shared" si="15"/>
        <v>0.14482411277938964</v>
      </c>
      <c r="O28" s="13"/>
      <c r="P28" s="1">
        <f>SUM(OSRRefP22_0x_0)</f>
        <v>469917.94</v>
      </c>
      <c r="Q28" s="1"/>
      <c r="R28" s="5">
        <f t="shared" si="16"/>
        <v>8.8836408952700022E-2</v>
      </c>
      <c r="S28" s="1"/>
      <c r="T28" s="1">
        <f>SUM(OSRRefT22_0x_0)</f>
        <v>443070.91783156857</v>
      </c>
      <c r="U28" s="1"/>
      <c r="V28" s="5">
        <f t="shared" si="17"/>
        <v>8.5369888757827736E-2</v>
      </c>
      <c r="W28" s="1"/>
      <c r="X28" s="1">
        <f t="shared" si="18"/>
        <v>26847.022168431431</v>
      </c>
      <c r="Y28" s="1"/>
      <c r="Z28" s="5">
        <f t="shared" si="19"/>
        <v>6.0593058781251825E-2</v>
      </c>
    </row>
    <row r="29" spans="1:26" s="24" customFormat="1" hidden="1" outlineLevel="2" x14ac:dyDescent="0.25">
      <c r="A29" s="25"/>
      <c r="B29" s="11" t="str">
        <f>CONCATENATE("          ", "6111", " - ", "F.I.C.A.")</f>
        <v xml:space="preserve">          6111 - F.I.C.A.</v>
      </c>
      <c r="C29" s="11"/>
      <c r="D29" s="6">
        <v>12482.38</v>
      </c>
      <c r="E29" s="2"/>
      <c r="F29" s="7">
        <f t="shared" si="12"/>
        <v>1.0913701036804134E-2</v>
      </c>
      <c r="G29" s="2"/>
      <c r="H29" s="6">
        <v>11686.170282260309</v>
      </c>
      <c r="I29" s="2"/>
      <c r="J29" s="7">
        <f t="shared" si="13"/>
        <v>1.1385779267836968E-2</v>
      </c>
      <c r="K29" s="2"/>
      <c r="L29" s="6">
        <f t="shared" si="14"/>
        <v>796.20971773968995</v>
      </c>
      <c r="M29" s="2"/>
      <c r="N29" s="7">
        <f t="shared" si="15"/>
        <v>6.8132647266687704E-2</v>
      </c>
      <c r="O29" s="11"/>
      <c r="P29" s="6">
        <v>73946.710000000006</v>
      </c>
      <c r="Q29" s="2"/>
      <c r="R29" s="7">
        <f t="shared" si="16"/>
        <v>1.3979377272267394E-2</v>
      </c>
      <c r="S29" s="2"/>
      <c r="T29" s="6">
        <v>69087.398962791704</v>
      </c>
      <c r="U29" s="2"/>
      <c r="V29" s="7">
        <f t="shared" si="17"/>
        <v>1.3311601657103758E-2</v>
      </c>
      <c r="W29" s="2"/>
      <c r="X29" s="6">
        <f t="shared" si="18"/>
        <v>4859.3110372083029</v>
      </c>
      <c r="Y29" s="2"/>
      <c r="Z29" s="7">
        <f t="shared" si="19"/>
        <v>7.0335706802703263E-2</v>
      </c>
    </row>
    <row r="30" spans="1:26" s="24" customFormat="1" hidden="1" outlineLevel="2" x14ac:dyDescent="0.25">
      <c r="A30" s="25"/>
      <c r="B30" s="11" t="str">
        <f>CONCATENATE("          ", "6112", " - ", "COMPENSATION INSURANCE")</f>
        <v xml:space="preserve">          6112 - COMPENSATION INSURANCE</v>
      </c>
      <c r="C30" s="11"/>
      <c r="D30" s="6">
        <v>11345</v>
      </c>
      <c r="E30" s="2"/>
      <c r="F30" s="7">
        <f t="shared" si="12"/>
        <v>9.919257246017419E-3</v>
      </c>
      <c r="G30" s="2"/>
      <c r="H30" s="6">
        <v>10043.587645301541</v>
      </c>
      <c r="I30" s="2"/>
      <c r="J30" s="7">
        <f t="shared" si="13"/>
        <v>9.7854189374741614E-3</v>
      </c>
      <c r="K30" s="2"/>
      <c r="L30" s="6">
        <f t="shared" si="14"/>
        <v>1301.4123546984592</v>
      </c>
      <c r="M30" s="2"/>
      <c r="N30" s="7">
        <f t="shared" si="15"/>
        <v>0.12957644226933876</v>
      </c>
      <c r="O30" s="11"/>
      <c r="P30" s="6">
        <v>34732.239999999998</v>
      </c>
      <c r="Q30" s="2"/>
      <c r="R30" s="7">
        <f t="shared" si="16"/>
        <v>6.5660133692349047E-3</v>
      </c>
      <c r="S30" s="2"/>
      <c r="T30" s="6">
        <v>51322.14154733847</v>
      </c>
      <c r="U30" s="2"/>
      <c r="V30" s="7">
        <f t="shared" si="17"/>
        <v>9.8886325831372465E-3</v>
      </c>
      <c r="W30" s="2"/>
      <c r="X30" s="6">
        <f t="shared" si="18"/>
        <v>-16589.901547338472</v>
      </c>
      <c r="Y30" s="2"/>
      <c r="Z30" s="7">
        <f t="shared" si="19"/>
        <v>-0.32325037590327937</v>
      </c>
    </row>
    <row r="31" spans="1:26" s="24" customFormat="1" hidden="1" outlineLevel="2" x14ac:dyDescent="0.25">
      <c r="A31" s="25"/>
      <c r="B31" s="11" t="str">
        <f>CONCATENATE("          ", "6113", " - ", "GROUP INSURANCE")</f>
        <v xml:space="preserve">          6113 - GROUP INSURANCE</v>
      </c>
      <c r="C31" s="11"/>
      <c r="D31" s="6">
        <v>47638.21</v>
      </c>
      <c r="E31" s="2"/>
      <c r="F31" s="7">
        <f t="shared" si="12"/>
        <v>4.1651446428364873E-2</v>
      </c>
      <c r="G31" s="2"/>
      <c r="H31" s="6">
        <v>44401.692307692305</v>
      </c>
      <c r="I31" s="2"/>
      <c r="J31" s="7">
        <f t="shared" si="13"/>
        <v>4.3260354378133997E-2</v>
      </c>
      <c r="K31" s="2"/>
      <c r="L31" s="6">
        <f t="shared" si="14"/>
        <v>3236.5176923076942</v>
      </c>
      <c r="M31" s="2"/>
      <c r="N31" s="7">
        <f t="shared" si="15"/>
        <v>7.2891764347166307E-2</v>
      </c>
      <c r="O31" s="11"/>
      <c r="P31" s="6">
        <v>228420.05000000002</v>
      </c>
      <c r="Q31" s="2"/>
      <c r="R31" s="7">
        <f t="shared" si="16"/>
        <v>4.3182043602753684E-2</v>
      </c>
      <c r="S31" s="2"/>
      <c r="T31" s="6">
        <v>235581.61538461529</v>
      </c>
      <c r="U31" s="2"/>
      <c r="V31" s="7">
        <f t="shared" si="17"/>
        <v>4.5391325608103425E-2</v>
      </c>
      <c r="W31" s="2"/>
      <c r="X31" s="6">
        <f t="shared" si="18"/>
        <v>-7161.5653846152709</v>
      </c>
      <c r="Y31" s="2"/>
      <c r="Z31" s="7">
        <f t="shared" si="19"/>
        <v>-3.0399508777130827E-2</v>
      </c>
    </row>
    <row r="32" spans="1:26" s="24" customFormat="1" hidden="1" outlineLevel="2" x14ac:dyDescent="0.25">
      <c r="A32" s="25"/>
      <c r="B32" s="11" t="str">
        <f>CONCATENATE("          ", "6114", " - ", "STATE UNEMPLOYMENT INSURANCE")</f>
        <v xml:space="preserve">          6114 - STATE UNEMPLOYMENT INSURANCE</v>
      </c>
      <c r="C32" s="11"/>
      <c r="D32" s="6">
        <v>764.12</v>
      </c>
      <c r="E32" s="2"/>
      <c r="F32" s="7">
        <f t="shared" si="12"/>
        <v>6.6809192127164664E-4</v>
      </c>
      <c r="G32" s="2"/>
      <c r="H32" s="6">
        <v>675.21314118000009</v>
      </c>
      <c r="I32" s="2"/>
      <c r="J32" s="7">
        <f t="shared" si="13"/>
        <v>6.5785690252079406E-4</v>
      </c>
      <c r="K32" s="2"/>
      <c r="L32" s="6">
        <f t="shared" si="14"/>
        <v>88.906858819999911</v>
      </c>
      <c r="M32" s="2"/>
      <c r="N32" s="7">
        <f t="shared" si="15"/>
        <v>0.13167228745670825</v>
      </c>
      <c r="O32" s="11"/>
      <c r="P32" s="6">
        <v>3313.07</v>
      </c>
      <c r="Q32" s="2"/>
      <c r="R32" s="7">
        <f t="shared" si="16"/>
        <v>6.2632476089106515E-4</v>
      </c>
      <c r="S32" s="2"/>
      <c r="T32" s="6">
        <v>3449.7256841000003</v>
      </c>
      <c r="U32" s="2"/>
      <c r="V32" s="7">
        <f t="shared" si="17"/>
        <v>6.646852367064906E-4</v>
      </c>
      <c r="W32" s="2"/>
      <c r="X32" s="6">
        <f t="shared" si="18"/>
        <v>-136.65568410000014</v>
      </c>
      <c r="Y32" s="2"/>
      <c r="Z32" s="7">
        <f t="shared" si="19"/>
        <v>-3.961349295970247E-2</v>
      </c>
    </row>
    <row r="33" spans="1:26" s="24" customFormat="1" hidden="1" outlineLevel="2" x14ac:dyDescent="0.25">
      <c r="A33" s="25"/>
      <c r="B33" s="11" t="str">
        <f>CONCATENATE("          ", "6115", " - ", "P.E.R.S.")</f>
        <v xml:space="preserve">          6115 - P.E.R.S.</v>
      </c>
      <c r="C33" s="11"/>
      <c r="D33" s="6">
        <v>3962.54</v>
      </c>
      <c r="E33" s="2"/>
      <c r="F33" s="7">
        <f t="shared" si="12"/>
        <v>3.4645617988218482E-3</v>
      </c>
      <c r="G33" s="2"/>
      <c r="H33" s="6">
        <v>3642.2280791384651</v>
      </c>
      <c r="I33" s="2"/>
      <c r="J33" s="7">
        <f t="shared" si="13"/>
        <v>3.5486052274233551E-3</v>
      </c>
      <c r="K33" s="2"/>
      <c r="L33" s="6">
        <f t="shared" si="14"/>
        <v>320.31192086153487</v>
      </c>
      <c r="M33" s="2"/>
      <c r="N33" s="7">
        <f t="shared" si="15"/>
        <v>8.7943949116251294E-2</v>
      </c>
      <c r="O33" s="11"/>
      <c r="P33" s="6">
        <v>21913.129999999997</v>
      </c>
      <c r="Q33" s="2"/>
      <c r="R33" s="7">
        <f t="shared" si="16"/>
        <v>4.1426036599361993E-3</v>
      </c>
      <c r="S33" s="2"/>
      <c r="T33" s="6">
        <v>20032.254435261555</v>
      </c>
      <c r="U33" s="2"/>
      <c r="V33" s="7">
        <f t="shared" si="17"/>
        <v>3.8597688629089548E-3</v>
      </c>
      <c r="W33" s="2"/>
      <c r="X33" s="6">
        <f t="shared" si="18"/>
        <v>1880.8755647384423</v>
      </c>
      <c r="Y33" s="2"/>
      <c r="Z33" s="7">
        <f t="shared" si="19"/>
        <v>9.3892355991028742E-2</v>
      </c>
    </row>
    <row r="34" spans="1:26" s="24" customFormat="1" hidden="1" outlineLevel="2" x14ac:dyDescent="0.25">
      <c r="A34" s="25"/>
      <c r="B34" s="11" t="str">
        <f>CONCATENATE("          ", "6116", " - ", "EDUCATIONAL BENEFITS")</f>
        <v xml:space="preserve">          6116 - EDUCATIONAL BENEFITS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5"/>
      <c r="B35" s="11" t="str">
        <f>CONCATENATE("          ", "6117", " - ", "RETIREMENT STAFF HOURLY")</f>
        <v xml:space="preserve">          6117 - RETIREMENT STAFF HOURLY</v>
      </c>
      <c r="C35" s="11"/>
      <c r="D35" s="6">
        <v>1771.39</v>
      </c>
      <c r="E35" s="2"/>
      <c r="F35" s="7">
        <f t="shared" si="12"/>
        <v>1.5487768261809429E-3</v>
      </c>
      <c r="G35" s="2"/>
      <c r="H35" s="6"/>
      <c r="I35" s="2"/>
      <c r="J35" s="7">
        <f t="shared" si="13"/>
        <v>0</v>
      </c>
      <c r="K35" s="2"/>
      <c r="L35" s="6">
        <f t="shared" si="14"/>
        <v>1771.39</v>
      </c>
      <c r="M35" s="2"/>
      <c r="N35" s="7">
        <f t="shared" si="15"/>
        <v>0</v>
      </c>
      <c r="O35" s="11"/>
      <c r="P35" s="6">
        <v>8264.41</v>
      </c>
      <c r="Q35" s="2"/>
      <c r="R35" s="7">
        <f t="shared" si="16"/>
        <v>1.562358965296757E-3</v>
      </c>
      <c r="S35" s="2"/>
      <c r="T35" s="6"/>
      <c r="U35" s="2"/>
      <c r="V35" s="7">
        <f t="shared" si="17"/>
        <v>0</v>
      </c>
      <c r="W35" s="2"/>
      <c r="X35" s="6">
        <f t="shared" si="18"/>
        <v>8264.41</v>
      </c>
      <c r="Y35" s="2"/>
      <c r="Z35" s="7">
        <f t="shared" si="19"/>
        <v>0</v>
      </c>
    </row>
    <row r="36" spans="1:26" s="24" customFormat="1" hidden="1" outlineLevel="2" x14ac:dyDescent="0.25">
      <c r="A36" s="25"/>
      <c r="B36" s="11" t="str">
        <f>CONCATENATE("          ", "6118", " - ", "VACATION")</f>
        <v xml:space="preserve">          6118 - VACATION</v>
      </c>
      <c r="C36" s="11"/>
      <c r="D36" s="6">
        <v>7791.66</v>
      </c>
      <c r="E36" s="2"/>
      <c r="F36" s="7">
        <f t="shared" si="12"/>
        <v>6.8124706843106292E-3</v>
      </c>
      <c r="G36" s="2"/>
      <c r="H36" s="6">
        <v>3611.6687587692322</v>
      </c>
      <c r="I36" s="2"/>
      <c r="J36" s="7">
        <f t="shared" si="13"/>
        <v>3.5188314291733523E-3</v>
      </c>
      <c r="K36" s="2"/>
      <c r="L36" s="6">
        <f t="shared" si="14"/>
        <v>4179.9912412307676</v>
      </c>
      <c r="M36" s="2"/>
      <c r="N36" s="7">
        <f t="shared" si="15"/>
        <v>1.1573573105456121</v>
      </c>
      <c r="O36" s="11"/>
      <c r="P36" s="6">
        <v>45496.5</v>
      </c>
      <c r="Q36" s="2"/>
      <c r="R36" s="7">
        <f t="shared" si="16"/>
        <v>8.6009605845576292E-3</v>
      </c>
      <c r="S36" s="2"/>
      <c r="T36" s="6">
        <v>19835.453533230768</v>
      </c>
      <c r="U36" s="2"/>
      <c r="V36" s="7">
        <f t="shared" si="17"/>
        <v>3.8218497162494681E-3</v>
      </c>
      <c r="W36" s="2"/>
      <c r="X36" s="6">
        <f t="shared" si="18"/>
        <v>25661.046466769232</v>
      </c>
      <c r="Y36" s="2"/>
      <c r="Z36" s="7">
        <f t="shared" si="19"/>
        <v>1.2936959784548774</v>
      </c>
    </row>
    <row r="37" spans="1:26" s="24" customFormat="1" hidden="1" outlineLevel="2" x14ac:dyDescent="0.25">
      <c r="A37" s="25"/>
      <c r="B37" s="11" t="str">
        <f>CONCATENATE("          ", "6119", " - ", "SICK LEAVE")</f>
        <v xml:space="preserve">          6119 - SICK LEAVE</v>
      </c>
      <c r="C37" s="11"/>
      <c r="D37" s="6">
        <v>5258.52</v>
      </c>
      <c r="E37" s="2"/>
      <c r="F37" s="7">
        <f t="shared" si="12"/>
        <v>4.5976740954894249E-3</v>
      </c>
      <c r="G37" s="2"/>
      <c r="H37" s="6">
        <v>7156.5479797692306</v>
      </c>
      <c r="I37" s="2"/>
      <c r="J37" s="7">
        <f t="shared" si="13"/>
        <v>6.9725901342571252E-3</v>
      </c>
      <c r="K37" s="2"/>
      <c r="L37" s="6">
        <f t="shared" si="14"/>
        <v>-1898.0279797692301</v>
      </c>
      <c r="M37" s="2"/>
      <c r="N37" s="7">
        <f t="shared" si="15"/>
        <v>-0.26521557392401268</v>
      </c>
      <c r="O37" s="11"/>
      <c r="P37" s="6">
        <v>35969.630000000005</v>
      </c>
      <c r="Q37" s="2"/>
      <c r="R37" s="7">
        <f t="shared" si="16"/>
        <v>6.799937794580279E-3</v>
      </c>
      <c r="S37" s="2"/>
      <c r="T37" s="6">
        <v>36262.328284230767</v>
      </c>
      <c r="U37" s="2"/>
      <c r="V37" s="7">
        <f t="shared" si="17"/>
        <v>6.9869422865199912E-3</v>
      </c>
      <c r="W37" s="2"/>
      <c r="X37" s="6">
        <f t="shared" si="18"/>
        <v>-292.69828423076251</v>
      </c>
      <c r="Y37" s="2"/>
      <c r="Z37" s="7">
        <f t="shared" si="19"/>
        <v>-8.0716903210554976E-3</v>
      </c>
    </row>
    <row r="38" spans="1:26" s="24" customFormat="1" hidden="1" outlineLevel="2" x14ac:dyDescent="0.25">
      <c r="A38" s="25"/>
      <c r="B38" s="11" t="str">
        <f>CONCATENATE("          ", "6156", " - ", "EMPLOYEE MEALS")</f>
        <v xml:space="preserve">          6156 - EMPLOYEE MEALS</v>
      </c>
      <c r="C38" s="11"/>
      <c r="D38" s="6">
        <v>3682.72</v>
      </c>
      <c r="E38" s="2"/>
      <c r="F38" s="7">
        <f t="shared" si="12"/>
        <v>3.2199071877526018E-3</v>
      </c>
      <c r="G38" s="2"/>
      <c r="H38" s="6">
        <v>1500</v>
      </c>
      <c r="I38" s="2"/>
      <c r="J38" s="7">
        <f t="shared" si="13"/>
        <v>1.4614427557744041E-3</v>
      </c>
      <c r="K38" s="2"/>
      <c r="L38" s="6">
        <f t="shared" si="14"/>
        <v>2182.7199999999998</v>
      </c>
      <c r="M38" s="2"/>
      <c r="N38" s="7">
        <f t="shared" si="15"/>
        <v>1.4551466666666666</v>
      </c>
      <c r="O38" s="11"/>
      <c r="P38" s="6">
        <v>17862.2</v>
      </c>
      <c r="Q38" s="2"/>
      <c r="R38" s="7">
        <f t="shared" si="16"/>
        <v>3.3767889431821191E-3</v>
      </c>
      <c r="S38" s="2"/>
      <c r="T38" s="6">
        <v>7500</v>
      </c>
      <c r="U38" s="2"/>
      <c r="V38" s="7">
        <f t="shared" si="17"/>
        <v>1.4450828070984008E-3</v>
      </c>
      <c r="W38" s="2"/>
      <c r="X38" s="6">
        <f t="shared" si="18"/>
        <v>10362.200000000001</v>
      </c>
      <c r="Y38" s="2"/>
      <c r="Z38" s="7">
        <f t="shared" si="19"/>
        <v>1.3816266666666668</v>
      </c>
    </row>
    <row r="39" spans="1:26" s="26" customFormat="1" outlineLevel="1" collapsed="1" x14ac:dyDescent="0.25">
      <c r="A39" s="27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258756.52000000002</v>
      </c>
      <c r="E39" s="1"/>
      <c r="F39" s="5">
        <f t="shared" ref="F39:F49" si="20">IF(D$12=0,0,D39/D$12)</f>
        <v>0.22623820942831657</v>
      </c>
      <c r="G39" s="1"/>
      <c r="H39" s="1">
        <f>SUM(OSRRefH22_1x_0)</f>
        <v>250818.48525376923</v>
      </c>
      <c r="I39" s="1"/>
      <c r="J39" s="5">
        <f t="shared" ref="J39:J49" si="21">IF(H$12=0,0,H39/H$12)</f>
        <v>0.24437123885895348</v>
      </c>
      <c r="K39" s="1"/>
      <c r="L39" s="1">
        <f t="shared" ref="L39:L49" si="22">+D39-H39</f>
        <v>7938.0347462307836</v>
      </c>
      <c r="M39" s="1"/>
      <c r="N39" s="5">
        <f t="shared" ref="N39:N49" si="23">IF(H39=0,0,L39/H39)</f>
        <v>3.1648523585489967E-2</v>
      </c>
      <c r="O39" s="13"/>
      <c r="P39" s="1">
        <f>SUM(OSRRefP22_1x_0)</f>
        <v>1308578.6600000001</v>
      </c>
      <c r="Q39" s="1"/>
      <c r="R39" s="5">
        <f t="shared" ref="R39:R49" si="24">IF(P$12=0,0,P39/P$12)</f>
        <v>0.24738240252444121</v>
      </c>
      <c r="S39" s="1"/>
      <c r="T39" s="1">
        <f>SUM(OSRRefT22_1x_0)</f>
        <v>1279605.0989902306</v>
      </c>
      <c r="U39" s="1"/>
      <c r="V39" s="5">
        <f t="shared" ref="V39:V49" si="25">IF(T$12=0,0,T39/T$12)</f>
        <v>0.24655137712349728</v>
      </c>
      <c r="W39" s="1"/>
      <c r="X39" s="1">
        <f t="shared" ref="X39:X49" si="26">+P39-T39</f>
        <v>28973.561009769561</v>
      </c>
      <c r="Y39" s="1"/>
      <c r="Z39" s="5">
        <f t="shared" ref="Z39:Z49" si="27">IF(T39=0,0,X39/T39)</f>
        <v>2.2642580146510313E-2</v>
      </c>
    </row>
    <row r="40" spans="1:26" s="24" customFormat="1" hidden="1" outlineLevel="2" x14ac:dyDescent="0.25">
      <c r="A40" s="25"/>
      <c r="B40" s="11" t="str">
        <f>CONCATENATE("          ", "6001", " - ", "ADMINISTRATIVE SALARIES")</f>
        <v xml:space="preserve">          6001 - ADMINISTRATIVE SALARIES</v>
      </c>
      <c r="C40" s="11"/>
      <c r="D40" s="6">
        <v>8145.04</v>
      </c>
      <c r="E40" s="2"/>
      <c r="F40" s="7">
        <f t="shared" si="20"/>
        <v>7.1214409025210862E-3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8145.04</v>
      </c>
      <c r="M40" s="2"/>
      <c r="N40" s="7">
        <f t="shared" si="23"/>
        <v>0</v>
      </c>
      <c r="O40" s="11"/>
      <c r="P40" s="6">
        <v>38281.699999999997</v>
      </c>
      <c r="Q40" s="2"/>
      <c r="R40" s="7">
        <f t="shared" si="24"/>
        <v>7.2370268660195778E-3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38281.699999999997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"6002", " - ", "STAFF SALARIES")</f>
        <v xml:space="preserve">          6002 - STAFF SALARIES</v>
      </c>
      <c r="C41" s="11"/>
      <c r="D41" s="6">
        <v>36788.339999999997</v>
      </c>
      <c r="E41" s="2"/>
      <c r="F41" s="7">
        <f t="shared" si="20"/>
        <v>3.2165095470599599E-2</v>
      </c>
      <c r="G41" s="2"/>
      <c r="H41" s="6">
        <v>39678.938974769218</v>
      </c>
      <c r="I41" s="2"/>
      <c r="J41" s="7">
        <f t="shared" si="21"/>
        <v>3.8658998614327422E-2</v>
      </c>
      <c r="K41" s="2"/>
      <c r="L41" s="6">
        <f t="shared" si="22"/>
        <v>-2890.598974769222</v>
      </c>
      <c r="M41" s="2"/>
      <c r="N41" s="7">
        <f t="shared" si="23"/>
        <v>-7.2849704388700434E-2</v>
      </c>
      <c r="O41" s="11"/>
      <c r="P41" s="6">
        <v>200926.82</v>
      </c>
      <c r="Q41" s="2"/>
      <c r="R41" s="7">
        <f t="shared" si="24"/>
        <v>3.7984540771279232E-2</v>
      </c>
      <c r="S41" s="2"/>
      <c r="T41" s="6">
        <v>218234.16436123056</v>
      </c>
      <c r="U41" s="2"/>
      <c r="V41" s="7">
        <f t="shared" si="25"/>
        <v>4.2048858511986781E-2</v>
      </c>
      <c r="W41" s="2"/>
      <c r="X41" s="6">
        <f t="shared" si="26"/>
        <v>-17307.344361230556</v>
      </c>
      <c r="Y41" s="2"/>
      <c r="Z41" s="7">
        <f t="shared" si="27"/>
        <v>-7.9306301155407988E-2</v>
      </c>
    </row>
    <row r="42" spans="1:26" s="24" customFormat="1" hidden="1" outlineLevel="2" x14ac:dyDescent="0.25">
      <c r="A42" s="25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"6004", " - ", "STAFF HOURLY")</f>
        <v xml:space="preserve">          6004 - STAFF HOURLY</v>
      </c>
      <c r="C43" s="11"/>
      <c r="D43" s="6">
        <v>61622.700000000004</v>
      </c>
      <c r="E43" s="2"/>
      <c r="F43" s="7">
        <f t="shared" si="20"/>
        <v>5.3878485103054888E-2</v>
      </c>
      <c r="G43" s="2"/>
      <c r="H43" s="6">
        <v>74841.003039999996</v>
      </c>
      <c r="I43" s="2"/>
      <c r="J43" s="7">
        <f t="shared" si="21"/>
        <v>7.2917227818465435E-2</v>
      </c>
      <c r="K43" s="2"/>
      <c r="L43" s="6">
        <f t="shared" si="22"/>
        <v>-13218.303039999992</v>
      </c>
      <c r="M43" s="2"/>
      <c r="N43" s="7">
        <f t="shared" si="23"/>
        <v>-0.17661846451917879</v>
      </c>
      <c r="O43" s="11"/>
      <c r="P43" s="6">
        <v>304417.78999999998</v>
      </c>
      <c r="Q43" s="2"/>
      <c r="R43" s="7">
        <f t="shared" si="24"/>
        <v>5.7549161210821514E-2</v>
      </c>
      <c r="S43" s="2"/>
      <c r="T43" s="6">
        <v>409884.174</v>
      </c>
      <c r="U43" s="2"/>
      <c r="V43" s="7">
        <f t="shared" si="25"/>
        <v>7.8975543033217258E-2</v>
      </c>
      <c r="W43" s="2"/>
      <c r="X43" s="6">
        <f t="shared" si="26"/>
        <v>-105466.38400000002</v>
      </c>
      <c r="Y43" s="2"/>
      <c r="Z43" s="7">
        <f t="shared" si="27"/>
        <v>-0.25730777300028185</v>
      </c>
    </row>
    <row r="44" spans="1:26" s="24" customFormat="1" hidden="1" outlineLevel="2" x14ac:dyDescent="0.25">
      <c r="A44" s="25"/>
      <c r="B44" s="11" t="str">
        <f>CONCATENATE("          ", "6005", " - ", "TEMPORARY WAGES-HOURLY")</f>
        <v xml:space="preserve">          6005 - TEMPORARY WAGES-HOURLY</v>
      </c>
      <c r="C44" s="11"/>
      <c r="D44" s="6">
        <v>44648.61</v>
      </c>
      <c r="E44" s="2"/>
      <c r="F44" s="7">
        <f t="shared" si="20"/>
        <v>3.9037553835796018E-2</v>
      </c>
      <c r="G44" s="2"/>
      <c r="H44" s="6">
        <v>25362.443239</v>
      </c>
      <c r="I44" s="2"/>
      <c r="J44" s="7">
        <f t="shared" si="21"/>
        <v>2.4710505960250709E-2</v>
      </c>
      <c r="K44" s="2"/>
      <c r="L44" s="6">
        <f t="shared" si="22"/>
        <v>19286.166761</v>
      </c>
      <c r="M44" s="2"/>
      <c r="N44" s="7">
        <f t="shared" si="23"/>
        <v>0.76042227396071727</v>
      </c>
      <c r="O44" s="11"/>
      <c r="P44" s="6">
        <v>240670.9</v>
      </c>
      <c r="Q44" s="2"/>
      <c r="R44" s="7">
        <f t="shared" si="24"/>
        <v>4.5498025666809765E-2</v>
      </c>
      <c r="S44" s="2"/>
      <c r="T44" s="6">
        <v>122752.613129</v>
      </c>
      <c r="U44" s="2"/>
      <c r="V44" s="7">
        <f t="shared" si="25"/>
        <v>2.3651692101215913E-2</v>
      </c>
      <c r="W44" s="2"/>
      <c r="X44" s="6">
        <f t="shared" si="26"/>
        <v>117918.28687099999</v>
      </c>
      <c r="Y44" s="2"/>
      <c r="Z44" s="7">
        <f t="shared" si="27"/>
        <v>0.96061732508358377</v>
      </c>
    </row>
    <row r="45" spans="1:26" s="24" customFormat="1" hidden="1" outlineLevel="2" x14ac:dyDescent="0.25">
      <c r="A45" s="25"/>
      <c r="B45" s="11" t="str">
        <f>CONCATENATE("          ", "6006", " - ", "TEMPORARY PART TIME")</f>
        <v xml:space="preserve">          6006 - TEMPORARY PART TIME</v>
      </c>
      <c r="C45" s="11"/>
      <c r="D45" s="6">
        <v>3812</v>
      </c>
      <c r="E45" s="2"/>
      <c r="F45" s="7">
        <f t="shared" si="20"/>
        <v>3.3329403809447687E-3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3812</v>
      </c>
      <c r="M45" s="2"/>
      <c r="N45" s="7">
        <f t="shared" si="23"/>
        <v>0</v>
      </c>
      <c r="O45" s="11"/>
      <c r="P45" s="6">
        <v>27338.289999999997</v>
      </c>
      <c r="Q45" s="2"/>
      <c r="R45" s="7">
        <f t="shared" si="24"/>
        <v>5.1682119446376301E-3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27338.289999999997</v>
      </c>
      <c r="Y45" s="2"/>
      <c r="Z45" s="7">
        <f t="shared" si="27"/>
        <v>0</v>
      </c>
    </row>
    <row r="46" spans="1:26" s="24" customFormat="1" hidden="1" outlineLevel="2" x14ac:dyDescent="0.25">
      <c r="A46" s="25"/>
      <c r="B46" s="11" t="str">
        <f>CONCATENATE("          ", "6007", " - ", "STUDENT HOURLY")</f>
        <v xml:space="preserve">          6007 - STUDENT HOURLY</v>
      </c>
      <c r="C46" s="11"/>
      <c r="D46" s="6">
        <v>83054.83</v>
      </c>
      <c r="E46" s="2"/>
      <c r="F46" s="7">
        <f t="shared" si="20"/>
        <v>7.2617207958946231E-2</v>
      </c>
      <c r="G46" s="2"/>
      <c r="H46" s="6">
        <v>31166.099999999995</v>
      </c>
      <c r="I46" s="2"/>
      <c r="J46" s="7">
        <f t="shared" si="21"/>
        <v>3.0364980713827098E-2</v>
      </c>
      <c r="K46" s="2"/>
      <c r="L46" s="6">
        <f t="shared" si="22"/>
        <v>51888.73000000001</v>
      </c>
      <c r="M46" s="2"/>
      <c r="N46" s="7">
        <f t="shared" si="23"/>
        <v>1.6649093085114923</v>
      </c>
      <c r="O46" s="11"/>
      <c r="P46" s="6">
        <v>396207.66</v>
      </c>
      <c r="Q46" s="2"/>
      <c r="R46" s="7">
        <f t="shared" si="24"/>
        <v>7.4901727978191945E-2</v>
      </c>
      <c r="S46" s="2"/>
      <c r="T46" s="6">
        <v>235688.50499999998</v>
      </c>
      <c r="U46" s="2"/>
      <c r="V46" s="7">
        <f t="shared" si="25"/>
        <v>4.5411920854163394E-2</v>
      </c>
      <c r="W46" s="2"/>
      <c r="X46" s="6">
        <f t="shared" si="26"/>
        <v>160519.155</v>
      </c>
      <c r="Y46" s="2"/>
      <c r="Z46" s="7">
        <f t="shared" si="27"/>
        <v>0.68106484446494331</v>
      </c>
    </row>
    <row r="47" spans="1:26" s="24" customFormat="1" hidden="1" outlineLevel="2" x14ac:dyDescent="0.25">
      <c r="A47" s="25"/>
      <c r="B47" s="11" t="str">
        <f>CONCATENATE("          ", "6008", " - ", "STUDENT HOURLY-FICA EXEMPT")</f>
        <v xml:space="preserve">          6008 - STUDENT HOURLY-FICA EXEMPT</v>
      </c>
      <c r="C47" s="11"/>
      <c r="D47" s="6">
        <v>20685</v>
      </c>
      <c r="E47" s="2"/>
      <c r="F47" s="7">
        <f t="shared" si="20"/>
        <v>1.8085485776453972E-2</v>
      </c>
      <c r="G47" s="2"/>
      <c r="H47" s="6">
        <v>79770</v>
      </c>
      <c r="I47" s="2"/>
      <c r="J47" s="7">
        <f t="shared" si="21"/>
        <v>7.771952575208281E-2</v>
      </c>
      <c r="K47" s="2"/>
      <c r="L47" s="6">
        <f t="shared" si="22"/>
        <v>-59085</v>
      </c>
      <c r="M47" s="2"/>
      <c r="N47" s="7">
        <f t="shared" si="23"/>
        <v>-0.74069198946972548</v>
      </c>
      <c r="O47" s="11"/>
      <c r="P47" s="6">
        <v>100735.5</v>
      </c>
      <c r="Q47" s="2"/>
      <c r="R47" s="7">
        <f t="shared" si="24"/>
        <v>1.9043708086681502E-2</v>
      </c>
      <c r="S47" s="2"/>
      <c r="T47" s="6">
        <v>293045.64249999996</v>
      </c>
      <c r="U47" s="2"/>
      <c r="V47" s="7">
        <f t="shared" si="25"/>
        <v>5.6463362622913918E-2</v>
      </c>
      <c r="W47" s="2"/>
      <c r="X47" s="6">
        <f t="shared" si="26"/>
        <v>-192310.14249999996</v>
      </c>
      <c r="Y47" s="2"/>
      <c r="Z47" s="7">
        <f t="shared" si="27"/>
        <v>-0.65624638148304826</v>
      </c>
    </row>
    <row r="48" spans="1:26" s="24" customFormat="1" hidden="1" outlineLevel="2" x14ac:dyDescent="0.25">
      <c r="A48" s="25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25">
      <c r="A49" s="25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0"/>
        <v>0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/>
      <c r="Q49" s="2"/>
      <c r="R49" s="7">
        <f t="shared" si="24"/>
        <v>0</v>
      </c>
      <c r="S49" s="2"/>
      <c r="T49" s="6">
        <v>0</v>
      </c>
      <c r="U49" s="2"/>
      <c r="V49" s="7">
        <f t="shared" si="25"/>
        <v>0</v>
      </c>
      <c r="W49" s="2"/>
      <c r="X49" s="6">
        <f t="shared" si="26"/>
        <v>0</v>
      </c>
      <c r="Y49" s="2"/>
      <c r="Z49" s="7">
        <f t="shared" si="27"/>
        <v>0</v>
      </c>
    </row>
    <row r="50" spans="1:26" s="26" customFormat="1" outlineLevel="1" collapsed="1" x14ac:dyDescent="0.25">
      <c r="A50" s="27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267.33</v>
      </c>
      <c r="E50" s="1"/>
      <c r="F50" s="5">
        <f t="shared" ref="F50:F54" si="28">IF(D$12=0,0,D50/D$12)</f>
        <v>2.3373424764899399E-4</v>
      </c>
      <c r="G50" s="1"/>
      <c r="H50" s="1">
        <f>SUM(OSRRefH22_2x_0)</f>
        <v>575</v>
      </c>
      <c r="I50" s="1"/>
      <c r="J50" s="5">
        <f t="shared" ref="J50:J54" si="29">IF(H$12=0,0,H50/H$12)</f>
        <v>5.6021972304685485E-4</v>
      </c>
      <c r="K50" s="1"/>
      <c r="L50" s="1">
        <f t="shared" ref="L50:L54" si="30">+D50-H50</f>
        <v>-307.67</v>
      </c>
      <c r="M50" s="1"/>
      <c r="N50" s="5">
        <f t="shared" ref="N50:N54" si="31">IF(H50=0,0,L50/H50)</f>
        <v>-0.53507826086956523</v>
      </c>
      <c r="O50" s="13"/>
      <c r="P50" s="1">
        <f>SUM(OSRRefP22_2x_0)</f>
        <v>7928.8</v>
      </c>
      <c r="Q50" s="1"/>
      <c r="R50" s="5">
        <f t="shared" ref="R50:R54" si="32">IF(P$12=0,0,P50/P$12)</f>
        <v>1.4989130215036436E-3</v>
      </c>
      <c r="S50" s="1"/>
      <c r="T50" s="1">
        <f>SUM(OSRRefT22_2x_0)</f>
        <v>10525</v>
      </c>
      <c r="U50" s="1"/>
      <c r="V50" s="5">
        <f t="shared" ref="V50:V54" si="33">IF(T$12=0,0,T50/T$12)</f>
        <v>2.0279328726280892E-3</v>
      </c>
      <c r="W50" s="1"/>
      <c r="X50" s="1">
        <f t="shared" ref="X50:X54" si="34">+P50-T50</f>
        <v>-2596.1999999999998</v>
      </c>
      <c r="Y50" s="1"/>
      <c r="Z50" s="5">
        <f t="shared" ref="Z50:Z54" si="35">IF(T50=0,0,X50/T50)</f>
        <v>-0.24666983372921614</v>
      </c>
    </row>
    <row r="51" spans="1:26" s="24" customFormat="1" hidden="1" outlineLevel="2" x14ac:dyDescent="0.25">
      <c r="A51" s="25"/>
      <c r="B51" s="11" t="str">
        <f>CONCATENATE("          ", "6362", " - ", "ADVERTISING EXPENSE")</f>
        <v xml:space="preserve">          6362 - ADVERTISING EXPENSE</v>
      </c>
      <c r="C51" s="11"/>
      <c r="D51" s="6">
        <v>267.33</v>
      </c>
      <c r="E51" s="2"/>
      <c r="F51" s="7">
        <f t="shared" si="28"/>
        <v>2.3373424764899399E-4</v>
      </c>
      <c r="G51" s="2"/>
      <c r="H51" s="6">
        <v>575</v>
      </c>
      <c r="I51" s="2"/>
      <c r="J51" s="7">
        <f t="shared" si="29"/>
        <v>5.6021972304685485E-4</v>
      </c>
      <c r="K51" s="2"/>
      <c r="L51" s="6">
        <f t="shared" si="30"/>
        <v>-307.67</v>
      </c>
      <c r="M51" s="2"/>
      <c r="N51" s="7">
        <f t="shared" si="31"/>
        <v>-0.53507826086956523</v>
      </c>
      <c r="O51" s="11"/>
      <c r="P51" s="6">
        <v>7928.8</v>
      </c>
      <c r="Q51" s="2"/>
      <c r="R51" s="7">
        <f t="shared" si="32"/>
        <v>1.4989130215036436E-3</v>
      </c>
      <c r="S51" s="2"/>
      <c r="T51" s="6">
        <v>10525</v>
      </c>
      <c r="U51" s="2"/>
      <c r="V51" s="7">
        <f t="shared" si="33"/>
        <v>2.0279328726280892E-3</v>
      </c>
      <c r="W51" s="2"/>
      <c r="X51" s="6">
        <f t="shared" si="34"/>
        <v>-2596.1999999999998</v>
      </c>
      <c r="Y51" s="2"/>
      <c r="Z51" s="7">
        <f t="shared" si="35"/>
        <v>-0.24666983372921614</v>
      </c>
    </row>
    <row r="52" spans="1:26" s="26" customFormat="1" outlineLevel="1" collapsed="1" x14ac:dyDescent="0.25">
      <c r="A52" s="27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-0.2</v>
      </c>
      <c r="E52" s="1"/>
      <c r="F52" s="5">
        <f t="shared" si="28"/>
        <v>-1.7486570728986198E-7</v>
      </c>
      <c r="G52" s="1"/>
      <c r="H52" s="1">
        <f>SUM(OSRRefH22_3x_0)</f>
        <v>113</v>
      </c>
      <c r="I52" s="1"/>
      <c r="J52" s="5">
        <f t="shared" si="29"/>
        <v>1.1009535426833844E-4</v>
      </c>
      <c r="K52" s="1"/>
      <c r="L52" s="1">
        <f t="shared" si="30"/>
        <v>-113.2</v>
      </c>
      <c r="M52" s="1"/>
      <c r="N52" s="5">
        <f t="shared" si="31"/>
        <v>-1.0017699115044247</v>
      </c>
      <c r="O52" s="13"/>
      <c r="P52" s="1">
        <f>SUM(OSRRefP22_3x_0)</f>
        <v>29.51</v>
      </c>
      <c r="Q52" s="1"/>
      <c r="R52" s="5">
        <f t="shared" si="32"/>
        <v>5.578766429292267E-6</v>
      </c>
      <c r="S52" s="1"/>
      <c r="T52" s="1">
        <f>SUM(OSRRefT22_3x_0)</f>
        <v>497</v>
      </c>
      <c r="U52" s="1"/>
      <c r="V52" s="5">
        <f t="shared" si="33"/>
        <v>9.5760820683720693E-5</v>
      </c>
      <c r="W52" s="1"/>
      <c r="X52" s="1">
        <f t="shared" si="34"/>
        <v>-467.49</v>
      </c>
      <c r="Y52" s="1"/>
      <c r="Z52" s="5">
        <f t="shared" si="35"/>
        <v>-0.94062374245472835</v>
      </c>
    </row>
    <row r="53" spans="1:26" s="24" customFormat="1" hidden="1" outlineLevel="2" x14ac:dyDescent="0.25">
      <c r="A53" s="25"/>
      <c r="B53" s="11" t="str">
        <f>CONCATENATE("          ", "6272", " - ", "CASH (OVER/SHORT)")</f>
        <v xml:space="preserve">          6272 - CASH (OVER/SHORT)</v>
      </c>
      <c r="C53" s="11"/>
      <c r="D53" s="6">
        <v>-0.2</v>
      </c>
      <c r="E53" s="2"/>
      <c r="F53" s="7">
        <f t="shared" si="28"/>
        <v>-1.7486570728986198E-7</v>
      </c>
      <c r="G53" s="2"/>
      <c r="H53" s="6">
        <v>63</v>
      </c>
      <c r="I53" s="2"/>
      <c r="J53" s="7">
        <f t="shared" si="29"/>
        <v>6.1380595742524971E-5</v>
      </c>
      <c r="K53" s="2"/>
      <c r="L53" s="6">
        <f t="shared" si="30"/>
        <v>-63.2</v>
      </c>
      <c r="M53" s="2"/>
      <c r="N53" s="7">
        <f t="shared" si="31"/>
        <v>-1.0031746031746032</v>
      </c>
      <c r="O53" s="11"/>
      <c r="P53" s="6">
        <v>29.51</v>
      </c>
      <c r="Q53" s="2"/>
      <c r="R53" s="7">
        <f t="shared" si="32"/>
        <v>5.578766429292267E-6</v>
      </c>
      <c r="S53" s="2"/>
      <c r="T53" s="6">
        <v>297</v>
      </c>
      <c r="U53" s="2"/>
      <c r="V53" s="7">
        <f t="shared" si="33"/>
        <v>5.7225279161096673E-5</v>
      </c>
      <c r="W53" s="2"/>
      <c r="X53" s="6">
        <f t="shared" si="34"/>
        <v>-267.49</v>
      </c>
      <c r="Y53" s="2"/>
      <c r="Z53" s="7">
        <f t="shared" si="35"/>
        <v>-0.90063973063973068</v>
      </c>
    </row>
    <row r="54" spans="1:26" s="24" customFormat="1" hidden="1" outlineLevel="2" x14ac:dyDescent="0.25">
      <c r="A54" s="25"/>
      <c r="B54" s="11" t="str">
        <f>CONCATENATE("          ", "6342", " - ", "BAD DEBT")</f>
        <v xml:space="preserve">          6342 - BAD DEBT</v>
      </c>
      <c r="C54" s="11"/>
      <c r="D54" s="6"/>
      <c r="E54" s="2"/>
      <c r="F54" s="7">
        <f t="shared" si="28"/>
        <v>0</v>
      </c>
      <c r="G54" s="2"/>
      <c r="H54" s="6">
        <v>50</v>
      </c>
      <c r="I54" s="2"/>
      <c r="J54" s="7">
        <f t="shared" si="29"/>
        <v>4.8714758525813471E-5</v>
      </c>
      <c r="K54" s="2"/>
      <c r="L54" s="6">
        <f t="shared" si="30"/>
        <v>-50</v>
      </c>
      <c r="M54" s="2"/>
      <c r="N54" s="7">
        <f t="shared" si="31"/>
        <v>-1</v>
      </c>
      <c r="O54" s="11"/>
      <c r="P54" s="6"/>
      <c r="Q54" s="2"/>
      <c r="R54" s="7">
        <f t="shared" si="32"/>
        <v>0</v>
      </c>
      <c r="S54" s="2"/>
      <c r="T54" s="6">
        <v>200</v>
      </c>
      <c r="U54" s="2"/>
      <c r="V54" s="7">
        <f t="shared" si="33"/>
        <v>3.853554152262402E-5</v>
      </c>
      <c r="W54" s="2"/>
      <c r="X54" s="6">
        <f t="shared" si="34"/>
        <v>-200</v>
      </c>
      <c r="Y54" s="2"/>
      <c r="Z54" s="7">
        <f t="shared" si="35"/>
        <v>-1</v>
      </c>
    </row>
    <row r="55" spans="1:26" s="26" customFormat="1" outlineLevel="1" collapsed="1" x14ac:dyDescent="0.25">
      <c r="A55" s="27"/>
      <c r="B55" s="13" t="str">
        <f>CONCATENATE("     ","Bank/card Fees                                    ")</f>
        <v xml:space="preserve">     Bank/card Fees                                    </v>
      </c>
      <c r="C55" s="13"/>
      <c r="D55" s="1">
        <f>SUM(OSRRefD22_4x_0)</f>
        <v>647.59</v>
      </c>
      <c r="E55" s="1"/>
      <c r="F55" s="5">
        <f t="shared" ref="F55:F59" si="36">IF(D$12=0,0,D55/D$12)</f>
        <v>5.6620641691920855E-4</v>
      </c>
      <c r="G55" s="1"/>
      <c r="H55" s="1">
        <f>SUM(OSRRefH22_4x_0)</f>
        <v>434</v>
      </c>
      <c r="I55" s="1"/>
      <c r="J55" s="5">
        <f t="shared" ref="J55:J59" si="37">IF(H$12=0,0,H55/H$12)</f>
        <v>4.2284410400406092E-4</v>
      </c>
      <c r="K55" s="1"/>
      <c r="L55" s="1">
        <f t="shared" ref="L55:L59" si="38">+D55-H55</f>
        <v>213.59000000000003</v>
      </c>
      <c r="M55" s="1"/>
      <c r="N55" s="5">
        <f t="shared" ref="N55:N59" si="39">IF(H55=0,0,L55/H55)</f>
        <v>0.49214285714285722</v>
      </c>
      <c r="O55" s="13"/>
      <c r="P55" s="1">
        <f>SUM(OSRRefP22_4x_0)</f>
        <v>2391.7199999999998</v>
      </c>
      <c r="Q55" s="1"/>
      <c r="R55" s="5">
        <f t="shared" ref="R55:R59" si="40">IF(P$12=0,0,P55/P$12)</f>
        <v>4.5214663653903421E-4</v>
      </c>
      <c r="S55" s="1"/>
      <c r="T55" s="1">
        <f>SUM(OSRRefT22_4x_0)</f>
        <v>2167</v>
      </c>
      <c r="U55" s="1"/>
      <c r="V55" s="5">
        <f t="shared" ref="V55:V59" si="41">IF(T$12=0,0,T55/T$12)</f>
        <v>4.175325923976313E-4</v>
      </c>
      <c r="W55" s="1"/>
      <c r="X55" s="1">
        <f t="shared" ref="X55:X59" si="42">+P55-T55</f>
        <v>224.7199999999998</v>
      </c>
      <c r="Y55" s="1"/>
      <c r="Z55" s="5">
        <f t="shared" ref="Z55:Z59" si="43">IF(T55=0,0,X55/T55)</f>
        <v>0.10370096908167965</v>
      </c>
    </row>
    <row r="56" spans="1:26" s="24" customFormat="1" hidden="1" outlineLevel="2" x14ac:dyDescent="0.25">
      <c r="A56" s="25"/>
      <c r="B56" s="11" t="str">
        <f>CONCATENATE("          ", "6381", " - ", "BANK/CREDIT CARD FEES")</f>
        <v xml:space="preserve">          6381 - BANK/CREDIT CARD FEES</v>
      </c>
      <c r="C56" s="11"/>
      <c r="D56" s="6">
        <v>647.59</v>
      </c>
      <c r="E56" s="2"/>
      <c r="F56" s="7">
        <f t="shared" si="36"/>
        <v>5.6620641691920855E-4</v>
      </c>
      <c r="G56" s="2"/>
      <c r="H56" s="6">
        <v>434</v>
      </c>
      <c r="I56" s="2"/>
      <c r="J56" s="7">
        <f t="shared" si="37"/>
        <v>4.2284410400406092E-4</v>
      </c>
      <c r="K56" s="2"/>
      <c r="L56" s="6">
        <f t="shared" si="38"/>
        <v>213.59000000000003</v>
      </c>
      <c r="M56" s="2"/>
      <c r="N56" s="7">
        <f t="shared" si="39"/>
        <v>0.49214285714285722</v>
      </c>
      <c r="O56" s="11"/>
      <c r="P56" s="6">
        <v>2391.7199999999998</v>
      </c>
      <c r="Q56" s="2"/>
      <c r="R56" s="7">
        <f t="shared" si="40"/>
        <v>4.5214663653903421E-4</v>
      </c>
      <c r="S56" s="2"/>
      <c r="T56" s="6">
        <v>2167</v>
      </c>
      <c r="U56" s="2"/>
      <c r="V56" s="7">
        <f t="shared" si="41"/>
        <v>4.175325923976313E-4</v>
      </c>
      <c r="W56" s="2"/>
      <c r="X56" s="6">
        <f t="shared" si="42"/>
        <v>224.7199999999998</v>
      </c>
      <c r="Y56" s="2"/>
      <c r="Z56" s="7">
        <f t="shared" si="43"/>
        <v>0.10370096908167965</v>
      </c>
    </row>
    <row r="57" spans="1:26" s="26" customFormat="1" outlineLevel="1" collapsed="1" x14ac:dyDescent="0.25">
      <c r="A57" s="27"/>
      <c r="B57" s="13" t="str">
        <f>CONCATENATE("     ","Donations                                         ")</f>
        <v xml:space="preserve">     Donations                                         </v>
      </c>
      <c r="C57" s="13"/>
      <c r="D57" s="1">
        <f>SUM(OSRRefD22_5x_0)</f>
        <v>16127.990000000002</v>
      </c>
      <c r="E57" s="1"/>
      <c r="F57" s="5">
        <f t="shared" si="36"/>
        <v>1.4101161892569105E-2</v>
      </c>
      <c r="G57" s="1"/>
      <c r="H57" s="1">
        <f>SUM(OSRRefH22_5x_0)</f>
        <v>14616</v>
      </c>
      <c r="I57" s="1"/>
      <c r="J57" s="5">
        <f t="shared" si="37"/>
        <v>1.4240298212265794E-2</v>
      </c>
      <c r="K57" s="1"/>
      <c r="L57" s="1">
        <f t="shared" si="38"/>
        <v>1511.9900000000016</v>
      </c>
      <c r="M57" s="1"/>
      <c r="N57" s="5">
        <f t="shared" si="39"/>
        <v>0.10344759168035041</v>
      </c>
      <c r="O57" s="13"/>
      <c r="P57" s="1">
        <f>SUM(OSRRefP22_5x_0)</f>
        <v>66243.740000000005</v>
      </c>
      <c r="Q57" s="1"/>
      <c r="R57" s="5">
        <f t="shared" si="40"/>
        <v>1.2523156654109297E-2</v>
      </c>
      <c r="S57" s="1"/>
      <c r="T57" s="1">
        <f>SUM(OSRRefT22_5x_0)</f>
        <v>59390</v>
      </c>
      <c r="U57" s="1"/>
      <c r="V57" s="5">
        <f t="shared" si="41"/>
        <v>1.1443129055143204E-2</v>
      </c>
      <c r="W57" s="1"/>
      <c r="X57" s="1">
        <f t="shared" si="42"/>
        <v>6853.7400000000052</v>
      </c>
      <c r="Y57" s="1"/>
      <c r="Z57" s="5">
        <f t="shared" si="43"/>
        <v>0.11540225627209977</v>
      </c>
    </row>
    <row r="58" spans="1:26" s="24" customFormat="1" hidden="1" outlineLevel="2" x14ac:dyDescent="0.25">
      <c r="A58" s="25"/>
      <c r="B58" s="11" t="str">
        <f>CONCATENATE("          ", "6396", " - ", "COUPONS-CHARTROOM")</f>
        <v xml:space="preserve">          6396 - COUPONS-CHARTROOM</v>
      </c>
      <c r="C58" s="11"/>
      <c r="D58" s="6"/>
      <c r="E58" s="2"/>
      <c r="F58" s="7">
        <f t="shared" si="36"/>
        <v>0</v>
      </c>
      <c r="G58" s="2"/>
      <c r="H58" s="6">
        <v>100</v>
      </c>
      <c r="I58" s="2"/>
      <c r="J58" s="7">
        <f t="shared" si="37"/>
        <v>9.7429517051626942E-5</v>
      </c>
      <c r="K58" s="2"/>
      <c r="L58" s="6">
        <f t="shared" si="38"/>
        <v>-100</v>
      </c>
      <c r="M58" s="2"/>
      <c r="N58" s="7">
        <f t="shared" si="39"/>
        <v>-1</v>
      </c>
      <c r="O58" s="11"/>
      <c r="P58" s="6"/>
      <c r="Q58" s="2"/>
      <c r="R58" s="7">
        <f t="shared" si="40"/>
        <v>0</v>
      </c>
      <c r="S58" s="2"/>
      <c r="T58" s="6">
        <v>500</v>
      </c>
      <c r="U58" s="2"/>
      <c r="V58" s="7">
        <f t="shared" si="41"/>
        <v>9.6338853806560065E-5</v>
      </c>
      <c r="W58" s="2"/>
      <c r="X58" s="6">
        <f t="shared" si="42"/>
        <v>-500</v>
      </c>
      <c r="Y58" s="2"/>
      <c r="Z58" s="7">
        <f t="shared" si="43"/>
        <v>-1</v>
      </c>
    </row>
    <row r="59" spans="1:26" s="24" customFormat="1" hidden="1" outlineLevel="2" x14ac:dyDescent="0.25">
      <c r="A59" s="25"/>
      <c r="B59" s="11" t="str">
        <f>CONCATENATE("          ", "6399", " - ", "DONATION-ON CAMPUS")</f>
        <v xml:space="preserve">          6399 - DONATION-ON CAMPUS</v>
      </c>
      <c r="C59" s="11"/>
      <c r="D59" s="6">
        <v>16127.990000000002</v>
      </c>
      <c r="E59" s="2"/>
      <c r="F59" s="7">
        <f t="shared" si="36"/>
        <v>1.4101161892569105E-2</v>
      </c>
      <c r="G59" s="2"/>
      <c r="H59" s="6">
        <v>14516</v>
      </c>
      <c r="I59" s="2"/>
      <c r="J59" s="7">
        <f t="shared" si="37"/>
        <v>1.4142868695214167E-2</v>
      </c>
      <c r="K59" s="2"/>
      <c r="L59" s="6">
        <f t="shared" si="38"/>
        <v>1611.9900000000016</v>
      </c>
      <c r="M59" s="2"/>
      <c r="N59" s="7">
        <f t="shared" si="39"/>
        <v>0.11104918710388548</v>
      </c>
      <c r="O59" s="11"/>
      <c r="P59" s="6">
        <v>66243.740000000005</v>
      </c>
      <c r="Q59" s="2"/>
      <c r="R59" s="7">
        <f t="shared" si="40"/>
        <v>1.2523156654109297E-2</v>
      </c>
      <c r="S59" s="2"/>
      <c r="T59" s="6">
        <v>58890</v>
      </c>
      <c r="U59" s="2"/>
      <c r="V59" s="7">
        <f t="shared" si="41"/>
        <v>1.1346790201336644E-2</v>
      </c>
      <c r="W59" s="2"/>
      <c r="X59" s="6">
        <f t="shared" si="42"/>
        <v>7353.7400000000052</v>
      </c>
      <c r="Y59" s="2"/>
      <c r="Z59" s="7">
        <f t="shared" si="43"/>
        <v>0.12487247410426228</v>
      </c>
    </row>
    <row r="60" spans="1:26" s="26" customFormat="1" outlineLevel="1" collapsed="1" x14ac:dyDescent="0.25">
      <c r="A60" s="27"/>
      <c r="B60" s="13" t="str">
        <f>CONCATENATE("     ","Employees' Appreciation                           ")</f>
        <v xml:space="preserve">     Employees' Appreciation                           </v>
      </c>
      <c r="C60" s="13"/>
      <c r="D60" s="1">
        <f>SUM(OSRRefD22_6x_0)</f>
        <v>172.19</v>
      </c>
      <c r="E60" s="1"/>
      <c r="F60" s="5">
        <f t="shared" ref="F60:F76" si="44">IF(D$12=0,0,D60/D$12)</f>
        <v>1.5055063069120664E-4</v>
      </c>
      <c r="G60" s="1"/>
      <c r="H60" s="1">
        <f>SUM(OSRRefH22_6x_0)</f>
        <v>805</v>
      </c>
      <c r="I60" s="1"/>
      <c r="J60" s="5">
        <f t="shared" ref="J60:J76" si="45">IF(H$12=0,0,H60/H$12)</f>
        <v>7.8430761226559688E-4</v>
      </c>
      <c r="K60" s="1"/>
      <c r="L60" s="1">
        <f t="shared" ref="L60:L76" si="46">+D60-H60</f>
        <v>-632.80999999999995</v>
      </c>
      <c r="M60" s="1"/>
      <c r="N60" s="5">
        <f t="shared" ref="N60:N76" si="47">IF(H60=0,0,L60/H60)</f>
        <v>-0.78609937888198755</v>
      </c>
      <c r="O60" s="13"/>
      <c r="P60" s="1">
        <f>SUM(OSRRefP22_6x_0)</f>
        <v>1054.8499999999999</v>
      </c>
      <c r="Q60" s="1"/>
      <c r="R60" s="5">
        <f t="shared" ref="R60:R76" si="48">IF(P$12=0,0,P60/P$12)</f>
        <v>1.9941585116702633E-4</v>
      </c>
      <c r="S60" s="1"/>
      <c r="T60" s="1">
        <f>SUM(OSRRefT22_6x_0)</f>
        <v>3205</v>
      </c>
      <c r="U60" s="1"/>
      <c r="V60" s="5">
        <f t="shared" ref="V60:V76" si="49">IF(T$12=0,0,T60/T$12)</f>
        <v>6.1753205290004996E-4</v>
      </c>
      <c r="W60" s="1"/>
      <c r="X60" s="1">
        <f t="shared" ref="X60:X76" si="50">+P60-T60</f>
        <v>-2150.15</v>
      </c>
      <c r="Y60" s="1"/>
      <c r="Z60" s="5">
        <f t="shared" ref="Z60:Z76" si="51">IF(T60=0,0,X60/T60)</f>
        <v>-0.67087363494539787</v>
      </c>
    </row>
    <row r="61" spans="1:26" s="24" customFormat="1" hidden="1" outlineLevel="2" x14ac:dyDescent="0.25">
      <c r="A61" s="25"/>
      <c r="B61" s="11" t="str">
        <f>CONCATENATE("          ", "6277", " - ", "EMPLOYEE APPRECIATION")</f>
        <v xml:space="preserve">          6277 - EMPLOYEE APPRECIATION</v>
      </c>
      <c r="C61" s="11"/>
      <c r="D61" s="6">
        <v>172.19</v>
      </c>
      <c r="E61" s="2"/>
      <c r="F61" s="7">
        <f t="shared" si="44"/>
        <v>1.5055063069120664E-4</v>
      </c>
      <c r="G61" s="2"/>
      <c r="H61" s="6">
        <v>805</v>
      </c>
      <c r="I61" s="2"/>
      <c r="J61" s="7">
        <f t="shared" si="45"/>
        <v>7.8430761226559688E-4</v>
      </c>
      <c r="K61" s="2"/>
      <c r="L61" s="6">
        <f t="shared" si="46"/>
        <v>-632.80999999999995</v>
      </c>
      <c r="M61" s="2"/>
      <c r="N61" s="7">
        <f t="shared" si="47"/>
        <v>-0.78609937888198755</v>
      </c>
      <c r="O61" s="11"/>
      <c r="P61" s="6">
        <v>1054.8499999999999</v>
      </c>
      <c r="Q61" s="2"/>
      <c r="R61" s="7">
        <f t="shared" si="48"/>
        <v>1.9941585116702633E-4</v>
      </c>
      <c r="S61" s="2"/>
      <c r="T61" s="6">
        <v>3205</v>
      </c>
      <c r="U61" s="2"/>
      <c r="V61" s="7">
        <f t="shared" si="49"/>
        <v>6.1753205290004996E-4</v>
      </c>
      <c r="W61" s="2"/>
      <c r="X61" s="6">
        <f t="shared" si="50"/>
        <v>-2150.15</v>
      </c>
      <c r="Y61" s="2"/>
      <c r="Z61" s="7">
        <f t="shared" si="51"/>
        <v>-0.67087363494539787</v>
      </c>
    </row>
    <row r="62" spans="1:26" s="26" customFormat="1" outlineLevel="1" collapsed="1" x14ac:dyDescent="0.25">
      <c r="A62" s="27"/>
      <c r="B62" s="13" t="str">
        <f>CONCATENATE("     ","Equipment Rental                                  ")</f>
        <v xml:space="preserve">     Equipment Rental                                  </v>
      </c>
      <c r="C62" s="13"/>
      <c r="D62" s="1">
        <f>SUM(OSRRefD22_7x_0)</f>
        <v>-2249.69</v>
      </c>
      <c r="E62" s="1"/>
      <c r="F62" s="5">
        <f t="shared" si="44"/>
        <v>-1.9669681651646479E-3</v>
      </c>
      <c r="G62" s="1"/>
      <c r="H62" s="1">
        <f>SUM(OSRRefH22_7x_0)</f>
        <v>670</v>
      </c>
      <c r="I62" s="1"/>
      <c r="J62" s="5">
        <f t="shared" si="45"/>
        <v>6.5277776424590051E-4</v>
      </c>
      <c r="K62" s="1"/>
      <c r="L62" s="1">
        <f t="shared" si="46"/>
        <v>-2919.69</v>
      </c>
      <c r="M62" s="1"/>
      <c r="N62" s="5">
        <f t="shared" si="47"/>
        <v>-4.3577462686567161</v>
      </c>
      <c r="O62" s="13"/>
      <c r="P62" s="1">
        <f>SUM(OSRRefP22_7x_0)</f>
        <v>2589.1799999999998</v>
      </c>
      <c r="Q62" s="1"/>
      <c r="R62" s="5">
        <f t="shared" si="48"/>
        <v>4.8947578662809053E-4</v>
      </c>
      <c r="S62" s="1"/>
      <c r="T62" s="1">
        <f>SUM(OSRRefT22_7x_0)</f>
        <v>3550</v>
      </c>
      <c r="U62" s="1"/>
      <c r="V62" s="5">
        <f t="shared" si="49"/>
        <v>6.8400586202657643E-4</v>
      </c>
      <c r="W62" s="1"/>
      <c r="X62" s="1">
        <f t="shared" si="50"/>
        <v>-960.82000000000016</v>
      </c>
      <c r="Y62" s="1"/>
      <c r="Z62" s="5">
        <f t="shared" si="51"/>
        <v>-0.27065352112676061</v>
      </c>
    </row>
    <row r="63" spans="1:26" s="24" customFormat="1" hidden="1" outlineLevel="2" x14ac:dyDescent="0.25">
      <c r="A63" s="25"/>
      <c r="B63" s="11" t="str">
        <f>CONCATENATE("          ", "6351", " - ", "EQUIPMENT RENTAL")</f>
        <v xml:space="preserve">          6351 - EQUIPMENT RENTAL</v>
      </c>
      <c r="C63" s="11"/>
      <c r="D63" s="6">
        <v>-2249.69</v>
      </c>
      <c r="E63" s="2"/>
      <c r="F63" s="7">
        <f t="shared" si="44"/>
        <v>-1.9669681651646479E-3</v>
      </c>
      <c r="G63" s="2"/>
      <c r="H63" s="6">
        <v>670</v>
      </c>
      <c r="I63" s="2"/>
      <c r="J63" s="7">
        <f t="shared" si="45"/>
        <v>6.5277776424590051E-4</v>
      </c>
      <c r="K63" s="2"/>
      <c r="L63" s="6">
        <f t="shared" si="46"/>
        <v>-2919.69</v>
      </c>
      <c r="M63" s="2"/>
      <c r="N63" s="7">
        <f t="shared" si="47"/>
        <v>-4.3577462686567161</v>
      </c>
      <c r="O63" s="11"/>
      <c r="P63" s="6">
        <v>2589.1799999999998</v>
      </c>
      <c r="Q63" s="2"/>
      <c r="R63" s="7">
        <f t="shared" si="48"/>
        <v>4.8947578662809053E-4</v>
      </c>
      <c r="S63" s="2"/>
      <c r="T63" s="6">
        <v>3550</v>
      </c>
      <c r="U63" s="2"/>
      <c r="V63" s="7">
        <f t="shared" si="49"/>
        <v>6.8400586202657643E-4</v>
      </c>
      <c r="W63" s="2"/>
      <c r="X63" s="6">
        <f t="shared" si="50"/>
        <v>-960.82000000000016</v>
      </c>
      <c r="Y63" s="2"/>
      <c r="Z63" s="7">
        <f t="shared" si="51"/>
        <v>-0.27065352112676061</v>
      </c>
    </row>
    <row r="64" spans="1:26" s="26" customFormat="1" outlineLevel="1" collapsed="1" x14ac:dyDescent="0.25">
      <c r="A64" s="27"/>
      <c r="B64" s="13" t="str">
        <f>CONCATENATE("     ","Freight out/Postage                               ")</f>
        <v xml:space="preserve">     Freight out/Postage                               </v>
      </c>
      <c r="C64" s="13"/>
      <c r="D64" s="1">
        <f>SUM(OSRRefD22_8x_0)</f>
        <v>0</v>
      </c>
      <c r="E64" s="1"/>
      <c r="F64" s="5">
        <f t="shared" si="44"/>
        <v>0</v>
      </c>
      <c r="G64" s="1"/>
      <c r="H64" s="1">
        <f>SUM(OSRRefH22_8x_0)</f>
        <v>1</v>
      </c>
      <c r="I64" s="1"/>
      <c r="J64" s="5">
        <f t="shared" si="45"/>
        <v>9.7429517051626932E-7</v>
      </c>
      <c r="K64" s="1"/>
      <c r="L64" s="1">
        <f t="shared" si="46"/>
        <v>-1</v>
      </c>
      <c r="M64" s="1"/>
      <c r="N64" s="5">
        <f t="shared" si="47"/>
        <v>-1</v>
      </c>
      <c r="O64" s="13"/>
      <c r="P64" s="1">
        <f>SUM(OSRRefP22_8x_0)</f>
        <v>0</v>
      </c>
      <c r="Q64" s="1"/>
      <c r="R64" s="5">
        <f t="shared" si="48"/>
        <v>0</v>
      </c>
      <c r="S64" s="1"/>
      <c r="T64" s="1">
        <f>SUM(OSRRefT22_8x_0)</f>
        <v>5</v>
      </c>
      <c r="U64" s="1"/>
      <c r="V64" s="5">
        <f t="shared" si="49"/>
        <v>9.6338853806560068E-7</v>
      </c>
      <c r="W64" s="1"/>
      <c r="X64" s="1">
        <f t="shared" si="50"/>
        <v>-5</v>
      </c>
      <c r="Y64" s="1"/>
      <c r="Z64" s="5">
        <f t="shared" si="51"/>
        <v>-1</v>
      </c>
    </row>
    <row r="65" spans="1:26" s="24" customFormat="1" hidden="1" outlineLevel="2" x14ac:dyDescent="0.25">
      <c r="A65" s="25"/>
      <c r="B65" s="11" t="str">
        <f>CONCATENATE("          ", "6307", " - ", "POSTAGE")</f>
        <v xml:space="preserve">          6307 - POSTAGE</v>
      </c>
      <c r="C65" s="11"/>
      <c r="D65" s="6"/>
      <c r="E65" s="2"/>
      <c r="F65" s="7">
        <f t="shared" si="44"/>
        <v>0</v>
      </c>
      <c r="G65" s="2"/>
      <c r="H65" s="6">
        <v>1</v>
      </c>
      <c r="I65" s="2"/>
      <c r="J65" s="7">
        <f t="shared" si="45"/>
        <v>9.7429517051626932E-7</v>
      </c>
      <c r="K65" s="2"/>
      <c r="L65" s="6">
        <f t="shared" si="46"/>
        <v>-1</v>
      </c>
      <c r="M65" s="2"/>
      <c r="N65" s="7">
        <f t="shared" si="47"/>
        <v>-1</v>
      </c>
      <c r="O65" s="11"/>
      <c r="P65" s="6"/>
      <c r="Q65" s="2"/>
      <c r="R65" s="7">
        <f t="shared" si="48"/>
        <v>0</v>
      </c>
      <c r="S65" s="2"/>
      <c r="T65" s="6">
        <v>5</v>
      </c>
      <c r="U65" s="2"/>
      <c r="V65" s="7">
        <f t="shared" si="49"/>
        <v>9.6338853806560068E-7</v>
      </c>
      <c r="W65" s="2"/>
      <c r="X65" s="6">
        <f t="shared" si="50"/>
        <v>-5</v>
      </c>
      <c r="Y65" s="2"/>
      <c r="Z65" s="7">
        <f t="shared" si="51"/>
        <v>-1</v>
      </c>
    </row>
    <row r="66" spans="1:26" s="26" customFormat="1" outlineLevel="1" collapsed="1" x14ac:dyDescent="0.25">
      <c r="A66" s="27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SUM(OSRRefD22_9x_0)</f>
        <v>94.5</v>
      </c>
      <c r="E66" s="1"/>
      <c r="F66" s="5">
        <f t="shared" si="44"/>
        <v>8.2624046694459782E-5</v>
      </c>
      <c r="G66" s="1"/>
      <c r="H66" s="1">
        <f>SUM(OSRRefH22_9x_0)</f>
        <v>1113</v>
      </c>
      <c r="I66" s="1"/>
      <c r="J66" s="5">
        <f t="shared" si="45"/>
        <v>1.0843905247846079E-3</v>
      </c>
      <c r="K66" s="1"/>
      <c r="L66" s="1">
        <f t="shared" si="46"/>
        <v>-1018.5</v>
      </c>
      <c r="M66" s="1"/>
      <c r="N66" s="5">
        <f t="shared" si="47"/>
        <v>-0.91509433962264153</v>
      </c>
      <c r="O66" s="13"/>
      <c r="P66" s="1">
        <f>SUM(OSRRefP22_9x_0)</f>
        <v>6924.88</v>
      </c>
      <c r="Q66" s="1"/>
      <c r="R66" s="5">
        <f t="shared" si="48"/>
        <v>1.3091253158548774E-3</v>
      </c>
      <c r="S66" s="1"/>
      <c r="T66" s="1">
        <f>SUM(OSRRefT22_9x_0)</f>
        <v>7992</v>
      </c>
      <c r="U66" s="1"/>
      <c r="V66" s="5">
        <f t="shared" si="49"/>
        <v>1.539880239244056E-3</v>
      </c>
      <c r="W66" s="1"/>
      <c r="X66" s="1">
        <f t="shared" si="50"/>
        <v>-1067.1199999999999</v>
      </c>
      <c r="Y66" s="1"/>
      <c r="Z66" s="5">
        <f t="shared" si="51"/>
        <v>-0.13352352352352351</v>
      </c>
    </row>
    <row r="67" spans="1:26" s="24" customFormat="1" hidden="1" outlineLevel="2" x14ac:dyDescent="0.25">
      <c r="A67" s="25"/>
      <c r="B67" s="11" t="str">
        <f>CONCATENATE("          ", "6279", " - ", "GENERAL EXPENSE")</f>
        <v xml:space="preserve">          6279 - GENERAL EXPENSE</v>
      </c>
      <c r="C67" s="11"/>
      <c r="D67" s="6">
        <v>94.5</v>
      </c>
      <c r="E67" s="2"/>
      <c r="F67" s="7">
        <f t="shared" si="44"/>
        <v>8.2624046694459782E-5</v>
      </c>
      <c r="G67" s="2"/>
      <c r="H67" s="6">
        <v>1113</v>
      </c>
      <c r="I67" s="2"/>
      <c r="J67" s="7">
        <f t="shared" si="45"/>
        <v>1.0843905247846079E-3</v>
      </c>
      <c r="K67" s="2"/>
      <c r="L67" s="6">
        <f t="shared" si="46"/>
        <v>-1018.5</v>
      </c>
      <c r="M67" s="2"/>
      <c r="N67" s="7">
        <f t="shared" si="47"/>
        <v>-0.91509433962264153</v>
      </c>
      <c r="O67" s="11"/>
      <c r="P67" s="6">
        <v>6924.88</v>
      </c>
      <c r="Q67" s="2"/>
      <c r="R67" s="7">
        <f t="shared" si="48"/>
        <v>1.3091253158548774E-3</v>
      </c>
      <c r="S67" s="2"/>
      <c r="T67" s="6">
        <v>7992</v>
      </c>
      <c r="U67" s="2"/>
      <c r="V67" s="7">
        <f t="shared" si="49"/>
        <v>1.539880239244056E-3</v>
      </c>
      <c r="W67" s="2"/>
      <c r="X67" s="6">
        <f t="shared" si="50"/>
        <v>-1067.1199999999999</v>
      </c>
      <c r="Y67" s="2"/>
      <c r="Z67" s="7">
        <f t="shared" si="51"/>
        <v>-0.13352352352352351</v>
      </c>
    </row>
    <row r="68" spans="1:26" s="26" customFormat="1" outlineLevel="1" collapsed="1" x14ac:dyDescent="0.25">
      <c r="A68" s="27"/>
      <c r="B68" s="13" t="str">
        <f>CONCATENATE("     ","Insurance                                         ")</f>
        <v xml:space="preserve">     Insurance                                         </v>
      </c>
      <c r="C68" s="13"/>
      <c r="D68" s="1">
        <f>SUM(OSRRefD22_10x_0)</f>
        <v>5.9</v>
      </c>
      <c r="E68" s="1"/>
      <c r="F68" s="5">
        <f t="shared" si="44"/>
        <v>5.1585383650509278E-6</v>
      </c>
      <c r="G68" s="1"/>
      <c r="H68" s="1">
        <f>SUM(OSRRefH22_10x_0)</f>
        <v>5</v>
      </c>
      <c r="I68" s="1"/>
      <c r="J68" s="5">
        <f t="shared" si="45"/>
        <v>4.8714758525813466E-6</v>
      </c>
      <c r="K68" s="1"/>
      <c r="L68" s="1">
        <f t="shared" si="46"/>
        <v>0.90000000000000036</v>
      </c>
      <c r="M68" s="1"/>
      <c r="N68" s="5">
        <f t="shared" si="47"/>
        <v>0.18000000000000008</v>
      </c>
      <c r="O68" s="13"/>
      <c r="P68" s="1">
        <f>SUM(OSRRefP22_10x_0)</f>
        <v>29.5</v>
      </c>
      <c r="Q68" s="1"/>
      <c r="R68" s="5">
        <f t="shared" si="48"/>
        <v>5.5768759628641775E-6</v>
      </c>
      <c r="S68" s="1"/>
      <c r="T68" s="1">
        <f>SUM(OSRRefT22_10x_0)</f>
        <v>25</v>
      </c>
      <c r="U68" s="1"/>
      <c r="V68" s="5">
        <f t="shared" si="49"/>
        <v>4.8169426903280026E-6</v>
      </c>
      <c r="W68" s="1"/>
      <c r="X68" s="1">
        <f t="shared" si="50"/>
        <v>4.5</v>
      </c>
      <c r="Y68" s="1"/>
      <c r="Z68" s="5">
        <f t="shared" si="51"/>
        <v>0.18</v>
      </c>
    </row>
    <row r="69" spans="1:26" s="24" customFormat="1" hidden="1" outlineLevel="2" x14ac:dyDescent="0.25">
      <c r="A69" s="25"/>
      <c r="B69" s="11" t="str">
        <f>CONCATENATE("          ", "6314", " - ", "LIABILITY INSURANCE")</f>
        <v xml:space="preserve">          6314 - LIABILITY INSURANCE</v>
      </c>
      <c r="C69" s="11"/>
      <c r="D69" s="6">
        <v>5.9</v>
      </c>
      <c r="E69" s="2"/>
      <c r="F69" s="7">
        <f t="shared" si="44"/>
        <v>5.1585383650509278E-6</v>
      </c>
      <c r="G69" s="2"/>
      <c r="H69" s="6">
        <v>5</v>
      </c>
      <c r="I69" s="2"/>
      <c r="J69" s="7">
        <f t="shared" si="45"/>
        <v>4.8714758525813466E-6</v>
      </c>
      <c r="K69" s="2"/>
      <c r="L69" s="6">
        <f t="shared" si="46"/>
        <v>0.90000000000000036</v>
      </c>
      <c r="M69" s="2"/>
      <c r="N69" s="7">
        <f t="shared" si="47"/>
        <v>0.18000000000000008</v>
      </c>
      <c r="O69" s="11"/>
      <c r="P69" s="6">
        <v>29.5</v>
      </c>
      <c r="Q69" s="2"/>
      <c r="R69" s="7">
        <f t="shared" si="48"/>
        <v>5.5768759628641775E-6</v>
      </c>
      <c r="S69" s="2"/>
      <c r="T69" s="6">
        <v>25</v>
      </c>
      <c r="U69" s="2"/>
      <c r="V69" s="7">
        <f t="shared" si="49"/>
        <v>4.8169426903280026E-6</v>
      </c>
      <c r="W69" s="2"/>
      <c r="X69" s="6">
        <f t="shared" si="50"/>
        <v>4.5</v>
      </c>
      <c r="Y69" s="2"/>
      <c r="Z69" s="7">
        <f t="shared" si="51"/>
        <v>0.18</v>
      </c>
    </row>
    <row r="70" spans="1:26" s="26" customFormat="1" outlineLevel="1" collapsed="1" x14ac:dyDescent="0.25">
      <c r="A70" s="27"/>
      <c r="B70" s="13" t="str">
        <f>CONCATENATE("     ","R/H Commissions                                   ")</f>
        <v xml:space="preserve">     R/H Commissions                                   </v>
      </c>
      <c r="C70" s="13"/>
      <c r="D70" s="1">
        <f>SUM(OSRRefD22_11x_0)</f>
        <v>88207.73000000001</v>
      </c>
      <c r="E70" s="1"/>
      <c r="F70" s="5">
        <f t="shared" si="44"/>
        <v>7.7122535474415888E-2</v>
      </c>
      <c r="G70" s="1"/>
      <c r="H70" s="1">
        <f>SUM(OSRRefH22_11x_0)</f>
        <v>82175</v>
      </c>
      <c r="I70" s="1"/>
      <c r="J70" s="5">
        <f t="shared" si="45"/>
        <v>8.0062705637174436E-2</v>
      </c>
      <c r="K70" s="1"/>
      <c r="L70" s="1">
        <f t="shared" si="46"/>
        <v>6032.7300000000105</v>
      </c>
      <c r="M70" s="1"/>
      <c r="N70" s="5">
        <f t="shared" si="47"/>
        <v>7.3413203529053978E-2</v>
      </c>
      <c r="O70" s="13"/>
      <c r="P70" s="1">
        <f>SUM(OSRRefP22_11x_0)</f>
        <v>406895.16</v>
      </c>
      <c r="Q70" s="1"/>
      <c r="R70" s="5">
        <f t="shared" si="48"/>
        <v>7.6922163973212651E-2</v>
      </c>
      <c r="S70" s="1"/>
      <c r="T70" s="1">
        <f>SUM(OSRRefT22_11x_0)</f>
        <v>415204</v>
      </c>
      <c r="U70" s="1"/>
      <c r="V70" s="5">
        <f t="shared" si="49"/>
        <v>8.000055491179793E-2</v>
      </c>
      <c r="W70" s="1"/>
      <c r="X70" s="1">
        <f t="shared" si="50"/>
        <v>-8308.8400000000256</v>
      </c>
      <c r="Y70" s="1"/>
      <c r="Z70" s="5">
        <f t="shared" si="51"/>
        <v>-2.001146424408249E-2</v>
      </c>
    </row>
    <row r="71" spans="1:26" s="24" customFormat="1" hidden="1" outlineLevel="2" x14ac:dyDescent="0.25">
      <c r="A71" s="25"/>
      <c r="B71" s="11" t="str">
        <f>CONCATENATE("          ", "6387", " - ", "COMMISSION DUE HOUSING")</f>
        <v xml:space="preserve">          6387 - COMMISSION DUE HOUSING</v>
      </c>
      <c r="C71" s="11"/>
      <c r="D71" s="6">
        <v>88207.73000000001</v>
      </c>
      <c r="E71" s="2"/>
      <c r="F71" s="7">
        <f t="shared" si="44"/>
        <v>7.7122535474415888E-2</v>
      </c>
      <c r="G71" s="2"/>
      <c r="H71" s="6">
        <v>82175</v>
      </c>
      <c r="I71" s="2"/>
      <c r="J71" s="7">
        <f t="shared" si="45"/>
        <v>8.0062705637174436E-2</v>
      </c>
      <c r="K71" s="2"/>
      <c r="L71" s="6">
        <f t="shared" si="46"/>
        <v>6032.7300000000105</v>
      </c>
      <c r="M71" s="2"/>
      <c r="N71" s="7">
        <f t="shared" si="47"/>
        <v>7.3413203529053978E-2</v>
      </c>
      <c r="O71" s="11"/>
      <c r="P71" s="6">
        <v>406895.16</v>
      </c>
      <c r="Q71" s="2"/>
      <c r="R71" s="7">
        <f t="shared" si="48"/>
        <v>7.6922163973212651E-2</v>
      </c>
      <c r="S71" s="2"/>
      <c r="T71" s="6">
        <v>415204</v>
      </c>
      <c r="U71" s="2"/>
      <c r="V71" s="7">
        <f t="shared" si="49"/>
        <v>8.000055491179793E-2</v>
      </c>
      <c r="W71" s="2"/>
      <c r="X71" s="6">
        <f t="shared" si="50"/>
        <v>-8308.8400000000256</v>
      </c>
      <c r="Y71" s="2"/>
      <c r="Z71" s="7">
        <f t="shared" si="51"/>
        <v>-2.001146424408249E-2</v>
      </c>
    </row>
    <row r="72" spans="1:26" s="26" customFormat="1" outlineLevel="1" collapsed="1" x14ac:dyDescent="0.25">
      <c r="A72" s="27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SUM(OSRRefD22_12x_0)</f>
        <v>16550.36</v>
      </c>
      <c r="E72" s="1"/>
      <c r="F72" s="5">
        <f t="shared" si="44"/>
        <v>1.44704520365092E-2</v>
      </c>
      <c r="G72" s="1"/>
      <c r="H72" s="1">
        <f>SUM(OSRRefH22_12x_0)</f>
        <v>3737</v>
      </c>
      <c r="I72" s="1"/>
      <c r="J72" s="5">
        <f t="shared" si="45"/>
        <v>3.6409410522192987E-3</v>
      </c>
      <c r="K72" s="1"/>
      <c r="L72" s="1">
        <f t="shared" si="46"/>
        <v>12813.36</v>
      </c>
      <c r="M72" s="1"/>
      <c r="N72" s="5">
        <f t="shared" si="47"/>
        <v>3.428782445812149</v>
      </c>
      <c r="O72" s="13"/>
      <c r="P72" s="1">
        <f>SUM(OSRRefP22_12x_0)</f>
        <v>23398.719999999998</v>
      </c>
      <c r="Q72" s="1"/>
      <c r="R72" s="5">
        <f t="shared" si="48"/>
        <v>4.4234494620267548E-3</v>
      </c>
      <c r="S72" s="1"/>
      <c r="T72" s="1">
        <f>SUM(OSRRefT22_12x_0)</f>
        <v>13755</v>
      </c>
      <c r="U72" s="1"/>
      <c r="V72" s="5">
        <f t="shared" si="49"/>
        <v>2.6502818682184672E-3</v>
      </c>
      <c r="W72" s="1"/>
      <c r="X72" s="1">
        <f t="shared" si="50"/>
        <v>9643.7199999999975</v>
      </c>
      <c r="Y72" s="1"/>
      <c r="Z72" s="5">
        <f t="shared" si="51"/>
        <v>0.70110650672482711</v>
      </c>
    </row>
    <row r="73" spans="1:26" s="24" customFormat="1" hidden="1" outlineLevel="2" x14ac:dyDescent="0.25">
      <c r="A73" s="25"/>
      <c r="B73" s="11" t="str">
        <f>CONCATENATE("          ", "6371", " - ", "COMPUTER SOFTWARE MAINTENANCE")</f>
        <v xml:space="preserve">          6371 - COMPUTER SOFTWARE MAINTENANCE</v>
      </c>
      <c r="C73" s="11"/>
      <c r="D73" s="6">
        <v>16477.5</v>
      </c>
      <c r="E73" s="2"/>
      <c r="F73" s="7">
        <f t="shared" si="44"/>
        <v>1.4406748459343503E-2</v>
      </c>
      <c r="G73" s="2"/>
      <c r="H73" s="6">
        <v>1497</v>
      </c>
      <c r="I73" s="2"/>
      <c r="J73" s="7">
        <f t="shared" si="45"/>
        <v>1.4585198702628552E-3</v>
      </c>
      <c r="K73" s="2"/>
      <c r="L73" s="6">
        <f t="shared" si="46"/>
        <v>14980.5</v>
      </c>
      <c r="M73" s="2"/>
      <c r="N73" s="7">
        <f t="shared" si="47"/>
        <v>10.007014028056112</v>
      </c>
      <c r="O73" s="11"/>
      <c r="P73" s="6">
        <v>22817.929999999997</v>
      </c>
      <c r="Q73" s="2"/>
      <c r="R73" s="7">
        <f t="shared" si="48"/>
        <v>4.3136530623497414E-3</v>
      </c>
      <c r="S73" s="2"/>
      <c r="T73" s="6">
        <v>7485</v>
      </c>
      <c r="U73" s="2"/>
      <c r="V73" s="7">
        <f t="shared" si="49"/>
        <v>1.442192641484204E-3</v>
      </c>
      <c r="W73" s="2"/>
      <c r="X73" s="6">
        <f t="shared" si="50"/>
        <v>15332.929999999997</v>
      </c>
      <c r="Y73" s="2"/>
      <c r="Z73" s="7">
        <f t="shared" si="51"/>
        <v>2.0484876419505675</v>
      </c>
    </row>
    <row r="74" spans="1:26" s="24" customFormat="1" hidden="1" outlineLevel="2" x14ac:dyDescent="0.25">
      <c r="A74" s="25"/>
      <c r="B74" s="11" t="str">
        <f>CONCATENATE("          ", "6372", " - ", "COMPUTER HARDWARE MAINTENANCE")</f>
        <v xml:space="preserve">          6372 - COMPUTER HARDWARE MAINTENANCE</v>
      </c>
      <c r="C74" s="11"/>
      <c r="D74" s="6"/>
      <c r="E74" s="2"/>
      <c r="F74" s="7">
        <f t="shared" si="44"/>
        <v>0</v>
      </c>
      <c r="G74" s="2"/>
      <c r="H74" s="6"/>
      <c r="I74" s="2"/>
      <c r="J74" s="7">
        <f t="shared" si="45"/>
        <v>0</v>
      </c>
      <c r="K74" s="2"/>
      <c r="L74" s="6">
        <f t="shared" si="46"/>
        <v>0</v>
      </c>
      <c r="M74" s="2"/>
      <c r="N74" s="7">
        <f t="shared" si="47"/>
        <v>0</v>
      </c>
      <c r="O74" s="11"/>
      <c r="P74" s="6"/>
      <c r="Q74" s="2"/>
      <c r="R74" s="7">
        <f t="shared" si="48"/>
        <v>0</v>
      </c>
      <c r="S74" s="2"/>
      <c r="T74" s="6">
        <v>70</v>
      </c>
      <c r="U74" s="2"/>
      <c r="V74" s="7">
        <f t="shared" si="49"/>
        <v>1.3487439532918408E-5</v>
      </c>
      <c r="W74" s="2"/>
      <c r="X74" s="6">
        <f t="shared" si="50"/>
        <v>-70</v>
      </c>
      <c r="Y74" s="2"/>
      <c r="Z74" s="7">
        <f t="shared" si="51"/>
        <v>-1</v>
      </c>
    </row>
    <row r="75" spans="1:26" s="24" customFormat="1" hidden="1" outlineLevel="2" x14ac:dyDescent="0.25">
      <c r="A75" s="25"/>
      <c r="B75" s="11" t="str">
        <f>CONCATENATE("          ", "6373", " - ", "MAINTENANCE CONTRACTS")</f>
        <v xml:space="preserve">          6373 - MAINTENANCE CONTRACTS</v>
      </c>
      <c r="C75" s="11"/>
      <c r="D75" s="6">
        <v>9.73</v>
      </c>
      <c r="E75" s="2"/>
      <c r="F75" s="7">
        <f t="shared" si="44"/>
        <v>8.5072166596517843E-6</v>
      </c>
      <c r="G75" s="2"/>
      <c r="H75" s="6">
        <v>1730</v>
      </c>
      <c r="I75" s="2"/>
      <c r="J75" s="7">
        <f t="shared" si="45"/>
        <v>1.6855306449931461E-3</v>
      </c>
      <c r="K75" s="2"/>
      <c r="L75" s="6">
        <f t="shared" si="46"/>
        <v>-1720.27</v>
      </c>
      <c r="M75" s="2"/>
      <c r="N75" s="7">
        <f t="shared" si="47"/>
        <v>-0.9943757225433526</v>
      </c>
      <c r="O75" s="11"/>
      <c r="P75" s="6">
        <v>260.39</v>
      </c>
      <c r="Q75" s="2"/>
      <c r="R75" s="7">
        <f t="shared" si="48"/>
        <v>4.922585532102383E-5</v>
      </c>
      <c r="S75" s="2"/>
      <c r="T75" s="6">
        <v>3650</v>
      </c>
      <c r="U75" s="2"/>
      <c r="V75" s="7">
        <f t="shared" si="49"/>
        <v>7.0327363278788841E-4</v>
      </c>
      <c r="W75" s="2"/>
      <c r="X75" s="6">
        <f t="shared" si="50"/>
        <v>-3389.61</v>
      </c>
      <c r="Y75" s="2"/>
      <c r="Z75" s="7">
        <f t="shared" si="51"/>
        <v>-0.92866027397260276</v>
      </c>
    </row>
    <row r="76" spans="1:26" s="24" customFormat="1" hidden="1" outlineLevel="2" x14ac:dyDescent="0.25">
      <c r="A76" s="25"/>
      <c r="B76" s="11" t="str">
        <f>CONCATENATE("          ", "6375", " - ", "OUTSIDE REPAIRS &amp; MAINTENANCE")</f>
        <v xml:space="preserve">          6375 - OUTSIDE REPAIRS &amp; MAINTENANCE</v>
      </c>
      <c r="C76" s="11"/>
      <c r="D76" s="6">
        <v>63.13</v>
      </c>
      <c r="E76" s="2"/>
      <c r="F76" s="7">
        <f t="shared" si="44"/>
        <v>5.5196360506044929E-5</v>
      </c>
      <c r="G76" s="2"/>
      <c r="H76" s="6">
        <v>510</v>
      </c>
      <c r="I76" s="2"/>
      <c r="J76" s="7">
        <f t="shared" si="45"/>
        <v>4.9689053696329733E-4</v>
      </c>
      <c r="K76" s="2"/>
      <c r="L76" s="6">
        <f t="shared" si="46"/>
        <v>-446.87</v>
      </c>
      <c r="M76" s="2"/>
      <c r="N76" s="7">
        <f t="shared" si="47"/>
        <v>-0.87621568627450985</v>
      </c>
      <c r="O76" s="11"/>
      <c r="P76" s="6">
        <v>320.39999999999998</v>
      </c>
      <c r="Q76" s="2"/>
      <c r="R76" s="7">
        <f t="shared" si="48"/>
        <v>6.0570544355989231E-5</v>
      </c>
      <c r="S76" s="2"/>
      <c r="T76" s="6">
        <v>2550</v>
      </c>
      <c r="U76" s="2"/>
      <c r="V76" s="7">
        <f t="shared" si="49"/>
        <v>4.9132815441345627E-4</v>
      </c>
      <c r="W76" s="2"/>
      <c r="X76" s="6">
        <f t="shared" si="50"/>
        <v>-2229.6</v>
      </c>
      <c r="Y76" s="2"/>
      <c r="Z76" s="7">
        <f t="shared" si="51"/>
        <v>-0.87435294117647056</v>
      </c>
    </row>
    <row r="77" spans="1:26" s="26" customFormat="1" outlineLevel="1" collapsed="1" x14ac:dyDescent="0.25">
      <c r="A77" s="27"/>
      <c r="B77" s="13" t="str">
        <f>CONCATENATE("     ","Services                                          ")</f>
        <v xml:space="preserve">     Services                                          </v>
      </c>
      <c r="C77" s="13"/>
      <c r="D77" s="1">
        <f>SUM(OSRRefD22_13x_0)</f>
        <v>17052.95</v>
      </c>
      <c r="E77" s="1"/>
      <c r="F77" s="5">
        <f t="shared" ref="F77:F81" si="52">IF(D$12=0,0,D77/D$12)</f>
        <v>1.4909880815643258E-2</v>
      </c>
      <c r="G77" s="1"/>
      <c r="H77" s="1">
        <f>SUM(OSRRefH22_13x_0)</f>
        <v>18749</v>
      </c>
      <c r="I77" s="1"/>
      <c r="J77" s="5">
        <f t="shared" ref="J77:J81" si="53">IF(H$12=0,0,H77/H$12)</f>
        <v>1.8267060152009535E-2</v>
      </c>
      <c r="K77" s="1"/>
      <c r="L77" s="1">
        <f t="shared" ref="L77:L81" si="54">+D77-H77</f>
        <v>-1696.0499999999993</v>
      </c>
      <c r="M77" s="1"/>
      <c r="N77" s="5">
        <f t="shared" ref="N77:N81" si="55">IF(H77=0,0,L77/H77)</f>
        <v>-9.046082457731075E-2</v>
      </c>
      <c r="O77" s="13"/>
      <c r="P77" s="1">
        <f>SUM(OSRRefP22_13x_0)</f>
        <v>95142.73000000001</v>
      </c>
      <c r="Q77" s="1"/>
      <c r="R77" s="5">
        <f t="shared" ref="R77:R81" si="56">IF(P$12=0,0,P77/P$12)</f>
        <v>1.7986413694178863E-2</v>
      </c>
      <c r="S77" s="1"/>
      <c r="T77" s="1">
        <f>SUM(OSRRefT22_13x_0)</f>
        <v>92603</v>
      </c>
      <c r="U77" s="1"/>
      <c r="V77" s="5">
        <f t="shared" ref="V77:V81" si="57">IF(T$12=0,0,T77/T$12)</f>
        <v>1.7842533758097762E-2</v>
      </c>
      <c r="W77" s="1"/>
      <c r="X77" s="1">
        <f t="shared" ref="X77:X81" si="58">+P77-T77</f>
        <v>2539.7300000000105</v>
      </c>
      <c r="Y77" s="1"/>
      <c r="Z77" s="5">
        <f t="shared" ref="Z77:Z81" si="59">IF(T77=0,0,X77/T77)</f>
        <v>2.7426001317452032E-2</v>
      </c>
    </row>
    <row r="78" spans="1:26" s="24" customFormat="1" hidden="1" outlineLevel="2" x14ac:dyDescent="0.25">
      <c r="A78" s="25"/>
      <c r="B78" s="11" t="str">
        <f>CONCATENATE("          ", "6282", " - ", "JANITORIAL/EXTERMINATOR EXPENS")</f>
        <v xml:space="preserve">          6282 - JANITORIAL/EXTERMINATOR EXPENS</v>
      </c>
      <c r="C78" s="11"/>
      <c r="D78" s="6">
        <v>1508.3</v>
      </c>
      <c r="E78" s="2"/>
      <c r="F78" s="7">
        <f t="shared" si="52"/>
        <v>1.3187497315264938E-3</v>
      </c>
      <c r="G78" s="2"/>
      <c r="H78" s="6">
        <v>1630</v>
      </c>
      <c r="I78" s="2"/>
      <c r="J78" s="7">
        <f t="shared" si="53"/>
        <v>1.5881011279415191E-3</v>
      </c>
      <c r="K78" s="2"/>
      <c r="L78" s="6">
        <f t="shared" si="54"/>
        <v>-121.70000000000005</v>
      </c>
      <c r="M78" s="2"/>
      <c r="N78" s="7">
        <f t="shared" si="55"/>
        <v>-7.4662576687116594E-2</v>
      </c>
      <c r="O78" s="11"/>
      <c r="P78" s="6">
        <v>7811.5</v>
      </c>
      <c r="Q78" s="2"/>
      <c r="R78" s="7">
        <f t="shared" si="56"/>
        <v>1.4767378503021532E-3</v>
      </c>
      <c r="S78" s="2"/>
      <c r="T78" s="6">
        <v>8150</v>
      </c>
      <c r="U78" s="2"/>
      <c r="V78" s="7">
        <f t="shared" si="57"/>
        <v>1.5703233170469291E-3</v>
      </c>
      <c r="W78" s="2"/>
      <c r="X78" s="6">
        <f t="shared" si="58"/>
        <v>-338.5</v>
      </c>
      <c r="Y78" s="2"/>
      <c r="Z78" s="7">
        <f t="shared" si="59"/>
        <v>-4.1533742331288342E-2</v>
      </c>
    </row>
    <row r="79" spans="1:26" s="24" customFormat="1" hidden="1" outlineLevel="2" x14ac:dyDescent="0.25">
      <c r="A79" s="25"/>
      <c r="B79" s="11" t="str">
        <f>CONCATENATE("          ", "6284", " - ", "TRASH REMOVAL EXPENSE")</f>
        <v xml:space="preserve">          6284 - TRASH REMOVAL EXPENSE</v>
      </c>
      <c r="C79" s="11"/>
      <c r="D79" s="6"/>
      <c r="E79" s="2"/>
      <c r="F79" s="7">
        <f t="shared" si="52"/>
        <v>0</v>
      </c>
      <c r="G79" s="2"/>
      <c r="H79" s="6">
        <v>550</v>
      </c>
      <c r="I79" s="2"/>
      <c r="J79" s="7">
        <f t="shared" si="53"/>
        <v>5.3586234378394815E-4</v>
      </c>
      <c r="K79" s="2"/>
      <c r="L79" s="6">
        <f t="shared" si="54"/>
        <v>-550</v>
      </c>
      <c r="M79" s="2"/>
      <c r="N79" s="7">
        <f t="shared" si="55"/>
        <v>-1</v>
      </c>
      <c r="O79" s="11"/>
      <c r="P79" s="6"/>
      <c r="Q79" s="2"/>
      <c r="R79" s="7">
        <f t="shared" si="56"/>
        <v>0</v>
      </c>
      <c r="S79" s="2"/>
      <c r="T79" s="6">
        <v>2700</v>
      </c>
      <c r="U79" s="2"/>
      <c r="V79" s="7">
        <f t="shared" si="57"/>
        <v>5.202298105554243E-4</v>
      </c>
      <c r="W79" s="2"/>
      <c r="X79" s="6">
        <f t="shared" si="58"/>
        <v>-2700</v>
      </c>
      <c r="Y79" s="2"/>
      <c r="Z79" s="7">
        <f t="shared" si="59"/>
        <v>-1</v>
      </c>
    </row>
    <row r="80" spans="1:26" s="24" customFormat="1" hidden="1" outlineLevel="2" x14ac:dyDescent="0.25">
      <c r="A80" s="25"/>
      <c r="B80" s="11" t="str">
        <f>CONCATENATE("          ", "6285", " - ", "JANITORIAL SERVICES")</f>
        <v xml:space="preserve">          6285 - JANITORIAL SERVICES</v>
      </c>
      <c r="C80" s="11"/>
      <c r="D80" s="6">
        <v>11438.01</v>
      </c>
      <c r="E80" s="2"/>
      <c r="F80" s="7">
        <f t="shared" si="52"/>
        <v>1.000057854319257E-2</v>
      </c>
      <c r="G80" s="2"/>
      <c r="H80" s="6">
        <v>11769</v>
      </c>
      <c r="I80" s="2"/>
      <c r="J80" s="7">
        <f t="shared" si="53"/>
        <v>1.1466479861805974E-2</v>
      </c>
      <c r="K80" s="2"/>
      <c r="L80" s="6">
        <f t="shared" si="54"/>
        <v>-330.98999999999978</v>
      </c>
      <c r="M80" s="2"/>
      <c r="N80" s="7">
        <f t="shared" si="55"/>
        <v>-2.8123884782054531E-2</v>
      </c>
      <c r="O80" s="11"/>
      <c r="P80" s="6">
        <v>62647.01</v>
      </c>
      <c r="Q80" s="2"/>
      <c r="R80" s="7">
        <f t="shared" si="56"/>
        <v>1.1843206922519042E-2</v>
      </c>
      <c r="S80" s="2"/>
      <c r="T80" s="6">
        <v>59352.999999999993</v>
      </c>
      <c r="U80" s="2"/>
      <c r="V80" s="7">
        <f t="shared" si="57"/>
        <v>1.1435999979961517E-2</v>
      </c>
      <c r="W80" s="2"/>
      <c r="X80" s="6">
        <f t="shared" si="58"/>
        <v>3294.0100000000093</v>
      </c>
      <c r="Y80" s="2"/>
      <c r="Z80" s="7">
        <f t="shared" si="59"/>
        <v>5.5498626859636579E-2</v>
      </c>
    </row>
    <row r="81" spans="1:26" s="24" customFormat="1" hidden="1" outlineLevel="2" x14ac:dyDescent="0.25">
      <c r="A81" s="25"/>
      <c r="B81" s="11" t="str">
        <f>CONCATENATE("          ", "6286", " - ", "LAUNDRY EXPENSE")</f>
        <v xml:space="preserve">          6286 - LAUNDRY EXPENSE</v>
      </c>
      <c r="C81" s="11"/>
      <c r="D81" s="6">
        <v>4106.6400000000003</v>
      </c>
      <c r="E81" s="2"/>
      <c r="F81" s="7">
        <f t="shared" si="52"/>
        <v>3.5905525409241938E-3</v>
      </c>
      <c r="G81" s="2"/>
      <c r="H81" s="6">
        <v>4800</v>
      </c>
      <c r="I81" s="2"/>
      <c r="J81" s="7">
        <f t="shared" si="53"/>
        <v>4.6766168184780932E-3</v>
      </c>
      <c r="K81" s="2"/>
      <c r="L81" s="6">
        <f t="shared" si="54"/>
        <v>-693.35999999999967</v>
      </c>
      <c r="M81" s="2"/>
      <c r="N81" s="7">
        <f t="shared" si="55"/>
        <v>-0.14444999999999994</v>
      </c>
      <c r="O81" s="11"/>
      <c r="P81" s="6">
        <v>24684.22</v>
      </c>
      <c r="Q81" s="2"/>
      <c r="R81" s="7">
        <f t="shared" si="56"/>
        <v>4.6664689213576672E-3</v>
      </c>
      <c r="S81" s="2"/>
      <c r="T81" s="6">
        <v>22400</v>
      </c>
      <c r="U81" s="2"/>
      <c r="V81" s="7">
        <f t="shared" si="57"/>
        <v>4.3159806505338903E-3</v>
      </c>
      <c r="W81" s="2"/>
      <c r="X81" s="6">
        <f t="shared" si="58"/>
        <v>2284.2200000000012</v>
      </c>
      <c r="Y81" s="2"/>
      <c r="Z81" s="7">
        <f t="shared" si="59"/>
        <v>0.10197410714285719</v>
      </c>
    </row>
    <row r="82" spans="1:26" s="26" customFormat="1" outlineLevel="1" collapsed="1" x14ac:dyDescent="0.25">
      <c r="A82" s="27"/>
      <c r="B82" s="13" t="str">
        <f>CONCATENATE("     ","Supplies                                          ")</f>
        <v xml:space="preserve">     Supplies                                          </v>
      </c>
      <c r="C82" s="13"/>
      <c r="D82" s="1">
        <f>SUM(OSRRefD22_14x_0)</f>
        <v>17665.93</v>
      </c>
      <c r="E82" s="1"/>
      <c r="F82" s="5">
        <f t="shared" ref="F82:F91" si="60">IF(D$12=0,0,D82/D$12)</f>
        <v>1.5445826721915955E-2</v>
      </c>
      <c r="G82" s="1"/>
      <c r="H82" s="1">
        <f>SUM(OSRRefH22_14x_0)</f>
        <v>22671</v>
      </c>
      <c r="I82" s="1"/>
      <c r="J82" s="5">
        <f t="shared" ref="J82:J91" si="61">IF(H$12=0,0,H82/H$12)</f>
        <v>2.2088245810774343E-2</v>
      </c>
      <c r="K82" s="1"/>
      <c r="L82" s="1">
        <f t="shared" ref="L82:L91" si="62">+D82-H82</f>
        <v>-5005.07</v>
      </c>
      <c r="M82" s="1"/>
      <c r="N82" s="5">
        <f t="shared" ref="N82:N91" si="63">IF(H82=0,0,L82/H82)</f>
        <v>-0.22076970579153984</v>
      </c>
      <c r="O82" s="13"/>
      <c r="P82" s="1">
        <f>SUM(OSRRefP22_14x_0)</f>
        <v>124328.77</v>
      </c>
      <c r="Q82" s="1"/>
      <c r="R82" s="5">
        <f t="shared" ref="R82:R91" si="64">IF(P$12=0,0,P82/P$12)</f>
        <v>2.3503936573066739E-2</v>
      </c>
      <c r="S82" s="1"/>
      <c r="T82" s="1">
        <f>SUM(OSRRefT22_14x_0)</f>
        <v>122754</v>
      </c>
      <c r="U82" s="1"/>
      <c r="V82" s="5">
        <f t="shared" ref="V82:V91" si="65">IF(T$12=0,0,T82/T$12)</f>
        <v>2.3651959320340948E-2</v>
      </c>
      <c r="W82" s="1"/>
      <c r="X82" s="1">
        <f t="shared" ref="X82:X91" si="66">+P82-T82</f>
        <v>1574.7700000000041</v>
      </c>
      <c r="Y82" s="1"/>
      <c r="Z82" s="5">
        <f t="shared" ref="Z82:Z91" si="67">IF(T82=0,0,X82/T82)</f>
        <v>1.2828665461003341E-2</v>
      </c>
    </row>
    <row r="83" spans="1:26" s="24" customFormat="1" hidden="1" outlineLevel="2" x14ac:dyDescent="0.25">
      <c r="A83" s="25"/>
      <c r="B83" s="11" t="str">
        <f>CONCATENATE("          ", "6234", " - ", "EXPENDABLE SUPPLIES &amp; EQUIPMEN")</f>
        <v xml:space="preserve">          6234 - EXPENDABLE SUPPLIES &amp; EQUIPMEN</v>
      </c>
      <c r="C83" s="11"/>
      <c r="D83" s="6"/>
      <c r="E83" s="2"/>
      <c r="F83" s="7">
        <f t="shared" si="60"/>
        <v>0</v>
      </c>
      <c r="G83" s="2"/>
      <c r="H83" s="6">
        <v>200</v>
      </c>
      <c r="I83" s="2"/>
      <c r="J83" s="7">
        <f t="shared" si="61"/>
        <v>1.9485903410325388E-4</v>
      </c>
      <c r="K83" s="2"/>
      <c r="L83" s="6">
        <f t="shared" si="62"/>
        <v>-200</v>
      </c>
      <c r="M83" s="2"/>
      <c r="N83" s="7">
        <f t="shared" si="63"/>
        <v>-1</v>
      </c>
      <c r="O83" s="11"/>
      <c r="P83" s="6">
        <v>100</v>
      </c>
      <c r="Q83" s="2"/>
      <c r="R83" s="7">
        <f t="shared" si="64"/>
        <v>1.8904664280895516E-5</v>
      </c>
      <c r="S83" s="2"/>
      <c r="T83" s="6">
        <v>600</v>
      </c>
      <c r="U83" s="2"/>
      <c r="V83" s="7">
        <f t="shared" si="65"/>
        <v>1.1560662456787207E-4</v>
      </c>
      <c r="W83" s="2"/>
      <c r="X83" s="6">
        <f t="shared" si="66"/>
        <v>-500</v>
      </c>
      <c r="Y83" s="2"/>
      <c r="Z83" s="7">
        <f t="shared" si="67"/>
        <v>-0.83333333333333337</v>
      </c>
    </row>
    <row r="84" spans="1:26" s="24" customFormat="1" hidden="1" outlineLevel="2" x14ac:dyDescent="0.25">
      <c r="A84" s="25"/>
      <c r="B84" s="11" t="str">
        <f>CONCATENATE("          ", "6237", " - ", "JANITORIAL SUPPLIES")</f>
        <v xml:space="preserve">          6237 - JANITORIAL SUPPLIES</v>
      </c>
      <c r="C84" s="11"/>
      <c r="D84" s="6">
        <v>8070.32</v>
      </c>
      <c r="E84" s="2"/>
      <c r="F84" s="7">
        <f t="shared" si="60"/>
        <v>7.056111074277594E-3</v>
      </c>
      <c r="G84" s="2"/>
      <c r="H84" s="6">
        <v>9905</v>
      </c>
      <c r="I84" s="2"/>
      <c r="J84" s="7">
        <f t="shared" si="61"/>
        <v>9.6503936639636481E-3</v>
      </c>
      <c r="K84" s="2"/>
      <c r="L84" s="6">
        <f t="shared" si="62"/>
        <v>-1834.6800000000003</v>
      </c>
      <c r="M84" s="2"/>
      <c r="N84" s="7">
        <f t="shared" si="63"/>
        <v>-0.18522766279656741</v>
      </c>
      <c r="O84" s="11"/>
      <c r="P84" s="6">
        <v>45216.72</v>
      </c>
      <c r="Q84" s="2"/>
      <c r="R84" s="7">
        <f t="shared" si="64"/>
        <v>8.5480691148325395E-3</v>
      </c>
      <c r="S84" s="2"/>
      <c r="T84" s="6">
        <v>48020</v>
      </c>
      <c r="U84" s="2"/>
      <c r="V84" s="7">
        <f t="shared" si="65"/>
        <v>9.2523835195820279E-3</v>
      </c>
      <c r="W84" s="2"/>
      <c r="X84" s="6">
        <f t="shared" si="66"/>
        <v>-2803.2799999999988</v>
      </c>
      <c r="Y84" s="2"/>
      <c r="Z84" s="7">
        <f t="shared" si="67"/>
        <v>-5.837734277384421E-2</v>
      </c>
    </row>
    <row r="85" spans="1:26" s="24" customFormat="1" hidden="1" outlineLevel="2" x14ac:dyDescent="0.25">
      <c r="A85" s="25"/>
      <c r="B85" s="11" t="str">
        <f>CONCATENATE("          ", "6239", " - ", "KITCHEN SUPPLIES")</f>
        <v xml:space="preserve">          6239 - KITCHEN SUPPLIES</v>
      </c>
      <c r="C85" s="11"/>
      <c r="D85" s="6">
        <v>2302.39</v>
      </c>
      <c r="E85" s="2"/>
      <c r="F85" s="7">
        <f t="shared" si="60"/>
        <v>2.0130452790355262E-3</v>
      </c>
      <c r="G85" s="2"/>
      <c r="H85" s="6">
        <v>3600</v>
      </c>
      <c r="I85" s="2"/>
      <c r="J85" s="7">
        <f t="shared" si="61"/>
        <v>3.5074626138585697E-3</v>
      </c>
      <c r="K85" s="2"/>
      <c r="L85" s="6">
        <f t="shared" si="62"/>
        <v>-1297.6100000000001</v>
      </c>
      <c r="M85" s="2"/>
      <c r="N85" s="7">
        <f t="shared" si="63"/>
        <v>-0.36044722222222225</v>
      </c>
      <c r="O85" s="11"/>
      <c r="P85" s="6">
        <v>21270.83</v>
      </c>
      <c r="Q85" s="2"/>
      <c r="R85" s="7">
        <f t="shared" si="64"/>
        <v>4.0211790012600083E-3</v>
      </c>
      <c r="S85" s="2"/>
      <c r="T85" s="6">
        <v>23700</v>
      </c>
      <c r="U85" s="2"/>
      <c r="V85" s="7">
        <f t="shared" si="65"/>
        <v>4.5664616704309468E-3</v>
      </c>
      <c r="W85" s="2"/>
      <c r="X85" s="6">
        <f t="shared" si="66"/>
        <v>-2429.1699999999983</v>
      </c>
      <c r="Y85" s="2"/>
      <c r="Z85" s="7">
        <f t="shared" si="67"/>
        <v>-0.10249662447257377</v>
      </c>
    </row>
    <row r="86" spans="1:26" s="24" customFormat="1" hidden="1" outlineLevel="2" x14ac:dyDescent="0.25">
      <c r="A86" s="25"/>
      <c r="B86" s="11" t="str">
        <f>CONCATENATE("          ", "6241", " - ", "OFFICE EXPENSE")</f>
        <v xml:space="preserve">          6241 - OFFICE EXPENSE</v>
      </c>
      <c r="C86" s="11"/>
      <c r="D86" s="6">
        <v>1545.58</v>
      </c>
      <c r="E86" s="2"/>
      <c r="F86" s="7">
        <f t="shared" si="60"/>
        <v>1.3513446993653241E-3</v>
      </c>
      <c r="G86" s="2"/>
      <c r="H86" s="6">
        <v>1429</v>
      </c>
      <c r="I86" s="2"/>
      <c r="J86" s="7">
        <f t="shared" si="61"/>
        <v>1.3922677986677489E-3</v>
      </c>
      <c r="K86" s="2"/>
      <c r="L86" s="6">
        <f t="shared" si="62"/>
        <v>116.57999999999993</v>
      </c>
      <c r="M86" s="2"/>
      <c r="N86" s="7">
        <f t="shared" si="63"/>
        <v>8.1581525542337247E-2</v>
      </c>
      <c r="O86" s="11"/>
      <c r="P86" s="6">
        <v>26094.69</v>
      </c>
      <c r="Q86" s="2"/>
      <c r="R86" s="7">
        <f t="shared" si="64"/>
        <v>4.9331135396404142E-3</v>
      </c>
      <c r="S86" s="2"/>
      <c r="T86" s="6">
        <v>6571</v>
      </c>
      <c r="U86" s="2"/>
      <c r="V86" s="7">
        <f t="shared" si="65"/>
        <v>1.2660852167258123E-3</v>
      </c>
      <c r="W86" s="2"/>
      <c r="X86" s="6">
        <f t="shared" si="66"/>
        <v>19523.689999999999</v>
      </c>
      <c r="Y86" s="2"/>
      <c r="Z86" s="7">
        <f t="shared" si="67"/>
        <v>2.9711900776137572</v>
      </c>
    </row>
    <row r="87" spans="1:26" s="24" customFormat="1" hidden="1" outlineLevel="2" x14ac:dyDescent="0.25">
      <c r="A87" s="25"/>
      <c r="B87" s="11" t="str">
        <f>CONCATENATE("          ", "6243", " - ", "PAPER SUPPLIES")</f>
        <v xml:space="preserve">          6243 - PAPER SUPPLIES</v>
      </c>
      <c r="C87" s="11"/>
      <c r="D87" s="6">
        <v>5034.5600000000004</v>
      </c>
      <c r="E87" s="2"/>
      <c r="F87" s="7">
        <f t="shared" si="60"/>
        <v>4.4018594764662373E-3</v>
      </c>
      <c r="G87" s="2"/>
      <c r="H87" s="6">
        <v>6859</v>
      </c>
      <c r="I87" s="2"/>
      <c r="J87" s="7">
        <f t="shared" si="61"/>
        <v>6.6826905745710919E-3</v>
      </c>
      <c r="K87" s="2"/>
      <c r="L87" s="6">
        <f t="shared" si="62"/>
        <v>-1824.4399999999996</v>
      </c>
      <c r="M87" s="2"/>
      <c r="N87" s="7">
        <f t="shared" si="63"/>
        <v>-0.26599212713223497</v>
      </c>
      <c r="O87" s="11"/>
      <c r="P87" s="6">
        <v>33521.03</v>
      </c>
      <c r="Q87" s="2"/>
      <c r="R87" s="7">
        <f t="shared" si="64"/>
        <v>6.3370381849982699E-3</v>
      </c>
      <c r="S87" s="2"/>
      <c r="T87" s="6">
        <v>32486</v>
      </c>
      <c r="U87" s="2"/>
      <c r="V87" s="7">
        <f t="shared" si="65"/>
        <v>6.2593280095198205E-3</v>
      </c>
      <c r="W87" s="2"/>
      <c r="X87" s="6">
        <f t="shared" si="66"/>
        <v>1035.0299999999988</v>
      </c>
      <c r="Y87" s="2"/>
      <c r="Z87" s="7">
        <f t="shared" si="67"/>
        <v>3.1860801576063497E-2</v>
      </c>
    </row>
    <row r="88" spans="1:26" s="24" customFormat="1" hidden="1" outlineLevel="2" x14ac:dyDescent="0.25">
      <c r="A88" s="25"/>
      <c r="B88" s="11" t="str">
        <f>CONCATENATE("          ", "6244", " - ", "SAFETY SUPPLY EXPENSE")</f>
        <v xml:space="preserve">          6244 - SAFETY SUPPLY EXPENSE</v>
      </c>
      <c r="C88" s="11"/>
      <c r="D88" s="6"/>
      <c r="E88" s="2"/>
      <c r="F88" s="7">
        <f t="shared" si="60"/>
        <v>0</v>
      </c>
      <c r="G88" s="2"/>
      <c r="H88" s="6">
        <v>125</v>
      </c>
      <c r="I88" s="2"/>
      <c r="J88" s="7">
        <f t="shared" si="61"/>
        <v>1.2178689631453368E-4</v>
      </c>
      <c r="K88" s="2"/>
      <c r="L88" s="6">
        <f t="shared" si="62"/>
        <v>-125</v>
      </c>
      <c r="M88" s="2"/>
      <c r="N88" s="7">
        <f t="shared" si="63"/>
        <v>-1</v>
      </c>
      <c r="O88" s="11"/>
      <c r="P88" s="6"/>
      <c r="Q88" s="2"/>
      <c r="R88" s="7">
        <f t="shared" si="64"/>
        <v>0</v>
      </c>
      <c r="S88" s="2"/>
      <c r="T88" s="6">
        <v>625</v>
      </c>
      <c r="U88" s="2"/>
      <c r="V88" s="7">
        <f t="shared" si="65"/>
        <v>1.2042356725820007E-4</v>
      </c>
      <c r="W88" s="2"/>
      <c r="X88" s="6">
        <f t="shared" si="66"/>
        <v>-625</v>
      </c>
      <c r="Y88" s="2"/>
      <c r="Z88" s="7">
        <f t="shared" si="67"/>
        <v>-1</v>
      </c>
    </row>
    <row r="89" spans="1:26" s="24" customFormat="1" hidden="1" outlineLevel="2" x14ac:dyDescent="0.25">
      <c r="A89" s="25"/>
      <c r="B89" s="11" t="str">
        <f>CONCATENATE("          ", "6245", " - ", "PRINTING")</f>
        <v xml:space="preserve">          6245 - PRINTING</v>
      </c>
      <c r="C89" s="11"/>
      <c r="D89" s="6"/>
      <c r="E89" s="2"/>
      <c r="F89" s="7">
        <f t="shared" si="60"/>
        <v>0</v>
      </c>
      <c r="G89" s="2"/>
      <c r="H89" s="6">
        <v>160</v>
      </c>
      <c r="I89" s="2"/>
      <c r="J89" s="7">
        <f t="shared" si="61"/>
        <v>1.5588722728260309E-4</v>
      </c>
      <c r="K89" s="2"/>
      <c r="L89" s="6">
        <f t="shared" si="62"/>
        <v>-160</v>
      </c>
      <c r="M89" s="2"/>
      <c r="N89" s="7">
        <f t="shared" si="63"/>
        <v>-1</v>
      </c>
      <c r="O89" s="11"/>
      <c r="P89" s="6">
        <v>1351.44</v>
      </c>
      <c r="Q89" s="2"/>
      <c r="R89" s="7">
        <f t="shared" si="64"/>
        <v>2.5548519495773437E-4</v>
      </c>
      <c r="S89" s="2"/>
      <c r="T89" s="6">
        <v>790</v>
      </c>
      <c r="U89" s="2"/>
      <c r="V89" s="7">
        <f t="shared" si="65"/>
        <v>1.5221538901436489E-4</v>
      </c>
      <c r="W89" s="2"/>
      <c r="X89" s="6">
        <f t="shared" si="66"/>
        <v>561.44000000000005</v>
      </c>
      <c r="Y89" s="2"/>
      <c r="Z89" s="7">
        <f t="shared" si="67"/>
        <v>0.71068354430379754</v>
      </c>
    </row>
    <row r="90" spans="1:26" s="24" customFormat="1" hidden="1" outlineLevel="2" x14ac:dyDescent="0.25">
      <c r="A90" s="25"/>
      <c r="B90" s="11" t="str">
        <f>CONCATENATE("          ", "6247", " - ", "STORE SUPPLIES")</f>
        <v xml:space="preserve">          6247 - STORE SUPPLIES</v>
      </c>
      <c r="C90" s="11"/>
      <c r="D90" s="6">
        <v>142.68</v>
      </c>
      <c r="E90" s="2"/>
      <c r="F90" s="7">
        <f t="shared" si="60"/>
        <v>1.2474919558058754E-4</v>
      </c>
      <c r="G90" s="2"/>
      <c r="H90" s="6">
        <v>18</v>
      </c>
      <c r="I90" s="2"/>
      <c r="J90" s="7">
        <f t="shared" si="61"/>
        <v>1.7537313069292849E-5</v>
      </c>
      <c r="K90" s="2"/>
      <c r="L90" s="6">
        <f t="shared" si="62"/>
        <v>124.68</v>
      </c>
      <c r="M90" s="2"/>
      <c r="N90" s="7">
        <f t="shared" si="63"/>
        <v>6.9266666666666667</v>
      </c>
      <c r="O90" s="11"/>
      <c r="P90" s="6">
        <v>659.41</v>
      </c>
      <c r="Q90" s="2"/>
      <c r="R90" s="7">
        <f t="shared" si="64"/>
        <v>1.2465924673465311E-4</v>
      </c>
      <c r="S90" s="2"/>
      <c r="T90" s="6">
        <v>87</v>
      </c>
      <c r="U90" s="2"/>
      <c r="V90" s="7">
        <f t="shared" si="65"/>
        <v>1.6762960562341449E-5</v>
      </c>
      <c r="W90" s="2"/>
      <c r="X90" s="6">
        <f t="shared" si="66"/>
        <v>572.41</v>
      </c>
      <c r="Y90" s="2"/>
      <c r="Z90" s="7">
        <f t="shared" si="67"/>
        <v>6.5794252873563215</v>
      </c>
    </row>
    <row r="91" spans="1:26" s="24" customFormat="1" hidden="1" outlineLevel="2" x14ac:dyDescent="0.25">
      <c r="A91" s="25"/>
      <c r="B91" s="11" t="str">
        <f>CONCATENATE("          ", "6248", " - ", "UNIFORMS")</f>
        <v xml:space="preserve">          6248 - UNIFORMS</v>
      </c>
      <c r="C91" s="11"/>
      <c r="D91" s="6">
        <v>570.4</v>
      </c>
      <c r="E91" s="2"/>
      <c r="F91" s="7">
        <f t="shared" si="60"/>
        <v>4.9871699719068632E-4</v>
      </c>
      <c r="G91" s="2"/>
      <c r="H91" s="6">
        <v>375</v>
      </c>
      <c r="I91" s="2"/>
      <c r="J91" s="7">
        <f t="shared" si="61"/>
        <v>3.6536068894360102E-4</v>
      </c>
      <c r="K91" s="2"/>
      <c r="L91" s="6">
        <f t="shared" si="62"/>
        <v>195.39999999999998</v>
      </c>
      <c r="M91" s="2"/>
      <c r="N91" s="7">
        <f t="shared" si="63"/>
        <v>0.52106666666666657</v>
      </c>
      <c r="O91" s="11"/>
      <c r="P91" s="6">
        <v>-3885.35</v>
      </c>
      <c r="Q91" s="2"/>
      <c r="R91" s="7">
        <f t="shared" si="64"/>
        <v>-7.3451237363777392E-4</v>
      </c>
      <c r="S91" s="2"/>
      <c r="T91" s="6">
        <v>9875</v>
      </c>
      <c r="U91" s="2"/>
      <c r="V91" s="7">
        <f t="shared" si="65"/>
        <v>1.9026923626795612E-3</v>
      </c>
      <c r="W91" s="2"/>
      <c r="X91" s="6">
        <f t="shared" si="66"/>
        <v>-13760.35</v>
      </c>
      <c r="Y91" s="2"/>
      <c r="Z91" s="7">
        <f t="shared" si="67"/>
        <v>-1.3934531645569621</v>
      </c>
    </row>
    <row r="92" spans="1:26" s="26" customFormat="1" outlineLevel="1" collapsed="1" x14ac:dyDescent="0.25">
      <c r="A92" s="27"/>
      <c r="B92" s="13" t="str">
        <f>CONCATENATE("     ","Telephone/Data Lines                              ")</f>
        <v xml:space="preserve">     Telephone/Data Lines                              </v>
      </c>
      <c r="C92" s="13"/>
      <c r="D92" s="1">
        <f>SUM(OSRRefD22_15x_0)</f>
        <v>740.1</v>
      </c>
      <c r="E92" s="1"/>
      <c r="F92" s="5">
        <f t="shared" ref="F92:F98" si="68">IF(D$12=0,0,D92/D$12)</f>
        <v>6.4709054982613418E-4</v>
      </c>
      <c r="G92" s="1"/>
      <c r="H92" s="1">
        <f>SUM(OSRRefH22_15x_0)</f>
        <v>793</v>
      </c>
      <c r="I92" s="1"/>
      <c r="J92" s="5">
        <f t="shared" ref="J92:J98" si="69">IF(H$12=0,0,H92/H$12)</f>
        <v>7.7261607021940164E-4</v>
      </c>
      <c r="K92" s="1"/>
      <c r="L92" s="1">
        <f t="shared" ref="L92:L98" si="70">+D92-H92</f>
        <v>-52.899999999999977</v>
      </c>
      <c r="M92" s="1"/>
      <c r="N92" s="5">
        <f t="shared" ref="N92:N98" si="71">IF(H92=0,0,L92/H92)</f>
        <v>-6.6708701134930617E-2</v>
      </c>
      <c r="O92" s="13"/>
      <c r="P92" s="1">
        <f>SUM(OSRRefP22_15x_0)</f>
        <v>2952.5</v>
      </c>
      <c r="Q92" s="1"/>
      <c r="R92" s="5">
        <f t="shared" ref="R92:R98" si="72">IF(P$12=0,0,P92/P$12)</f>
        <v>5.5816021289344011E-4</v>
      </c>
      <c r="S92" s="1"/>
      <c r="T92" s="1">
        <f>SUM(OSRRefT22_15x_0)</f>
        <v>3965</v>
      </c>
      <c r="U92" s="1"/>
      <c r="V92" s="5">
        <f t="shared" ref="V92:V98" si="73">IF(T$12=0,0,T92/T$12)</f>
        <v>7.6396711068602127E-4</v>
      </c>
      <c r="W92" s="1"/>
      <c r="X92" s="1">
        <f t="shared" ref="X92:X98" si="74">+P92-T92</f>
        <v>-1012.5</v>
      </c>
      <c r="Y92" s="1"/>
      <c r="Z92" s="5">
        <f t="shared" ref="Z92:Z98" si="75">IF(T92=0,0,X92/T92)</f>
        <v>-0.25535939470365698</v>
      </c>
    </row>
    <row r="93" spans="1:26" s="24" customFormat="1" hidden="1" outlineLevel="2" x14ac:dyDescent="0.25">
      <c r="A93" s="25"/>
      <c r="B93" s="11" t="str">
        <f>CONCATENATE("          ", "6309", " - ", "TELEPHONE")</f>
        <v xml:space="preserve">          6309 - TELEPHONE</v>
      </c>
      <c r="C93" s="11"/>
      <c r="D93" s="6">
        <v>740.1</v>
      </c>
      <c r="E93" s="2"/>
      <c r="F93" s="7">
        <f t="shared" si="68"/>
        <v>6.4709054982613418E-4</v>
      </c>
      <c r="G93" s="2"/>
      <c r="H93" s="6">
        <v>793</v>
      </c>
      <c r="I93" s="2"/>
      <c r="J93" s="7">
        <f t="shared" si="69"/>
        <v>7.7261607021940164E-4</v>
      </c>
      <c r="K93" s="2"/>
      <c r="L93" s="6">
        <f t="shared" si="70"/>
        <v>-52.899999999999977</v>
      </c>
      <c r="M93" s="2"/>
      <c r="N93" s="7">
        <f t="shared" si="71"/>
        <v>-6.6708701134930617E-2</v>
      </c>
      <c r="O93" s="11"/>
      <c r="P93" s="6">
        <v>2952.5</v>
      </c>
      <c r="Q93" s="2"/>
      <c r="R93" s="7">
        <f t="shared" si="72"/>
        <v>5.5816021289344011E-4</v>
      </c>
      <c r="S93" s="2"/>
      <c r="T93" s="6">
        <v>3965</v>
      </c>
      <c r="U93" s="2"/>
      <c r="V93" s="7">
        <f t="shared" si="73"/>
        <v>7.6396711068602127E-4</v>
      </c>
      <c r="W93" s="2"/>
      <c r="X93" s="6">
        <f t="shared" si="74"/>
        <v>-1012.5</v>
      </c>
      <c r="Y93" s="2"/>
      <c r="Z93" s="7">
        <f t="shared" si="75"/>
        <v>-0.25535939470365698</v>
      </c>
    </row>
    <row r="94" spans="1:26" s="26" customFormat="1" outlineLevel="1" collapsed="1" x14ac:dyDescent="0.25">
      <c r="A94" s="27"/>
      <c r="B94" s="13" t="str">
        <f>CONCATENATE("     ","Training                                          ")</f>
        <v xml:space="preserve">     Training                                          </v>
      </c>
      <c r="C94" s="13"/>
      <c r="D94" s="1">
        <f>SUM(OSRRefD22_16x_0)</f>
        <v>525</v>
      </c>
      <c r="E94" s="1"/>
      <c r="F94" s="5">
        <f t="shared" si="68"/>
        <v>4.5902248163588765E-4</v>
      </c>
      <c r="G94" s="1"/>
      <c r="H94" s="1">
        <f>SUM(OSRRefH22_16x_0)</f>
        <v>1000</v>
      </c>
      <c r="I94" s="1"/>
      <c r="J94" s="5">
        <f t="shared" si="69"/>
        <v>9.7429517051626942E-4</v>
      </c>
      <c r="K94" s="1"/>
      <c r="L94" s="1">
        <f t="shared" si="70"/>
        <v>-475</v>
      </c>
      <c r="M94" s="1"/>
      <c r="N94" s="5">
        <f t="shared" si="71"/>
        <v>-0.47499999999999998</v>
      </c>
      <c r="O94" s="13"/>
      <c r="P94" s="1">
        <f>SUM(OSRRefP22_16x_0)</f>
        <v>4257.2700000000004</v>
      </c>
      <c r="Q94" s="1"/>
      <c r="R94" s="5">
        <f t="shared" si="72"/>
        <v>8.0482260103128059E-4</v>
      </c>
      <c r="S94" s="1"/>
      <c r="T94" s="1">
        <f>SUM(OSRRefT22_16x_0)</f>
        <v>7758</v>
      </c>
      <c r="U94" s="1"/>
      <c r="V94" s="5">
        <f t="shared" si="73"/>
        <v>1.494793655662586E-3</v>
      </c>
      <c r="W94" s="1"/>
      <c r="X94" s="1">
        <f t="shared" si="74"/>
        <v>-3500.7299999999996</v>
      </c>
      <c r="Y94" s="1"/>
      <c r="Z94" s="5">
        <f t="shared" si="75"/>
        <v>-0.45124129930394424</v>
      </c>
    </row>
    <row r="95" spans="1:26" s="24" customFormat="1" hidden="1" outlineLevel="2" x14ac:dyDescent="0.25">
      <c r="A95" s="25"/>
      <c r="B95" s="11" t="str">
        <f>CONCATENATE("          ", "6376", " - ", "TRAINING")</f>
        <v xml:space="preserve">          6376 - TRAINING</v>
      </c>
      <c r="C95" s="11"/>
      <c r="D95" s="6">
        <v>525</v>
      </c>
      <c r="E95" s="2"/>
      <c r="F95" s="7">
        <f t="shared" si="68"/>
        <v>4.5902248163588765E-4</v>
      </c>
      <c r="G95" s="2"/>
      <c r="H95" s="6">
        <v>1000</v>
      </c>
      <c r="I95" s="2"/>
      <c r="J95" s="7">
        <f t="shared" si="69"/>
        <v>9.7429517051626942E-4</v>
      </c>
      <c r="K95" s="2"/>
      <c r="L95" s="6">
        <f t="shared" si="70"/>
        <v>-475</v>
      </c>
      <c r="M95" s="2"/>
      <c r="N95" s="7">
        <f t="shared" si="71"/>
        <v>-0.47499999999999998</v>
      </c>
      <c r="O95" s="11"/>
      <c r="P95" s="6">
        <v>4257.2700000000004</v>
      </c>
      <c r="Q95" s="2"/>
      <c r="R95" s="7">
        <f t="shared" si="72"/>
        <v>8.0482260103128059E-4</v>
      </c>
      <c r="S95" s="2"/>
      <c r="T95" s="6">
        <v>7758</v>
      </c>
      <c r="U95" s="2"/>
      <c r="V95" s="7">
        <f t="shared" si="73"/>
        <v>1.494793655662586E-3</v>
      </c>
      <c r="W95" s="2"/>
      <c r="X95" s="6">
        <f t="shared" si="74"/>
        <v>-3500.7299999999996</v>
      </c>
      <c r="Y95" s="2"/>
      <c r="Z95" s="7">
        <f t="shared" si="75"/>
        <v>-0.45124129930394424</v>
      </c>
    </row>
    <row r="96" spans="1:26" s="26" customFormat="1" outlineLevel="1" collapsed="1" x14ac:dyDescent="0.25">
      <c r="A96" s="27"/>
      <c r="B96" s="13" t="str">
        <f>CONCATENATE("     ","Travel                                            ")</f>
        <v xml:space="preserve">     Travel                                            </v>
      </c>
      <c r="C96" s="13"/>
      <c r="D96" s="1">
        <f>SUM(OSRRefD22_17x_0)</f>
        <v>26.89</v>
      </c>
      <c r="E96" s="1"/>
      <c r="F96" s="5">
        <f t="shared" si="68"/>
        <v>2.351069434512194E-5</v>
      </c>
      <c r="G96" s="1"/>
      <c r="H96" s="1">
        <f>SUM(OSRRefH22_17x_0)</f>
        <v>410</v>
      </c>
      <c r="I96" s="1"/>
      <c r="J96" s="5">
        <f t="shared" si="69"/>
        <v>3.9946101991167045E-4</v>
      </c>
      <c r="K96" s="1"/>
      <c r="L96" s="1">
        <f t="shared" si="70"/>
        <v>-383.11</v>
      </c>
      <c r="M96" s="1"/>
      <c r="N96" s="5">
        <f t="shared" si="71"/>
        <v>-0.93441463414634152</v>
      </c>
      <c r="O96" s="13"/>
      <c r="P96" s="1">
        <f>SUM(OSRRefP22_17x_0)</f>
        <v>2006.56</v>
      </c>
      <c r="Q96" s="1"/>
      <c r="R96" s="5">
        <f t="shared" si="72"/>
        <v>3.7933343159473704E-4</v>
      </c>
      <c r="S96" s="1"/>
      <c r="T96" s="1">
        <f>SUM(OSRRefT22_17x_0)</f>
        <v>2050</v>
      </c>
      <c r="U96" s="1"/>
      <c r="V96" s="5">
        <f t="shared" si="73"/>
        <v>3.9498930060689625E-4</v>
      </c>
      <c r="W96" s="1"/>
      <c r="X96" s="1">
        <f t="shared" si="74"/>
        <v>-43.440000000000055</v>
      </c>
      <c r="Y96" s="1"/>
      <c r="Z96" s="5">
        <f t="shared" si="75"/>
        <v>-2.1190243902439052E-2</v>
      </c>
    </row>
    <row r="97" spans="1:26" s="24" customFormat="1" hidden="1" outlineLevel="2" x14ac:dyDescent="0.25">
      <c r="A97" s="25"/>
      <c r="B97" s="11" t="str">
        <f>CONCATENATE("          ", "6292", " - ", "TRAVEL/CONFERENCE")</f>
        <v xml:space="preserve">          6292 - TRAVEL/CONFERENCE</v>
      </c>
      <c r="C97" s="11"/>
      <c r="D97" s="6">
        <v>26.89</v>
      </c>
      <c r="E97" s="2"/>
      <c r="F97" s="7">
        <f t="shared" si="68"/>
        <v>2.351069434512194E-5</v>
      </c>
      <c r="G97" s="2"/>
      <c r="H97" s="6">
        <v>300</v>
      </c>
      <c r="I97" s="2"/>
      <c r="J97" s="7">
        <f t="shared" si="69"/>
        <v>2.9228855115488083E-4</v>
      </c>
      <c r="K97" s="2"/>
      <c r="L97" s="6">
        <f t="shared" si="70"/>
        <v>-273.11</v>
      </c>
      <c r="M97" s="2"/>
      <c r="N97" s="7">
        <f t="shared" si="71"/>
        <v>-0.91036666666666666</v>
      </c>
      <c r="O97" s="11"/>
      <c r="P97" s="6">
        <v>2006.56</v>
      </c>
      <c r="Q97" s="2"/>
      <c r="R97" s="7">
        <f t="shared" si="72"/>
        <v>3.7933343159473704E-4</v>
      </c>
      <c r="S97" s="2"/>
      <c r="T97" s="6">
        <v>1500</v>
      </c>
      <c r="U97" s="2"/>
      <c r="V97" s="7">
        <f t="shared" si="73"/>
        <v>2.8901656141968018E-4</v>
      </c>
      <c r="W97" s="2"/>
      <c r="X97" s="6">
        <f t="shared" si="74"/>
        <v>506.55999999999995</v>
      </c>
      <c r="Y97" s="2"/>
      <c r="Z97" s="7">
        <f t="shared" si="75"/>
        <v>0.33770666666666666</v>
      </c>
    </row>
    <row r="98" spans="1:26" s="24" customFormat="1" hidden="1" outlineLevel="2" x14ac:dyDescent="0.25">
      <c r="A98" s="25"/>
      <c r="B98" s="11" t="str">
        <f>CONCATENATE("          ", "6298", " - ", "VEHICLE MILEAGE")</f>
        <v xml:space="preserve">          6298 - VEHICLE MILEAGE</v>
      </c>
      <c r="C98" s="11"/>
      <c r="D98" s="6"/>
      <c r="E98" s="2"/>
      <c r="F98" s="7">
        <f t="shared" si="68"/>
        <v>0</v>
      </c>
      <c r="G98" s="2"/>
      <c r="H98" s="6">
        <v>110</v>
      </c>
      <c r="I98" s="2"/>
      <c r="J98" s="7">
        <f t="shared" si="69"/>
        <v>1.0717246875678963E-4</v>
      </c>
      <c r="K98" s="2"/>
      <c r="L98" s="6">
        <f t="shared" si="70"/>
        <v>-110</v>
      </c>
      <c r="M98" s="2"/>
      <c r="N98" s="7">
        <f t="shared" si="71"/>
        <v>-1</v>
      </c>
      <c r="O98" s="11"/>
      <c r="P98" s="6"/>
      <c r="Q98" s="2"/>
      <c r="R98" s="7">
        <f t="shared" si="72"/>
        <v>0</v>
      </c>
      <c r="S98" s="2"/>
      <c r="T98" s="6">
        <v>550</v>
      </c>
      <c r="U98" s="2"/>
      <c r="V98" s="7">
        <f t="shared" si="73"/>
        <v>1.0597273918721607E-4</v>
      </c>
      <c r="W98" s="2"/>
      <c r="X98" s="6">
        <f t="shared" si="74"/>
        <v>-550</v>
      </c>
      <c r="Y98" s="2"/>
      <c r="Z98" s="7">
        <f t="shared" si="75"/>
        <v>-1</v>
      </c>
    </row>
    <row r="99" spans="1:26" s="59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3" customFormat="1" x14ac:dyDescent="0.25">
      <c r="A100" s="10"/>
      <c r="B100" s="29" t="s">
        <v>0</v>
      </c>
      <c r="C100" s="10"/>
      <c r="D100" s="4">
        <f>SUM(0)</f>
        <v>0</v>
      </c>
      <c r="E100" s="4"/>
      <c r="F100" s="12">
        <f>IF(D$12=0,0,D100/D$12)</f>
        <v>0</v>
      </c>
      <c r="G100" s="4"/>
      <c r="H100" s="4">
        <f>SUM(0)</f>
        <v>0</v>
      </c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>
        <f>SUM(0)</f>
        <v>0</v>
      </c>
      <c r="Q100" s="4"/>
      <c r="R100" s="12">
        <f>IF(P$12=0,0,P100/P$12)</f>
        <v>0</v>
      </c>
      <c r="S100" s="4"/>
      <c r="T100" s="4">
        <f>SUM(0)</f>
        <v>0</v>
      </c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8" t="s">
        <v>3</v>
      </c>
      <c r="C102" s="28"/>
      <c r="D102" s="20">
        <f>+D25-D27+D100</f>
        <v>373095.10999999981</v>
      </c>
      <c r="E102" s="14"/>
      <c r="F102" s="22">
        <f>IF(D$12=0,0,D102/D$12)</f>
        <v>0.32620770148269407</v>
      </c>
      <c r="G102" s="14"/>
      <c r="H102" s="20">
        <f>+H25-H27+H100</f>
        <v>283263.78655211965</v>
      </c>
      <c r="I102" s="14"/>
      <c r="J102" s="22">
        <f>IF(H$12=0,0,H102/H$12)</f>
        <v>0.27598253921988153</v>
      </c>
      <c r="K102" s="16"/>
      <c r="L102" s="20">
        <f>+D102-H102</f>
        <v>89831.323447880161</v>
      </c>
      <c r="M102" s="16"/>
      <c r="N102" s="22">
        <f>IF(H102=0,0,L102/H102)</f>
        <v>0.3171295721959555</v>
      </c>
      <c r="O102" s="29"/>
      <c r="P102" s="20">
        <f>+P25-P27+P100</f>
        <v>1493606.3199999994</v>
      </c>
      <c r="Q102" s="14"/>
      <c r="R102" s="22">
        <f>IF(P$12=0,0,P102/P$12)</f>
        <v>0.28236126047423787</v>
      </c>
      <c r="S102" s="14"/>
      <c r="T102" s="20">
        <f>+T25-T27+T100</f>
        <v>1340057.7731782012</v>
      </c>
      <c r="U102" s="14"/>
      <c r="V102" s="22">
        <f>IF(T$12=0,0,T102/T$12)</f>
        <v>0.25819925980511826</v>
      </c>
      <c r="W102" s="16"/>
      <c r="X102" s="20">
        <f>+P102-T102</f>
        <v>153548.5468217982</v>
      </c>
      <c r="Y102" s="16"/>
      <c r="Z102" s="22">
        <f>IF(T102=0,0,X102/T102)</f>
        <v>0.11458352758749252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2"/>
      <c r="B104" s="10" t="s">
        <v>14</v>
      </c>
      <c r="C104" s="10"/>
      <c r="D104" s="4">
        <v>142799.98000000001</v>
      </c>
      <c r="E104" s="4"/>
      <c r="F104" s="12">
        <f>IF(D$12=0,0,D104/D$12)</f>
        <v>0.12485409751839072</v>
      </c>
      <c r="G104" s="4"/>
      <c r="H104" s="4">
        <v>156341</v>
      </c>
      <c r="I104" s="4"/>
      <c r="J104" s="12">
        <f>IF(H$12=0,0,H104/H$12)</f>
        <v>0.15232228125368408</v>
      </c>
      <c r="K104" s="4"/>
      <c r="L104" s="4">
        <f>+D104-H104</f>
        <v>-13541.01999999999</v>
      </c>
      <c r="M104" s="4"/>
      <c r="N104" s="12">
        <f>IF(H104=0,0,L104/H104)</f>
        <v>-8.6612085121625104E-2</v>
      </c>
      <c r="O104" s="10"/>
      <c r="P104" s="4">
        <v>560143.41</v>
      </c>
      <c r="Q104" s="4"/>
      <c r="R104" s="12">
        <f>IF(P$12=0,0,P104/P$12)</f>
        <v>0.10589323115206013</v>
      </c>
      <c r="S104" s="4"/>
      <c r="T104" s="4">
        <v>657742</v>
      </c>
      <c r="U104" s="4"/>
      <c r="V104" s="12">
        <f>IF(T$12=0,0,T104/T$12)</f>
        <v>0.12673222076086885</v>
      </c>
      <c r="W104" s="4"/>
      <c r="X104" s="4">
        <f>+P104-T104</f>
        <v>-97598.589999999967</v>
      </c>
      <c r="Y104" s="4"/>
      <c r="Z104" s="12">
        <f>IF(T104=0,0,X104/T104)</f>
        <v>-0.14838430570041136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8" t="s">
        <v>4</v>
      </c>
      <c r="C106" s="28"/>
      <c r="D106" s="30">
        <f>+D102-D104</f>
        <v>230295.1299999998</v>
      </c>
      <c r="E106" s="14"/>
      <c r="F106" s="32">
        <f>IF(D$12=0,0,D106/D$12)</f>
        <v>0.20135360396430335</v>
      </c>
      <c r="G106" s="14"/>
      <c r="H106" s="30">
        <f>+H102-H104</f>
        <v>126922.78655211965</v>
      </c>
      <c r="I106" s="14"/>
      <c r="J106" s="32">
        <f>IF(H$12=0,0,H106/H$12)</f>
        <v>0.12366025796619748</v>
      </c>
      <c r="K106" s="16"/>
      <c r="L106" s="30">
        <f>D106-H106</f>
        <v>103372.34344788015</v>
      </c>
      <c r="M106" s="16"/>
      <c r="N106" s="32">
        <f>IF(H106=0,0,L106/H106)</f>
        <v>0.81445062983573302</v>
      </c>
      <c r="O106" s="29"/>
      <c r="P106" s="30">
        <f>+P102-P104</f>
        <v>933462.90999999933</v>
      </c>
      <c r="Q106" s="14"/>
      <c r="R106" s="32">
        <f>IF(P$12=0,0,P106/P$12)</f>
        <v>0.17646802932217773</v>
      </c>
      <c r="S106" s="14"/>
      <c r="T106" s="30">
        <f>+T102-T104</f>
        <v>682315.77317820117</v>
      </c>
      <c r="U106" s="14"/>
      <c r="V106" s="32">
        <f>IF(T$12=0,0,T106/T$12)</f>
        <v>0.13146703904424945</v>
      </c>
      <c r="W106" s="16"/>
      <c r="X106" s="30">
        <f>P106-T106</f>
        <v>251147.13682179817</v>
      </c>
      <c r="Y106" s="16"/>
      <c r="Z106" s="32">
        <f>IF(T106=0,0,X106/T106)</f>
        <v>0.36808050860668845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8" t="s">
        <v>5</v>
      </c>
      <c r="C109" s="28"/>
      <c r="D109" s="31">
        <f>SUM(D106:D108)</f>
        <v>230295.1299999998</v>
      </c>
      <c r="E109" s="14"/>
      <c r="F109" s="35">
        <f>IF(D$12=0,0,D109/D$12)</f>
        <v>0.20135360396430335</v>
      </c>
      <c r="G109" s="14"/>
      <c r="H109" s="31">
        <f>SUM(H106:H108)</f>
        <v>126922.78655211965</v>
      </c>
      <c r="I109" s="14"/>
      <c r="J109" s="35">
        <f>IF(H$12=0,0,H109/H$12)</f>
        <v>0.12366025796619748</v>
      </c>
      <c r="K109" s="16"/>
      <c r="L109" s="31">
        <f>+D109-H109</f>
        <v>103372.34344788015</v>
      </c>
      <c r="M109" s="16"/>
      <c r="N109" s="35">
        <f>IF(H109=0,0,L109/H109)</f>
        <v>0.81445062983573302</v>
      </c>
      <c r="O109" s="29"/>
      <c r="P109" s="31">
        <f>SUM(P106:P108)</f>
        <v>933462.90999999933</v>
      </c>
      <c r="Q109" s="14"/>
      <c r="R109" s="35">
        <f>IF(P$12=0,0,P109/P$12)</f>
        <v>0.17646802932217773</v>
      </c>
      <c r="S109" s="14"/>
      <c r="T109" s="31">
        <f>SUM(T106:T108)</f>
        <v>682315.77317820117</v>
      </c>
      <c r="U109" s="14"/>
      <c r="V109" s="35">
        <f>IF(T$12=0,0,T109/T$12)</f>
        <v>0.13146703904424945</v>
      </c>
      <c r="W109" s="16"/>
      <c r="X109" s="31">
        <f>+P109-T109</f>
        <v>251147.13682179817</v>
      </c>
      <c r="Y109" s="16"/>
      <c r="Z109" s="35">
        <f>IF(T109=0,0,X109/T109)</f>
        <v>0.36808050860668845</v>
      </c>
    </row>
    <row r="110" spans="1:26" ht="15.75" thickTop="1" x14ac:dyDescent="0.25">
      <c r="A110" s="9"/>
      <c r="C110" s="9"/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A111" s="9"/>
      <c r="B111" s="56">
        <v>43815.483378437501</v>
      </c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A112" s="9"/>
      <c r="B112" s="62" t="s">
        <v>314</v>
      </c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1:24" x14ac:dyDescent="0.25">
      <c r="A113" s="9"/>
      <c r="B113" s="58"/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  <row r="114" spans="1:24" x14ac:dyDescent="0.25">
      <c r="D114" s="17"/>
      <c r="E114" s="17"/>
      <c r="G114" s="17"/>
      <c r="H114" s="17"/>
      <c r="I114" s="17"/>
      <c r="J114" s="43"/>
      <c r="K114" s="17"/>
      <c r="L114" s="17"/>
      <c r="M114" s="17"/>
      <c r="P114" s="17"/>
      <c r="Q114" s="17"/>
      <c r="R114" s="43"/>
      <c r="S114" s="17"/>
      <c r="T114" s="17"/>
      <c r="U114" s="17"/>
      <c r="V114" s="43"/>
      <c r="W114" s="17"/>
      <c r="X114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","430", " - ", "Res Hall Management")</f>
        <v>Department 430 - Res Hall Management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SUM(OSRRefD22x_0)</f>
        <v>13750.539999999999</v>
      </c>
      <c r="E18" s="21"/>
      <c r="F18" s="33">
        <f t="shared" ref="F18:F28" si="0">IF(D$12=0,0,D18/D$12)</f>
        <v>0</v>
      </c>
      <c r="G18" s="21"/>
      <c r="H18" s="21">
        <f>SUM(OSRRefH22x_0)</f>
        <v>13608.050783619999</v>
      </c>
      <c r="I18" s="21"/>
      <c r="J18" s="33">
        <f t="shared" ref="J18:J28" si="1">IF(H$12=0,0,H18/H$12)</f>
        <v>0</v>
      </c>
      <c r="K18" s="4"/>
      <c r="L18" s="21">
        <f t="shared" ref="L18:L28" si="2">+D18-H18</f>
        <v>142.48921637999956</v>
      </c>
      <c r="M18" s="4"/>
      <c r="N18" s="33">
        <f t="shared" ref="N18:N28" si="3">IF(H18=0,0,L18/H18)</f>
        <v>1.0470949781545034E-2</v>
      </c>
      <c r="O18" s="10"/>
      <c r="P18" s="21">
        <f>SUM(OSRRefP22x_0)</f>
        <v>77759.539999999994</v>
      </c>
      <c r="Q18" s="21"/>
      <c r="R18" s="33">
        <f t="shared" ref="R18:R28" si="4">IF(P$12=0,0,P18/P$12)</f>
        <v>0</v>
      </c>
      <c r="S18" s="21"/>
      <c r="T18" s="21">
        <f>SUM(OSRRefT22x_0)</f>
        <v>72643.279309909994</v>
      </c>
      <c r="U18" s="21"/>
      <c r="V18" s="33">
        <f t="shared" ref="V18:V28" si="5">IF(T$12=0,0,T18/T$12)</f>
        <v>0</v>
      </c>
      <c r="W18" s="4"/>
      <c r="X18" s="21">
        <f t="shared" ref="X18:X28" si="6">+P18-T18</f>
        <v>5116.2606900899991</v>
      </c>
      <c r="Y18" s="4"/>
      <c r="Z18" s="33">
        <f t="shared" ref="Z18:Z28" si="7">IF(T18=0,0,X18/T18)</f>
        <v>7.0429924677038069E-2</v>
      </c>
    </row>
    <row r="19" spans="1:26" s="26" customFormat="1" outlineLevel="1" collapsed="1" x14ac:dyDescent="0.25">
      <c r="A19" s="27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5441.61</v>
      </c>
      <c r="E19" s="1"/>
      <c r="F19" s="5">
        <f t="shared" si="0"/>
        <v>0</v>
      </c>
      <c r="G19" s="1"/>
      <c r="H19" s="1">
        <f>SUM(OSRRefH22_0x_0)</f>
        <v>4452.5201836199994</v>
      </c>
      <c r="I19" s="1"/>
      <c r="J19" s="5">
        <f t="shared" si="1"/>
        <v>0</v>
      </c>
      <c r="K19" s="1"/>
      <c r="L19" s="1">
        <f t="shared" si="2"/>
        <v>989.08981638000023</v>
      </c>
      <c r="M19" s="1"/>
      <c r="N19" s="5">
        <f t="shared" si="3"/>
        <v>0.22214156827827064</v>
      </c>
      <c r="O19" s="13"/>
      <c r="P19" s="1">
        <f>SUM(OSRRefP22_0x_0)</f>
        <v>29742.659999999996</v>
      </c>
      <c r="Q19" s="1"/>
      <c r="R19" s="5">
        <f t="shared" si="4"/>
        <v>0</v>
      </c>
      <c r="S19" s="1"/>
      <c r="T19" s="1">
        <f>SUM(OSRRefT22_0x_0)</f>
        <v>23500.361009910001</v>
      </c>
      <c r="U19" s="1"/>
      <c r="V19" s="5">
        <f t="shared" si="5"/>
        <v>0</v>
      </c>
      <c r="W19" s="1"/>
      <c r="X19" s="1">
        <f t="shared" si="6"/>
        <v>6242.2989900899956</v>
      </c>
      <c r="Y19" s="1"/>
      <c r="Z19" s="5">
        <f t="shared" si="7"/>
        <v>0.26562566368481083</v>
      </c>
    </row>
    <row r="20" spans="1:26" s="24" customFormat="1" hidden="1" outlineLevel="2" x14ac:dyDescent="0.25">
      <c r="A20" s="25"/>
      <c r="B20" s="11" t="str">
        <f>CONCATENATE("          ", "6111", " - ", "F.I.C.A.")</f>
        <v xml:space="preserve">          6111 - F.I.C.A.</v>
      </c>
      <c r="C20" s="11"/>
      <c r="D20" s="6">
        <v>623.1</v>
      </c>
      <c r="E20" s="2"/>
      <c r="F20" s="7">
        <f t="shared" si="0"/>
        <v>0</v>
      </c>
      <c r="G20" s="2"/>
      <c r="H20" s="6">
        <v>623.33945201999995</v>
      </c>
      <c r="I20" s="2"/>
      <c r="J20" s="7">
        <f t="shared" si="1"/>
        <v>0</v>
      </c>
      <c r="K20" s="2"/>
      <c r="L20" s="6">
        <f t="shared" si="2"/>
        <v>-0.2394520199999306</v>
      </c>
      <c r="M20" s="2"/>
      <c r="N20" s="7">
        <f t="shared" si="3"/>
        <v>-3.8414385488349894E-4</v>
      </c>
      <c r="O20" s="11"/>
      <c r="P20" s="6">
        <v>4277.57</v>
      </c>
      <c r="Q20" s="2"/>
      <c r="R20" s="7">
        <f t="shared" si="4"/>
        <v>0</v>
      </c>
      <c r="S20" s="2"/>
      <c r="T20" s="6">
        <v>3428.3669861099997</v>
      </c>
      <c r="U20" s="2"/>
      <c r="V20" s="7">
        <f t="shared" si="5"/>
        <v>0</v>
      </c>
      <c r="W20" s="2"/>
      <c r="X20" s="6">
        <f t="shared" si="6"/>
        <v>849.20301388999997</v>
      </c>
      <c r="Y20" s="2"/>
      <c r="Z20" s="7">
        <f t="shared" si="7"/>
        <v>0.24769898243990182</v>
      </c>
    </row>
    <row r="21" spans="1:26" s="24" customFormat="1" hidden="1" outlineLevel="2" x14ac:dyDescent="0.25">
      <c r="A21" s="25"/>
      <c r="B21" s="11" t="str">
        <f>CONCATENATE("          ", "6112", " - ", "COMPENSATION INSURANCE")</f>
        <v xml:space="preserve">          6112 - COMPENSATION INSURANCE</v>
      </c>
      <c r="C21" s="11"/>
      <c r="D21" s="6">
        <v>316.02999999999997</v>
      </c>
      <c r="E21" s="2"/>
      <c r="F21" s="7">
        <f t="shared" si="0"/>
        <v>0</v>
      </c>
      <c r="G21" s="2"/>
      <c r="H21" s="6">
        <v>316.02731920000002</v>
      </c>
      <c r="I21" s="2"/>
      <c r="J21" s="7">
        <f t="shared" si="1"/>
        <v>0</v>
      </c>
      <c r="K21" s="2"/>
      <c r="L21" s="6">
        <f t="shared" si="2"/>
        <v>2.6807999999505228E-3</v>
      </c>
      <c r="M21" s="2"/>
      <c r="N21" s="7">
        <f t="shared" si="3"/>
        <v>8.4828109377909844E-6</v>
      </c>
      <c r="O21" s="11"/>
      <c r="P21" s="6">
        <v>1428.71</v>
      </c>
      <c r="Q21" s="2"/>
      <c r="R21" s="7">
        <f t="shared" si="4"/>
        <v>0</v>
      </c>
      <c r="S21" s="2"/>
      <c r="T21" s="6">
        <v>1738.1502556</v>
      </c>
      <c r="U21" s="2"/>
      <c r="V21" s="7">
        <f t="shared" si="5"/>
        <v>0</v>
      </c>
      <c r="W21" s="2"/>
      <c r="X21" s="6">
        <f t="shared" si="6"/>
        <v>-309.4402556</v>
      </c>
      <c r="Y21" s="2"/>
      <c r="Z21" s="7">
        <f t="shared" si="7"/>
        <v>-0.17802848436321342</v>
      </c>
    </row>
    <row r="22" spans="1:26" s="24" customFormat="1" hidden="1" outlineLevel="2" x14ac:dyDescent="0.25">
      <c r="A22" s="25"/>
      <c r="B22" s="11" t="str">
        <f>CONCATENATE("          ", "6113", " - ", "GROUP INSURANCE")</f>
        <v xml:space="preserve">          6113 - GROUP INSURANCE</v>
      </c>
      <c r="C22" s="11"/>
      <c r="D22" s="6">
        <v>2730.6</v>
      </c>
      <c r="E22" s="2"/>
      <c r="F22" s="7">
        <f t="shared" si="0"/>
        <v>0</v>
      </c>
      <c r="G22" s="2"/>
      <c r="H22" s="6">
        <v>1977</v>
      </c>
      <c r="I22" s="2"/>
      <c r="J22" s="7">
        <f t="shared" si="1"/>
        <v>0</v>
      </c>
      <c r="K22" s="2"/>
      <c r="L22" s="6">
        <f t="shared" si="2"/>
        <v>753.59999999999991</v>
      </c>
      <c r="M22" s="2"/>
      <c r="N22" s="7">
        <f t="shared" si="3"/>
        <v>0.38118361153262514</v>
      </c>
      <c r="O22" s="11"/>
      <c r="P22" s="6">
        <v>13653</v>
      </c>
      <c r="Q22" s="2"/>
      <c r="R22" s="7">
        <f t="shared" si="4"/>
        <v>0</v>
      </c>
      <c r="S22" s="2"/>
      <c r="T22" s="6">
        <v>9885</v>
      </c>
      <c r="U22" s="2"/>
      <c r="V22" s="7">
        <f t="shared" si="5"/>
        <v>0</v>
      </c>
      <c r="W22" s="2"/>
      <c r="X22" s="6">
        <f t="shared" si="6"/>
        <v>3768</v>
      </c>
      <c r="Y22" s="2"/>
      <c r="Z22" s="7">
        <f t="shared" si="7"/>
        <v>0.3811836115326252</v>
      </c>
    </row>
    <row r="23" spans="1:26" s="24" customFormat="1" hidden="1" outlineLevel="2" x14ac:dyDescent="0.25">
      <c r="A23" s="25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21.18</v>
      </c>
      <c r="E23" s="2"/>
      <c r="F23" s="7">
        <f t="shared" si="0"/>
        <v>0</v>
      </c>
      <c r="G23" s="2"/>
      <c r="H23" s="6">
        <v>21.177088399999999</v>
      </c>
      <c r="I23" s="2"/>
      <c r="J23" s="7">
        <f t="shared" si="1"/>
        <v>0</v>
      </c>
      <c r="K23" s="2"/>
      <c r="L23" s="6">
        <f t="shared" si="2"/>
        <v>2.9116000000009024E-3</v>
      </c>
      <c r="M23" s="2"/>
      <c r="N23" s="7">
        <f t="shared" si="3"/>
        <v>1.3748821108008891E-4</v>
      </c>
      <c r="O23" s="11"/>
      <c r="P23" s="6">
        <v>134.80000000000001</v>
      </c>
      <c r="Q23" s="2"/>
      <c r="R23" s="7">
        <f t="shared" si="4"/>
        <v>0</v>
      </c>
      <c r="S23" s="2"/>
      <c r="T23" s="6">
        <v>116.4739862</v>
      </c>
      <c r="U23" s="2"/>
      <c r="V23" s="7">
        <f t="shared" si="5"/>
        <v>0</v>
      </c>
      <c r="W23" s="2"/>
      <c r="X23" s="6">
        <f t="shared" si="6"/>
        <v>18.326013800000013</v>
      </c>
      <c r="Y23" s="2"/>
      <c r="Z23" s="7">
        <f t="shared" si="7"/>
        <v>0.15733997262300287</v>
      </c>
    </row>
    <row r="24" spans="1:26" s="24" customFormat="1" hidden="1" outlineLevel="2" x14ac:dyDescent="0.25">
      <c r="A24" s="25"/>
      <c r="B24" s="11" t="str">
        <f>CONCATENATE("          ", "6115", " - ", "P.E.R.S.")</f>
        <v xml:space="preserve">          6115 - P.E.R.S.</v>
      </c>
      <c r="C24" s="11"/>
      <c r="D24" s="6">
        <v>568.92999999999995</v>
      </c>
      <c r="E24" s="2"/>
      <c r="F24" s="7">
        <f t="shared" si="0"/>
        <v>0</v>
      </c>
      <c r="G24" s="2"/>
      <c r="H24" s="6">
        <v>700.47292400000003</v>
      </c>
      <c r="I24" s="2"/>
      <c r="J24" s="7">
        <f t="shared" si="1"/>
        <v>0</v>
      </c>
      <c r="K24" s="2"/>
      <c r="L24" s="6">
        <f t="shared" si="2"/>
        <v>-131.54292400000008</v>
      </c>
      <c r="M24" s="2"/>
      <c r="N24" s="7">
        <f t="shared" si="3"/>
        <v>-0.18779158978598876</v>
      </c>
      <c r="O24" s="11"/>
      <c r="P24" s="6">
        <v>2844.65</v>
      </c>
      <c r="Q24" s="2"/>
      <c r="R24" s="7">
        <f t="shared" si="4"/>
        <v>0</v>
      </c>
      <c r="S24" s="2"/>
      <c r="T24" s="6">
        <v>3852.6010819999997</v>
      </c>
      <c r="U24" s="2"/>
      <c r="V24" s="7">
        <f t="shared" si="5"/>
        <v>0</v>
      </c>
      <c r="W24" s="2"/>
      <c r="X24" s="6">
        <f t="shared" si="6"/>
        <v>-1007.9510819999996</v>
      </c>
      <c r="Y24" s="2"/>
      <c r="Z24" s="7">
        <f t="shared" si="7"/>
        <v>-0.26162871798726234</v>
      </c>
    </row>
    <row r="25" spans="1:26" s="24" customFormat="1" hidden="1" outlineLevel="2" x14ac:dyDescent="0.25">
      <c r="A25" s="25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5"/>
      <c r="B26" s="11" t="str">
        <f>CONCATENATE("          ", "6118", " - ", "VACATION")</f>
        <v xml:space="preserve">          6118 - VACATION</v>
      </c>
      <c r="C26" s="11"/>
      <c r="D26" s="6">
        <v>752.4</v>
      </c>
      <c r="E26" s="2"/>
      <c r="F26" s="7">
        <f t="shared" si="0"/>
        <v>0</v>
      </c>
      <c r="G26" s="2"/>
      <c r="H26" s="6">
        <v>570.15237999999999</v>
      </c>
      <c r="I26" s="2"/>
      <c r="J26" s="7">
        <f t="shared" si="1"/>
        <v>0</v>
      </c>
      <c r="K26" s="2"/>
      <c r="L26" s="6">
        <f t="shared" si="2"/>
        <v>182.24761999999998</v>
      </c>
      <c r="M26" s="2"/>
      <c r="N26" s="7">
        <f t="shared" si="3"/>
        <v>0.31964721431137405</v>
      </c>
      <c r="O26" s="11"/>
      <c r="P26" s="6">
        <v>4478.6499999999996</v>
      </c>
      <c r="Q26" s="2"/>
      <c r="R26" s="7">
        <f t="shared" si="4"/>
        <v>0</v>
      </c>
      <c r="S26" s="2"/>
      <c r="T26" s="6">
        <v>3135.8380899999997</v>
      </c>
      <c r="U26" s="2"/>
      <c r="V26" s="7">
        <f t="shared" si="5"/>
        <v>0</v>
      </c>
      <c r="W26" s="2"/>
      <c r="X26" s="6">
        <f t="shared" si="6"/>
        <v>1342.8119099999999</v>
      </c>
      <c r="Y26" s="2"/>
      <c r="Z26" s="7">
        <f t="shared" si="7"/>
        <v>0.42821468183645922</v>
      </c>
    </row>
    <row r="27" spans="1:26" s="24" customFormat="1" hidden="1" outlineLevel="2" x14ac:dyDescent="0.25">
      <c r="A27" s="25"/>
      <c r="B27" s="11" t="str">
        <f>CONCATENATE("          ", "6119", " - ", "SICK LEAVE")</f>
        <v xml:space="preserve">          6119 - SICK LEAVE</v>
      </c>
      <c r="C27" s="11"/>
      <c r="D27" s="6">
        <v>375.68</v>
      </c>
      <c r="E27" s="2"/>
      <c r="F27" s="7">
        <f t="shared" si="0"/>
        <v>0</v>
      </c>
      <c r="G27" s="2"/>
      <c r="H27" s="6">
        <v>244.35102000000001</v>
      </c>
      <c r="I27" s="2"/>
      <c r="J27" s="7">
        <f t="shared" si="1"/>
        <v>0</v>
      </c>
      <c r="K27" s="2"/>
      <c r="L27" s="6">
        <f t="shared" si="2"/>
        <v>131.32898</v>
      </c>
      <c r="M27" s="2"/>
      <c r="N27" s="7">
        <f t="shared" si="3"/>
        <v>0.53746033063418353</v>
      </c>
      <c r="O27" s="11"/>
      <c r="P27" s="6">
        <v>2296.7399999999998</v>
      </c>
      <c r="Q27" s="2"/>
      <c r="R27" s="7">
        <f t="shared" si="4"/>
        <v>0</v>
      </c>
      <c r="S27" s="2"/>
      <c r="T27" s="6">
        <v>1343.9306099999999</v>
      </c>
      <c r="U27" s="2"/>
      <c r="V27" s="7">
        <f t="shared" si="5"/>
        <v>0</v>
      </c>
      <c r="W27" s="2"/>
      <c r="X27" s="6">
        <f t="shared" si="6"/>
        <v>952.80938999999989</v>
      </c>
      <c r="Y27" s="2"/>
      <c r="Z27" s="7">
        <f t="shared" si="7"/>
        <v>0.70897216188862611</v>
      </c>
    </row>
    <row r="28" spans="1:26" s="24" customFormat="1" hidden="1" outlineLevel="2" x14ac:dyDescent="0.25">
      <c r="A28" s="25"/>
      <c r="B28" s="11" t="str">
        <f>CONCATENATE("          ", "6156", " - ", "EMPLOYEE MEALS")</f>
        <v xml:space="preserve">          6156 - EMPLOYEE MEALS</v>
      </c>
      <c r="C28" s="11"/>
      <c r="D28" s="6">
        <v>53.69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53.69</v>
      </c>
      <c r="M28" s="2"/>
      <c r="N28" s="7">
        <f t="shared" si="3"/>
        <v>0</v>
      </c>
      <c r="O28" s="11"/>
      <c r="P28" s="6">
        <v>628.54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628.54</v>
      </c>
      <c r="Y28" s="2"/>
      <c r="Z28" s="7">
        <f t="shared" si="7"/>
        <v>0</v>
      </c>
    </row>
    <row r="29" spans="1:26" s="26" customFormat="1" outlineLevel="1" collapsed="1" x14ac:dyDescent="0.25">
      <c r="A29" s="27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8145.04</v>
      </c>
      <c r="E29" s="1"/>
      <c r="F29" s="5">
        <f t="shared" ref="F29:F39" si="8">IF(D$12=0,0,D29/D$12)</f>
        <v>0</v>
      </c>
      <c r="G29" s="1"/>
      <c r="H29" s="1">
        <f>SUM(OSRRefH22_1x_0)</f>
        <v>7330.5306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814.50939999999991</v>
      </c>
      <c r="M29" s="1"/>
      <c r="N29" s="5">
        <f t="shared" ref="N29:N39" si="11">IF(H29=0,0,L29/H29)</f>
        <v>0.11111192960575049</v>
      </c>
      <c r="O29" s="13"/>
      <c r="P29" s="1">
        <f>SUM(OSRRefP22_1x_0)</f>
        <v>38281.699999999997</v>
      </c>
      <c r="Q29" s="1"/>
      <c r="R29" s="5">
        <f t="shared" ref="R29:R39" si="12">IF(P$12=0,0,P29/P$12)</f>
        <v>0</v>
      </c>
      <c r="S29" s="1"/>
      <c r="T29" s="1">
        <f>SUM(OSRRefT22_1x_0)</f>
        <v>40317.918299999998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-2036.2183000000005</v>
      </c>
      <c r="Y29" s="1"/>
      <c r="Z29" s="5">
        <f t="shared" ref="Z29:Z39" si="15">IF(T29=0,0,X29/T29)</f>
        <v>-5.0504053429762531E-2</v>
      </c>
    </row>
    <row r="30" spans="1:26" s="24" customFormat="1" hidden="1" outlineLevel="2" x14ac:dyDescent="0.25">
      <c r="A30" s="25"/>
      <c r="B30" s="11" t="str">
        <f>CONCATENATE("          ", "6001", " - ", "ADMINISTRATIVE SALARIES")</f>
        <v xml:space="preserve">          6001 - ADMINISTRATIVE SALARIES</v>
      </c>
      <c r="C30" s="11"/>
      <c r="D30" s="6">
        <v>8145.04</v>
      </c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8145.04</v>
      </c>
      <c r="M30" s="2"/>
      <c r="N30" s="7">
        <f t="shared" si="11"/>
        <v>0</v>
      </c>
      <c r="O30" s="11"/>
      <c r="P30" s="6">
        <v>38281.699999999997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38281.699999999997</v>
      </c>
      <c r="Y30" s="2"/>
      <c r="Z30" s="7">
        <f t="shared" si="15"/>
        <v>0</v>
      </c>
    </row>
    <row r="31" spans="1:26" s="24" customFormat="1" hidden="1" outlineLevel="2" x14ac:dyDescent="0.25">
      <c r="A31" s="25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7330.5306</v>
      </c>
      <c r="I31" s="2"/>
      <c r="J31" s="7">
        <f t="shared" si="9"/>
        <v>0</v>
      </c>
      <c r="K31" s="2"/>
      <c r="L31" s="6">
        <f t="shared" si="10"/>
        <v>-7330.5306</v>
      </c>
      <c r="M31" s="2"/>
      <c r="N31" s="7">
        <f t="shared" si="11"/>
        <v>-1</v>
      </c>
      <c r="O31" s="11"/>
      <c r="P31" s="6"/>
      <c r="Q31" s="2"/>
      <c r="R31" s="7">
        <f t="shared" si="12"/>
        <v>0</v>
      </c>
      <c r="S31" s="2"/>
      <c r="T31" s="6">
        <v>40317.918299999998</v>
      </c>
      <c r="U31" s="2"/>
      <c r="V31" s="7">
        <f t="shared" si="13"/>
        <v>0</v>
      </c>
      <c r="W31" s="2"/>
      <c r="X31" s="6">
        <f t="shared" si="14"/>
        <v>-40317.918299999998</v>
      </c>
      <c r="Y31" s="2"/>
      <c r="Z31" s="7">
        <f t="shared" si="15"/>
        <v>-1</v>
      </c>
    </row>
    <row r="32" spans="1:26" s="24" customFormat="1" hidden="1" outlineLevel="2" x14ac:dyDescent="0.25">
      <c r="A32" s="25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5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5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5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5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5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5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5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7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3" si="16">IF(D$12=0,0,D40/D$12)</f>
        <v>0</v>
      </c>
      <c r="G40" s="1"/>
      <c r="H40" s="1">
        <f>SUM(OSRRefH22_2x_0)</f>
        <v>125</v>
      </c>
      <c r="I40" s="1"/>
      <c r="J40" s="5">
        <f t="shared" ref="J40:J53" si="17">IF(H$12=0,0,H40/H$12)</f>
        <v>0</v>
      </c>
      <c r="K40" s="1"/>
      <c r="L40" s="1">
        <f t="shared" ref="L40:L53" si="18">+D40-H40</f>
        <v>-125</v>
      </c>
      <c r="M40" s="1"/>
      <c r="N40" s="5">
        <f t="shared" ref="N40:N53" si="19">IF(H40=0,0,L40/H40)</f>
        <v>-1</v>
      </c>
      <c r="O40" s="13"/>
      <c r="P40" s="1">
        <f>SUM(OSRRefP22_2x_0)</f>
        <v>0</v>
      </c>
      <c r="Q40" s="1"/>
      <c r="R40" s="5">
        <f t="shared" ref="R40:R53" si="20">IF(P$12=0,0,P40/P$12)</f>
        <v>0</v>
      </c>
      <c r="S40" s="1"/>
      <c r="T40" s="1">
        <f>SUM(OSRRefT22_2x_0)</f>
        <v>625</v>
      </c>
      <c r="U40" s="1"/>
      <c r="V40" s="5">
        <f t="shared" ref="V40:V53" si="21">IF(T$12=0,0,T40/T$12)</f>
        <v>0</v>
      </c>
      <c r="W40" s="1"/>
      <c r="X40" s="1">
        <f t="shared" ref="X40:X53" si="22">+P40-T40</f>
        <v>-625</v>
      </c>
      <c r="Y40" s="1"/>
      <c r="Z40" s="5">
        <f t="shared" ref="Z40:Z53" si="23">IF(T40=0,0,X40/T40)</f>
        <v>-1</v>
      </c>
    </row>
    <row r="41" spans="1:26" s="24" customFormat="1" hidden="1" outlineLevel="2" x14ac:dyDescent="0.25">
      <c r="A41" s="25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>
        <v>125</v>
      </c>
      <c r="I41" s="2"/>
      <c r="J41" s="7">
        <f t="shared" si="17"/>
        <v>0</v>
      </c>
      <c r="K41" s="2"/>
      <c r="L41" s="6">
        <f t="shared" si="18"/>
        <v>-125</v>
      </c>
      <c r="M41" s="2"/>
      <c r="N41" s="7">
        <f t="shared" si="19"/>
        <v>-1</v>
      </c>
      <c r="O41" s="11"/>
      <c r="P41" s="6"/>
      <c r="Q41" s="2"/>
      <c r="R41" s="7">
        <f t="shared" si="20"/>
        <v>0</v>
      </c>
      <c r="S41" s="2"/>
      <c r="T41" s="6">
        <v>625</v>
      </c>
      <c r="U41" s="2"/>
      <c r="V41" s="7">
        <f t="shared" si="21"/>
        <v>0</v>
      </c>
      <c r="W41" s="2"/>
      <c r="X41" s="6">
        <f t="shared" si="22"/>
        <v>-625</v>
      </c>
      <c r="Y41" s="2"/>
      <c r="Z41" s="7">
        <f t="shared" si="23"/>
        <v>-1</v>
      </c>
    </row>
    <row r="42" spans="1:26" s="26" customFormat="1" outlineLevel="1" collapsed="1" x14ac:dyDescent="0.25">
      <c r="A42" s="27"/>
      <c r="B42" s="13" t="str">
        <f>CONCATENATE("     ","Donations                                         ")</f>
        <v xml:space="preserve">     Donations              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100</v>
      </c>
      <c r="I42" s="1"/>
      <c r="J42" s="5">
        <f t="shared" si="17"/>
        <v>0</v>
      </c>
      <c r="K42" s="1"/>
      <c r="L42" s="1">
        <f t="shared" si="18"/>
        <v>-100</v>
      </c>
      <c r="M42" s="1"/>
      <c r="N42" s="5">
        <f t="shared" si="19"/>
        <v>-1</v>
      </c>
      <c r="O42" s="13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500</v>
      </c>
      <c r="U42" s="1"/>
      <c r="V42" s="5">
        <f t="shared" si="21"/>
        <v>0</v>
      </c>
      <c r="W42" s="1"/>
      <c r="X42" s="1">
        <f t="shared" si="22"/>
        <v>-500</v>
      </c>
      <c r="Y42" s="1"/>
      <c r="Z42" s="5">
        <f t="shared" si="23"/>
        <v>-1</v>
      </c>
    </row>
    <row r="43" spans="1:26" s="24" customFormat="1" hidden="1" outlineLevel="2" x14ac:dyDescent="0.25">
      <c r="A43" s="25"/>
      <c r="B43" s="11" t="str">
        <f>CONCATENATE("          ", "6396", " - ", "COUPONS-CHARTROOM")</f>
        <v xml:space="preserve">          6396 - COUPONS-CHARTROOM</v>
      </c>
      <c r="C43" s="11"/>
      <c r="D43" s="6"/>
      <c r="E43" s="2"/>
      <c r="F43" s="7">
        <f t="shared" si="16"/>
        <v>0</v>
      </c>
      <c r="G43" s="2"/>
      <c r="H43" s="6">
        <v>100</v>
      </c>
      <c r="I43" s="2"/>
      <c r="J43" s="7">
        <f t="shared" si="17"/>
        <v>0</v>
      </c>
      <c r="K43" s="2"/>
      <c r="L43" s="6">
        <f t="shared" si="18"/>
        <v>-100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500</v>
      </c>
      <c r="U43" s="2"/>
      <c r="V43" s="7">
        <f t="shared" si="21"/>
        <v>0</v>
      </c>
      <c r="W43" s="2"/>
      <c r="X43" s="6">
        <f t="shared" si="22"/>
        <v>-500</v>
      </c>
      <c r="Y43" s="2"/>
      <c r="Z43" s="7">
        <f t="shared" si="23"/>
        <v>-1</v>
      </c>
    </row>
    <row r="44" spans="1:26" s="26" customFormat="1" outlineLevel="1" collapsed="1" x14ac:dyDescent="0.25">
      <c r="A44" s="27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300</v>
      </c>
      <c r="I44" s="1"/>
      <c r="J44" s="5">
        <f t="shared" si="17"/>
        <v>0</v>
      </c>
      <c r="K44" s="1"/>
      <c r="L44" s="1">
        <f t="shared" si="18"/>
        <v>-300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1500</v>
      </c>
      <c r="U44" s="1"/>
      <c r="V44" s="5">
        <f t="shared" si="21"/>
        <v>0</v>
      </c>
      <c r="W44" s="1"/>
      <c r="X44" s="1">
        <f t="shared" si="22"/>
        <v>-1500</v>
      </c>
      <c r="Y44" s="1"/>
      <c r="Z44" s="5">
        <f t="shared" si="23"/>
        <v>-1</v>
      </c>
    </row>
    <row r="45" spans="1:26" s="24" customFormat="1" hidden="1" outlineLevel="2" x14ac:dyDescent="0.25">
      <c r="A45" s="25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>
        <v>300</v>
      </c>
      <c r="I45" s="2"/>
      <c r="J45" s="7">
        <f t="shared" si="17"/>
        <v>0</v>
      </c>
      <c r="K45" s="2"/>
      <c r="L45" s="6">
        <f t="shared" si="18"/>
        <v>-300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1500</v>
      </c>
      <c r="U45" s="2"/>
      <c r="V45" s="7">
        <f t="shared" si="21"/>
        <v>0</v>
      </c>
      <c r="W45" s="2"/>
      <c r="X45" s="6">
        <f t="shared" si="22"/>
        <v>-1500</v>
      </c>
      <c r="Y45" s="2"/>
      <c r="Z45" s="7">
        <f t="shared" si="23"/>
        <v>-1</v>
      </c>
    </row>
    <row r="46" spans="1:26" s="26" customFormat="1" outlineLevel="1" collapsed="1" x14ac:dyDescent="0.25">
      <c r="A46" s="27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SUM(OSRRefD22_5x_0)</f>
        <v>87</v>
      </c>
      <c r="E46" s="1"/>
      <c r="F46" s="5">
        <f t="shared" si="16"/>
        <v>0</v>
      </c>
      <c r="G46" s="1"/>
      <c r="H46" s="1">
        <f>SUM(OSRRefH22_5x_0)</f>
        <v>200</v>
      </c>
      <c r="I46" s="1"/>
      <c r="J46" s="5">
        <f t="shared" si="17"/>
        <v>0</v>
      </c>
      <c r="K46" s="1"/>
      <c r="L46" s="1">
        <f t="shared" si="18"/>
        <v>-113</v>
      </c>
      <c r="M46" s="1"/>
      <c r="N46" s="5">
        <f t="shared" si="19"/>
        <v>-0.56499999999999995</v>
      </c>
      <c r="O46" s="13"/>
      <c r="P46" s="1">
        <f>SUM(OSRRefP22_5x_0)</f>
        <v>214.55</v>
      </c>
      <c r="Q46" s="1"/>
      <c r="R46" s="5">
        <f t="shared" si="20"/>
        <v>0</v>
      </c>
      <c r="S46" s="1"/>
      <c r="T46" s="1">
        <f>SUM(OSRRefT22_5x_0)</f>
        <v>1000</v>
      </c>
      <c r="U46" s="1"/>
      <c r="V46" s="5">
        <f t="shared" si="21"/>
        <v>0</v>
      </c>
      <c r="W46" s="1"/>
      <c r="X46" s="1">
        <f t="shared" si="22"/>
        <v>-785.45</v>
      </c>
      <c r="Y46" s="1"/>
      <c r="Z46" s="5">
        <f t="shared" si="23"/>
        <v>-0.78545000000000009</v>
      </c>
    </row>
    <row r="47" spans="1:26" s="24" customFormat="1" hidden="1" outlineLevel="2" x14ac:dyDescent="0.25">
      <c r="A47" s="25"/>
      <c r="B47" s="11" t="str">
        <f>CONCATENATE("          ", "6279", " - ", "GENERAL EXPENSE")</f>
        <v xml:space="preserve">          6279 - GENERAL EXPENSE</v>
      </c>
      <c r="C47" s="11"/>
      <c r="D47" s="6">
        <v>87</v>
      </c>
      <c r="E47" s="2"/>
      <c r="F47" s="7">
        <f t="shared" si="16"/>
        <v>0</v>
      </c>
      <c r="G47" s="2"/>
      <c r="H47" s="6">
        <v>200</v>
      </c>
      <c r="I47" s="2"/>
      <c r="J47" s="7">
        <f t="shared" si="17"/>
        <v>0</v>
      </c>
      <c r="K47" s="2"/>
      <c r="L47" s="6">
        <f t="shared" si="18"/>
        <v>-113</v>
      </c>
      <c r="M47" s="2"/>
      <c r="N47" s="7">
        <f t="shared" si="19"/>
        <v>-0.56499999999999995</v>
      </c>
      <c r="O47" s="11"/>
      <c r="P47" s="6">
        <v>214.55</v>
      </c>
      <c r="Q47" s="2"/>
      <c r="R47" s="7">
        <f t="shared" si="20"/>
        <v>0</v>
      </c>
      <c r="S47" s="2"/>
      <c r="T47" s="6">
        <v>1000</v>
      </c>
      <c r="U47" s="2"/>
      <c r="V47" s="7">
        <f t="shared" si="21"/>
        <v>0</v>
      </c>
      <c r="W47" s="2"/>
      <c r="X47" s="6">
        <f t="shared" si="22"/>
        <v>-785.45</v>
      </c>
      <c r="Y47" s="2"/>
      <c r="Z47" s="7">
        <f t="shared" si="23"/>
        <v>-0.78545000000000009</v>
      </c>
    </row>
    <row r="48" spans="1:26" s="26" customFormat="1" outlineLevel="1" collapsed="1" x14ac:dyDescent="0.25">
      <c r="A48" s="27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SUM(OSRRefP22_6x_0)</f>
        <v>6340.43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6340.43</v>
      </c>
      <c r="Y48" s="1"/>
      <c r="Z48" s="5">
        <f t="shared" si="23"/>
        <v>0</v>
      </c>
    </row>
    <row r="49" spans="1:26" s="24" customFormat="1" hidden="1" outlineLevel="2" x14ac:dyDescent="0.25">
      <c r="A49" s="25"/>
      <c r="B49" s="11" t="str">
        <f>CONCATENATE("          ", "6371", " - ", "COMPUTER SOFTWARE MAINTENANCE")</f>
        <v xml:space="preserve">          6371 - COMPUTER SOFTWARE MAINTENANCE</v>
      </c>
      <c r="C49" s="11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>
        <v>6340.43</v>
      </c>
      <c r="Q49" s="2"/>
      <c r="R49" s="7">
        <f t="shared" si="20"/>
        <v>0</v>
      </c>
      <c r="S49" s="2"/>
      <c r="T49" s="6">
        <v>0</v>
      </c>
      <c r="U49" s="2"/>
      <c r="V49" s="7">
        <f t="shared" si="21"/>
        <v>0</v>
      </c>
      <c r="W49" s="2"/>
      <c r="X49" s="6">
        <f t="shared" si="22"/>
        <v>6340.43</v>
      </c>
      <c r="Y49" s="2"/>
      <c r="Z49" s="7">
        <f t="shared" si="23"/>
        <v>0</v>
      </c>
    </row>
    <row r="50" spans="1:26" s="26" customFormat="1" outlineLevel="1" collapsed="1" x14ac:dyDescent="0.25">
      <c r="A50" s="27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400</v>
      </c>
      <c r="I50" s="1"/>
      <c r="J50" s="5">
        <f t="shared" si="17"/>
        <v>0</v>
      </c>
      <c r="K50" s="1"/>
      <c r="L50" s="1">
        <f t="shared" si="18"/>
        <v>-400</v>
      </c>
      <c r="M50" s="1"/>
      <c r="N50" s="5">
        <f t="shared" si="19"/>
        <v>-1</v>
      </c>
      <c r="O50" s="13"/>
      <c r="P50" s="1">
        <f>SUM(OSRRefP22_7x_0)</f>
        <v>2338.31</v>
      </c>
      <c r="Q50" s="1"/>
      <c r="R50" s="5">
        <f t="shared" si="20"/>
        <v>0</v>
      </c>
      <c r="S50" s="1"/>
      <c r="T50" s="1">
        <f>SUM(OSRRefT22_7x_0)</f>
        <v>1700</v>
      </c>
      <c r="U50" s="1"/>
      <c r="V50" s="5">
        <f t="shared" si="21"/>
        <v>0</v>
      </c>
      <c r="W50" s="1"/>
      <c r="X50" s="1">
        <f t="shared" si="22"/>
        <v>638.30999999999995</v>
      </c>
      <c r="Y50" s="1"/>
      <c r="Z50" s="5">
        <f t="shared" si="23"/>
        <v>0.37547647058823524</v>
      </c>
    </row>
    <row r="51" spans="1:26" s="24" customFormat="1" hidden="1" outlineLevel="2" x14ac:dyDescent="0.25">
      <c r="A51" s="25"/>
      <c r="B51" s="11" t="str">
        <f>CONCATENATE("          ", "6234", " - ", "EXPENDABLE SUPPLIES &amp; EQUIPMEN")</f>
        <v xml:space="preserve">          6234 - EXPENDABLE SUPPLIES &amp; EQUIPMEN</v>
      </c>
      <c r="C51" s="11"/>
      <c r="D51" s="6"/>
      <c r="E51" s="2"/>
      <c r="F51" s="7">
        <f t="shared" si="16"/>
        <v>0</v>
      </c>
      <c r="G51" s="2"/>
      <c r="H51" s="6">
        <v>200</v>
      </c>
      <c r="I51" s="2"/>
      <c r="J51" s="7">
        <f t="shared" si="17"/>
        <v>0</v>
      </c>
      <c r="K51" s="2"/>
      <c r="L51" s="6">
        <f t="shared" si="18"/>
        <v>-200</v>
      </c>
      <c r="M51" s="2"/>
      <c r="N51" s="7">
        <f t="shared" si="19"/>
        <v>-1</v>
      </c>
      <c r="O51" s="11"/>
      <c r="P51" s="6"/>
      <c r="Q51" s="2"/>
      <c r="R51" s="7">
        <f t="shared" si="20"/>
        <v>0</v>
      </c>
      <c r="S51" s="2"/>
      <c r="T51" s="6">
        <v>600</v>
      </c>
      <c r="U51" s="2"/>
      <c r="V51" s="7">
        <f t="shared" si="21"/>
        <v>0</v>
      </c>
      <c r="W51" s="2"/>
      <c r="X51" s="6">
        <f t="shared" si="22"/>
        <v>-600</v>
      </c>
      <c r="Y51" s="2"/>
      <c r="Z51" s="7">
        <f t="shared" si="23"/>
        <v>-1</v>
      </c>
    </row>
    <row r="52" spans="1:26" s="24" customFormat="1" hidden="1" outlineLevel="2" x14ac:dyDescent="0.25">
      <c r="A52" s="25"/>
      <c r="B52" s="11" t="str">
        <f>CONCATENATE("          ", "6239", " - ", "KITCHEN SUPPLIES")</f>
        <v xml:space="preserve">          6239 - KITCHEN SUPPLIES</v>
      </c>
      <c r="C52" s="11"/>
      <c r="D52" s="6"/>
      <c r="E52" s="2"/>
      <c r="F52" s="7">
        <f t="shared" si="16"/>
        <v>0</v>
      </c>
      <c r="G52" s="2"/>
      <c r="H52" s="6">
        <v>100</v>
      </c>
      <c r="I52" s="2"/>
      <c r="J52" s="7">
        <f t="shared" si="17"/>
        <v>0</v>
      </c>
      <c r="K52" s="2"/>
      <c r="L52" s="6">
        <f t="shared" si="18"/>
        <v>-100</v>
      </c>
      <c r="M52" s="2"/>
      <c r="N52" s="7">
        <f t="shared" si="19"/>
        <v>-1</v>
      </c>
      <c r="O52" s="11"/>
      <c r="P52" s="6"/>
      <c r="Q52" s="2"/>
      <c r="R52" s="7">
        <f t="shared" si="20"/>
        <v>0</v>
      </c>
      <c r="S52" s="2"/>
      <c r="T52" s="6">
        <v>500</v>
      </c>
      <c r="U52" s="2"/>
      <c r="V52" s="7">
        <f t="shared" si="21"/>
        <v>0</v>
      </c>
      <c r="W52" s="2"/>
      <c r="X52" s="6">
        <f t="shared" si="22"/>
        <v>-500</v>
      </c>
      <c r="Y52" s="2"/>
      <c r="Z52" s="7">
        <f t="shared" si="23"/>
        <v>-1</v>
      </c>
    </row>
    <row r="53" spans="1:26" s="24" customFormat="1" hidden="1" outlineLevel="2" x14ac:dyDescent="0.25">
      <c r="A53" s="25"/>
      <c r="B53" s="11" t="str">
        <f>CONCATENATE("          ", "6241", " - ", "OFFICE EXPENSE")</f>
        <v xml:space="preserve">          6241 - OFFICE EXPENSE</v>
      </c>
      <c r="C53" s="11"/>
      <c r="D53" s="6"/>
      <c r="E53" s="2"/>
      <c r="F53" s="7">
        <f t="shared" si="16"/>
        <v>0</v>
      </c>
      <c r="G53" s="2"/>
      <c r="H53" s="6">
        <v>100</v>
      </c>
      <c r="I53" s="2"/>
      <c r="J53" s="7">
        <f t="shared" si="17"/>
        <v>0</v>
      </c>
      <c r="K53" s="2"/>
      <c r="L53" s="6">
        <f t="shared" si="18"/>
        <v>-100</v>
      </c>
      <c r="M53" s="2"/>
      <c r="N53" s="7">
        <f t="shared" si="19"/>
        <v>-1</v>
      </c>
      <c r="O53" s="11"/>
      <c r="P53" s="6">
        <v>2338.31</v>
      </c>
      <c r="Q53" s="2"/>
      <c r="R53" s="7">
        <f t="shared" si="20"/>
        <v>0</v>
      </c>
      <c r="S53" s="2"/>
      <c r="T53" s="6">
        <v>600</v>
      </c>
      <c r="U53" s="2"/>
      <c r="V53" s="7">
        <f t="shared" si="21"/>
        <v>0</v>
      </c>
      <c r="W53" s="2"/>
      <c r="X53" s="6">
        <f t="shared" si="22"/>
        <v>1738.31</v>
      </c>
      <c r="Y53" s="2"/>
      <c r="Z53" s="7">
        <f t="shared" si="23"/>
        <v>2.8971833333333334</v>
      </c>
    </row>
    <row r="54" spans="1:26" s="26" customFormat="1" outlineLevel="1" collapsed="1" x14ac:dyDescent="0.25">
      <c r="A54" s="27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50</v>
      </c>
      <c r="E54" s="1"/>
      <c r="F54" s="5">
        <f t="shared" ref="F54:F59" si="24">IF(D$12=0,0,D54/D$12)</f>
        <v>0</v>
      </c>
      <c r="G54" s="1"/>
      <c r="H54" s="1">
        <f>SUM(OSRRefH22_8x_0)</f>
        <v>100</v>
      </c>
      <c r="I54" s="1"/>
      <c r="J54" s="5">
        <f t="shared" ref="J54:J59" si="25">IF(H$12=0,0,H54/H$12)</f>
        <v>0</v>
      </c>
      <c r="K54" s="1"/>
      <c r="L54" s="1">
        <f t="shared" ref="L54:L59" si="26">+D54-H54</f>
        <v>-50</v>
      </c>
      <c r="M54" s="1"/>
      <c r="N54" s="5">
        <f t="shared" ref="N54:N59" si="27">IF(H54=0,0,L54/H54)</f>
        <v>-0.5</v>
      </c>
      <c r="O54" s="13"/>
      <c r="P54" s="1">
        <f>SUM(OSRRefP22_8x_0)</f>
        <v>-650</v>
      </c>
      <c r="Q54" s="1"/>
      <c r="R54" s="5">
        <f t="shared" ref="R54:R59" si="28">IF(P$12=0,0,P54/P$12)</f>
        <v>0</v>
      </c>
      <c r="S54" s="1"/>
      <c r="T54" s="1">
        <f>SUM(OSRRefT22_8x_0)</f>
        <v>500</v>
      </c>
      <c r="U54" s="1"/>
      <c r="V54" s="5">
        <f t="shared" ref="V54:V59" si="29">IF(T$12=0,0,T54/T$12)</f>
        <v>0</v>
      </c>
      <c r="W54" s="1"/>
      <c r="X54" s="1">
        <f t="shared" ref="X54:X59" si="30">+P54-T54</f>
        <v>-1150</v>
      </c>
      <c r="Y54" s="1"/>
      <c r="Z54" s="5">
        <f t="shared" ref="Z54:Z59" si="31">IF(T54=0,0,X54/T54)</f>
        <v>-2.2999999999999998</v>
      </c>
    </row>
    <row r="55" spans="1:26" s="24" customFormat="1" hidden="1" outlineLevel="2" x14ac:dyDescent="0.25">
      <c r="A55" s="25"/>
      <c r="B55" s="11" t="str">
        <f>CONCATENATE("          ", "6309", " - ", "TELEPHONE")</f>
        <v xml:space="preserve">          6309 - TELEPHONE</v>
      </c>
      <c r="C55" s="11"/>
      <c r="D55" s="6">
        <v>50</v>
      </c>
      <c r="E55" s="2"/>
      <c r="F55" s="7">
        <f t="shared" si="24"/>
        <v>0</v>
      </c>
      <c r="G55" s="2"/>
      <c r="H55" s="6">
        <v>100</v>
      </c>
      <c r="I55" s="2"/>
      <c r="J55" s="7">
        <f t="shared" si="25"/>
        <v>0</v>
      </c>
      <c r="K55" s="2"/>
      <c r="L55" s="6">
        <f t="shared" si="26"/>
        <v>-50</v>
      </c>
      <c r="M55" s="2"/>
      <c r="N55" s="7">
        <f t="shared" si="27"/>
        <v>-0.5</v>
      </c>
      <c r="O55" s="11"/>
      <c r="P55" s="6">
        <v>-650</v>
      </c>
      <c r="Q55" s="2"/>
      <c r="R55" s="7">
        <f t="shared" si="28"/>
        <v>0</v>
      </c>
      <c r="S55" s="2"/>
      <c r="T55" s="6">
        <v>500</v>
      </c>
      <c r="U55" s="2"/>
      <c r="V55" s="7">
        <f t="shared" si="29"/>
        <v>0</v>
      </c>
      <c r="W55" s="2"/>
      <c r="X55" s="6">
        <f t="shared" si="30"/>
        <v>-1150</v>
      </c>
      <c r="Y55" s="2"/>
      <c r="Z55" s="7">
        <f t="shared" si="31"/>
        <v>-2.2999999999999998</v>
      </c>
    </row>
    <row r="56" spans="1:26" s="26" customFormat="1" outlineLevel="1" collapsed="1" x14ac:dyDescent="0.25">
      <c r="A56" s="27"/>
      <c r="B56" s="13" t="str">
        <f>CONCATENATE("     ","Training                                          ")</f>
        <v xml:space="preserve">     Training                                          </v>
      </c>
      <c r="C56" s="13"/>
      <c r="D56" s="1">
        <f>SUM(OSRRefD22_9x_0)</f>
        <v>0</v>
      </c>
      <c r="E56" s="1"/>
      <c r="F56" s="5">
        <f t="shared" si="24"/>
        <v>0</v>
      </c>
      <c r="G56" s="1"/>
      <c r="H56" s="1">
        <f>SUM(OSRRefH22_9x_0)</f>
        <v>300</v>
      </c>
      <c r="I56" s="1"/>
      <c r="J56" s="5">
        <f t="shared" si="25"/>
        <v>0</v>
      </c>
      <c r="K56" s="1"/>
      <c r="L56" s="1">
        <f t="shared" si="26"/>
        <v>-300</v>
      </c>
      <c r="M56" s="1"/>
      <c r="N56" s="5">
        <f t="shared" si="27"/>
        <v>-1</v>
      </c>
      <c r="O56" s="13"/>
      <c r="P56" s="1">
        <f>SUM(OSRRefP22_9x_0)</f>
        <v>1321.12</v>
      </c>
      <c r="Q56" s="1"/>
      <c r="R56" s="5">
        <f t="shared" si="28"/>
        <v>0</v>
      </c>
      <c r="S56" s="1"/>
      <c r="T56" s="1">
        <f>SUM(OSRRefT22_9x_0)</f>
        <v>1500</v>
      </c>
      <c r="U56" s="1"/>
      <c r="V56" s="5">
        <f t="shared" si="29"/>
        <v>0</v>
      </c>
      <c r="W56" s="1"/>
      <c r="X56" s="1">
        <f t="shared" si="30"/>
        <v>-178.88000000000011</v>
      </c>
      <c r="Y56" s="1"/>
      <c r="Z56" s="5">
        <f t="shared" si="31"/>
        <v>-0.11925333333333341</v>
      </c>
    </row>
    <row r="57" spans="1:26" s="24" customFormat="1" hidden="1" outlineLevel="2" x14ac:dyDescent="0.25">
      <c r="A57" s="25"/>
      <c r="B57" s="11" t="str">
        <f>CONCATENATE("          ", "6376", " - ", "TRAINING")</f>
        <v xml:space="preserve">          6376 - TRAINING</v>
      </c>
      <c r="C57" s="11"/>
      <c r="D57" s="6"/>
      <c r="E57" s="2"/>
      <c r="F57" s="7">
        <f t="shared" si="24"/>
        <v>0</v>
      </c>
      <c r="G57" s="2"/>
      <c r="H57" s="6">
        <v>300</v>
      </c>
      <c r="I57" s="2"/>
      <c r="J57" s="7">
        <f t="shared" si="25"/>
        <v>0</v>
      </c>
      <c r="K57" s="2"/>
      <c r="L57" s="6">
        <f t="shared" si="26"/>
        <v>-300</v>
      </c>
      <c r="M57" s="2"/>
      <c r="N57" s="7">
        <f t="shared" si="27"/>
        <v>-1</v>
      </c>
      <c r="O57" s="11"/>
      <c r="P57" s="6">
        <v>1321.12</v>
      </c>
      <c r="Q57" s="2"/>
      <c r="R57" s="7">
        <f t="shared" si="28"/>
        <v>0</v>
      </c>
      <c r="S57" s="2"/>
      <c r="T57" s="6">
        <v>1500</v>
      </c>
      <c r="U57" s="2"/>
      <c r="V57" s="7">
        <f t="shared" si="29"/>
        <v>0</v>
      </c>
      <c r="W57" s="2"/>
      <c r="X57" s="6">
        <f t="shared" si="30"/>
        <v>-178.88000000000011</v>
      </c>
      <c r="Y57" s="2"/>
      <c r="Z57" s="7">
        <f t="shared" si="31"/>
        <v>-0.11925333333333341</v>
      </c>
    </row>
    <row r="58" spans="1:26" s="26" customFormat="1" outlineLevel="1" collapsed="1" x14ac:dyDescent="0.25">
      <c r="A58" s="27"/>
      <c r="B58" s="13" t="str">
        <f>CONCATENATE("     ","Travel                                            ")</f>
        <v xml:space="preserve">     Travel                                            </v>
      </c>
      <c r="C58" s="13"/>
      <c r="D58" s="1">
        <f>SUM(OSRRefD22_10x_0)</f>
        <v>26.89</v>
      </c>
      <c r="E58" s="1"/>
      <c r="F58" s="5">
        <f t="shared" si="24"/>
        <v>0</v>
      </c>
      <c r="G58" s="1"/>
      <c r="H58" s="1">
        <f>SUM(OSRRefH22_10x_0)</f>
        <v>300</v>
      </c>
      <c r="I58" s="1"/>
      <c r="J58" s="5">
        <f t="shared" si="25"/>
        <v>0</v>
      </c>
      <c r="K58" s="1"/>
      <c r="L58" s="1">
        <f t="shared" si="26"/>
        <v>-273.11</v>
      </c>
      <c r="M58" s="1"/>
      <c r="N58" s="5">
        <f t="shared" si="27"/>
        <v>-0.91036666666666666</v>
      </c>
      <c r="O58" s="13"/>
      <c r="P58" s="1">
        <f>SUM(OSRRefP22_10x_0)</f>
        <v>170.77</v>
      </c>
      <c r="Q58" s="1"/>
      <c r="R58" s="5">
        <f t="shared" si="28"/>
        <v>0</v>
      </c>
      <c r="S58" s="1"/>
      <c r="T58" s="1">
        <f>SUM(OSRRefT22_10x_0)</f>
        <v>1500</v>
      </c>
      <c r="U58" s="1"/>
      <c r="V58" s="5">
        <f t="shared" si="29"/>
        <v>0</v>
      </c>
      <c r="W58" s="1"/>
      <c r="X58" s="1">
        <f t="shared" si="30"/>
        <v>-1329.23</v>
      </c>
      <c r="Y58" s="1"/>
      <c r="Z58" s="5">
        <f t="shared" si="31"/>
        <v>-0.88615333333333335</v>
      </c>
    </row>
    <row r="59" spans="1:26" s="24" customFormat="1" hidden="1" outlineLevel="2" x14ac:dyDescent="0.25">
      <c r="A59" s="25"/>
      <c r="B59" s="11" t="str">
        <f>CONCATENATE("          ", "6292", " - ", "TRAVEL/CONFERENCE")</f>
        <v xml:space="preserve">          6292 - TRAVEL/CONFERENCE</v>
      </c>
      <c r="C59" s="11"/>
      <c r="D59" s="6">
        <v>26.89</v>
      </c>
      <c r="E59" s="2"/>
      <c r="F59" s="7">
        <f t="shared" si="24"/>
        <v>0</v>
      </c>
      <c r="G59" s="2"/>
      <c r="H59" s="6">
        <v>300</v>
      </c>
      <c r="I59" s="2"/>
      <c r="J59" s="7">
        <f t="shared" si="25"/>
        <v>0</v>
      </c>
      <c r="K59" s="2"/>
      <c r="L59" s="6">
        <f t="shared" si="26"/>
        <v>-273.11</v>
      </c>
      <c r="M59" s="2"/>
      <c r="N59" s="7">
        <f t="shared" si="27"/>
        <v>-0.91036666666666666</v>
      </c>
      <c r="O59" s="11"/>
      <c r="P59" s="6">
        <v>170.77</v>
      </c>
      <c r="Q59" s="2"/>
      <c r="R59" s="7">
        <f t="shared" si="28"/>
        <v>0</v>
      </c>
      <c r="S59" s="2"/>
      <c r="T59" s="6">
        <v>1500</v>
      </c>
      <c r="U59" s="2"/>
      <c r="V59" s="7">
        <f t="shared" si="29"/>
        <v>0</v>
      </c>
      <c r="W59" s="2"/>
      <c r="X59" s="6">
        <f t="shared" si="30"/>
        <v>-1329.23</v>
      </c>
      <c r="Y59" s="2"/>
      <c r="Z59" s="7">
        <f t="shared" si="31"/>
        <v>-0.88615333333333335</v>
      </c>
    </row>
    <row r="60" spans="1:26" s="59" customFormat="1" x14ac:dyDescent="0.25">
      <c r="A60" s="36"/>
      <c r="B60" s="36"/>
      <c r="C60" s="36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9" t="s">
        <v>0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8" t="s">
        <v>3</v>
      </c>
      <c r="C63" s="28"/>
      <c r="D63" s="20">
        <f>+D16-D18+D61</f>
        <v>-13750.539999999999</v>
      </c>
      <c r="E63" s="14"/>
      <c r="F63" s="22">
        <f>IF(D$12=0,0,D63/D$12)</f>
        <v>0</v>
      </c>
      <c r="G63" s="14"/>
      <c r="H63" s="20">
        <f>+H16-H18+H61</f>
        <v>-13608.050783619999</v>
      </c>
      <c r="I63" s="14"/>
      <c r="J63" s="22">
        <f>IF(H$12=0,0,H63/H$12)</f>
        <v>0</v>
      </c>
      <c r="K63" s="16"/>
      <c r="L63" s="20">
        <f>+D63-H63</f>
        <v>-142.48921637999956</v>
      </c>
      <c r="M63" s="16"/>
      <c r="N63" s="22">
        <f>IF(H63=0,0,L63/H63)</f>
        <v>1.0470949781545034E-2</v>
      </c>
      <c r="O63" s="29"/>
      <c r="P63" s="20">
        <f>+P16-P18+P61</f>
        <v>-77759.539999999994</v>
      </c>
      <c r="Q63" s="14"/>
      <c r="R63" s="22">
        <f>IF(P$12=0,0,P63/P$12)</f>
        <v>0</v>
      </c>
      <c r="S63" s="14"/>
      <c r="T63" s="20">
        <f>+T16-T18+T61</f>
        <v>-72643.279309909994</v>
      </c>
      <c r="U63" s="14"/>
      <c r="V63" s="22">
        <f>IF(T$12=0,0,T63/T$12)</f>
        <v>0</v>
      </c>
      <c r="W63" s="16"/>
      <c r="X63" s="20">
        <f>+P63-T63</f>
        <v>-5116.2606900899991</v>
      </c>
      <c r="Y63" s="16"/>
      <c r="Z63" s="22">
        <f>IF(T63=0,0,X63/T63)</f>
        <v>7.0429924677038069E-2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2"/>
      <c r="B65" s="10" t="s">
        <v>14</v>
      </c>
      <c r="C65" s="10"/>
      <c r="D65" s="4"/>
      <c r="E65" s="4"/>
      <c r="F65" s="12">
        <f>IF(D$12=0,0,D65/D$12)</f>
        <v>0</v>
      </c>
      <c r="G65" s="4"/>
      <c r="H65" s="4"/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/>
      <c r="Q65" s="4"/>
      <c r="R65" s="12">
        <f>IF(P$12=0,0,P65/P$12)</f>
        <v>0</v>
      </c>
      <c r="S65" s="4"/>
      <c r="T65" s="4"/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8" t="s">
        <v>4</v>
      </c>
      <c r="C67" s="28"/>
      <c r="D67" s="30">
        <f>+D63-D65</f>
        <v>-13750.539999999999</v>
      </c>
      <c r="E67" s="14"/>
      <c r="F67" s="32">
        <f>IF(D$12=0,0,D67/D$12)</f>
        <v>0</v>
      </c>
      <c r="G67" s="14"/>
      <c r="H67" s="30">
        <f>+H63-H65</f>
        <v>-13608.050783619999</v>
      </c>
      <c r="I67" s="14"/>
      <c r="J67" s="32">
        <f>IF(H$12=0,0,H67/H$12)</f>
        <v>0</v>
      </c>
      <c r="K67" s="16"/>
      <c r="L67" s="30">
        <f>D67-H67</f>
        <v>-142.48921637999956</v>
      </c>
      <c r="M67" s="16"/>
      <c r="N67" s="32">
        <f>IF(H67=0,0,L67/H67)</f>
        <v>1.0470949781545034E-2</v>
      </c>
      <c r="O67" s="29"/>
      <c r="P67" s="30">
        <f>+P63-P65</f>
        <v>-77759.539999999994</v>
      </c>
      <c r="Q67" s="14"/>
      <c r="R67" s="32">
        <f>IF(P$12=0,0,P67/P$12)</f>
        <v>0</v>
      </c>
      <c r="S67" s="14"/>
      <c r="T67" s="30">
        <f>+T63-T65</f>
        <v>-72643.279309909994</v>
      </c>
      <c r="U67" s="14"/>
      <c r="V67" s="32">
        <f>IF(T$12=0,0,T67/T$12)</f>
        <v>0</v>
      </c>
      <c r="W67" s="16"/>
      <c r="X67" s="30">
        <f>P67-T67</f>
        <v>-5116.2606900899991</v>
      </c>
      <c r="Y67" s="16"/>
      <c r="Z67" s="32">
        <f>IF(T67=0,0,X67/T67)</f>
        <v>7.0429924677038069E-2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8" t="s">
        <v>5</v>
      </c>
      <c r="C70" s="28"/>
      <c r="D70" s="31">
        <f>SUM(D67:D69)</f>
        <v>-13750.539999999999</v>
      </c>
      <c r="E70" s="14"/>
      <c r="F70" s="35">
        <f>IF(D$12=0,0,D70/D$12)</f>
        <v>0</v>
      </c>
      <c r="G70" s="14"/>
      <c r="H70" s="31">
        <f>SUM(H67:H69)</f>
        <v>-13608.050783619999</v>
      </c>
      <c r="I70" s="14"/>
      <c r="J70" s="35">
        <f>IF(H$12=0,0,H70/H$12)</f>
        <v>0</v>
      </c>
      <c r="K70" s="16"/>
      <c r="L70" s="31">
        <f>+D70-H70</f>
        <v>-142.48921637999956</v>
      </c>
      <c r="M70" s="16"/>
      <c r="N70" s="35">
        <f>IF(H70=0,0,L70/H70)</f>
        <v>1.0470949781545034E-2</v>
      </c>
      <c r="O70" s="29"/>
      <c r="P70" s="31">
        <f>SUM(P67:P69)</f>
        <v>-77759.539999999994</v>
      </c>
      <c r="Q70" s="14"/>
      <c r="R70" s="35">
        <f>IF(P$12=0,0,P70/P$12)</f>
        <v>0</v>
      </c>
      <c r="S70" s="14"/>
      <c r="T70" s="31">
        <f>SUM(T67:T69)</f>
        <v>-72643.279309909994</v>
      </c>
      <c r="U70" s="14"/>
      <c r="V70" s="35">
        <f>IF(T$12=0,0,T70/T$12)</f>
        <v>0</v>
      </c>
      <c r="W70" s="16"/>
      <c r="X70" s="31">
        <f>+P70-T70</f>
        <v>-5116.2606900899991</v>
      </c>
      <c r="Y70" s="16"/>
      <c r="Z70" s="35">
        <f>IF(T70=0,0,X70/T70)</f>
        <v>7.0429924677038069E-2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6">
        <v>43815.484152581019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62" t="s">
        <v>314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8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","433", " - ", "Hillside Dining Hall")</f>
        <v>Department 433 - Hillside Dining Hall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457808.34</v>
      </c>
      <c r="E12" s="4"/>
      <c r="F12" s="12"/>
      <c r="G12" s="4"/>
      <c r="H12" s="4">
        <f>SUM(OSRRefH13x_0)</f>
        <v>415000</v>
      </c>
      <c r="I12" s="4"/>
      <c r="J12" s="12"/>
      <c r="K12" s="4"/>
      <c r="L12" s="4">
        <f t="shared" ref="L12:L16" si="0">+D12-H12</f>
        <v>42808.340000000026</v>
      </c>
      <c r="M12" s="4"/>
      <c r="N12" s="12">
        <f t="shared" ref="N12:N16" si="1">IF(H12=0,0,L12/H12)</f>
        <v>0.10315262650602416</v>
      </c>
      <c r="O12" s="10"/>
      <c r="P12" s="4">
        <f>SUM(OSRRefP13x_0)</f>
        <v>2179314.9899999998</v>
      </c>
      <c r="Q12" s="4"/>
      <c r="R12" s="12"/>
      <c r="S12" s="4"/>
      <c r="T12" s="4">
        <f>SUM(OSRRefT13x_0)</f>
        <v>2189670</v>
      </c>
      <c r="U12" s="4"/>
      <c r="V12" s="12"/>
      <c r="W12" s="4"/>
      <c r="X12" s="4">
        <f t="shared" ref="X12:X16" si="2">+P12-T12</f>
        <v>-10355.010000000242</v>
      </c>
      <c r="Y12" s="4"/>
      <c r="Z12" s="12">
        <f t="shared" ref="Z12:Z16" si="3">IF(T12=0,0,X12/T12)</f>
        <v>-4.7290276617025593E-3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--10005.46</f>
        <v>10005.459999999999</v>
      </c>
      <c r="E13" s="2"/>
      <c r="F13" s="19"/>
      <c r="G13" s="2"/>
      <c r="H13" s="2"/>
      <c r="I13" s="2"/>
      <c r="J13" s="19"/>
      <c r="K13" s="2"/>
      <c r="L13" s="2">
        <f t="shared" si="0"/>
        <v>10005.459999999999</v>
      </c>
      <c r="M13" s="2"/>
      <c r="N13" s="19">
        <f t="shared" si="1"/>
        <v>0</v>
      </c>
      <c r="O13" s="11"/>
      <c r="P13" s="2">
        <f>--17530.41</f>
        <v>17530.41</v>
      </c>
      <c r="Q13" s="2"/>
      <c r="R13" s="19"/>
      <c r="S13" s="2"/>
      <c r="T13" s="2"/>
      <c r="U13" s="2"/>
      <c r="V13" s="19"/>
      <c r="W13" s="2"/>
      <c r="X13" s="2">
        <f t="shared" si="2"/>
        <v>17530.41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415000</v>
      </c>
      <c r="I14" s="2"/>
      <c r="J14" s="19"/>
      <c r="K14" s="2"/>
      <c r="L14" s="2">
        <f t="shared" si="0"/>
        <v>-415000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2189670</v>
      </c>
      <c r="U14" s="2"/>
      <c r="V14" s="19"/>
      <c r="W14" s="2"/>
      <c r="X14" s="2">
        <f t="shared" si="2"/>
        <v>-2189670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--432271.64</f>
        <v>432271.64</v>
      </c>
      <c r="E15" s="2"/>
      <c r="F15" s="19"/>
      <c r="G15" s="2"/>
      <c r="H15" s="2"/>
      <c r="I15" s="2"/>
      <c r="J15" s="19"/>
      <c r="K15" s="2"/>
      <c r="L15" s="2">
        <f t="shared" si="0"/>
        <v>432271.64</v>
      </c>
      <c r="M15" s="2"/>
      <c r="N15" s="19">
        <f t="shared" si="1"/>
        <v>0</v>
      </c>
      <c r="O15" s="11"/>
      <c r="P15" s="2">
        <f>--1990440.43</f>
        <v>1990440.43</v>
      </c>
      <c r="Q15" s="2"/>
      <c r="R15" s="19"/>
      <c r="S15" s="2"/>
      <c r="T15" s="2"/>
      <c r="U15" s="2"/>
      <c r="V15" s="19"/>
      <c r="W15" s="2"/>
      <c r="X15" s="2">
        <f t="shared" si="2"/>
        <v>1990440.43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--15531.24</f>
        <v>15531.24</v>
      </c>
      <c r="E16" s="2"/>
      <c r="F16" s="19"/>
      <c r="G16" s="2"/>
      <c r="H16" s="2"/>
      <c r="I16" s="2"/>
      <c r="J16" s="19"/>
      <c r="K16" s="2"/>
      <c r="L16" s="2">
        <f t="shared" si="0"/>
        <v>15531.24</v>
      </c>
      <c r="M16" s="2"/>
      <c r="N16" s="19">
        <f t="shared" si="1"/>
        <v>0</v>
      </c>
      <c r="O16" s="11"/>
      <c r="P16" s="2">
        <f>--171344.15</f>
        <v>171344.15</v>
      </c>
      <c r="Q16" s="2"/>
      <c r="R16" s="19"/>
      <c r="S16" s="2"/>
      <c r="T16" s="2"/>
      <c r="U16" s="2"/>
      <c r="V16" s="19"/>
      <c r="W16" s="2"/>
      <c r="X16" s="2">
        <f t="shared" si="2"/>
        <v>171344.15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106831.43</v>
      </c>
      <c r="E18" s="4"/>
      <c r="F18" s="12">
        <f t="shared" ref="F18:F21" si="4">IF(D$12=0,0,D18/D$12)</f>
        <v>0.23335404942601087</v>
      </c>
      <c r="G18" s="4"/>
      <c r="H18" s="4">
        <f>SUM(OSRRefH16x_0)</f>
        <v>112050</v>
      </c>
      <c r="I18" s="4"/>
      <c r="J18" s="12">
        <f t="shared" ref="J18:J21" si="5">IF(H$12=0,0,H18/H$12)</f>
        <v>0.27</v>
      </c>
      <c r="K18" s="4"/>
      <c r="L18" s="4">
        <f t="shared" ref="L18:L21" si="6">+D18-H18</f>
        <v>-5218.570000000007</v>
      </c>
      <c r="M18" s="4"/>
      <c r="N18" s="12">
        <f t="shared" ref="N18:N21" si="7">IF(H18=0,0,L18/H18)</f>
        <v>-4.6573583221776058E-2</v>
      </c>
      <c r="O18" s="10"/>
      <c r="P18" s="4">
        <f>SUM(OSRRefP16x_0)</f>
        <v>515571.61000000004</v>
      </c>
      <c r="Q18" s="4"/>
      <c r="R18" s="12">
        <f t="shared" ref="R18:R21" si="8">IF(P$12=0,0,P18/P$12)</f>
        <v>0.23657507628119426</v>
      </c>
      <c r="S18" s="4"/>
      <c r="T18" s="4">
        <f>SUM(OSRRefT16x_0)</f>
        <v>578884</v>
      </c>
      <c r="U18" s="4"/>
      <c r="V18" s="12">
        <f t="shared" ref="V18:V21" si="9">IF(T$12=0,0,T18/T$12)</f>
        <v>0.26437043024748019</v>
      </c>
      <c r="W18" s="4"/>
      <c r="X18" s="4">
        <f t="shared" ref="X18:X21" si="10">+P18-T18</f>
        <v>-63312.389999999956</v>
      </c>
      <c r="Y18" s="4"/>
      <c r="Z18" s="12">
        <f t="shared" ref="Z18:Z21" si="11">IF(T18=0,0,X18/T18)</f>
        <v>-0.10936973556014669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112050</v>
      </c>
      <c r="I19" s="2"/>
      <c r="J19" s="19">
        <f t="shared" si="5"/>
        <v>0.27</v>
      </c>
      <c r="K19" s="2"/>
      <c r="L19" s="2">
        <f t="shared" si="6"/>
        <v>-112050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578884</v>
      </c>
      <c r="U19" s="2"/>
      <c r="V19" s="19">
        <f t="shared" si="9"/>
        <v>0.26437043024748019</v>
      </c>
      <c r="W19" s="2"/>
      <c r="X19" s="2">
        <f t="shared" si="10"/>
        <v>-578884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95573.68</v>
      </c>
      <c r="E20" s="2"/>
      <c r="F20" s="19">
        <f t="shared" si="4"/>
        <v>0.20876351881226102</v>
      </c>
      <c r="G20" s="2"/>
      <c r="H20" s="2"/>
      <c r="I20" s="2"/>
      <c r="J20" s="19">
        <f t="shared" si="5"/>
        <v>0</v>
      </c>
      <c r="K20" s="2"/>
      <c r="L20" s="2">
        <f t="shared" si="6"/>
        <v>95573.68</v>
      </c>
      <c r="M20" s="2"/>
      <c r="N20" s="19">
        <f t="shared" si="7"/>
        <v>0</v>
      </c>
      <c r="O20" s="11"/>
      <c r="P20" s="2">
        <v>513464.61000000004</v>
      </c>
      <c r="Q20" s="2"/>
      <c r="R20" s="19">
        <f t="shared" si="8"/>
        <v>0.23560825872170049</v>
      </c>
      <c r="S20" s="2"/>
      <c r="T20" s="2"/>
      <c r="U20" s="2"/>
      <c r="V20" s="19">
        <f t="shared" si="9"/>
        <v>0</v>
      </c>
      <c r="W20" s="2"/>
      <c r="X20" s="2">
        <f t="shared" si="10"/>
        <v>513464.61000000004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11257.75</v>
      </c>
      <c r="E21" s="2"/>
      <c r="F21" s="19">
        <f t="shared" si="4"/>
        <v>2.4590530613749849E-2</v>
      </c>
      <c r="G21" s="2"/>
      <c r="H21" s="2"/>
      <c r="I21" s="2"/>
      <c r="J21" s="19">
        <f t="shared" si="5"/>
        <v>0</v>
      </c>
      <c r="K21" s="2"/>
      <c r="L21" s="2">
        <f t="shared" si="6"/>
        <v>11257.75</v>
      </c>
      <c r="M21" s="2"/>
      <c r="N21" s="19">
        <f t="shared" si="7"/>
        <v>0</v>
      </c>
      <c r="O21" s="11"/>
      <c r="P21" s="2">
        <v>2107</v>
      </c>
      <c r="Q21" s="2"/>
      <c r="R21" s="19">
        <f t="shared" si="8"/>
        <v>9.6681755949377479E-4</v>
      </c>
      <c r="S21" s="2"/>
      <c r="T21" s="2"/>
      <c r="U21" s="2"/>
      <c r="V21" s="19">
        <f t="shared" si="9"/>
        <v>0</v>
      </c>
      <c r="W21" s="2"/>
      <c r="X21" s="2">
        <f t="shared" si="10"/>
        <v>2107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D12-D18</f>
        <v>350976.91000000003</v>
      </c>
      <c r="E23" s="14"/>
      <c r="F23" s="22">
        <f>IF(D$12=0,0,D23/D$12)</f>
        <v>0.7666459505739891</v>
      </c>
      <c r="G23" s="14"/>
      <c r="H23" s="20">
        <f>H12-H18</f>
        <v>302950</v>
      </c>
      <c r="I23" s="14"/>
      <c r="J23" s="22">
        <f>IF(H$12=0,0,H23/H$12)</f>
        <v>0.73</v>
      </c>
      <c r="K23" s="16"/>
      <c r="L23" s="20">
        <f>+D23-H23</f>
        <v>48026.910000000033</v>
      </c>
      <c r="M23" s="16"/>
      <c r="N23" s="22">
        <f>IF(H23=0,0,L23/H23)</f>
        <v>0.1585308136656215</v>
      </c>
      <c r="O23" s="29"/>
      <c r="P23" s="20">
        <f>P12-P18</f>
        <v>1663743.3799999997</v>
      </c>
      <c r="Q23" s="14"/>
      <c r="R23" s="22">
        <f>IF(P$12=0,0,P23/P$12)</f>
        <v>0.76342492371880577</v>
      </c>
      <c r="S23" s="14"/>
      <c r="T23" s="20">
        <f>T12-T18</f>
        <v>1610786</v>
      </c>
      <c r="U23" s="14"/>
      <c r="V23" s="22">
        <f>IF(T$12=0,0,T23/T$12)</f>
        <v>0.73562956975251981</v>
      </c>
      <c r="W23" s="16"/>
      <c r="X23" s="20">
        <f>+P23-T23</f>
        <v>52957.379999999655</v>
      </c>
      <c r="Y23" s="16"/>
      <c r="Z23" s="22">
        <f>IF(T23=0,0,X23/T23)</f>
        <v>3.287673222886197E-2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180209.03999999998</v>
      </c>
      <c r="E25" s="21"/>
      <c r="F25" s="33">
        <f t="shared" ref="F25:F36" si="12">IF(D$12=0,0,D25/D$12)</f>
        <v>0.3936342444089157</v>
      </c>
      <c r="G25" s="21"/>
      <c r="H25" s="21">
        <f>SUM(OSRRefH22x_0)</f>
        <v>183111.02182348337</v>
      </c>
      <c r="I25" s="21"/>
      <c r="J25" s="33">
        <f t="shared" ref="J25:J36" si="13">IF(H$12=0,0,H25/H$12)</f>
        <v>0.44123137788791172</v>
      </c>
      <c r="K25" s="4"/>
      <c r="L25" s="21">
        <f t="shared" ref="L25:L36" si="14">+D25-H25</f>
        <v>-2901.9818234833947</v>
      </c>
      <c r="M25" s="4"/>
      <c r="N25" s="33">
        <f t="shared" ref="N25:N36" si="15">IF(H25=0,0,L25/H25)</f>
        <v>-1.5848209433732871E-2</v>
      </c>
      <c r="O25" s="10"/>
      <c r="P25" s="21">
        <f>SUM(OSRRefP22x_0)</f>
        <v>871380.25000000012</v>
      </c>
      <c r="Q25" s="21"/>
      <c r="R25" s="33">
        <f t="shared" ref="R25:R36" si="16">IF(P$12=0,0,P25/P$12)</f>
        <v>0.39984135106600638</v>
      </c>
      <c r="S25" s="21"/>
      <c r="T25" s="21">
        <f>SUM(OSRRefT22x_0)</f>
        <v>942232.35505931219</v>
      </c>
      <c r="U25" s="21"/>
      <c r="V25" s="33">
        <f t="shared" ref="V25:V36" si="17">IF(T$12=0,0,T25/T$12)</f>
        <v>0.43030792542223817</v>
      </c>
      <c r="W25" s="4"/>
      <c r="X25" s="21">
        <f t="shared" ref="X25:X36" si="18">+P25-T25</f>
        <v>-70852.105059312074</v>
      </c>
      <c r="Y25" s="4"/>
      <c r="Z25" s="33">
        <f t="shared" ref="Z25:Z36" si="19">IF(T25=0,0,X25/T25)</f>
        <v>-7.5196000942731406E-2</v>
      </c>
    </row>
    <row r="26" spans="1:26" s="26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27696.140000000007</v>
      </c>
      <c r="E26" s="1"/>
      <c r="F26" s="5">
        <f t="shared" si="12"/>
        <v>6.0497237774217928E-2</v>
      </c>
      <c r="G26" s="1"/>
      <c r="H26" s="1">
        <f>SUM(OSRRefH22_0x_0)</f>
        <v>28413.303448714174</v>
      </c>
      <c r="I26" s="1"/>
      <c r="J26" s="5">
        <f t="shared" si="13"/>
        <v>6.8465791442684762E-2</v>
      </c>
      <c r="K26" s="1"/>
      <c r="L26" s="1">
        <f t="shared" si="14"/>
        <v>-717.16344871416732</v>
      </c>
      <c r="M26" s="1"/>
      <c r="N26" s="5">
        <f t="shared" si="15"/>
        <v>-2.5240410711434614E-2</v>
      </c>
      <c r="O26" s="13"/>
      <c r="P26" s="1">
        <f>SUM(OSRRefP22_0x_0)</f>
        <v>140333.37999999998</v>
      </c>
      <c r="Q26" s="1"/>
      <c r="R26" s="5">
        <f t="shared" si="16"/>
        <v>6.4393344075516126E-2</v>
      </c>
      <c r="S26" s="1"/>
      <c r="T26" s="1">
        <f>SUM(OSRRefT22_0x_0)</f>
        <v>157668.99199808165</v>
      </c>
      <c r="U26" s="1"/>
      <c r="V26" s="5">
        <f t="shared" si="17"/>
        <v>7.2005823707719269E-2</v>
      </c>
      <c r="W26" s="1"/>
      <c r="X26" s="1">
        <f t="shared" si="18"/>
        <v>-17335.611998081673</v>
      </c>
      <c r="Y26" s="1"/>
      <c r="Z26" s="5">
        <f t="shared" si="19"/>
        <v>-0.109949405893916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4008.53</v>
      </c>
      <c r="E27" s="2"/>
      <c r="F27" s="7">
        <f t="shared" si="12"/>
        <v>8.7559130093610785E-3</v>
      </c>
      <c r="G27" s="2"/>
      <c r="H27" s="6">
        <v>4144.8353583203098</v>
      </c>
      <c r="I27" s="2"/>
      <c r="J27" s="7">
        <f t="shared" si="13"/>
        <v>9.9875550802899036E-3</v>
      </c>
      <c r="K27" s="2"/>
      <c r="L27" s="6">
        <f t="shared" si="14"/>
        <v>-136.30535832030955</v>
      </c>
      <c r="M27" s="2"/>
      <c r="N27" s="7">
        <f t="shared" si="15"/>
        <v>-3.288559050884645E-2</v>
      </c>
      <c r="O27" s="11"/>
      <c r="P27" s="6">
        <v>23808.3</v>
      </c>
      <c r="Q27" s="2"/>
      <c r="R27" s="7">
        <f t="shared" si="16"/>
        <v>1.0924671334454503E-2</v>
      </c>
      <c r="S27" s="2"/>
      <c r="T27" s="6">
        <v>26882.439334761708</v>
      </c>
      <c r="U27" s="2"/>
      <c r="V27" s="7">
        <f t="shared" si="17"/>
        <v>1.2276936403550173E-2</v>
      </c>
      <c r="W27" s="2"/>
      <c r="X27" s="6">
        <f t="shared" si="18"/>
        <v>-3074.1393347617086</v>
      </c>
      <c r="Y27" s="2"/>
      <c r="Z27" s="7">
        <f t="shared" si="19"/>
        <v>-0.11435492503042817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3832.56</v>
      </c>
      <c r="E28" s="2"/>
      <c r="F28" s="7">
        <f t="shared" si="12"/>
        <v>8.3715381856084136E-3</v>
      </c>
      <c r="G28" s="2"/>
      <c r="H28" s="6">
        <v>3777.5530733415399</v>
      </c>
      <c r="I28" s="2"/>
      <c r="J28" s="7">
        <f t="shared" si="13"/>
        <v>9.1025375261241919E-3</v>
      </c>
      <c r="K28" s="2"/>
      <c r="L28" s="6">
        <f t="shared" si="14"/>
        <v>55.006926658460088</v>
      </c>
      <c r="M28" s="2"/>
      <c r="N28" s="7">
        <f t="shared" si="15"/>
        <v>1.4561523184584188E-2</v>
      </c>
      <c r="O28" s="11"/>
      <c r="P28" s="6">
        <v>11426.93</v>
      </c>
      <c r="Q28" s="2"/>
      <c r="R28" s="7">
        <f t="shared" si="16"/>
        <v>5.2433586023285239E-3</v>
      </c>
      <c r="S28" s="2"/>
      <c r="T28" s="6">
        <v>19076.66734337846</v>
      </c>
      <c r="U28" s="2"/>
      <c r="V28" s="7">
        <f t="shared" si="17"/>
        <v>8.712119791282915E-3</v>
      </c>
      <c r="W28" s="2"/>
      <c r="X28" s="6">
        <f t="shared" si="18"/>
        <v>-7649.7373433784596</v>
      </c>
      <c r="Y28" s="2"/>
      <c r="Z28" s="7">
        <f t="shared" si="19"/>
        <v>-0.40099967178143908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12745.03</v>
      </c>
      <c r="E29" s="2"/>
      <c r="F29" s="7">
        <f t="shared" si="12"/>
        <v>2.7839226345243075E-2</v>
      </c>
      <c r="G29" s="2"/>
      <c r="H29" s="6">
        <v>14965.615384615401</v>
      </c>
      <c r="I29" s="2"/>
      <c r="J29" s="7">
        <f t="shared" si="13"/>
        <v>3.6061723818350364E-2</v>
      </c>
      <c r="K29" s="2"/>
      <c r="L29" s="6">
        <f t="shared" si="14"/>
        <v>-2220.5853846154005</v>
      </c>
      <c r="M29" s="2"/>
      <c r="N29" s="7">
        <f t="shared" si="15"/>
        <v>-0.14837915632244258</v>
      </c>
      <c r="O29" s="11"/>
      <c r="P29" s="6">
        <v>63571.14</v>
      </c>
      <c r="Q29" s="2"/>
      <c r="R29" s="7">
        <f t="shared" si="16"/>
        <v>2.9170239406282432E-2</v>
      </c>
      <c r="S29" s="2"/>
      <c r="T29" s="6">
        <v>82589.538461538395</v>
      </c>
      <c r="U29" s="2"/>
      <c r="V29" s="7">
        <f t="shared" si="17"/>
        <v>3.7717801523306435E-2</v>
      </c>
      <c r="W29" s="2"/>
      <c r="X29" s="6">
        <f t="shared" si="18"/>
        <v>-19018.398461538396</v>
      </c>
      <c r="Y29" s="2"/>
      <c r="Z29" s="7">
        <f t="shared" si="19"/>
        <v>-0.23027611990343286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256.8</v>
      </c>
      <c r="E30" s="2"/>
      <c r="F30" s="7">
        <f t="shared" si="12"/>
        <v>5.6093342467286632E-4</v>
      </c>
      <c r="G30" s="2"/>
      <c r="H30" s="6">
        <v>253.13499976</v>
      </c>
      <c r="I30" s="2"/>
      <c r="J30" s="7">
        <f t="shared" si="13"/>
        <v>6.0996385484337354E-4</v>
      </c>
      <c r="K30" s="2"/>
      <c r="L30" s="6">
        <f t="shared" si="14"/>
        <v>3.6650002400000119</v>
      </c>
      <c r="M30" s="2"/>
      <c r="N30" s="7">
        <f t="shared" si="15"/>
        <v>1.447844131974969E-2</v>
      </c>
      <c r="O30" s="11"/>
      <c r="P30" s="6">
        <v>1076.93</v>
      </c>
      <c r="Q30" s="2"/>
      <c r="R30" s="7">
        <f t="shared" si="16"/>
        <v>4.9415986442602326E-4</v>
      </c>
      <c r="S30" s="2"/>
      <c r="T30" s="6">
        <v>1278.3333786800001</v>
      </c>
      <c r="U30" s="2"/>
      <c r="V30" s="7">
        <f t="shared" si="17"/>
        <v>5.8380184168390671E-4</v>
      </c>
      <c r="W30" s="2"/>
      <c r="X30" s="6">
        <f t="shared" si="18"/>
        <v>-201.40337868000006</v>
      </c>
      <c r="Y30" s="2"/>
      <c r="Z30" s="7">
        <f t="shared" si="19"/>
        <v>-0.1575515292325137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1217.31</v>
      </c>
      <c r="E31" s="2"/>
      <c r="F31" s="7">
        <f t="shared" si="12"/>
        <v>2.6589948099241703E-3</v>
      </c>
      <c r="G31" s="2"/>
      <c r="H31" s="6">
        <v>1270.4277151384601</v>
      </c>
      <c r="I31" s="2"/>
      <c r="J31" s="7">
        <f t="shared" si="13"/>
        <v>3.0612716027432776E-3</v>
      </c>
      <c r="K31" s="2"/>
      <c r="L31" s="6">
        <f t="shared" si="14"/>
        <v>-53.117715138460198</v>
      </c>
      <c r="M31" s="2"/>
      <c r="N31" s="7">
        <f t="shared" si="15"/>
        <v>-4.1810891328572013E-2</v>
      </c>
      <c r="O31" s="11"/>
      <c r="P31" s="6">
        <v>6500.03</v>
      </c>
      <c r="Q31" s="2"/>
      <c r="R31" s="7">
        <f t="shared" si="16"/>
        <v>2.9826023451525016E-3</v>
      </c>
      <c r="S31" s="2"/>
      <c r="T31" s="6">
        <v>6987.3524332615398</v>
      </c>
      <c r="U31" s="2"/>
      <c r="V31" s="7">
        <f t="shared" si="17"/>
        <v>3.1910527308962261E-3</v>
      </c>
      <c r="W31" s="2"/>
      <c r="X31" s="6">
        <f t="shared" si="18"/>
        <v>-487.32243326154003</v>
      </c>
      <c r="Y31" s="2"/>
      <c r="Z31" s="7">
        <f t="shared" si="19"/>
        <v>-6.9743502695207377E-2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"6117", " - ", "RETIREMENT STAFF HOURLY")</f>
        <v xml:space="preserve">          6117 - RETIREMENT STAFF HOURLY</v>
      </c>
      <c r="C33" s="11"/>
      <c r="D33" s="6">
        <v>523.24</v>
      </c>
      <c r="E33" s="2"/>
      <c r="F33" s="7">
        <f t="shared" si="12"/>
        <v>1.1429236959728606E-3</v>
      </c>
      <c r="G33" s="2"/>
      <c r="H33" s="6"/>
      <c r="I33" s="2"/>
      <c r="J33" s="7">
        <f t="shared" si="13"/>
        <v>0</v>
      </c>
      <c r="K33" s="2"/>
      <c r="L33" s="6">
        <f t="shared" si="14"/>
        <v>523.24</v>
      </c>
      <c r="M33" s="2"/>
      <c r="N33" s="7">
        <f t="shared" si="15"/>
        <v>0</v>
      </c>
      <c r="O33" s="11"/>
      <c r="P33" s="6">
        <v>2203.94</v>
      </c>
      <c r="Q33" s="2"/>
      <c r="R33" s="7">
        <f t="shared" si="16"/>
        <v>1.0112994267065544E-3</v>
      </c>
      <c r="S33" s="2"/>
      <c r="T33" s="6"/>
      <c r="U33" s="2"/>
      <c r="V33" s="7">
        <f t="shared" si="17"/>
        <v>0</v>
      </c>
      <c r="W33" s="2"/>
      <c r="X33" s="6">
        <f t="shared" si="18"/>
        <v>2203.94</v>
      </c>
      <c r="Y33" s="2"/>
      <c r="Z33" s="7">
        <f t="shared" si="19"/>
        <v>0</v>
      </c>
    </row>
    <row r="34" spans="1:26" s="24" customFormat="1" hidden="1" outlineLevel="2" x14ac:dyDescent="0.25">
      <c r="A34" s="25"/>
      <c r="B34" s="11" t="str">
        <f>CONCATENATE("          ", "6118", " - ", "VACATION")</f>
        <v xml:space="preserve">          6118 - VACATION</v>
      </c>
      <c r="C34" s="11"/>
      <c r="D34" s="6">
        <v>2351.25</v>
      </c>
      <c r="E34" s="2"/>
      <c r="F34" s="7">
        <f t="shared" si="12"/>
        <v>5.1358828456467172E-3</v>
      </c>
      <c r="G34" s="2"/>
      <c r="H34" s="6">
        <v>1293.5404587692301</v>
      </c>
      <c r="I34" s="2"/>
      <c r="J34" s="7">
        <f t="shared" si="13"/>
        <v>3.116964960889711E-3</v>
      </c>
      <c r="K34" s="2"/>
      <c r="L34" s="6">
        <f t="shared" si="14"/>
        <v>1057.7095412307699</v>
      </c>
      <c r="M34" s="2"/>
      <c r="N34" s="7">
        <f t="shared" si="15"/>
        <v>0.81768570442485644</v>
      </c>
      <c r="O34" s="11"/>
      <c r="P34" s="6">
        <v>13638.27</v>
      </c>
      <c r="Q34" s="2"/>
      <c r="R34" s="7">
        <f t="shared" si="16"/>
        <v>6.2580535914177338E-3</v>
      </c>
      <c r="S34" s="2"/>
      <c r="T34" s="6">
        <v>7327.0645232307697</v>
      </c>
      <c r="U34" s="2"/>
      <c r="V34" s="7">
        <f t="shared" si="17"/>
        <v>3.346195784401654E-3</v>
      </c>
      <c r="W34" s="2"/>
      <c r="X34" s="6">
        <f t="shared" si="18"/>
        <v>6311.2054767692307</v>
      </c>
      <c r="Y34" s="2"/>
      <c r="Z34" s="7">
        <f t="shared" si="19"/>
        <v>0.86135524762465043</v>
      </c>
    </row>
    <row r="35" spans="1:26" s="24" customFormat="1" hidden="1" outlineLevel="2" x14ac:dyDescent="0.25">
      <c r="A35" s="25"/>
      <c r="B35" s="11" t="str">
        <f>CONCATENATE("          ", "6119", " - ", "SICK LEAVE")</f>
        <v xml:space="preserve">          6119 - SICK LEAVE</v>
      </c>
      <c r="C35" s="11"/>
      <c r="D35" s="6">
        <v>1608.68</v>
      </c>
      <c r="E35" s="2"/>
      <c r="F35" s="7">
        <f t="shared" si="12"/>
        <v>3.5138722025029076E-3</v>
      </c>
      <c r="G35" s="2"/>
      <c r="H35" s="6">
        <v>2708.19645876923</v>
      </c>
      <c r="I35" s="2"/>
      <c r="J35" s="7">
        <f t="shared" si="13"/>
        <v>6.5257745994439275E-3</v>
      </c>
      <c r="K35" s="2"/>
      <c r="L35" s="6">
        <f t="shared" si="14"/>
        <v>-1099.51645876923</v>
      </c>
      <c r="M35" s="2"/>
      <c r="N35" s="7">
        <f t="shared" si="15"/>
        <v>-0.40599582619235736</v>
      </c>
      <c r="O35" s="11"/>
      <c r="P35" s="6">
        <v>13075.66</v>
      </c>
      <c r="Q35" s="2"/>
      <c r="R35" s="7">
        <f t="shared" si="16"/>
        <v>5.9998944897818561E-3</v>
      </c>
      <c r="S35" s="2"/>
      <c r="T35" s="6">
        <v>13527.59652323077</v>
      </c>
      <c r="U35" s="2"/>
      <c r="V35" s="7">
        <f t="shared" si="17"/>
        <v>6.1779156325979575E-3</v>
      </c>
      <c r="W35" s="2"/>
      <c r="X35" s="6">
        <f t="shared" si="18"/>
        <v>-451.93652323077004</v>
      </c>
      <c r="Y35" s="2"/>
      <c r="Z35" s="7">
        <f t="shared" si="19"/>
        <v>-3.3408486308315388E-2</v>
      </c>
    </row>
    <row r="36" spans="1:26" s="24" customFormat="1" hidden="1" outlineLevel="2" x14ac:dyDescent="0.25">
      <c r="A36" s="25"/>
      <c r="B36" s="11" t="str">
        <f>CONCATENATE("          ", "6156", " - ", "EMPLOYEE MEALS")</f>
        <v xml:space="preserve">          6156 - EMPLOYEE MEALS</v>
      </c>
      <c r="C36" s="11"/>
      <c r="D36" s="6">
        <v>1152.74</v>
      </c>
      <c r="E36" s="2"/>
      <c r="F36" s="7">
        <f t="shared" si="12"/>
        <v>2.5179532552858253E-3</v>
      </c>
      <c r="G36" s="2"/>
      <c r="H36" s="6"/>
      <c r="I36" s="2"/>
      <c r="J36" s="7">
        <f t="shared" si="13"/>
        <v>0</v>
      </c>
      <c r="K36" s="2"/>
      <c r="L36" s="6">
        <f t="shared" si="14"/>
        <v>1152.74</v>
      </c>
      <c r="M36" s="2"/>
      <c r="N36" s="7">
        <f t="shared" si="15"/>
        <v>0</v>
      </c>
      <c r="O36" s="11"/>
      <c r="P36" s="6">
        <v>5032.18</v>
      </c>
      <c r="Q36" s="2"/>
      <c r="R36" s="7">
        <f t="shared" si="16"/>
        <v>2.3090650149660105E-3</v>
      </c>
      <c r="S36" s="2"/>
      <c r="T36" s="6"/>
      <c r="U36" s="2"/>
      <c r="V36" s="7">
        <f t="shared" si="17"/>
        <v>0</v>
      </c>
      <c r="W36" s="2"/>
      <c r="X36" s="6">
        <f t="shared" si="18"/>
        <v>5032.18</v>
      </c>
      <c r="Y36" s="2"/>
      <c r="Z36" s="7">
        <f t="shared" si="19"/>
        <v>0</v>
      </c>
    </row>
    <row r="37" spans="1:26" s="26" customFormat="1" outlineLevel="1" collapsed="1" x14ac:dyDescent="0.25">
      <c r="A37" s="27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88740.62</v>
      </c>
      <c r="E37" s="1"/>
      <c r="F37" s="5">
        <f t="shared" ref="F37:F47" si="20">IF(D$12=0,0,D37/D$12)</f>
        <v>0.1938379278979496</v>
      </c>
      <c r="G37" s="1"/>
      <c r="H37" s="1">
        <f>SUM(OSRRefH22_1x_0)</f>
        <v>95197.718374769203</v>
      </c>
      <c r="I37" s="1"/>
      <c r="J37" s="5">
        <f t="shared" ref="J37:J47" si="21">IF(H$12=0,0,H37/H$12)</f>
        <v>0.22939209246932338</v>
      </c>
      <c r="K37" s="1"/>
      <c r="L37" s="1">
        <f t="shared" ref="L37:L47" si="22">+D37-H37</f>
        <v>-6457.098374769208</v>
      </c>
      <c r="M37" s="1"/>
      <c r="N37" s="5">
        <f t="shared" ref="N37:N47" si="23">IF(H37=0,0,L37/H37)</f>
        <v>-6.7828289217492108E-2</v>
      </c>
      <c r="O37" s="13"/>
      <c r="P37" s="1">
        <f>SUM(OSRRefP22_1x_0)</f>
        <v>439822.2</v>
      </c>
      <c r="Q37" s="1"/>
      <c r="R37" s="5">
        <f t="shared" ref="R37:R47" si="24">IF(P$12=0,0,P37/P$12)</f>
        <v>0.20181671856439626</v>
      </c>
      <c r="S37" s="1"/>
      <c r="T37" s="1">
        <f>SUM(OSRRefT22_1x_0)</f>
        <v>479457.36306123057</v>
      </c>
      <c r="U37" s="1"/>
      <c r="V37" s="5">
        <f t="shared" ref="V37:V47" si="25">IF(T$12=0,0,T37/T$12)</f>
        <v>0.21896329723713187</v>
      </c>
      <c r="W37" s="1"/>
      <c r="X37" s="1">
        <f t="shared" ref="X37:X47" si="26">+P37-T37</f>
        <v>-39635.16306123056</v>
      </c>
      <c r="Y37" s="1"/>
      <c r="Z37" s="5">
        <f t="shared" ref="Z37:Z47" si="27">IF(T37=0,0,X37/T37)</f>
        <v>-8.2666710566647053E-2</v>
      </c>
    </row>
    <row r="38" spans="1:26" s="24" customFormat="1" hidden="1" outlineLevel="2" x14ac:dyDescent="0.25">
      <c r="A38" s="25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"6002", " - ", "STAFF SALARIES")</f>
        <v xml:space="preserve">          6002 - STAFF SALARIES</v>
      </c>
      <c r="C39" s="11"/>
      <c r="D39" s="6">
        <v>14556.54</v>
      </c>
      <c r="E39" s="2"/>
      <c r="F39" s="7">
        <f t="shared" si="20"/>
        <v>3.1796144211789591E-2</v>
      </c>
      <c r="G39" s="2"/>
      <c r="H39" s="6">
        <v>13886.0703747692</v>
      </c>
      <c r="I39" s="2"/>
      <c r="J39" s="7">
        <f t="shared" si="21"/>
        <v>3.3460410541612529E-2</v>
      </c>
      <c r="K39" s="2"/>
      <c r="L39" s="6">
        <f t="shared" si="22"/>
        <v>670.46962523080037</v>
      </c>
      <c r="M39" s="2"/>
      <c r="N39" s="7">
        <f t="shared" si="23"/>
        <v>4.8283611355523191E-2</v>
      </c>
      <c r="O39" s="11"/>
      <c r="P39" s="6">
        <v>75224.13</v>
      </c>
      <c r="Q39" s="2"/>
      <c r="R39" s="7">
        <f t="shared" si="24"/>
        <v>3.4517327850803255E-2</v>
      </c>
      <c r="S39" s="2"/>
      <c r="T39" s="6">
        <v>76373.387061230591</v>
      </c>
      <c r="U39" s="2"/>
      <c r="V39" s="7">
        <f t="shared" si="25"/>
        <v>3.4878948453981921E-2</v>
      </c>
      <c r="W39" s="2"/>
      <c r="X39" s="6">
        <f t="shared" si="26"/>
        <v>-1149.2570612305863</v>
      </c>
      <c r="Y39" s="2"/>
      <c r="Z39" s="7">
        <f t="shared" si="27"/>
        <v>-1.5047873421001954E-2</v>
      </c>
    </row>
    <row r="40" spans="1:26" s="24" customFormat="1" hidden="1" outlineLevel="2" x14ac:dyDescent="0.25">
      <c r="A40" s="25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"6004", " - ", "STAFF HOURLY")</f>
        <v xml:space="preserve">          6004 - STAFF HOURLY</v>
      </c>
      <c r="C41" s="11"/>
      <c r="D41" s="6">
        <v>18165.390000000003</v>
      </c>
      <c r="E41" s="2"/>
      <c r="F41" s="7">
        <f t="shared" si="20"/>
        <v>3.9679028127796889E-2</v>
      </c>
      <c r="G41" s="2"/>
      <c r="H41" s="6">
        <v>38111.648000000001</v>
      </c>
      <c r="I41" s="2"/>
      <c r="J41" s="7">
        <f t="shared" si="21"/>
        <v>9.1835296385542164E-2</v>
      </c>
      <c r="K41" s="2"/>
      <c r="L41" s="6">
        <f t="shared" si="22"/>
        <v>-19946.257999999998</v>
      </c>
      <c r="M41" s="2"/>
      <c r="N41" s="7">
        <f t="shared" si="23"/>
        <v>-0.52336382829732253</v>
      </c>
      <c r="O41" s="11"/>
      <c r="P41" s="6">
        <v>90784.2</v>
      </c>
      <c r="Q41" s="2"/>
      <c r="R41" s="7">
        <f t="shared" si="24"/>
        <v>4.1657218170192099E-2</v>
      </c>
      <c r="S41" s="2"/>
      <c r="T41" s="6">
        <v>215433.976</v>
      </c>
      <c r="U41" s="2"/>
      <c r="V41" s="7">
        <f t="shared" si="25"/>
        <v>9.8386503902414518E-2</v>
      </c>
      <c r="W41" s="2"/>
      <c r="X41" s="6">
        <f t="shared" si="26"/>
        <v>-124649.776</v>
      </c>
      <c r="Y41" s="2"/>
      <c r="Z41" s="7">
        <f t="shared" si="27"/>
        <v>-0.57859850295851201</v>
      </c>
    </row>
    <row r="42" spans="1:26" s="24" customFormat="1" hidden="1" outlineLevel="2" x14ac:dyDescent="0.25">
      <c r="A42" s="25"/>
      <c r="B42" s="11" t="str">
        <f>CONCATENATE("          ", "6005", " - ", "TEMPORARY WAGES-HOURLY")</f>
        <v xml:space="preserve">          6005 - TEMPORARY WAGES-HOURLY</v>
      </c>
      <c r="C42" s="11"/>
      <c r="D42" s="6">
        <v>14975.54</v>
      </c>
      <c r="E42" s="2"/>
      <c r="F42" s="7">
        <f t="shared" si="20"/>
        <v>3.2711374371205207E-2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14975.54</v>
      </c>
      <c r="M42" s="2"/>
      <c r="N42" s="7">
        <f t="shared" si="23"/>
        <v>0</v>
      </c>
      <c r="O42" s="11"/>
      <c r="P42" s="6">
        <v>76869.549999999988</v>
      </c>
      <c r="Q42" s="2"/>
      <c r="R42" s="7">
        <f t="shared" si="24"/>
        <v>3.5272344912380009E-2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76869.549999999988</v>
      </c>
      <c r="Y42" s="2"/>
      <c r="Z42" s="7">
        <f t="shared" si="27"/>
        <v>0</v>
      </c>
    </row>
    <row r="43" spans="1:26" s="24" customFormat="1" hidden="1" outlineLevel="2" x14ac:dyDescent="0.25">
      <c r="A43" s="25"/>
      <c r="B43" s="11" t="str">
        <f>CONCATENATE("          ", "6006", " - ", "TEMPORARY PART TIME")</f>
        <v xml:space="preserve">          6006 - TEMPORARY PART TIME</v>
      </c>
      <c r="C43" s="11"/>
      <c r="D43" s="6">
        <v>960</v>
      </c>
      <c r="E43" s="2"/>
      <c r="F43" s="7">
        <f t="shared" si="20"/>
        <v>2.0969473819546407E-3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960</v>
      </c>
      <c r="M43" s="2"/>
      <c r="N43" s="7">
        <f t="shared" si="23"/>
        <v>0</v>
      </c>
      <c r="O43" s="11"/>
      <c r="P43" s="6">
        <v>9473.07</v>
      </c>
      <c r="Q43" s="2"/>
      <c r="R43" s="7">
        <f t="shared" si="24"/>
        <v>4.3468108297644486E-3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9473.07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"6007", " - ", "STUDENT HOURLY")</f>
        <v xml:space="preserve">          6007 - STUDENT HOURLY</v>
      </c>
      <c r="C44" s="11"/>
      <c r="D44" s="6">
        <v>36201.15</v>
      </c>
      <c r="E44" s="2"/>
      <c r="F44" s="7">
        <f t="shared" si="20"/>
        <v>7.9074902829424212E-2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36201.15</v>
      </c>
      <c r="M44" s="2"/>
      <c r="N44" s="7">
        <f t="shared" si="23"/>
        <v>0</v>
      </c>
      <c r="O44" s="11"/>
      <c r="P44" s="6">
        <v>172222.25</v>
      </c>
      <c r="Q44" s="2"/>
      <c r="R44" s="7">
        <f t="shared" si="24"/>
        <v>7.9025863994080098E-2</v>
      </c>
      <c r="S44" s="2"/>
      <c r="T44" s="6">
        <v>47250</v>
      </c>
      <c r="U44" s="2"/>
      <c r="V44" s="7">
        <f t="shared" si="25"/>
        <v>2.1578594034717562E-2</v>
      </c>
      <c r="W44" s="2"/>
      <c r="X44" s="6">
        <f t="shared" si="26"/>
        <v>124972.25</v>
      </c>
      <c r="Y44" s="2"/>
      <c r="Z44" s="7">
        <f t="shared" si="27"/>
        <v>2.6449153439153439</v>
      </c>
    </row>
    <row r="45" spans="1:26" s="24" customFormat="1" hidden="1" outlineLevel="2" x14ac:dyDescent="0.25">
      <c r="A45" s="25"/>
      <c r="B45" s="11" t="str">
        <f>CONCATENATE("          ", "6008", " - ", "STUDENT HOURLY-FICA EXEMPT")</f>
        <v xml:space="preserve">          6008 - STUDENT HOURLY-FICA EXEMPT</v>
      </c>
      <c r="C45" s="11"/>
      <c r="D45" s="6">
        <v>3882</v>
      </c>
      <c r="E45" s="2"/>
      <c r="F45" s="7">
        <f t="shared" si="20"/>
        <v>8.4795309757790781E-3</v>
      </c>
      <c r="G45" s="2"/>
      <c r="H45" s="6">
        <v>43200</v>
      </c>
      <c r="I45" s="2"/>
      <c r="J45" s="7">
        <f t="shared" si="21"/>
        <v>0.10409638554216867</v>
      </c>
      <c r="K45" s="2"/>
      <c r="L45" s="6">
        <f t="shared" si="22"/>
        <v>-39318</v>
      </c>
      <c r="M45" s="2"/>
      <c r="N45" s="7">
        <f t="shared" si="23"/>
        <v>-0.91013888888888894</v>
      </c>
      <c r="O45" s="11"/>
      <c r="P45" s="6">
        <v>15249</v>
      </c>
      <c r="Q45" s="2"/>
      <c r="R45" s="7">
        <f t="shared" si="24"/>
        <v>6.9971528071763513E-3</v>
      </c>
      <c r="S45" s="2"/>
      <c r="T45" s="6">
        <v>140400</v>
      </c>
      <c r="U45" s="2"/>
      <c r="V45" s="7">
        <f t="shared" si="25"/>
        <v>6.4119250846017897E-2</v>
      </c>
      <c r="W45" s="2"/>
      <c r="X45" s="6">
        <f t="shared" si="26"/>
        <v>-125151</v>
      </c>
      <c r="Y45" s="2"/>
      <c r="Z45" s="7">
        <f t="shared" si="27"/>
        <v>-0.8913888888888889</v>
      </c>
    </row>
    <row r="46" spans="1:26" s="24" customFormat="1" hidden="1" outlineLevel="2" x14ac:dyDescent="0.25">
      <c r="A46" s="25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5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6" customFormat="1" outlineLevel="1" collapsed="1" x14ac:dyDescent="0.25">
      <c r="A48" s="27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139.5</v>
      </c>
      <c r="E48" s="1"/>
      <c r="F48" s="5">
        <f t="shared" ref="F48:F67" si="28">IF(D$12=0,0,D48/D$12)</f>
        <v>3.0471266644028372E-4</v>
      </c>
      <c r="G48" s="1"/>
      <c r="H48" s="1">
        <f>SUM(OSRRefH22_2x_0)</f>
        <v>250</v>
      </c>
      <c r="I48" s="1"/>
      <c r="J48" s="5">
        <f t="shared" ref="J48:J67" si="29">IF(H$12=0,0,H48/H$12)</f>
        <v>6.0240963855421692E-4</v>
      </c>
      <c r="K48" s="1"/>
      <c r="L48" s="1">
        <f t="shared" ref="L48:L67" si="30">+D48-H48</f>
        <v>-110.5</v>
      </c>
      <c r="M48" s="1"/>
      <c r="N48" s="5">
        <f t="shared" ref="N48:N67" si="31">IF(H48=0,0,L48/H48)</f>
        <v>-0.442</v>
      </c>
      <c r="O48" s="13"/>
      <c r="P48" s="1">
        <f>SUM(OSRRefP22_2x_0)</f>
        <v>2683.18</v>
      </c>
      <c r="Q48" s="1"/>
      <c r="R48" s="5">
        <f t="shared" ref="R48:R67" si="32">IF(P$12=0,0,P48/P$12)</f>
        <v>1.2312033883637905E-3</v>
      </c>
      <c r="S48" s="1"/>
      <c r="T48" s="1">
        <f>SUM(OSRRefT22_2x_0)</f>
        <v>3300</v>
      </c>
      <c r="U48" s="1"/>
      <c r="V48" s="5">
        <f t="shared" ref="V48:V67" si="33">IF(T$12=0,0,T48/T$12)</f>
        <v>1.5070764087739249E-3</v>
      </c>
      <c r="W48" s="1"/>
      <c r="X48" s="1">
        <f t="shared" ref="X48:X67" si="34">+P48-T48</f>
        <v>-616.82000000000016</v>
      </c>
      <c r="Y48" s="1"/>
      <c r="Z48" s="5">
        <f t="shared" ref="Z48:Z67" si="35">IF(T48=0,0,X48/T48)</f>
        <v>-0.18691515151515156</v>
      </c>
    </row>
    <row r="49" spans="1:26" s="24" customFormat="1" hidden="1" outlineLevel="2" x14ac:dyDescent="0.25">
      <c r="A49" s="25"/>
      <c r="B49" s="11" t="str">
        <f>CONCATENATE("          ", "6362", " - ", "ADVERTISING EXPENSE")</f>
        <v xml:space="preserve">          6362 - ADVERTISING EXPENSE</v>
      </c>
      <c r="C49" s="11"/>
      <c r="D49" s="6">
        <v>139.5</v>
      </c>
      <c r="E49" s="2"/>
      <c r="F49" s="7">
        <f t="shared" si="28"/>
        <v>3.0471266644028372E-4</v>
      </c>
      <c r="G49" s="2"/>
      <c r="H49" s="6">
        <v>250</v>
      </c>
      <c r="I49" s="2"/>
      <c r="J49" s="7">
        <f t="shared" si="29"/>
        <v>6.0240963855421692E-4</v>
      </c>
      <c r="K49" s="2"/>
      <c r="L49" s="6">
        <f t="shared" si="30"/>
        <v>-110.5</v>
      </c>
      <c r="M49" s="2"/>
      <c r="N49" s="7">
        <f t="shared" si="31"/>
        <v>-0.442</v>
      </c>
      <c r="O49" s="11"/>
      <c r="P49" s="6">
        <v>2683.18</v>
      </c>
      <c r="Q49" s="2"/>
      <c r="R49" s="7">
        <f t="shared" si="32"/>
        <v>1.2312033883637905E-3</v>
      </c>
      <c r="S49" s="2"/>
      <c r="T49" s="6">
        <v>3300</v>
      </c>
      <c r="U49" s="2"/>
      <c r="V49" s="7">
        <f t="shared" si="33"/>
        <v>1.5070764087739249E-3</v>
      </c>
      <c r="W49" s="2"/>
      <c r="X49" s="6">
        <f t="shared" si="34"/>
        <v>-616.82000000000016</v>
      </c>
      <c r="Y49" s="2"/>
      <c r="Z49" s="7">
        <f t="shared" si="35"/>
        <v>-0.18691515151515156</v>
      </c>
    </row>
    <row r="50" spans="1:26" s="26" customFormat="1" outlineLevel="1" collapsed="1" x14ac:dyDescent="0.25">
      <c r="A50" s="27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0.05</v>
      </c>
      <c r="E50" s="1"/>
      <c r="F50" s="5">
        <f t="shared" si="28"/>
        <v>1.092160094768042E-7</v>
      </c>
      <c r="G50" s="1"/>
      <c r="H50" s="1">
        <f>SUM(OSRRefH22_3x_0)</f>
        <v>10</v>
      </c>
      <c r="I50" s="1"/>
      <c r="J50" s="5">
        <f t="shared" si="29"/>
        <v>2.4096385542168674E-5</v>
      </c>
      <c r="K50" s="1"/>
      <c r="L50" s="1">
        <f t="shared" si="30"/>
        <v>-9.9499999999999993</v>
      </c>
      <c r="M50" s="1"/>
      <c r="N50" s="5">
        <f t="shared" si="31"/>
        <v>-0.99499999999999988</v>
      </c>
      <c r="O50" s="13"/>
      <c r="P50" s="1">
        <f>SUM(OSRRefP22_3x_0)</f>
        <v>1.05</v>
      </c>
      <c r="Q50" s="1"/>
      <c r="R50" s="5">
        <f t="shared" si="32"/>
        <v>4.818027705118479E-7</v>
      </c>
      <c r="S50" s="1"/>
      <c r="T50" s="1">
        <f>SUM(OSRRefT22_3x_0)</f>
        <v>52</v>
      </c>
      <c r="U50" s="1"/>
      <c r="V50" s="5">
        <f t="shared" si="33"/>
        <v>2.3747870683710329E-5</v>
      </c>
      <c r="W50" s="1"/>
      <c r="X50" s="1">
        <f t="shared" si="34"/>
        <v>-50.95</v>
      </c>
      <c r="Y50" s="1"/>
      <c r="Z50" s="5">
        <f t="shared" si="35"/>
        <v>-0.97980769230769238</v>
      </c>
    </row>
    <row r="51" spans="1:26" s="24" customFormat="1" hidden="1" outlineLevel="2" x14ac:dyDescent="0.25">
      <c r="A51" s="25"/>
      <c r="B51" s="11" t="str">
        <f>CONCATENATE("          ", "6272", " - ", "CASH (OVER/SHORT)")</f>
        <v xml:space="preserve">          6272 - CASH (OVER/SHORT)</v>
      </c>
      <c r="C51" s="11"/>
      <c r="D51" s="6">
        <v>0.05</v>
      </c>
      <c r="E51" s="2"/>
      <c r="F51" s="7">
        <f t="shared" si="28"/>
        <v>1.092160094768042E-7</v>
      </c>
      <c r="G51" s="2"/>
      <c r="H51" s="6">
        <v>10</v>
      </c>
      <c r="I51" s="2"/>
      <c r="J51" s="7">
        <f t="shared" si="29"/>
        <v>2.4096385542168674E-5</v>
      </c>
      <c r="K51" s="2"/>
      <c r="L51" s="6">
        <f t="shared" si="30"/>
        <v>-9.9499999999999993</v>
      </c>
      <c r="M51" s="2"/>
      <c r="N51" s="7">
        <f t="shared" si="31"/>
        <v>-0.99499999999999988</v>
      </c>
      <c r="O51" s="11"/>
      <c r="P51" s="6">
        <v>1.05</v>
      </c>
      <c r="Q51" s="2"/>
      <c r="R51" s="7">
        <f t="shared" si="32"/>
        <v>4.818027705118479E-7</v>
      </c>
      <c r="S51" s="2"/>
      <c r="T51" s="6">
        <v>52</v>
      </c>
      <c r="U51" s="2"/>
      <c r="V51" s="7">
        <f t="shared" si="33"/>
        <v>2.3747870683710329E-5</v>
      </c>
      <c r="W51" s="2"/>
      <c r="X51" s="6">
        <f t="shared" si="34"/>
        <v>-50.95</v>
      </c>
      <c r="Y51" s="2"/>
      <c r="Z51" s="7">
        <f t="shared" si="35"/>
        <v>-0.97980769230769238</v>
      </c>
    </row>
    <row r="52" spans="1:26" s="26" customFormat="1" outlineLevel="1" collapsed="1" x14ac:dyDescent="0.25">
      <c r="A52" s="27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468.25</v>
      </c>
      <c r="E52" s="1"/>
      <c r="F52" s="5">
        <f t="shared" si="28"/>
        <v>1.0228079287502713E-3</v>
      </c>
      <c r="G52" s="1"/>
      <c r="H52" s="1">
        <f>SUM(OSRRefH22_4x_0)</f>
        <v>225</v>
      </c>
      <c r="I52" s="1"/>
      <c r="J52" s="5">
        <f t="shared" si="29"/>
        <v>5.421686746987952E-4</v>
      </c>
      <c r="K52" s="1"/>
      <c r="L52" s="1">
        <f t="shared" si="30"/>
        <v>243.25</v>
      </c>
      <c r="M52" s="1"/>
      <c r="N52" s="5">
        <f t="shared" si="31"/>
        <v>1.0811111111111111</v>
      </c>
      <c r="O52" s="13"/>
      <c r="P52" s="1">
        <f>SUM(OSRRefP22_4x_0)</f>
        <v>1395.12</v>
      </c>
      <c r="Q52" s="1"/>
      <c r="R52" s="5">
        <f t="shared" si="32"/>
        <v>6.4016445828237064E-4</v>
      </c>
      <c r="S52" s="1"/>
      <c r="T52" s="1">
        <f>SUM(OSRRefT22_4x_0)</f>
        <v>1125</v>
      </c>
      <c r="U52" s="1"/>
      <c r="V52" s="5">
        <f t="shared" si="33"/>
        <v>5.137760484456562E-4</v>
      </c>
      <c r="W52" s="1"/>
      <c r="X52" s="1">
        <f t="shared" si="34"/>
        <v>270.11999999999989</v>
      </c>
      <c r="Y52" s="1"/>
      <c r="Z52" s="5">
        <f t="shared" si="35"/>
        <v>0.24010666666666658</v>
      </c>
    </row>
    <row r="53" spans="1:26" s="24" customFormat="1" hidden="1" outlineLevel="2" x14ac:dyDescent="0.25">
      <c r="A53" s="25"/>
      <c r="B53" s="11" t="str">
        <f>CONCATENATE("          ", "6381", " - ", "BANK/CREDIT CARD FEES")</f>
        <v xml:space="preserve">          6381 - BANK/CREDIT CARD FEES</v>
      </c>
      <c r="C53" s="11"/>
      <c r="D53" s="6">
        <v>468.25</v>
      </c>
      <c r="E53" s="2"/>
      <c r="F53" s="7">
        <f t="shared" si="28"/>
        <v>1.0228079287502713E-3</v>
      </c>
      <c r="G53" s="2"/>
      <c r="H53" s="6">
        <v>225</v>
      </c>
      <c r="I53" s="2"/>
      <c r="J53" s="7">
        <f t="shared" si="29"/>
        <v>5.421686746987952E-4</v>
      </c>
      <c r="K53" s="2"/>
      <c r="L53" s="6">
        <f t="shared" si="30"/>
        <v>243.25</v>
      </c>
      <c r="M53" s="2"/>
      <c r="N53" s="7">
        <f t="shared" si="31"/>
        <v>1.0811111111111111</v>
      </c>
      <c r="O53" s="11"/>
      <c r="P53" s="6">
        <v>1395.12</v>
      </c>
      <c r="Q53" s="2"/>
      <c r="R53" s="7">
        <f t="shared" si="32"/>
        <v>6.4016445828237064E-4</v>
      </c>
      <c r="S53" s="2"/>
      <c r="T53" s="6">
        <v>1125</v>
      </c>
      <c r="U53" s="2"/>
      <c r="V53" s="7">
        <f t="shared" si="33"/>
        <v>5.137760484456562E-4</v>
      </c>
      <c r="W53" s="2"/>
      <c r="X53" s="6">
        <f t="shared" si="34"/>
        <v>270.11999999999989</v>
      </c>
      <c r="Y53" s="2"/>
      <c r="Z53" s="7">
        <f t="shared" si="35"/>
        <v>0.24010666666666658</v>
      </c>
    </row>
    <row r="54" spans="1:26" s="26" customFormat="1" outlineLevel="1" collapsed="1" x14ac:dyDescent="0.25">
      <c r="A54" s="27"/>
      <c r="B54" s="13" t="str">
        <f>CONCATENATE("     ","Donations                                         ")</f>
        <v xml:space="preserve">     Donations                                         </v>
      </c>
      <c r="C54" s="13"/>
      <c r="D54" s="1">
        <f>SUM(OSRRefD22_5x_0)</f>
        <v>9841.51</v>
      </c>
      <c r="E54" s="1"/>
      <c r="F54" s="5">
        <f t="shared" si="28"/>
        <v>2.1497008988521266E-2</v>
      </c>
      <c r="G54" s="1"/>
      <c r="H54" s="1">
        <f>SUM(OSRRefH22_5x_0)</f>
        <v>8000</v>
      </c>
      <c r="I54" s="1"/>
      <c r="J54" s="5">
        <f t="shared" si="29"/>
        <v>1.9277108433734941E-2</v>
      </c>
      <c r="K54" s="1"/>
      <c r="L54" s="1">
        <f t="shared" si="30"/>
        <v>1841.5100000000002</v>
      </c>
      <c r="M54" s="1"/>
      <c r="N54" s="5">
        <f t="shared" si="31"/>
        <v>0.23018875000000003</v>
      </c>
      <c r="O54" s="13"/>
      <c r="P54" s="1">
        <f>SUM(OSRRefP22_5x_0)</f>
        <v>39570.51</v>
      </c>
      <c r="Q54" s="1"/>
      <c r="R54" s="5">
        <f t="shared" si="32"/>
        <v>1.8157315570063604E-2</v>
      </c>
      <c r="S54" s="1"/>
      <c r="T54" s="1">
        <f>SUM(OSRRefT22_5x_0)</f>
        <v>35000</v>
      </c>
      <c r="U54" s="1"/>
      <c r="V54" s="5">
        <f t="shared" si="33"/>
        <v>1.5984143729420416E-2</v>
      </c>
      <c r="W54" s="1"/>
      <c r="X54" s="1">
        <f t="shared" si="34"/>
        <v>4570.510000000002</v>
      </c>
      <c r="Y54" s="1"/>
      <c r="Z54" s="5">
        <f t="shared" si="35"/>
        <v>0.13058600000000006</v>
      </c>
    </row>
    <row r="55" spans="1:26" s="24" customFormat="1" hidden="1" outlineLevel="2" x14ac:dyDescent="0.25">
      <c r="A55" s="25"/>
      <c r="B55" s="11" t="str">
        <f>CONCATENATE("          ", "6399", " - ", "DONATION-ON CAMPUS")</f>
        <v xml:space="preserve">          6399 - DONATION-ON CAMPUS</v>
      </c>
      <c r="C55" s="11"/>
      <c r="D55" s="6">
        <v>9841.51</v>
      </c>
      <c r="E55" s="2"/>
      <c r="F55" s="7">
        <f t="shared" si="28"/>
        <v>2.1497008988521266E-2</v>
      </c>
      <c r="G55" s="2"/>
      <c r="H55" s="6">
        <v>8000</v>
      </c>
      <c r="I55" s="2"/>
      <c r="J55" s="7">
        <f t="shared" si="29"/>
        <v>1.9277108433734941E-2</v>
      </c>
      <c r="K55" s="2"/>
      <c r="L55" s="6">
        <f t="shared" si="30"/>
        <v>1841.5100000000002</v>
      </c>
      <c r="M55" s="2"/>
      <c r="N55" s="7">
        <f t="shared" si="31"/>
        <v>0.23018875000000003</v>
      </c>
      <c r="O55" s="11"/>
      <c r="P55" s="6">
        <v>39570.51</v>
      </c>
      <c r="Q55" s="2"/>
      <c r="R55" s="7">
        <f t="shared" si="32"/>
        <v>1.8157315570063604E-2</v>
      </c>
      <c r="S55" s="2"/>
      <c r="T55" s="6">
        <v>35000</v>
      </c>
      <c r="U55" s="2"/>
      <c r="V55" s="7">
        <f t="shared" si="33"/>
        <v>1.5984143729420416E-2</v>
      </c>
      <c r="W55" s="2"/>
      <c r="X55" s="6">
        <f t="shared" si="34"/>
        <v>4570.510000000002</v>
      </c>
      <c r="Y55" s="2"/>
      <c r="Z55" s="7">
        <f t="shared" si="35"/>
        <v>0.13058600000000006</v>
      </c>
    </row>
    <row r="56" spans="1:26" s="26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si="28"/>
        <v>0</v>
      </c>
      <c r="G56" s="1"/>
      <c r="H56" s="1">
        <f>SUM(OSRRefH22_6x_0)</f>
        <v>160</v>
      </c>
      <c r="I56" s="1"/>
      <c r="J56" s="5">
        <f t="shared" si="29"/>
        <v>3.8554216867469878E-4</v>
      </c>
      <c r="K56" s="1"/>
      <c r="L56" s="1">
        <f t="shared" si="30"/>
        <v>-160</v>
      </c>
      <c r="M56" s="1"/>
      <c r="N56" s="5">
        <f t="shared" si="31"/>
        <v>-1</v>
      </c>
      <c r="O56" s="13"/>
      <c r="P56" s="1">
        <f>SUM(OSRRefP22_6x_0)</f>
        <v>21.33</v>
      </c>
      <c r="Q56" s="1"/>
      <c r="R56" s="5">
        <f t="shared" si="32"/>
        <v>9.7874791381121101E-6</v>
      </c>
      <c r="S56" s="1"/>
      <c r="T56" s="1">
        <f>SUM(OSRRefT22_6x_0)</f>
        <v>780</v>
      </c>
      <c r="U56" s="1"/>
      <c r="V56" s="5">
        <f t="shared" si="33"/>
        <v>3.5621806025565495E-4</v>
      </c>
      <c r="W56" s="1"/>
      <c r="X56" s="1">
        <f t="shared" si="34"/>
        <v>-758.67</v>
      </c>
      <c r="Y56" s="1"/>
      <c r="Z56" s="5">
        <f t="shared" si="35"/>
        <v>-0.97265384615384609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28"/>
        <v>0</v>
      </c>
      <c r="G57" s="2"/>
      <c r="H57" s="6">
        <v>160</v>
      </c>
      <c r="I57" s="2"/>
      <c r="J57" s="7">
        <f t="shared" si="29"/>
        <v>3.8554216867469878E-4</v>
      </c>
      <c r="K57" s="2"/>
      <c r="L57" s="6">
        <f t="shared" si="30"/>
        <v>-160</v>
      </c>
      <c r="M57" s="2"/>
      <c r="N57" s="7">
        <f t="shared" si="31"/>
        <v>-1</v>
      </c>
      <c r="O57" s="11"/>
      <c r="P57" s="6">
        <v>21.33</v>
      </c>
      <c r="Q57" s="2"/>
      <c r="R57" s="7">
        <f t="shared" si="32"/>
        <v>9.7874791381121101E-6</v>
      </c>
      <c r="S57" s="2"/>
      <c r="T57" s="6">
        <v>780</v>
      </c>
      <c r="U57" s="2"/>
      <c r="V57" s="7">
        <f t="shared" si="33"/>
        <v>3.5621806025565495E-4</v>
      </c>
      <c r="W57" s="2"/>
      <c r="X57" s="6">
        <f t="shared" si="34"/>
        <v>-758.67</v>
      </c>
      <c r="Y57" s="2"/>
      <c r="Z57" s="7">
        <f t="shared" si="35"/>
        <v>-0.97265384615384609</v>
      </c>
    </row>
    <row r="58" spans="1:26" s="26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567.62</v>
      </c>
      <c r="E58" s="1"/>
      <c r="F58" s="5">
        <f t="shared" si="28"/>
        <v>1.2398638259844719E-3</v>
      </c>
      <c r="G58" s="1"/>
      <c r="H58" s="1">
        <f>SUM(OSRRefH22_7x_0)</f>
        <v>400</v>
      </c>
      <c r="I58" s="1"/>
      <c r="J58" s="5">
        <f t="shared" si="29"/>
        <v>9.6385542168674694E-4</v>
      </c>
      <c r="K58" s="1"/>
      <c r="L58" s="1">
        <f t="shared" si="30"/>
        <v>167.62</v>
      </c>
      <c r="M58" s="1"/>
      <c r="N58" s="5">
        <f t="shared" si="31"/>
        <v>0.41905000000000003</v>
      </c>
      <c r="O58" s="13"/>
      <c r="P58" s="1">
        <f>SUM(OSRRefP22_7x_0)</f>
        <v>1196.28</v>
      </c>
      <c r="Q58" s="1"/>
      <c r="R58" s="5">
        <f t="shared" si="32"/>
        <v>5.4892477934086995E-4</v>
      </c>
      <c r="S58" s="1"/>
      <c r="T58" s="1">
        <f>SUM(OSRRefT22_7x_0)</f>
        <v>2200</v>
      </c>
      <c r="U58" s="1"/>
      <c r="V58" s="5">
        <f t="shared" si="33"/>
        <v>1.0047176058492833E-3</v>
      </c>
      <c r="W58" s="1"/>
      <c r="X58" s="1">
        <f t="shared" si="34"/>
        <v>-1003.72</v>
      </c>
      <c r="Y58" s="1"/>
      <c r="Z58" s="5">
        <f t="shared" si="35"/>
        <v>-0.45623636363636366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6">
        <v>567.62</v>
      </c>
      <c r="E59" s="2"/>
      <c r="F59" s="7">
        <f t="shared" si="28"/>
        <v>1.2398638259844719E-3</v>
      </c>
      <c r="G59" s="2"/>
      <c r="H59" s="6">
        <v>400</v>
      </c>
      <c r="I59" s="2"/>
      <c r="J59" s="7">
        <f t="shared" si="29"/>
        <v>9.6385542168674694E-4</v>
      </c>
      <c r="K59" s="2"/>
      <c r="L59" s="6">
        <f t="shared" si="30"/>
        <v>167.62</v>
      </c>
      <c r="M59" s="2"/>
      <c r="N59" s="7">
        <f t="shared" si="31"/>
        <v>0.41905000000000003</v>
      </c>
      <c r="O59" s="11"/>
      <c r="P59" s="6">
        <v>1196.28</v>
      </c>
      <c r="Q59" s="2"/>
      <c r="R59" s="7">
        <f t="shared" si="32"/>
        <v>5.4892477934086995E-4</v>
      </c>
      <c r="S59" s="2"/>
      <c r="T59" s="6">
        <v>2200</v>
      </c>
      <c r="U59" s="2"/>
      <c r="V59" s="7">
        <f t="shared" si="33"/>
        <v>1.0047176058492833E-3</v>
      </c>
      <c r="W59" s="2"/>
      <c r="X59" s="6">
        <f t="shared" si="34"/>
        <v>-1003.72</v>
      </c>
      <c r="Y59" s="2"/>
      <c r="Z59" s="7">
        <f t="shared" si="35"/>
        <v>-0.45623636363636366</v>
      </c>
    </row>
    <row r="60" spans="1:26" s="26" customFormat="1" outlineLevel="1" collapsed="1" x14ac:dyDescent="0.25">
      <c r="A60" s="27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0</v>
      </c>
      <c r="E60" s="1"/>
      <c r="F60" s="5">
        <f t="shared" si="28"/>
        <v>0</v>
      </c>
      <c r="G60" s="1"/>
      <c r="H60" s="1">
        <f>SUM(OSRRefH22_8x_0)</f>
        <v>175</v>
      </c>
      <c r="I60" s="1"/>
      <c r="J60" s="5">
        <f t="shared" si="29"/>
        <v>4.216867469879518E-4</v>
      </c>
      <c r="K60" s="1"/>
      <c r="L60" s="1">
        <f t="shared" si="30"/>
        <v>-175</v>
      </c>
      <c r="M60" s="1"/>
      <c r="N60" s="5">
        <f t="shared" si="31"/>
        <v>-1</v>
      </c>
      <c r="O60" s="13"/>
      <c r="P60" s="1">
        <f>SUM(OSRRefP22_8x_0)</f>
        <v>1499.55</v>
      </c>
      <c r="Q60" s="1"/>
      <c r="R60" s="5">
        <f t="shared" si="32"/>
        <v>6.8808318525813482E-4</v>
      </c>
      <c r="S60" s="1"/>
      <c r="T60" s="1">
        <f>SUM(OSRRefT22_8x_0)</f>
        <v>2275</v>
      </c>
      <c r="U60" s="1"/>
      <c r="V60" s="5">
        <f t="shared" si="33"/>
        <v>1.0389693424123271E-3</v>
      </c>
      <c r="W60" s="1"/>
      <c r="X60" s="1">
        <f t="shared" si="34"/>
        <v>-775.45</v>
      </c>
      <c r="Y60" s="1"/>
      <c r="Z60" s="5">
        <f t="shared" si="35"/>
        <v>-0.34085714285714286</v>
      </c>
    </row>
    <row r="61" spans="1:26" s="24" customFormat="1" hidden="1" outlineLevel="2" x14ac:dyDescent="0.25">
      <c r="A61" s="25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28"/>
        <v>0</v>
      </c>
      <c r="G61" s="2"/>
      <c r="H61" s="6">
        <v>175</v>
      </c>
      <c r="I61" s="2"/>
      <c r="J61" s="7">
        <f t="shared" si="29"/>
        <v>4.216867469879518E-4</v>
      </c>
      <c r="K61" s="2"/>
      <c r="L61" s="6">
        <f t="shared" si="30"/>
        <v>-175</v>
      </c>
      <c r="M61" s="2"/>
      <c r="N61" s="7">
        <f t="shared" si="31"/>
        <v>-1</v>
      </c>
      <c r="O61" s="11"/>
      <c r="P61" s="6">
        <v>1499.55</v>
      </c>
      <c r="Q61" s="2"/>
      <c r="R61" s="7">
        <f t="shared" si="32"/>
        <v>6.8808318525813482E-4</v>
      </c>
      <c r="S61" s="2"/>
      <c r="T61" s="6">
        <v>2275</v>
      </c>
      <c r="U61" s="2"/>
      <c r="V61" s="7">
        <f t="shared" si="33"/>
        <v>1.0389693424123271E-3</v>
      </c>
      <c r="W61" s="2"/>
      <c r="X61" s="6">
        <f t="shared" si="34"/>
        <v>-775.45</v>
      </c>
      <c r="Y61" s="2"/>
      <c r="Z61" s="7">
        <f t="shared" si="35"/>
        <v>-0.34085714285714286</v>
      </c>
    </row>
    <row r="62" spans="1:26" s="26" customFormat="1" outlineLevel="1" collapsed="1" x14ac:dyDescent="0.25">
      <c r="A62" s="27"/>
      <c r="B62" s="13" t="str">
        <f>CONCATENATE("     ","R/H Commissions                                   ")</f>
        <v xml:space="preserve">     R/H Commissions                                   </v>
      </c>
      <c r="C62" s="13"/>
      <c r="D62" s="1">
        <f>SUM(OSRRefD22_9x_0)</f>
        <v>34034.899999999994</v>
      </c>
      <c r="E62" s="1"/>
      <c r="F62" s="5">
        <f t="shared" si="28"/>
        <v>7.4343119218841652E-2</v>
      </c>
      <c r="G62" s="1"/>
      <c r="H62" s="1">
        <f>SUM(OSRRefH22_9x_0)</f>
        <v>33200</v>
      </c>
      <c r="I62" s="1"/>
      <c r="J62" s="5">
        <f t="shared" si="29"/>
        <v>0.08</v>
      </c>
      <c r="K62" s="1"/>
      <c r="L62" s="1">
        <f t="shared" si="30"/>
        <v>834.89999999999418</v>
      </c>
      <c r="M62" s="1"/>
      <c r="N62" s="5">
        <f t="shared" si="31"/>
        <v>2.5147590361445607E-2</v>
      </c>
      <c r="O62" s="13"/>
      <c r="P62" s="1">
        <f>SUM(OSRRefP22_9x_0)</f>
        <v>165754.04</v>
      </c>
      <c r="Q62" s="1"/>
      <c r="R62" s="5">
        <f t="shared" si="32"/>
        <v>7.6057862567173007E-2</v>
      </c>
      <c r="S62" s="1"/>
      <c r="T62" s="1">
        <f>SUM(OSRRefT22_9x_0)</f>
        <v>175174</v>
      </c>
      <c r="U62" s="1"/>
      <c r="V62" s="5">
        <f t="shared" si="33"/>
        <v>8.000018267592833E-2</v>
      </c>
      <c r="W62" s="1"/>
      <c r="X62" s="1">
        <f t="shared" si="34"/>
        <v>-9419.9599999999919</v>
      </c>
      <c r="Y62" s="1"/>
      <c r="Z62" s="5">
        <f t="shared" si="35"/>
        <v>-5.3774875266877457E-2</v>
      </c>
    </row>
    <row r="63" spans="1:26" s="24" customFormat="1" hidden="1" outlineLevel="2" x14ac:dyDescent="0.25">
      <c r="A63" s="25"/>
      <c r="B63" s="11" t="str">
        <f>CONCATENATE("          ", "6387", " - ", "COMMISSION DUE HOUSING")</f>
        <v xml:space="preserve">          6387 - COMMISSION DUE HOUSING</v>
      </c>
      <c r="C63" s="11"/>
      <c r="D63" s="6">
        <v>34034.899999999994</v>
      </c>
      <c r="E63" s="2"/>
      <c r="F63" s="7">
        <f t="shared" si="28"/>
        <v>7.4343119218841652E-2</v>
      </c>
      <c r="G63" s="2"/>
      <c r="H63" s="6">
        <v>33200</v>
      </c>
      <c r="I63" s="2"/>
      <c r="J63" s="7">
        <f t="shared" si="29"/>
        <v>0.08</v>
      </c>
      <c r="K63" s="2"/>
      <c r="L63" s="6">
        <f t="shared" si="30"/>
        <v>834.89999999999418</v>
      </c>
      <c r="M63" s="2"/>
      <c r="N63" s="7">
        <f t="shared" si="31"/>
        <v>2.5147590361445607E-2</v>
      </c>
      <c r="O63" s="11"/>
      <c r="P63" s="6">
        <v>165754.04</v>
      </c>
      <c r="Q63" s="2"/>
      <c r="R63" s="7">
        <f t="shared" si="32"/>
        <v>7.6057862567173007E-2</v>
      </c>
      <c r="S63" s="2"/>
      <c r="T63" s="6">
        <v>175174</v>
      </c>
      <c r="U63" s="2"/>
      <c r="V63" s="7">
        <f t="shared" si="33"/>
        <v>8.000018267592833E-2</v>
      </c>
      <c r="W63" s="2"/>
      <c r="X63" s="6">
        <f t="shared" si="34"/>
        <v>-9419.9599999999919</v>
      </c>
      <c r="Y63" s="2"/>
      <c r="Z63" s="7">
        <f t="shared" si="35"/>
        <v>-5.3774875266877457E-2</v>
      </c>
    </row>
    <row r="64" spans="1:26" s="26" customFormat="1" outlineLevel="1" collapsed="1" x14ac:dyDescent="0.25">
      <c r="A64" s="27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SUM(OSRRefD22_10x_0)</f>
        <v>8238.75</v>
      </c>
      <c r="E64" s="1"/>
      <c r="F64" s="5">
        <f t="shared" si="28"/>
        <v>1.7996067961540411E-2</v>
      </c>
      <c r="G64" s="1"/>
      <c r="H64" s="1">
        <f>SUM(OSRRefH22_10x_0)</f>
        <v>1950</v>
      </c>
      <c r="I64" s="1"/>
      <c r="J64" s="5">
        <f t="shared" si="29"/>
        <v>4.6987951807228919E-3</v>
      </c>
      <c r="K64" s="1"/>
      <c r="L64" s="1">
        <f t="shared" si="30"/>
        <v>6288.75</v>
      </c>
      <c r="M64" s="1"/>
      <c r="N64" s="5">
        <f t="shared" si="31"/>
        <v>3.2250000000000001</v>
      </c>
      <c r="O64" s="13"/>
      <c r="P64" s="1">
        <f>SUM(OSRRefP22_10x_0)</f>
        <v>8459.01</v>
      </c>
      <c r="Q64" s="1"/>
      <c r="R64" s="5">
        <f t="shared" si="32"/>
        <v>3.8814994797975494E-3</v>
      </c>
      <c r="S64" s="1"/>
      <c r="T64" s="1">
        <f>SUM(OSRRefT22_10x_0)</f>
        <v>4750</v>
      </c>
      <c r="U64" s="1"/>
      <c r="V64" s="5">
        <f t="shared" si="33"/>
        <v>2.1692766489927705E-3</v>
      </c>
      <c r="W64" s="1"/>
      <c r="X64" s="1">
        <f t="shared" si="34"/>
        <v>3709.01</v>
      </c>
      <c r="Y64" s="1"/>
      <c r="Z64" s="5">
        <f t="shared" si="35"/>
        <v>0.78084421052631581</v>
      </c>
    </row>
    <row r="65" spans="1:26" s="24" customFormat="1" hidden="1" outlineLevel="2" x14ac:dyDescent="0.25">
      <c r="A65" s="25"/>
      <c r="B65" s="11" t="str">
        <f>CONCATENATE("          ", "6371", " - ", "COMPUTER SOFTWARE MAINTENANCE")</f>
        <v xml:space="preserve">          6371 - COMPUTER SOFTWARE MAINTENANCE</v>
      </c>
      <c r="C65" s="11"/>
      <c r="D65" s="6">
        <v>8238.75</v>
      </c>
      <c r="E65" s="2"/>
      <c r="F65" s="7">
        <f t="shared" si="28"/>
        <v>1.7996067961540411E-2</v>
      </c>
      <c r="G65" s="2"/>
      <c r="H65" s="6"/>
      <c r="I65" s="2"/>
      <c r="J65" s="7">
        <f t="shared" si="29"/>
        <v>0</v>
      </c>
      <c r="K65" s="2"/>
      <c r="L65" s="6">
        <f t="shared" si="30"/>
        <v>8238.75</v>
      </c>
      <c r="M65" s="2"/>
      <c r="N65" s="7">
        <f t="shared" si="31"/>
        <v>0</v>
      </c>
      <c r="O65" s="11"/>
      <c r="P65" s="6">
        <v>8238.75</v>
      </c>
      <c r="Q65" s="2"/>
      <c r="R65" s="7">
        <f t="shared" si="32"/>
        <v>3.7804310243376065E-3</v>
      </c>
      <c r="S65" s="2"/>
      <c r="T65" s="6"/>
      <c r="U65" s="2"/>
      <c r="V65" s="7">
        <f t="shared" si="33"/>
        <v>0</v>
      </c>
      <c r="W65" s="2"/>
      <c r="X65" s="6">
        <f t="shared" si="34"/>
        <v>8238.75</v>
      </c>
      <c r="Y65" s="2"/>
      <c r="Z65" s="7">
        <f t="shared" si="35"/>
        <v>0</v>
      </c>
    </row>
    <row r="66" spans="1:26" s="24" customFormat="1" hidden="1" outlineLevel="2" x14ac:dyDescent="0.25">
      <c r="A66" s="25"/>
      <c r="B66" s="11" t="str">
        <f>CONCATENATE("          ", "6373", " - ", "MAINTENANCE CONTRACTS")</f>
        <v xml:space="preserve">          6373 - MAINTENANCE CONTRACTS</v>
      </c>
      <c r="C66" s="11"/>
      <c r="D66" s="6"/>
      <c r="E66" s="2"/>
      <c r="F66" s="7">
        <f t="shared" si="28"/>
        <v>0</v>
      </c>
      <c r="G66" s="2"/>
      <c r="H66" s="6">
        <v>1700</v>
      </c>
      <c r="I66" s="2"/>
      <c r="J66" s="7">
        <f t="shared" si="29"/>
        <v>4.0963855421686747E-3</v>
      </c>
      <c r="K66" s="2"/>
      <c r="L66" s="6">
        <f t="shared" si="30"/>
        <v>-1700</v>
      </c>
      <c r="M66" s="2"/>
      <c r="N66" s="7">
        <f t="shared" si="31"/>
        <v>-1</v>
      </c>
      <c r="O66" s="11"/>
      <c r="P66" s="6">
        <v>68.48</v>
      </c>
      <c r="Q66" s="2"/>
      <c r="R66" s="7">
        <f t="shared" si="32"/>
        <v>3.1422717833001284E-5</v>
      </c>
      <c r="S66" s="2"/>
      <c r="T66" s="6">
        <v>3500</v>
      </c>
      <c r="U66" s="2"/>
      <c r="V66" s="7">
        <f t="shared" si="33"/>
        <v>1.5984143729420414E-3</v>
      </c>
      <c r="W66" s="2"/>
      <c r="X66" s="6">
        <f t="shared" si="34"/>
        <v>-3431.52</v>
      </c>
      <c r="Y66" s="2"/>
      <c r="Z66" s="7">
        <f t="shared" si="35"/>
        <v>-0.9804342857142857</v>
      </c>
    </row>
    <row r="67" spans="1:26" s="24" customFormat="1" hidden="1" outlineLevel="2" x14ac:dyDescent="0.25">
      <c r="A67" s="25"/>
      <c r="B67" s="11" t="str">
        <f>CONCATENATE("          ", "6375", " - ", "OUTSIDE REPAIRS &amp; MAINTENANCE")</f>
        <v xml:space="preserve">          6375 - OUTSIDE REPAIRS &amp; MAINTENANCE</v>
      </c>
      <c r="C67" s="11"/>
      <c r="D67" s="6"/>
      <c r="E67" s="2"/>
      <c r="F67" s="7">
        <f t="shared" si="28"/>
        <v>0</v>
      </c>
      <c r="G67" s="2"/>
      <c r="H67" s="6">
        <v>250</v>
      </c>
      <c r="I67" s="2"/>
      <c r="J67" s="7">
        <f t="shared" si="29"/>
        <v>6.0240963855421692E-4</v>
      </c>
      <c r="K67" s="2"/>
      <c r="L67" s="6">
        <f t="shared" si="30"/>
        <v>-250</v>
      </c>
      <c r="M67" s="2"/>
      <c r="N67" s="7">
        <f t="shared" si="31"/>
        <v>-1</v>
      </c>
      <c r="O67" s="11"/>
      <c r="P67" s="6">
        <v>151.78</v>
      </c>
      <c r="Q67" s="2"/>
      <c r="R67" s="7">
        <f t="shared" si="32"/>
        <v>6.9645737626941218E-5</v>
      </c>
      <c r="S67" s="2"/>
      <c r="T67" s="6">
        <v>1250</v>
      </c>
      <c r="U67" s="2"/>
      <c r="V67" s="7">
        <f t="shared" si="33"/>
        <v>5.7086227605072915E-4</v>
      </c>
      <c r="W67" s="2"/>
      <c r="X67" s="6">
        <f t="shared" si="34"/>
        <v>-1098.22</v>
      </c>
      <c r="Y67" s="2"/>
      <c r="Z67" s="7">
        <f t="shared" si="35"/>
        <v>-0.87857600000000002</v>
      </c>
    </row>
    <row r="68" spans="1:26" s="26" customFormat="1" outlineLevel="1" collapsed="1" x14ac:dyDescent="0.25">
      <c r="A68" s="27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SUM(OSRRefD22_11x_0)</f>
        <v>5832.6900000000005</v>
      </c>
      <c r="E68" s="1"/>
      <c r="F68" s="5">
        <f t="shared" ref="F68:F72" si="36">IF(D$12=0,0,D68/D$12)</f>
        <v>1.2740462526305223E-2</v>
      </c>
      <c r="G68" s="1"/>
      <c r="H68" s="1">
        <f>SUM(OSRRefH22_11x_0)</f>
        <v>6600</v>
      </c>
      <c r="I68" s="1"/>
      <c r="J68" s="5">
        <f t="shared" ref="J68:J72" si="37">IF(H$12=0,0,H68/H$12)</f>
        <v>1.5903614457831325E-2</v>
      </c>
      <c r="K68" s="1"/>
      <c r="L68" s="1">
        <f t="shared" ref="L68:L72" si="38">+D68-H68</f>
        <v>-767.30999999999949</v>
      </c>
      <c r="M68" s="1"/>
      <c r="N68" s="5">
        <f t="shared" ref="N68:N72" si="39">IF(H68=0,0,L68/H68)</f>
        <v>-0.11625909090909083</v>
      </c>
      <c r="O68" s="13"/>
      <c r="P68" s="1">
        <f>SUM(OSRRefP22_11x_0)</f>
        <v>32236.32</v>
      </c>
      <c r="Q68" s="1"/>
      <c r="R68" s="5">
        <f t="shared" ref="R68:R72" si="40">IF(P$12=0,0,P68/P$12)</f>
        <v>1.4791950749625232E-2</v>
      </c>
      <c r="S68" s="1"/>
      <c r="T68" s="1">
        <f>SUM(OSRRefT22_11x_0)</f>
        <v>32510</v>
      </c>
      <c r="U68" s="1"/>
      <c r="V68" s="5">
        <f t="shared" ref="V68:V72" si="41">IF(T$12=0,0,T68/T$12)</f>
        <v>1.4846986075527363E-2</v>
      </c>
      <c r="W68" s="1"/>
      <c r="X68" s="1">
        <f t="shared" ref="X68:X72" si="42">+P68-T68</f>
        <v>-273.68000000000029</v>
      </c>
      <c r="Y68" s="1"/>
      <c r="Z68" s="5">
        <f t="shared" ref="Z68:Z72" si="43">IF(T68=0,0,X68/T68)</f>
        <v>-8.418332820670572E-3</v>
      </c>
    </row>
    <row r="69" spans="1:26" s="24" customFormat="1" hidden="1" outlineLevel="2" x14ac:dyDescent="0.25">
      <c r="A69" s="25"/>
      <c r="B69" s="11" t="str">
        <f>CONCATENATE("          ", "6282", " - ", "JANITORIAL/EXTERMINATOR EXPENS")</f>
        <v xml:space="preserve">          6282 - JANITORIAL/EXTERMINATOR EXPENS</v>
      </c>
      <c r="C69" s="11"/>
      <c r="D69" s="6">
        <v>417.32</v>
      </c>
      <c r="E69" s="2"/>
      <c r="F69" s="7">
        <f t="shared" si="36"/>
        <v>9.1156050149719854E-4</v>
      </c>
      <c r="G69" s="2"/>
      <c r="H69" s="6">
        <v>450</v>
      </c>
      <c r="I69" s="2"/>
      <c r="J69" s="7">
        <f t="shared" si="37"/>
        <v>1.0843373493975904E-3</v>
      </c>
      <c r="K69" s="2"/>
      <c r="L69" s="6">
        <f t="shared" si="38"/>
        <v>-32.680000000000007</v>
      </c>
      <c r="M69" s="2"/>
      <c r="N69" s="7">
        <f t="shared" si="39"/>
        <v>-7.2622222222222241E-2</v>
      </c>
      <c r="O69" s="11"/>
      <c r="P69" s="6">
        <v>2206.6</v>
      </c>
      <c r="Q69" s="2"/>
      <c r="R69" s="7">
        <f t="shared" si="40"/>
        <v>1.0125199937251843E-3</v>
      </c>
      <c r="S69" s="2"/>
      <c r="T69" s="6">
        <v>2250</v>
      </c>
      <c r="U69" s="2"/>
      <c r="V69" s="7">
        <f t="shared" si="41"/>
        <v>1.0275520968913124E-3</v>
      </c>
      <c r="W69" s="2"/>
      <c r="X69" s="6">
        <f t="shared" si="42"/>
        <v>-43.400000000000091</v>
      </c>
      <c r="Y69" s="2"/>
      <c r="Z69" s="7">
        <f t="shared" si="43"/>
        <v>-1.9288888888888928E-2</v>
      </c>
    </row>
    <row r="70" spans="1:26" s="24" customFormat="1" hidden="1" outlineLevel="2" x14ac:dyDescent="0.25">
      <c r="A70" s="25"/>
      <c r="B70" s="11" t="str">
        <f>CONCATENATE("          ", "6284", " - ", "TRASH REMOVAL EXPENSE")</f>
        <v xml:space="preserve">          6284 - TRASH REMOVAL EXPENSE</v>
      </c>
      <c r="C70" s="11"/>
      <c r="D70" s="6"/>
      <c r="E70" s="2"/>
      <c r="F70" s="7">
        <f t="shared" si="36"/>
        <v>0</v>
      </c>
      <c r="G70" s="2"/>
      <c r="H70" s="6">
        <v>550</v>
      </c>
      <c r="I70" s="2"/>
      <c r="J70" s="7">
        <f t="shared" si="37"/>
        <v>1.3253012048192771E-3</v>
      </c>
      <c r="K70" s="2"/>
      <c r="L70" s="6">
        <f t="shared" si="38"/>
        <v>-550</v>
      </c>
      <c r="M70" s="2"/>
      <c r="N70" s="7">
        <f t="shared" si="39"/>
        <v>-1</v>
      </c>
      <c r="O70" s="11"/>
      <c r="P70" s="6"/>
      <c r="Q70" s="2"/>
      <c r="R70" s="7">
        <f t="shared" si="40"/>
        <v>0</v>
      </c>
      <c r="S70" s="2"/>
      <c r="T70" s="6">
        <v>2700</v>
      </c>
      <c r="U70" s="2"/>
      <c r="V70" s="7">
        <f t="shared" si="41"/>
        <v>1.2330625162695749E-3</v>
      </c>
      <c r="W70" s="2"/>
      <c r="X70" s="6">
        <f t="shared" si="42"/>
        <v>-2700</v>
      </c>
      <c r="Y70" s="2"/>
      <c r="Z70" s="7">
        <f t="shared" si="43"/>
        <v>-1</v>
      </c>
    </row>
    <row r="71" spans="1:26" s="24" customFormat="1" hidden="1" outlineLevel="2" x14ac:dyDescent="0.25">
      <c r="A71" s="25"/>
      <c r="B71" s="11" t="str">
        <f>CONCATENATE("          ", "6285", " - ", "JANITORIAL SERVICES")</f>
        <v xml:space="preserve">          6285 - JANITORIAL SERVICES</v>
      </c>
      <c r="C71" s="11"/>
      <c r="D71" s="6">
        <v>3882.07</v>
      </c>
      <c r="E71" s="2"/>
      <c r="F71" s="7">
        <f t="shared" si="36"/>
        <v>8.4796838781923452E-3</v>
      </c>
      <c r="G71" s="2"/>
      <c r="H71" s="6">
        <v>4000</v>
      </c>
      <c r="I71" s="2"/>
      <c r="J71" s="7">
        <f t="shared" si="37"/>
        <v>9.6385542168674707E-3</v>
      </c>
      <c r="K71" s="2"/>
      <c r="L71" s="6">
        <f t="shared" si="38"/>
        <v>-117.92999999999984</v>
      </c>
      <c r="M71" s="2"/>
      <c r="N71" s="7">
        <f t="shared" si="39"/>
        <v>-2.948249999999996E-2</v>
      </c>
      <c r="O71" s="11"/>
      <c r="P71" s="6">
        <v>20667.310000000001</v>
      </c>
      <c r="Q71" s="2"/>
      <c r="R71" s="7">
        <f t="shared" si="40"/>
        <v>9.483397349549734E-3</v>
      </c>
      <c r="S71" s="2"/>
      <c r="T71" s="6">
        <v>19560</v>
      </c>
      <c r="U71" s="2"/>
      <c r="V71" s="7">
        <f t="shared" si="41"/>
        <v>8.9328528956418088E-3</v>
      </c>
      <c r="W71" s="2"/>
      <c r="X71" s="6">
        <f t="shared" si="42"/>
        <v>1107.3100000000013</v>
      </c>
      <c r="Y71" s="2"/>
      <c r="Z71" s="7">
        <f t="shared" si="43"/>
        <v>5.661094069529659E-2</v>
      </c>
    </row>
    <row r="72" spans="1:26" s="24" customFormat="1" hidden="1" outlineLevel="2" x14ac:dyDescent="0.25">
      <c r="A72" s="25"/>
      <c r="B72" s="11" t="str">
        <f>CONCATENATE("          ", "6286", " - ", "LAUNDRY EXPENSE")</f>
        <v xml:space="preserve">          6286 - LAUNDRY EXPENSE</v>
      </c>
      <c r="C72" s="11"/>
      <c r="D72" s="6">
        <v>1533.3</v>
      </c>
      <c r="E72" s="2"/>
      <c r="F72" s="7">
        <f t="shared" si="36"/>
        <v>3.3492181466156772E-3</v>
      </c>
      <c r="G72" s="2"/>
      <c r="H72" s="6">
        <v>1600</v>
      </c>
      <c r="I72" s="2"/>
      <c r="J72" s="7">
        <f t="shared" si="37"/>
        <v>3.8554216867469878E-3</v>
      </c>
      <c r="K72" s="2"/>
      <c r="L72" s="6">
        <f t="shared" si="38"/>
        <v>-66.700000000000045</v>
      </c>
      <c r="M72" s="2"/>
      <c r="N72" s="7">
        <f t="shared" si="39"/>
        <v>-4.168750000000003E-2</v>
      </c>
      <c r="O72" s="11"/>
      <c r="P72" s="6">
        <v>9362.41</v>
      </c>
      <c r="Q72" s="2"/>
      <c r="R72" s="7">
        <f t="shared" si="40"/>
        <v>4.296033406350314E-3</v>
      </c>
      <c r="S72" s="2"/>
      <c r="T72" s="6">
        <v>8000</v>
      </c>
      <c r="U72" s="2"/>
      <c r="V72" s="7">
        <f t="shared" si="41"/>
        <v>3.6535185667246665E-3</v>
      </c>
      <c r="W72" s="2"/>
      <c r="X72" s="6">
        <f t="shared" si="42"/>
        <v>1362.4099999999999</v>
      </c>
      <c r="Y72" s="2"/>
      <c r="Z72" s="7">
        <f t="shared" si="43"/>
        <v>0.17030124999999999</v>
      </c>
    </row>
    <row r="73" spans="1:26" s="26" customFormat="1" outlineLevel="1" collapsed="1" x14ac:dyDescent="0.25">
      <c r="A73" s="27"/>
      <c r="B73" s="13" t="str">
        <f>CONCATENATE("     ","Supplies                                          ")</f>
        <v xml:space="preserve">     Supplies                                          </v>
      </c>
      <c r="C73" s="13"/>
      <c r="D73" s="1">
        <f>SUM(OSRRefD22_12x_0)</f>
        <v>4459.46</v>
      </c>
      <c r="E73" s="1"/>
      <c r="F73" s="5">
        <f t="shared" ref="F73:F81" si="44">IF(D$12=0,0,D73/D$12)</f>
        <v>9.7408885124285853E-3</v>
      </c>
      <c r="G73" s="1"/>
      <c r="H73" s="1">
        <f>SUM(OSRRefH22_12x_0)</f>
        <v>8285</v>
      </c>
      <c r="I73" s="1"/>
      <c r="J73" s="5">
        <f t="shared" ref="J73:J81" si="45">IF(H$12=0,0,H73/H$12)</f>
        <v>1.9963855421686747E-2</v>
      </c>
      <c r="K73" s="1"/>
      <c r="L73" s="1">
        <f t="shared" ref="L73:L81" si="46">+D73-H73</f>
        <v>-3825.54</v>
      </c>
      <c r="M73" s="1"/>
      <c r="N73" s="5">
        <f t="shared" ref="N73:N81" si="47">IF(H73=0,0,L73/H73)</f>
        <v>-0.46174290887145442</v>
      </c>
      <c r="O73" s="13"/>
      <c r="P73" s="1">
        <f>SUM(OSRRefP22_12x_0)</f>
        <v>35427.099999999991</v>
      </c>
      <c r="Q73" s="1"/>
      <c r="R73" s="5">
        <f t="shared" ref="R73:R81" si="48">IF(P$12=0,0,P73/P$12)</f>
        <v>1.6256071363047887E-2</v>
      </c>
      <c r="S73" s="1"/>
      <c r="T73" s="1">
        <f>SUM(OSRRefT22_12x_0)</f>
        <v>46715</v>
      </c>
      <c r="U73" s="1"/>
      <c r="V73" s="5">
        <f t="shared" ref="V73:V81" si="49">IF(T$12=0,0,T73/T$12)</f>
        <v>2.1334264980567848E-2</v>
      </c>
      <c r="W73" s="1"/>
      <c r="X73" s="1">
        <f t="shared" ref="X73:X81" si="50">+P73-T73</f>
        <v>-11287.900000000009</v>
      </c>
      <c r="Y73" s="1"/>
      <c r="Z73" s="5">
        <f t="shared" ref="Z73:Z81" si="51">IF(T73=0,0,X73/T73)</f>
        <v>-0.24163330835919958</v>
      </c>
    </row>
    <row r="74" spans="1:26" s="24" customFormat="1" hidden="1" outlineLevel="2" x14ac:dyDescent="0.25">
      <c r="A74" s="25"/>
      <c r="B74" s="11" t="str">
        <f>CONCATENATE("          ", "6237", " - ", "JANITORIAL SUPPLIES")</f>
        <v xml:space="preserve">          6237 - JANITORIAL SUPPLIES</v>
      </c>
      <c r="C74" s="11"/>
      <c r="D74" s="6">
        <v>2272.4899999999998</v>
      </c>
      <c r="E74" s="2"/>
      <c r="F74" s="7">
        <f t="shared" si="44"/>
        <v>4.9638457875188545E-3</v>
      </c>
      <c r="G74" s="2"/>
      <c r="H74" s="6">
        <v>3900</v>
      </c>
      <c r="I74" s="2"/>
      <c r="J74" s="7">
        <f t="shared" si="45"/>
        <v>9.3975903614457838E-3</v>
      </c>
      <c r="K74" s="2"/>
      <c r="L74" s="6">
        <f t="shared" si="46"/>
        <v>-1627.5100000000002</v>
      </c>
      <c r="M74" s="2"/>
      <c r="N74" s="7">
        <f t="shared" si="47"/>
        <v>-0.41731025641025649</v>
      </c>
      <c r="O74" s="11"/>
      <c r="P74" s="6">
        <v>15874.569999999998</v>
      </c>
      <c r="Q74" s="2"/>
      <c r="R74" s="7">
        <f t="shared" si="48"/>
        <v>7.2842017206516804E-3</v>
      </c>
      <c r="S74" s="2"/>
      <c r="T74" s="6">
        <v>20000</v>
      </c>
      <c r="U74" s="2"/>
      <c r="V74" s="7">
        <f t="shared" si="49"/>
        <v>9.1337964168116664E-3</v>
      </c>
      <c r="W74" s="2"/>
      <c r="X74" s="6">
        <f t="shared" si="50"/>
        <v>-4125.4300000000021</v>
      </c>
      <c r="Y74" s="2"/>
      <c r="Z74" s="7">
        <f t="shared" si="51"/>
        <v>-0.20627150000000011</v>
      </c>
    </row>
    <row r="75" spans="1:26" s="24" customFormat="1" hidden="1" outlineLevel="2" x14ac:dyDescent="0.25">
      <c r="A75" s="25"/>
      <c r="B75" s="11" t="str">
        <f>CONCATENATE("          ", "6239", " - ", "KITCHEN SUPPLIES")</f>
        <v xml:space="preserve">          6239 - KITCHEN SUPPLIES</v>
      </c>
      <c r="C75" s="11"/>
      <c r="D75" s="6">
        <v>313.44</v>
      </c>
      <c r="E75" s="2"/>
      <c r="F75" s="7">
        <f t="shared" si="44"/>
        <v>6.8465332020819017E-4</v>
      </c>
      <c r="G75" s="2"/>
      <c r="H75" s="6">
        <v>1750</v>
      </c>
      <c r="I75" s="2"/>
      <c r="J75" s="7">
        <f t="shared" si="45"/>
        <v>4.2168674698795181E-3</v>
      </c>
      <c r="K75" s="2"/>
      <c r="L75" s="6">
        <f t="shared" si="46"/>
        <v>-1436.56</v>
      </c>
      <c r="M75" s="2"/>
      <c r="N75" s="7">
        <f t="shared" si="47"/>
        <v>-0.82089142857142849</v>
      </c>
      <c r="O75" s="11"/>
      <c r="P75" s="6">
        <v>3119.09</v>
      </c>
      <c r="Q75" s="2"/>
      <c r="R75" s="7">
        <f t="shared" si="48"/>
        <v>1.4312249556912378E-3</v>
      </c>
      <c r="S75" s="2"/>
      <c r="T75" s="6">
        <v>9200</v>
      </c>
      <c r="U75" s="2"/>
      <c r="V75" s="7">
        <f t="shared" si="49"/>
        <v>4.201546351733366E-3</v>
      </c>
      <c r="W75" s="2"/>
      <c r="X75" s="6">
        <f t="shared" si="50"/>
        <v>-6080.91</v>
      </c>
      <c r="Y75" s="2"/>
      <c r="Z75" s="7">
        <f t="shared" si="51"/>
        <v>-0.66096847826086957</v>
      </c>
    </row>
    <row r="76" spans="1:26" s="24" customFormat="1" hidden="1" outlineLevel="2" x14ac:dyDescent="0.25">
      <c r="A76" s="25"/>
      <c r="B76" s="11" t="str">
        <f>CONCATENATE("          ", "6241", " - ", "OFFICE EXPENSE")</f>
        <v xml:space="preserve">          6241 - OFFICE EXPENSE</v>
      </c>
      <c r="C76" s="11"/>
      <c r="D76" s="6">
        <v>188.1</v>
      </c>
      <c r="E76" s="2"/>
      <c r="F76" s="7">
        <f t="shared" si="44"/>
        <v>4.1087062765173736E-4</v>
      </c>
      <c r="G76" s="2"/>
      <c r="H76" s="6">
        <v>500</v>
      </c>
      <c r="I76" s="2"/>
      <c r="J76" s="7">
        <f t="shared" si="45"/>
        <v>1.2048192771084338E-3</v>
      </c>
      <c r="K76" s="2"/>
      <c r="L76" s="6">
        <f t="shared" si="46"/>
        <v>-311.89999999999998</v>
      </c>
      <c r="M76" s="2"/>
      <c r="N76" s="7">
        <f t="shared" si="47"/>
        <v>-0.62379999999999991</v>
      </c>
      <c r="O76" s="11"/>
      <c r="P76" s="6">
        <v>1339.6</v>
      </c>
      <c r="Q76" s="2"/>
      <c r="R76" s="7">
        <f t="shared" si="48"/>
        <v>6.146885632168299E-4</v>
      </c>
      <c r="S76" s="2"/>
      <c r="T76" s="6">
        <v>2350</v>
      </c>
      <c r="U76" s="2"/>
      <c r="V76" s="7">
        <f t="shared" si="49"/>
        <v>1.0732210789753708E-3</v>
      </c>
      <c r="W76" s="2"/>
      <c r="X76" s="6">
        <f t="shared" si="50"/>
        <v>-1010.4000000000001</v>
      </c>
      <c r="Y76" s="2"/>
      <c r="Z76" s="7">
        <f t="shared" si="51"/>
        <v>-0.42995744680851067</v>
      </c>
    </row>
    <row r="77" spans="1:26" s="24" customFormat="1" hidden="1" outlineLevel="2" x14ac:dyDescent="0.25">
      <c r="A77" s="25"/>
      <c r="B77" s="11" t="str">
        <f>CONCATENATE("          ", "6243", " - ", "PAPER SUPPLIES")</f>
        <v xml:space="preserve">          6243 - PAPER SUPPLIES</v>
      </c>
      <c r="C77" s="11"/>
      <c r="D77" s="6">
        <v>1602.93</v>
      </c>
      <c r="E77" s="2"/>
      <c r="F77" s="7">
        <f t="shared" si="44"/>
        <v>3.5013123614130752E-3</v>
      </c>
      <c r="G77" s="2"/>
      <c r="H77" s="6">
        <v>1850</v>
      </c>
      <c r="I77" s="2"/>
      <c r="J77" s="7">
        <f t="shared" si="45"/>
        <v>4.457831325301205E-3</v>
      </c>
      <c r="K77" s="2"/>
      <c r="L77" s="6">
        <f t="shared" si="46"/>
        <v>-247.06999999999994</v>
      </c>
      <c r="M77" s="2"/>
      <c r="N77" s="7">
        <f t="shared" si="47"/>
        <v>-0.13355135135135132</v>
      </c>
      <c r="O77" s="11"/>
      <c r="P77" s="6">
        <v>13347.92</v>
      </c>
      <c r="Q77" s="2"/>
      <c r="R77" s="7">
        <f t="shared" si="48"/>
        <v>6.1248236538766713E-3</v>
      </c>
      <c r="S77" s="2"/>
      <c r="T77" s="6">
        <v>9250</v>
      </c>
      <c r="U77" s="2"/>
      <c r="V77" s="7">
        <f t="shared" si="49"/>
        <v>4.2243808427753953E-3</v>
      </c>
      <c r="W77" s="2"/>
      <c r="X77" s="6">
        <f t="shared" si="50"/>
        <v>4097.92</v>
      </c>
      <c r="Y77" s="2"/>
      <c r="Z77" s="7">
        <f t="shared" si="51"/>
        <v>0.44301837837837837</v>
      </c>
    </row>
    <row r="78" spans="1:26" s="24" customFormat="1" hidden="1" outlineLevel="2" x14ac:dyDescent="0.25">
      <c r="A78" s="25"/>
      <c r="B78" s="11" t="str">
        <f>CONCATENATE("          ", "6244", " - ", "SAFETY SUPPLY EXPENSE")</f>
        <v xml:space="preserve">          6244 - SAFETY SUPPLY EXPENSE</v>
      </c>
      <c r="C78" s="11"/>
      <c r="D78" s="6"/>
      <c r="E78" s="2"/>
      <c r="F78" s="7">
        <f t="shared" si="44"/>
        <v>0</v>
      </c>
      <c r="G78" s="2"/>
      <c r="H78" s="6">
        <v>125</v>
      </c>
      <c r="I78" s="2"/>
      <c r="J78" s="7">
        <f t="shared" si="45"/>
        <v>3.0120481927710846E-4</v>
      </c>
      <c r="K78" s="2"/>
      <c r="L78" s="6">
        <f t="shared" si="46"/>
        <v>-125</v>
      </c>
      <c r="M78" s="2"/>
      <c r="N78" s="7">
        <f t="shared" si="47"/>
        <v>-1</v>
      </c>
      <c r="O78" s="11"/>
      <c r="P78" s="6"/>
      <c r="Q78" s="2"/>
      <c r="R78" s="7">
        <f t="shared" si="48"/>
        <v>0</v>
      </c>
      <c r="S78" s="2"/>
      <c r="T78" s="6">
        <v>625</v>
      </c>
      <c r="U78" s="2"/>
      <c r="V78" s="7">
        <f t="shared" si="49"/>
        <v>2.8543113802536457E-4</v>
      </c>
      <c r="W78" s="2"/>
      <c r="X78" s="6">
        <f t="shared" si="50"/>
        <v>-625</v>
      </c>
      <c r="Y78" s="2"/>
      <c r="Z78" s="7">
        <f t="shared" si="51"/>
        <v>-1</v>
      </c>
    </row>
    <row r="79" spans="1:26" s="24" customFormat="1" hidden="1" outlineLevel="2" x14ac:dyDescent="0.25">
      <c r="A79" s="25"/>
      <c r="B79" s="11" t="str">
        <f>CONCATENATE("          ", "6245", " - ", "PRINTING")</f>
        <v xml:space="preserve">          6245 - PRINTING</v>
      </c>
      <c r="C79" s="11"/>
      <c r="D79" s="6"/>
      <c r="E79" s="2"/>
      <c r="F79" s="7">
        <f t="shared" si="44"/>
        <v>0</v>
      </c>
      <c r="G79" s="2"/>
      <c r="H79" s="6">
        <v>160</v>
      </c>
      <c r="I79" s="2"/>
      <c r="J79" s="7">
        <f t="shared" si="45"/>
        <v>3.8554216867469878E-4</v>
      </c>
      <c r="K79" s="2"/>
      <c r="L79" s="6">
        <f t="shared" si="46"/>
        <v>-160</v>
      </c>
      <c r="M79" s="2"/>
      <c r="N79" s="7">
        <f t="shared" si="47"/>
        <v>-1</v>
      </c>
      <c r="O79" s="11"/>
      <c r="P79" s="6">
        <v>441</v>
      </c>
      <c r="Q79" s="2"/>
      <c r="R79" s="7">
        <f t="shared" si="48"/>
        <v>2.0235716361497613E-4</v>
      </c>
      <c r="S79" s="2"/>
      <c r="T79" s="6">
        <v>790</v>
      </c>
      <c r="U79" s="2"/>
      <c r="V79" s="7">
        <f t="shared" si="49"/>
        <v>3.6078495846406078E-4</v>
      </c>
      <c r="W79" s="2"/>
      <c r="X79" s="6">
        <f t="shared" si="50"/>
        <v>-349</v>
      </c>
      <c r="Y79" s="2"/>
      <c r="Z79" s="7">
        <f t="shared" si="51"/>
        <v>-0.4417721518987342</v>
      </c>
    </row>
    <row r="80" spans="1:26" s="24" customFormat="1" hidden="1" outlineLevel="2" x14ac:dyDescent="0.25">
      <c r="A80" s="25"/>
      <c r="B80" s="11" t="str">
        <f>CONCATENATE("          ", "6247", " - ", "STORE SUPPLIES")</f>
        <v xml:space="preserve">          6247 - STORE SUPPLIES</v>
      </c>
      <c r="C80" s="11"/>
      <c r="D80" s="6">
        <v>82.5</v>
      </c>
      <c r="E80" s="2"/>
      <c r="F80" s="7">
        <f t="shared" si="44"/>
        <v>1.8020641563672692E-4</v>
      </c>
      <c r="G80" s="2"/>
      <c r="H80" s="6"/>
      <c r="I80" s="2"/>
      <c r="J80" s="7">
        <f t="shared" si="45"/>
        <v>0</v>
      </c>
      <c r="K80" s="2"/>
      <c r="L80" s="6">
        <f t="shared" si="46"/>
        <v>82.5</v>
      </c>
      <c r="M80" s="2"/>
      <c r="N80" s="7">
        <f t="shared" si="47"/>
        <v>0</v>
      </c>
      <c r="O80" s="11"/>
      <c r="P80" s="6">
        <v>82.5</v>
      </c>
      <c r="Q80" s="2"/>
      <c r="R80" s="7">
        <f t="shared" si="48"/>
        <v>3.7855931968788048E-5</v>
      </c>
      <c r="S80" s="2"/>
      <c r="T80" s="6"/>
      <c r="U80" s="2"/>
      <c r="V80" s="7">
        <f t="shared" si="49"/>
        <v>0</v>
      </c>
      <c r="W80" s="2"/>
      <c r="X80" s="6">
        <f t="shared" si="50"/>
        <v>82.5</v>
      </c>
      <c r="Y80" s="2"/>
      <c r="Z80" s="7">
        <f t="shared" si="51"/>
        <v>0</v>
      </c>
    </row>
    <row r="81" spans="1:26" s="24" customFormat="1" hidden="1" outlineLevel="2" x14ac:dyDescent="0.25">
      <c r="A81" s="25"/>
      <c r="B81" s="11" t="str">
        <f>CONCATENATE("          ", "6248", " - ", "UNIFORMS")</f>
        <v xml:space="preserve">          6248 - UNIFORMS</v>
      </c>
      <c r="C81" s="11"/>
      <c r="D81" s="6"/>
      <c r="E81" s="2"/>
      <c r="F81" s="7">
        <f t="shared" si="44"/>
        <v>0</v>
      </c>
      <c r="G81" s="2"/>
      <c r="H81" s="6"/>
      <c r="I81" s="2"/>
      <c r="J81" s="7">
        <f t="shared" si="45"/>
        <v>0</v>
      </c>
      <c r="K81" s="2"/>
      <c r="L81" s="6">
        <f t="shared" si="46"/>
        <v>0</v>
      </c>
      <c r="M81" s="2"/>
      <c r="N81" s="7">
        <f t="shared" si="47"/>
        <v>0</v>
      </c>
      <c r="O81" s="11"/>
      <c r="P81" s="6">
        <v>1222.42</v>
      </c>
      <c r="Q81" s="2"/>
      <c r="R81" s="7">
        <f t="shared" si="48"/>
        <v>5.6091937402770779E-4</v>
      </c>
      <c r="S81" s="2"/>
      <c r="T81" s="6">
        <v>4500</v>
      </c>
      <c r="U81" s="2"/>
      <c r="V81" s="7">
        <f t="shared" si="49"/>
        <v>2.0551041937826248E-3</v>
      </c>
      <c r="W81" s="2"/>
      <c r="X81" s="6">
        <f t="shared" si="50"/>
        <v>-3277.58</v>
      </c>
      <c r="Y81" s="2"/>
      <c r="Z81" s="7">
        <f t="shared" si="51"/>
        <v>-0.72835111111111106</v>
      </c>
    </row>
    <row r="82" spans="1:26" s="26" customFormat="1" outlineLevel="1" collapsed="1" x14ac:dyDescent="0.25">
      <c r="A82" s="27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SUM(OSRRefD22_13x_0)</f>
        <v>189.55</v>
      </c>
      <c r="E82" s="1"/>
      <c r="F82" s="5">
        <f t="shared" ref="F82:F88" si="52">IF(D$12=0,0,D82/D$12)</f>
        <v>4.1403789192656474E-4</v>
      </c>
      <c r="G82" s="1"/>
      <c r="H82" s="1">
        <f>SUM(OSRRefH22_13x_0)</f>
        <v>185</v>
      </c>
      <c r="I82" s="1"/>
      <c r="J82" s="5">
        <f t="shared" ref="J82:J88" si="53">IF(H$12=0,0,H82/H$12)</f>
        <v>4.457831325301205E-4</v>
      </c>
      <c r="K82" s="1"/>
      <c r="L82" s="1">
        <f t="shared" ref="L82:L88" si="54">+D82-H82</f>
        <v>4.5500000000000114</v>
      </c>
      <c r="M82" s="1"/>
      <c r="N82" s="5">
        <f t="shared" ref="N82:N88" si="55">IF(H82=0,0,L82/H82)</f>
        <v>2.4594594594594656E-2</v>
      </c>
      <c r="O82" s="13"/>
      <c r="P82" s="1">
        <f>SUM(OSRRefP22_13x_0)</f>
        <v>933.95</v>
      </c>
      <c r="Q82" s="1"/>
      <c r="R82" s="5">
        <f t="shared" ref="R82:R88" si="56">IF(P$12=0,0,P82/P$12)</f>
        <v>4.2855209287575273E-4</v>
      </c>
      <c r="S82" s="1"/>
      <c r="T82" s="1">
        <f>SUM(OSRRefT22_13x_0)</f>
        <v>925</v>
      </c>
      <c r="U82" s="1"/>
      <c r="V82" s="5">
        <f t="shared" ref="V82:V88" si="57">IF(T$12=0,0,T82/T$12)</f>
        <v>4.2243808427753956E-4</v>
      </c>
      <c r="W82" s="1"/>
      <c r="X82" s="1">
        <f t="shared" ref="X82:X88" si="58">+P82-T82</f>
        <v>8.9500000000000455</v>
      </c>
      <c r="Y82" s="1"/>
      <c r="Z82" s="5">
        <f t="shared" ref="Z82:Z88" si="59">IF(T82=0,0,X82/T82)</f>
        <v>9.6756756756757253E-3</v>
      </c>
    </row>
    <row r="83" spans="1:26" s="24" customFormat="1" hidden="1" outlineLevel="2" x14ac:dyDescent="0.25">
      <c r="A83" s="25"/>
      <c r="B83" s="11" t="str">
        <f>CONCATENATE("          ", "6309", " - ", "TELEPHONE")</f>
        <v xml:space="preserve">          6309 - TELEPHONE</v>
      </c>
      <c r="C83" s="11"/>
      <c r="D83" s="6">
        <v>189.55</v>
      </c>
      <c r="E83" s="2"/>
      <c r="F83" s="7">
        <f t="shared" si="52"/>
        <v>4.1403789192656474E-4</v>
      </c>
      <c r="G83" s="2"/>
      <c r="H83" s="6">
        <v>185</v>
      </c>
      <c r="I83" s="2"/>
      <c r="J83" s="7">
        <f t="shared" si="53"/>
        <v>4.457831325301205E-4</v>
      </c>
      <c r="K83" s="2"/>
      <c r="L83" s="6">
        <f t="shared" si="54"/>
        <v>4.5500000000000114</v>
      </c>
      <c r="M83" s="2"/>
      <c r="N83" s="7">
        <f t="shared" si="55"/>
        <v>2.4594594594594656E-2</v>
      </c>
      <c r="O83" s="11"/>
      <c r="P83" s="6">
        <v>933.95</v>
      </c>
      <c r="Q83" s="2"/>
      <c r="R83" s="7">
        <f t="shared" si="56"/>
        <v>4.2855209287575273E-4</v>
      </c>
      <c r="S83" s="2"/>
      <c r="T83" s="6">
        <v>925</v>
      </c>
      <c r="U83" s="2"/>
      <c r="V83" s="7">
        <f t="shared" si="57"/>
        <v>4.2243808427753956E-4</v>
      </c>
      <c r="W83" s="2"/>
      <c r="X83" s="6">
        <f t="shared" si="58"/>
        <v>8.9500000000000455</v>
      </c>
      <c r="Y83" s="2"/>
      <c r="Z83" s="7">
        <f t="shared" si="59"/>
        <v>9.6756756756757253E-3</v>
      </c>
    </row>
    <row r="84" spans="1:26" s="26" customFormat="1" outlineLevel="1" collapsed="1" x14ac:dyDescent="0.25">
      <c r="A84" s="27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SUM(OSRRefD22_14x_0)</f>
        <v>0</v>
      </c>
      <c r="E84" s="1"/>
      <c r="F84" s="5">
        <f t="shared" si="52"/>
        <v>0</v>
      </c>
      <c r="G84" s="1"/>
      <c r="H84" s="1">
        <f>SUM(OSRRefH22_14x_0)</f>
        <v>0</v>
      </c>
      <c r="I84" s="1"/>
      <c r="J84" s="5">
        <f t="shared" si="53"/>
        <v>0</v>
      </c>
      <c r="K84" s="1"/>
      <c r="L84" s="1">
        <f t="shared" si="54"/>
        <v>0</v>
      </c>
      <c r="M84" s="1"/>
      <c r="N84" s="5">
        <f t="shared" si="55"/>
        <v>0</v>
      </c>
      <c r="O84" s="13"/>
      <c r="P84" s="1">
        <f>SUM(OSRRefP22_14x_0)</f>
        <v>617.37</v>
      </c>
      <c r="Q84" s="1"/>
      <c r="R84" s="5">
        <f t="shared" si="56"/>
        <v>2.8328626326752339E-4</v>
      </c>
      <c r="S84" s="1"/>
      <c r="T84" s="1">
        <f>SUM(OSRRefT22_14x_0)</f>
        <v>0</v>
      </c>
      <c r="U84" s="1"/>
      <c r="V84" s="5">
        <f t="shared" si="57"/>
        <v>0</v>
      </c>
      <c r="W84" s="1"/>
      <c r="X84" s="1">
        <f t="shared" si="58"/>
        <v>617.37</v>
      </c>
      <c r="Y84" s="1"/>
      <c r="Z84" s="5">
        <f t="shared" si="59"/>
        <v>0</v>
      </c>
    </row>
    <row r="85" spans="1:26" s="24" customFormat="1" hidden="1" outlineLevel="2" x14ac:dyDescent="0.25">
      <c r="A85" s="25"/>
      <c r="B85" s="11" t="str">
        <f>CONCATENATE("          ", "6376", " - ", "TRAINING")</f>
        <v xml:space="preserve">          6376 - TRAINING</v>
      </c>
      <c r="C85" s="11"/>
      <c r="D85" s="6"/>
      <c r="E85" s="2"/>
      <c r="F85" s="7">
        <f t="shared" si="52"/>
        <v>0</v>
      </c>
      <c r="G85" s="2"/>
      <c r="H85" s="6"/>
      <c r="I85" s="2"/>
      <c r="J85" s="7">
        <f t="shared" si="53"/>
        <v>0</v>
      </c>
      <c r="K85" s="2"/>
      <c r="L85" s="6">
        <f t="shared" si="54"/>
        <v>0</v>
      </c>
      <c r="M85" s="2"/>
      <c r="N85" s="7">
        <f t="shared" si="55"/>
        <v>0</v>
      </c>
      <c r="O85" s="11"/>
      <c r="P85" s="6">
        <v>617.37</v>
      </c>
      <c r="Q85" s="2"/>
      <c r="R85" s="7">
        <f t="shared" si="56"/>
        <v>2.8328626326752339E-4</v>
      </c>
      <c r="S85" s="2"/>
      <c r="T85" s="6"/>
      <c r="U85" s="2"/>
      <c r="V85" s="7">
        <f t="shared" si="57"/>
        <v>0</v>
      </c>
      <c r="W85" s="2"/>
      <c r="X85" s="6">
        <f t="shared" si="58"/>
        <v>617.37</v>
      </c>
      <c r="Y85" s="2"/>
      <c r="Z85" s="7">
        <f t="shared" si="59"/>
        <v>0</v>
      </c>
    </row>
    <row r="86" spans="1:26" s="26" customFormat="1" outlineLevel="1" collapsed="1" x14ac:dyDescent="0.25">
      <c r="A86" s="27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SUM(OSRRefD22_15x_0)</f>
        <v>0</v>
      </c>
      <c r="E86" s="1"/>
      <c r="F86" s="5">
        <f t="shared" si="52"/>
        <v>0</v>
      </c>
      <c r="G86" s="1"/>
      <c r="H86" s="1">
        <f>SUM(OSRRefH22_15x_0)</f>
        <v>60</v>
      </c>
      <c r="I86" s="1"/>
      <c r="J86" s="5">
        <f t="shared" si="53"/>
        <v>1.4457831325301204E-4</v>
      </c>
      <c r="K86" s="1"/>
      <c r="L86" s="1">
        <f t="shared" si="54"/>
        <v>-60</v>
      </c>
      <c r="M86" s="1"/>
      <c r="N86" s="5">
        <f t="shared" si="55"/>
        <v>-1</v>
      </c>
      <c r="O86" s="13"/>
      <c r="P86" s="1">
        <f>SUM(OSRRefP22_15x_0)</f>
        <v>1429.86</v>
      </c>
      <c r="Q86" s="1"/>
      <c r="R86" s="5">
        <f t="shared" si="56"/>
        <v>6.5610524708959123E-4</v>
      </c>
      <c r="S86" s="1"/>
      <c r="T86" s="1">
        <f>SUM(OSRRefT22_15x_0)</f>
        <v>300</v>
      </c>
      <c r="U86" s="1"/>
      <c r="V86" s="5">
        <f t="shared" si="57"/>
        <v>1.3700694625217499E-4</v>
      </c>
      <c r="W86" s="1"/>
      <c r="X86" s="1">
        <f t="shared" si="58"/>
        <v>1129.8599999999999</v>
      </c>
      <c r="Y86" s="1"/>
      <c r="Z86" s="5">
        <f t="shared" si="59"/>
        <v>3.7661999999999995</v>
      </c>
    </row>
    <row r="87" spans="1:26" s="24" customFormat="1" hidden="1" outlineLevel="2" x14ac:dyDescent="0.25">
      <c r="A87" s="25"/>
      <c r="B87" s="11" t="str">
        <f>CONCATENATE("          ", "6292", " - ", "TRAVEL/CONFERENCE")</f>
        <v xml:space="preserve">          6292 - TRAVEL/CONFERENCE</v>
      </c>
      <c r="C87" s="11"/>
      <c r="D87" s="6"/>
      <c r="E87" s="2"/>
      <c r="F87" s="7">
        <f t="shared" si="52"/>
        <v>0</v>
      </c>
      <c r="G87" s="2"/>
      <c r="H87" s="6"/>
      <c r="I87" s="2"/>
      <c r="J87" s="7">
        <f t="shared" si="53"/>
        <v>0</v>
      </c>
      <c r="K87" s="2"/>
      <c r="L87" s="6">
        <f t="shared" si="54"/>
        <v>0</v>
      </c>
      <c r="M87" s="2"/>
      <c r="N87" s="7">
        <f t="shared" si="55"/>
        <v>0</v>
      </c>
      <c r="O87" s="11"/>
      <c r="P87" s="6">
        <v>1429.86</v>
      </c>
      <c r="Q87" s="2"/>
      <c r="R87" s="7">
        <f t="shared" si="56"/>
        <v>6.5610524708959123E-4</v>
      </c>
      <c r="S87" s="2"/>
      <c r="T87" s="6"/>
      <c r="U87" s="2"/>
      <c r="V87" s="7">
        <f t="shared" si="57"/>
        <v>0</v>
      </c>
      <c r="W87" s="2"/>
      <c r="X87" s="6">
        <f t="shared" si="58"/>
        <v>1429.86</v>
      </c>
      <c r="Y87" s="2"/>
      <c r="Z87" s="7">
        <f t="shared" si="59"/>
        <v>0</v>
      </c>
    </row>
    <row r="88" spans="1:26" s="24" customFormat="1" hidden="1" outlineLevel="2" x14ac:dyDescent="0.25">
      <c r="A88" s="25"/>
      <c r="B88" s="11" t="str">
        <f>CONCATENATE("          ", "6298", " - ", "VEHICLE MILEAGE")</f>
        <v xml:space="preserve">          6298 - VEHICLE MILEAGE</v>
      </c>
      <c r="C88" s="11"/>
      <c r="D88" s="6"/>
      <c r="E88" s="2"/>
      <c r="F88" s="7">
        <f t="shared" si="52"/>
        <v>0</v>
      </c>
      <c r="G88" s="2"/>
      <c r="H88" s="6">
        <v>60</v>
      </c>
      <c r="I88" s="2"/>
      <c r="J88" s="7">
        <f t="shared" si="53"/>
        <v>1.4457831325301204E-4</v>
      </c>
      <c r="K88" s="2"/>
      <c r="L88" s="6">
        <f t="shared" si="54"/>
        <v>-60</v>
      </c>
      <c r="M88" s="2"/>
      <c r="N88" s="7">
        <f t="shared" si="55"/>
        <v>-1</v>
      </c>
      <c r="O88" s="11"/>
      <c r="P88" s="6"/>
      <c r="Q88" s="2"/>
      <c r="R88" s="7">
        <f t="shared" si="56"/>
        <v>0</v>
      </c>
      <c r="S88" s="2"/>
      <c r="T88" s="6">
        <v>300</v>
      </c>
      <c r="U88" s="2"/>
      <c r="V88" s="7">
        <f t="shared" si="57"/>
        <v>1.3700694625217499E-4</v>
      </c>
      <c r="W88" s="2"/>
      <c r="X88" s="6">
        <f t="shared" si="58"/>
        <v>-300</v>
      </c>
      <c r="Y88" s="2"/>
      <c r="Z88" s="7">
        <f t="shared" si="59"/>
        <v>-1</v>
      </c>
    </row>
    <row r="89" spans="1:26" s="59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9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8" t="s">
        <v>3</v>
      </c>
      <c r="C92" s="28"/>
      <c r="D92" s="20">
        <f>+D23-D25+D90</f>
        <v>170767.87000000005</v>
      </c>
      <c r="E92" s="14"/>
      <c r="F92" s="22">
        <f>IF(D$12=0,0,D92/D$12)</f>
        <v>0.37301170616507345</v>
      </c>
      <c r="G92" s="14"/>
      <c r="H92" s="20">
        <f>+H23-H25+H90</f>
        <v>119838.97817651663</v>
      </c>
      <c r="I92" s="14"/>
      <c r="J92" s="22">
        <f>IF(H$12=0,0,H92/H$12)</f>
        <v>0.28876862211208826</v>
      </c>
      <c r="K92" s="16"/>
      <c r="L92" s="20">
        <f>+D92-H92</f>
        <v>50928.891823483427</v>
      </c>
      <c r="M92" s="16"/>
      <c r="N92" s="22">
        <f>IF(H92=0,0,L92/H92)</f>
        <v>0.42497768754726695</v>
      </c>
      <c r="O92" s="29"/>
      <c r="P92" s="20">
        <f>+P23-P25+P90</f>
        <v>792363.12999999954</v>
      </c>
      <c r="Q92" s="14"/>
      <c r="R92" s="22">
        <f>IF(P$12=0,0,P92/P$12)</f>
        <v>0.36358357265279934</v>
      </c>
      <c r="S92" s="14"/>
      <c r="T92" s="20">
        <f>+T23-T25+T90</f>
        <v>668553.64494068781</v>
      </c>
      <c r="U92" s="14"/>
      <c r="V92" s="22">
        <f>IF(T$12=0,0,T92/T$12)</f>
        <v>0.30532164433028164</v>
      </c>
      <c r="W92" s="16"/>
      <c r="X92" s="20">
        <f>+P92-T92</f>
        <v>123809.48505931173</v>
      </c>
      <c r="Y92" s="16"/>
      <c r="Z92" s="22">
        <f>IF(T92=0,0,X92/T92)</f>
        <v>0.18519005317859835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57483.46</v>
      </c>
      <c r="E94" s="4"/>
      <c r="F94" s="12">
        <f>IF(D$12=0,0,D94/D$12)</f>
        <v>0.12556228224238988</v>
      </c>
      <c r="G94" s="4"/>
      <c r="H94" s="4">
        <v>63788.999999999993</v>
      </c>
      <c r="I94" s="4"/>
      <c r="J94" s="12">
        <f>IF(H$12=0,0,H94/H$12)</f>
        <v>0.15370843373493975</v>
      </c>
      <c r="K94" s="4"/>
      <c r="L94" s="4">
        <f>+D94-H94</f>
        <v>-6305.5399999999936</v>
      </c>
      <c r="M94" s="4"/>
      <c r="N94" s="12">
        <f>IF(H94=0,0,L94/H94)</f>
        <v>-9.8849958456787138E-2</v>
      </c>
      <c r="O94" s="10"/>
      <c r="P94" s="4">
        <v>230774.71</v>
      </c>
      <c r="Q94" s="4"/>
      <c r="R94" s="12">
        <f>IF(P$12=0,0,P94/P$12)</f>
        <v>0.10589323299244595</v>
      </c>
      <c r="S94" s="4"/>
      <c r="T94" s="4">
        <v>277501</v>
      </c>
      <c r="U94" s="4"/>
      <c r="V94" s="12">
        <f>IF(T$12=0,0,T94/T$12)</f>
        <v>0.12673188197308269</v>
      </c>
      <c r="W94" s="4"/>
      <c r="X94" s="4">
        <f>+P94-T94</f>
        <v>-46726.290000000008</v>
      </c>
      <c r="Y94" s="4"/>
      <c r="Z94" s="12">
        <f>IF(T94=0,0,X94/T94)</f>
        <v>-0.16838242024353067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8" t="s">
        <v>4</v>
      </c>
      <c r="C96" s="28"/>
      <c r="D96" s="30">
        <f>+D92-D94</f>
        <v>113284.41000000006</v>
      </c>
      <c r="E96" s="14"/>
      <c r="F96" s="32">
        <f>IF(D$12=0,0,D96/D$12)</f>
        <v>0.24744942392268357</v>
      </c>
      <c r="G96" s="14"/>
      <c r="H96" s="30">
        <f>+H92-H94</f>
        <v>56049.978176516634</v>
      </c>
      <c r="I96" s="14"/>
      <c r="J96" s="32">
        <f>IF(H$12=0,0,H96/H$12)</f>
        <v>0.1350601883771485</v>
      </c>
      <c r="K96" s="16"/>
      <c r="L96" s="30">
        <f>D96-H96</f>
        <v>57234.431823483428</v>
      </c>
      <c r="M96" s="16"/>
      <c r="N96" s="32">
        <f>IF(H96=0,0,L96/H96)</f>
        <v>1.0211320982719498</v>
      </c>
      <c r="O96" s="29"/>
      <c r="P96" s="30">
        <f>+P92-P94</f>
        <v>561588.41999999958</v>
      </c>
      <c r="Q96" s="14"/>
      <c r="R96" s="32">
        <f>IF(P$12=0,0,P96/P$12)</f>
        <v>0.25769033966035337</v>
      </c>
      <c r="S96" s="14"/>
      <c r="T96" s="30">
        <f>+T92-T94</f>
        <v>391052.64494068781</v>
      </c>
      <c r="U96" s="14"/>
      <c r="V96" s="32">
        <f>IF(T$12=0,0,T96/T$12)</f>
        <v>0.17858976235719895</v>
      </c>
      <c r="W96" s="16"/>
      <c r="X96" s="30">
        <f>P96-T96</f>
        <v>170535.77505931177</v>
      </c>
      <c r="Y96" s="16"/>
      <c r="Z96" s="32">
        <f>IF(T96=0,0,X96/T96)</f>
        <v>0.43609416089022351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8" t="s">
        <v>5</v>
      </c>
      <c r="C99" s="28"/>
      <c r="D99" s="31">
        <f>SUM(D96:D98)</f>
        <v>113284.41000000006</v>
      </c>
      <c r="E99" s="14"/>
      <c r="F99" s="35">
        <f>IF(D$12=0,0,D99/D$12)</f>
        <v>0.24744942392268357</v>
      </c>
      <c r="G99" s="14"/>
      <c r="H99" s="31">
        <f>SUM(H96:H98)</f>
        <v>56049.978176516634</v>
      </c>
      <c r="I99" s="14"/>
      <c r="J99" s="35">
        <f>IF(H$12=0,0,H99/H$12)</f>
        <v>0.1350601883771485</v>
      </c>
      <c r="K99" s="16"/>
      <c r="L99" s="31">
        <f>+D99-H99</f>
        <v>57234.431823483428</v>
      </c>
      <c r="M99" s="16"/>
      <c r="N99" s="35">
        <f>IF(H99=0,0,L99/H99)</f>
        <v>1.0211320982719498</v>
      </c>
      <c r="O99" s="29"/>
      <c r="P99" s="31">
        <f>SUM(P96:P98)</f>
        <v>561588.41999999958</v>
      </c>
      <c r="Q99" s="14"/>
      <c r="R99" s="35">
        <f>IF(P$12=0,0,P99/P$12)</f>
        <v>0.25769033966035337</v>
      </c>
      <c r="S99" s="14"/>
      <c r="T99" s="31">
        <f>SUM(T96:T98)</f>
        <v>391052.64494068781</v>
      </c>
      <c r="U99" s="14"/>
      <c r="V99" s="35">
        <f>IF(T$12=0,0,T99/T$12)</f>
        <v>0.17858976235719895</v>
      </c>
      <c r="W99" s="16"/>
      <c r="X99" s="31">
        <f>+P99-T99</f>
        <v>170535.77505931177</v>
      </c>
      <c r="Y99" s="16"/>
      <c r="Z99" s="35">
        <f>IF(T99=0,0,X99/T99)</f>
        <v>0.43609416089022351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56">
        <v>43815.484168750001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62" t="s">
        <v>314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58"/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","435", " - ", "Ground Floor Coffee House")</f>
        <v>Department 435 - Ground Floor Coffee House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1041.48</v>
      </c>
      <c r="E12" s="4"/>
      <c r="F12" s="12"/>
      <c r="G12" s="4"/>
      <c r="H12" s="4">
        <f>SUM(OSRRefH13x_0)</f>
        <v>890</v>
      </c>
      <c r="I12" s="4"/>
      <c r="J12" s="12"/>
      <c r="K12" s="4"/>
      <c r="L12" s="4">
        <f t="shared" ref="L12:L16" si="0">+D12-H12</f>
        <v>151.48000000000002</v>
      </c>
      <c r="M12" s="4"/>
      <c r="N12" s="12">
        <f t="shared" ref="N12:N16" si="1">IF(H12=0,0,L12/H12)</f>
        <v>0.17020224719101126</v>
      </c>
      <c r="O12" s="10"/>
      <c r="P12" s="4">
        <f>SUM(OSRRefP13x_0)</f>
        <v>4307.3599999999997</v>
      </c>
      <c r="Q12" s="4"/>
      <c r="R12" s="12"/>
      <c r="S12" s="4"/>
      <c r="T12" s="4">
        <f>SUM(OSRRefT13x_0)</f>
        <v>4326</v>
      </c>
      <c r="U12" s="4"/>
      <c r="V12" s="12"/>
      <c r="W12" s="4"/>
      <c r="X12" s="4">
        <f t="shared" ref="X12:X16" si="2">+P12-T12</f>
        <v>-18.640000000000327</v>
      </c>
      <c r="Y12" s="4"/>
      <c r="Z12" s="12">
        <f t="shared" ref="Z12:Z16" si="3">IF(T12=0,0,X12/T12)</f>
        <v>-4.3088303282478799E-3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>--152.78</f>
        <v>152.78</v>
      </c>
      <c r="E13" s="2"/>
      <c r="F13" s="19"/>
      <c r="G13" s="2"/>
      <c r="H13" s="2"/>
      <c r="I13" s="2"/>
      <c r="J13" s="19"/>
      <c r="K13" s="2"/>
      <c r="L13" s="2">
        <f t="shared" si="0"/>
        <v>152.78</v>
      </c>
      <c r="M13" s="2"/>
      <c r="N13" s="19">
        <f t="shared" si="1"/>
        <v>0</v>
      </c>
      <c r="O13" s="11"/>
      <c r="P13" s="2">
        <f>--803.92</f>
        <v>803.92</v>
      </c>
      <c r="Q13" s="2"/>
      <c r="R13" s="19"/>
      <c r="S13" s="2"/>
      <c r="T13" s="2"/>
      <c r="U13" s="2"/>
      <c r="V13" s="19"/>
      <c r="W13" s="2"/>
      <c r="X13" s="2">
        <f t="shared" si="2"/>
        <v>803.92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 t="shared" ref="D14:D15" si="4">0</f>
        <v>0</v>
      </c>
      <c r="E14" s="2"/>
      <c r="F14" s="19"/>
      <c r="G14" s="2"/>
      <c r="H14" s="2">
        <v>890</v>
      </c>
      <c r="I14" s="2"/>
      <c r="J14" s="19"/>
      <c r="K14" s="2"/>
      <c r="L14" s="2">
        <f t="shared" si="0"/>
        <v>-890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4326</v>
      </c>
      <c r="U14" s="2"/>
      <c r="V14" s="19"/>
      <c r="W14" s="2"/>
      <c r="X14" s="2">
        <f t="shared" si="2"/>
        <v>-4326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 t="shared" si="4"/>
        <v>0</v>
      </c>
      <c r="E15" s="2"/>
      <c r="F15" s="19"/>
      <c r="G15" s="2"/>
      <c r="H15" s="2"/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>--471.63</f>
        <v>471.63</v>
      </c>
      <c r="Q15" s="2"/>
      <c r="R15" s="19"/>
      <c r="S15" s="2"/>
      <c r="T15" s="2"/>
      <c r="U15" s="2"/>
      <c r="V15" s="19"/>
      <c r="W15" s="2"/>
      <c r="X15" s="2">
        <f t="shared" si="2"/>
        <v>471.63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"4155", " - ", "NON-TAXABLE SALES-FOOD")</f>
        <v xml:space="preserve">          4155 - NON-TAXABLE SALES-FOOD</v>
      </c>
      <c r="C16" s="11"/>
      <c r="D16" s="2">
        <f>--888.7</f>
        <v>888.7</v>
      </c>
      <c r="E16" s="2"/>
      <c r="F16" s="19"/>
      <c r="G16" s="2"/>
      <c r="H16" s="2"/>
      <c r="I16" s="2"/>
      <c r="J16" s="19"/>
      <c r="K16" s="2"/>
      <c r="L16" s="2">
        <f t="shared" si="0"/>
        <v>888.7</v>
      </c>
      <c r="M16" s="2"/>
      <c r="N16" s="19">
        <f t="shared" si="1"/>
        <v>0</v>
      </c>
      <c r="O16" s="11"/>
      <c r="P16" s="2">
        <f>--3031.81</f>
        <v>3031.81</v>
      </c>
      <c r="Q16" s="2"/>
      <c r="R16" s="19"/>
      <c r="S16" s="2"/>
      <c r="T16" s="2"/>
      <c r="U16" s="2"/>
      <c r="V16" s="19"/>
      <c r="W16" s="2"/>
      <c r="X16" s="2">
        <f t="shared" si="2"/>
        <v>3031.81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400.34000000000003</v>
      </c>
      <c r="E18" s="4"/>
      <c r="F18" s="12">
        <f t="shared" ref="F18:F21" si="5">IF(D$12=0,0,D18/D$12)</f>
        <v>0.38439528363482739</v>
      </c>
      <c r="G18" s="4"/>
      <c r="H18" s="4">
        <f>SUM(OSRRefH16x_0)</f>
        <v>474.62</v>
      </c>
      <c r="I18" s="4"/>
      <c r="J18" s="12">
        <f t="shared" ref="J18:J21" si="6">IF(H$12=0,0,H18/H$12)</f>
        <v>0.53328089887640451</v>
      </c>
      <c r="K18" s="4"/>
      <c r="L18" s="4">
        <f t="shared" ref="L18:L21" si="7">+D18-H18</f>
        <v>-74.279999999999973</v>
      </c>
      <c r="M18" s="4"/>
      <c r="N18" s="12">
        <f t="shared" ref="N18:N21" si="8">IF(H18=0,0,L18/H18)</f>
        <v>-0.15650415068897217</v>
      </c>
      <c r="O18" s="10"/>
      <c r="P18" s="4">
        <f>SUM(OSRRefP16x_0)</f>
        <v>1571.4699999999998</v>
      </c>
      <c r="Q18" s="4"/>
      <c r="R18" s="12">
        <f t="shared" ref="R18:R21" si="9">IF(P$12=0,0,P18/P$12)</f>
        <v>0.36483368002674488</v>
      </c>
      <c r="S18" s="4"/>
      <c r="T18" s="4">
        <f>SUM(OSRRefT16x_0)</f>
        <v>2306.21</v>
      </c>
      <c r="U18" s="4"/>
      <c r="V18" s="12">
        <f t="shared" ref="V18:V21" si="10">IF(T$12=0,0,T18/T$12)</f>
        <v>0.53310448451225156</v>
      </c>
      <c r="W18" s="4"/>
      <c r="X18" s="4">
        <f t="shared" ref="X18:X21" si="11">+P18-T18</f>
        <v>-734.74000000000024</v>
      </c>
      <c r="Y18" s="4"/>
      <c r="Z18" s="12">
        <f t="shared" ref="Z18:Z21" si="12">IF(T18=0,0,X18/T18)</f>
        <v>-0.31859197557898034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5"/>
        <v>0</v>
      </c>
      <c r="G19" s="2"/>
      <c r="H19" s="2">
        <v>474.62</v>
      </c>
      <c r="I19" s="2"/>
      <c r="J19" s="19">
        <f t="shared" si="6"/>
        <v>0.53328089887640451</v>
      </c>
      <c r="K19" s="2"/>
      <c r="L19" s="2">
        <f t="shared" si="7"/>
        <v>-474.62</v>
      </c>
      <c r="M19" s="2"/>
      <c r="N19" s="19">
        <f t="shared" si="8"/>
        <v>-1</v>
      </c>
      <c r="O19" s="11"/>
      <c r="P19" s="2"/>
      <c r="Q19" s="2"/>
      <c r="R19" s="19">
        <f t="shared" si="9"/>
        <v>0</v>
      </c>
      <c r="S19" s="2"/>
      <c r="T19" s="2">
        <v>2306.21</v>
      </c>
      <c r="U19" s="2"/>
      <c r="V19" s="19">
        <f t="shared" si="10"/>
        <v>0.53310448451225156</v>
      </c>
      <c r="W19" s="2"/>
      <c r="X19" s="2">
        <f t="shared" si="11"/>
        <v>-2306.21</v>
      </c>
      <c r="Y19" s="2"/>
      <c r="Z19" s="19">
        <f t="shared" si="12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89.34</v>
      </c>
      <c r="E20" s="2"/>
      <c r="F20" s="19">
        <f t="shared" si="5"/>
        <v>8.5781772093559167E-2</v>
      </c>
      <c r="G20" s="2"/>
      <c r="H20" s="2"/>
      <c r="I20" s="2"/>
      <c r="J20" s="19">
        <f t="shared" si="6"/>
        <v>0</v>
      </c>
      <c r="K20" s="2"/>
      <c r="L20" s="2">
        <f t="shared" si="7"/>
        <v>89.34</v>
      </c>
      <c r="M20" s="2"/>
      <c r="N20" s="19">
        <f t="shared" si="8"/>
        <v>0</v>
      </c>
      <c r="O20" s="11"/>
      <c r="P20" s="2">
        <v>3948.48</v>
      </c>
      <c r="Q20" s="2"/>
      <c r="R20" s="19">
        <f t="shared" si="9"/>
        <v>0.91668214405111259</v>
      </c>
      <c r="S20" s="2"/>
      <c r="T20" s="2"/>
      <c r="U20" s="2"/>
      <c r="V20" s="19">
        <f t="shared" si="10"/>
        <v>0</v>
      </c>
      <c r="W20" s="2"/>
      <c r="X20" s="2">
        <f t="shared" si="11"/>
        <v>3948.48</v>
      </c>
      <c r="Y20" s="2"/>
      <c r="Z20" s="19">
        <f t="shared" si="12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311</v>
      </c>
      <c r="E21" s="2"/>
      <c r="F21" s="19">
        <f t="shared" si="5"/>
        <v>0.2986135115412682</v>
      </c>
      <c r="G21" s="2"/>
      <c r="H21" s="2"/>
      <c r="I21" s="2"/>
      <c r="J21" s="19">
        <f t="shared" si="6"/>
        <v>0</v>
      </c>
      <c r="K21" s="2"/>
      <c r="L21" s="2">
        <f t="shared" si="7"/>
        <v>311</v>
      </c>
      <c r="M21" s="2"/>
      <c r="N21" s="19">
        <f t="shared" si="8"/>
        <v>0</v>
      </c>
      <c r="O21" s="11"/>
      <c r="P21" s="2">
        <v>-2377.0100000000002</v>
      </c>
      <c r="Q21" s="2"/>
      <c r="R21" s="19">
        <f t="shared" si="9"/>
        <v>-0.55184846402436771</v>
      </c>
      <c r="S21" s="2"/>
      <c r="T21" s="2"/>
      <c r="U21" s="2"/>
      <c r="V21" s="19">
        <f t="shared" si="10"/>
        <v>0</v>
      </c>
      <c r="W21" s="2"/>
      <c r="X21" s="2">
        <f t="shared" si="11"/>
        <v>-2377.0100000000002</v>
      </c>
      <c r="Y21" s="2"/>
      <c r="Z21" s="19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D12-D18</f>
        <v>641.14</v>
      </c>
      <c r="E23" s="14"/>
      <c r="F23" s="22">
        <f>IF(D$12=0,0,D23/D$12)</f>
        <v>0.61560471636517267</v>
      </c>
      <c r="G23" s="14"/>
      <c r="H23" s="20">
        <f>H12-H18</f>
        <v>415.38</v>
      </c>
      <c r="I23" s="14"/>
      <c r="J23" s="22">
        <f>IF(H$12=0,0,H23/H$12)</f>
        <v>0.46671910112359549</v>
      </c>
      <c r="K23" s="16"/>
      <c r="L23" s="20">
        <f>+D23-H23</f>
        <v>225.76</v>
      </c>
      <c r="M23" s="16"/>
      <c r="N23" s="22">
        <f>IF(H23=0,0,L23/H23)</f>
        <v>0.543502335211132</v>
      </c>
      <c r="O23" s="29"/>
      <c r="P23" s="20">
        <f>P12-P18</f>
        <v>2735.89</v>
      </c>
      <c r="Q23" s="14"/>
      <c r="R23" s="22">
        <f>IF(P$12=0,0,P23/P$12)</f>
        <v>0.63516631997325512</v>
      </c>
      <c r="S23" s="14"/>
      <c r="T23" s="20">
        <f>T12-T18</f>
        <v>2019.79</v>
      </c>
      <c r="U23" s="14"/>
      <c r="V23" s="22">
        <f>IF(T$12=0,0,T23/T$12)</f>
        <v>0.46689551548774849</v>
      </c>
      <c r="W23" s="16"/>
      <c r="X23" s="20">
        <f>+P23-T23</f>
        <v>716.09999999999991</v>
      </c>
      <c r="Y23" s="16"/>
      <c r="Z23" s="22">
        <f>IF(T23=0,0,X23/T23)</f>
        <v>0.35454180880190511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2688.25</v>
      </c>
      <c r="E25" s="21"/>
      <c r="F25" s="33">
        <f t="shared" ref="F25:F34" si="13">IF(D$12=0,0,D25/D$12)</f>
        <v>2.5811825479125861</v>
      </c>
      <c r="G25" s="21"/>
      <c r="H25" s="21">
        <f>SUM(OSRRefH22x_0)</f>
        <v>2016.14</v>
      </c>
      <c r="I25" s="21"/>
      <c r="J25" s="33">
        <f t="shared" ref="J25:J34" si="14">IF(H$12=0,0,H25/H$12)</f>
        <v>2.2653258426966292</v>
      </c>
      <c r="K25" s="4"/>
      <c r="L25" s="21">
        <f t="shared" ref="L25:L34" si="15">+D25-H25</f>
        <v>672.1099999999999</v>
      </c>
      <c r="M25" s="4"/>
      <c r="N25" s="33">
        <f t="shared" ref="N25:N34" si="16">IF(H25=0,0,L25/H25)</f>
        <v>0.33336474649577902</v>
      </c>
      <c r="O25" s="10"/>
      <c r="P25" s="21">
        <f>SUM(OSRRefP22x_0)</f>
        <v>12817.890000000001</v>
      </c>
      <c r="Q25" s="21"/>
      <c r="R25" s="33">
        <f t="shared" ref="R25:R34" si="17">IF(P$12=0,0,P25/P$12)</f>
        <v>2.9758111697188072</v>
      </c>
      <c r="S25" s="21"/>
      <c r="T25" s="21">
        <f>SUM(OSRRefT22x_0)</f>
        <v>9780.7484000000004</v>
      </c>
      <c r="U25" s="21"/>
      <c r="V25" s="33">
        <f t="shared" ref="V25:V34" si="18">IF(T$12=0,0,T25/T$12)</f>
        <v>2.2609219602404069</v>
      </c>
      <c r="W25" s="4"/>
      <c r="X25" s="21">
        <f t="shared" ref="X25:X34" si="19">+P25-T25</f>
        <v>3037.1416000000008</v>
      </c>
      <c r="Y25" s="4"/>
      <c r="Z25" s="33">
        <f t="shared" ref="Z25:Z34" si="20">IF(T25=0,0,X25/T25)</f>
        <v>0.31052241360180582</v>
      </c>
    </row>
    <row r="26" spans="1:26" s="26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178.03</v>
      </c>
      <c r="E26" s="1"/>
      <c r="F26" s="5">
        <f t="shared" si="13"/>
        <v>0.17093943234627645</v>
      </c>
      <c r="G26" s="1"/>
      <c r="H26" s="1">
        <f>SUM(OSRRefH22_0x_0)</f>
        <v>85.14</v>
      </c>
      <c r="I26" s="1"/>
      <c r="J26" s="5">
        <f t="shared" si="14"/>
        <v>9.5662921348314611E-2</v>
      </c>
      <c r="K26" s="1"/>
      <c r="L26" s="1">
        <f t="shared" si="15"/>
        <v>92.89</v>
      </c>
      <c r="M26" s="1"/>
      <c r="N26" s="5">
        <f t="shared" si="16"/>
        <v>1.0910265445149165</v>
      </c>
      <c r="O26" s="13"/>
      <c r="P26" s="1">
        <f>SUM(OSRRefP22_0x_0)</f>
        <v>663.19</v>
      </c>
      <c r="Q26" s="1"/>
      <c r="R26" s="5">
        <f t="shared" si="17"/>
        <v>0.15396669885962633</v>
      </c>
      <c r="S26" s="1"/>
      <c r="T26" s="1">
        <f>SUM(OSRRefT22_0x_0)</f>
        <v>412.7484</v>
      </c>
      <c r="U26" s="1"/>
      <c r="V26" s="5">
        <f t="shared" si="18"/>
        <v>9.5411095700416088E-2</v>
      </c>
      <c r="W26" s="1"/>
      <c r="X26" s="1">
        <f t="shared" si="19"/>
        <v>250.44160000000005</v>
      </c>
      <c r="Y26" s="1"/>
      <c r="Z26" s="5">
        <f t="shared" si="20"/>
        <v>0.60676576820164552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120.79</v>
      </c>
      <c r="E27" s="2"/>
      <c r="F27" s="7">
        <f t="shared" si="13"/>
        <v>0.11597918346967777</v>
      </c>
      <c r="G27" s="2"/>
      <c r="H27" s="6">
        <v>0</v>
      </c>
      <c r="I27" s="2"/>
      <c r="J27" s="7">
        <f t="shared" si="14"/>
        <v>0</v>
      </c>
      <c r="K27" s="2"/>
      <c r="L27" s="6">
        <f t="shared" si="15"/>
        <v>120.79</v>
      </c>
      <c r="M27" s="2"/>
      <c r="N27" s="7">
        <f t="shared" si="16"/>
        <v>0</v>
      </c>
      <c r="O27" s="11"/>
      <c r="P27" s="6">
        <v>478.87</v>
      </c>
      <c r="Q27" s="2"/>
      <c r="R27" s="7">
        <f t="shared" si="17"/>
        <v>0.11117482634374652</v>
      </c>
      <c r="S27" s="2"/>
      <c r="T27" s="6">
        <v>0</v>
      </c>
      <c r="U27" s="2"/>
      <c r="V27" s="7">
        <f t="shared" si="18"/>
        <v>0</v>
      </c>
      <c r="W27" s="2"/>
      <c r="X27" s="6">
        <f t="shared" si="19"/>
        <v>478.87</v>
      </c>
      <c r="Y27" s="2"/>
      <c r="Z27" s="7">
        <f t="shared" si="20"/>
        <v>0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50.35</v>
      </c>
      <c r="E28" s="2"/>
      <c r="F28" s="7">
        <f t="shared" si="13"/>
        <v>4.8344663363674774E-2</v>
      </c>
      <c r="G28" s="2"/>
      <c r="H28" s="6">
        <v>31.35</v>
      </c>
      <c r="I28" s="2"/>
      <c r="J28" s="7">
        <f t="shared" si="14"/>
        <v>3.5224719101123597E-2</v>
      </c>
      <c r="K28" s="2"/>
      <c r="L28" s="6">
        <f t="shared" si="15"/>
        <v>19</v>
      </c>
      <c r="M28" s="2"/>
      <c r="N28" s="7">
        <f t="shared" si="16"/>
        <v>0.60606060606060608</v>
      </c>
      <c r="O28" s="11"/>
      <c r="P28" s="6">
        <v>158.07</v>
      </c>
      <c r="Q28" s="2"/>
      <c r="R28" s="7">
        <f t="shared" si="17"/>
        <v>3.6697652390327254E-2</v>
      </c>
      <c r="S28" s="2"/>
      <c r="T28" s="6">
        <v>151.98099999999999</v>
      </c>
      <c r="U28" s="2"/>
      <c r="V28" s="7">
        <f t="shared" si="18"/>
        <v>3.513199260286639E-2</v>
      </c>
      <c r="W28" s="2"/>
      <c r="X28" s="6">
        <f t="shared" si="19"/>
        <v>6.0889999999999986</v>
      </c>
      <c r="Y28" s="2"/>
      <c r="Z28" s="7">
        <f t="shared" si="20"/>
        <v>4.0064218553634984E-2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/>
      <c r="E29" s="2"/>
      <c r="F29" s="7">
        <f t="shared" si="13"/>
        <v>0</v>
      </c>
      <c r="G29" s="2"/>
      <c r="H29" s="6">
        <v>0</v>
      </c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1"/>
      <c r="P29" s="6"/>
      <c r="Q29" s="2"/>
      <c r="R29" s="7">
        <f t="shared" si="17"/>
        <v>0</v>
      </c>
      <c r="S29" s="2"/>
      <c r="T29" s="6">
        <v>0</v>
      </c>
      <c r="U29" s="2"/>
      <c r="V29" s="7">
        <f t="shared" si="18"/>
        <v>0</v>
      </c>
      <c r="W29" s="2"/>
      <c r="X29" s="6">
        <f t="shared" si="19"/>
        <v>0</v>
      </c>
      <c r="Y29" s="2"/>
      <c r="Z29" s="7">
        <f t="shared" si="20"/>
        <v>0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6.89</v>
      </c>
      <c r="E30" s="2"/>
      <c r="F30" s="7">
        <f t="shared" si="13"/>
        <v>6.6155855129239154E-3</v>
      </c>
      <c r="G30" s="2"/>
      <c r="H30" s="6">
        <v>4.29</v>
      </c>
      <c r="I30" s="2"/>
      <c r="J30" s="7">
        <f t="shared" si="14"/>
        <v>4.8202247191011238E-3</v>
      </c>
      <c r="K30" s="2"/>
      <c r="L30" s="6">
        <f t="shared" si="15"/>
        <v>2.5999999999999996</v>
      </c>
      <c r="M30" s="2"/>
      <c r="N30" s="7">
        <f t="shared" si="16"/>
        <v>0.60606060606060597</v>
      </c>
      <c r="O30" s="11"/>
      <c r="P30" s="6">
        <v>26.25</v>
      </c>
      <c r="Q30" s="2"/>
      <c r="R30" s="7">
        <f t="shared" si="17"/>
        <v>6.0942201255525432E-3</v>
      </c>
      <c r="S30" s="2"/>
      <c r="T30" s="6">
        <v>20.7974</v>
      </c>
      <c r="U30" s="2"/>
      <c r="V30" s="7">
        <f t="shared" si="18"/>
        <v>4.8075358298659268E-3</v>
      </c>
      <c r="W30" s="2"/>
      <c r="X30" s="6">
        <f t="shared" si="19"/>
        <v>5.4526000000000003</v>
      </c>
      <c r="Y30" s="2"/>
      <c r="Z30" s="7">
        <f t="shared" si="20"/>
        <v>0.26217700289459261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5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3"/>
        <v>0</v>
      </c>
      <c r="G33" s="2"/>
      <c r="H33" s="6">
        <v>0</v>
      </c>
      <c r="I33" s="2"/>
      <c r="J33" s="7">
        <f t="shared" si="14"/>
        <v>0</v>
      </c>
      <c r="K33" s="2"/>
      <c r="L33" s="6">
        <f t="shared" si="15"/>
        <v>0</v>
      </c>
      <c r="M33" s="2"/>
      <c r="N33" s="7">
        <f t="shared" si="16"/>
        <v>0</v>
      </c>
      <c r="O33" s="11"/>
      <c r="P33" s="6"/>
      <c r="Q33" s="2"/>
      <c r="R33" s="7">
        <f t="shared" si="17"/>
        <v>0</v>
      </c>
      <c r="S33" s="2"/>
      <c r="T33" s="6">
        <v>0</v>
      </c>
      <c r="U33" s="2"/>
      <c r="V33" s="7">
        <f t="shared" si="18"/>
        <v>0</v>
      </c>
      <c r="W33" s="2"/>
      <c r="X33" s="6">
        <f t="shared" si="19"/>
        <v>0</v>
      </c>
      <c r="Y33" s="2"/>
      <c r="Z33" s="7">
        <f t="shared" si="20"/>
        <v>0</v>
      </c>
    </row>
    <row r="34" spans="1:26" s="24" customFormat="1" hidden="1" outlineLevel="2" x14ac:dyDescent="0.25">
      <c r="A34" s="25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3"/>
        <v>0</v>
      </c>
      <c r="G34" s="2"/>
      <c r="H34" s="6">
        <v>49.5</v>
      </c>
      <c r="I34" s="2"/>
      <c r="J34" s="7">
        <f t="shared" si="14"/>
        <v>5.561797752808989E-2</v>
      </c>
      <c r="K34" s="2"/>
      <c r="L34" s="6">
        <f t="shared" si="15"/>
        <v>-49.5</v>
      </c>
      <c r="M34" s="2"/>
      <c r="N34" s="7">
        <f t="shared" si="16"/>
        <v>-1</v>
      </c>
      <c r="O34" s="11"/>
      <c r="P34" s="6"/>
      <c r="Q34" s="2"/>
      <c r="R34" s="7">
        <f t="shared" si="17"/>
        <v>0</v>
      </c>
      <c r="S34" s="2"/>
      <c r="T34" s="6">
        <v>239.97</v>
      </c>
      <c r="U34" s="2"/>
      <c r="V34" s="7">
        <f t="shared" si="18"/>
        <v>5.547156726768377E-2</v>
      </c>
      <c r="W34" s="2"/>
      <c r="X34" s="6">
        <f t="shared" si="19"/>
        <v>-239.97</v>
      </c>
      <c r="Y34" s="2"/>
      <c r="Z34" s="7">
        <f t="shared" si="20"/>
        <v>-1</v>
      </c>
    </row>
    <row r="35" spans="1:26" s="26" customFormat="1" outlineLevel="1" collapsed="1" x14ac:dyDescent="0.25">
      <c r="A35" s="27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2333.4899999999998</v>
      </c>
      <c r="E35" s="1"/>
      <c r="F35" s="5">
        <f t="shared" ref="F35:F45" si="21">IF(D$12=0,0,D35/D$12)</f>
        <v>2.2405519069017164</v>
      </c>
      <c r="G35" s="1"/>
      <c r="H35" s="1">
        <f>SUM(OSRRefH22_1x_0)</f>
        <v>1650</v>
      </c>
      <c r="I35" s="1"/>
      <c r="J35" s="5">
        <f t="shared" ref="J35:J45" si="22">IF(H$12=0,0,H35/H$12)</f>
        <v>1.853932584269663</v>
      </c>
      <c r="K35" s="1"/>
      <c r="L35" s="1">
        <f t="shared" ref="L35:L45" si="23">+D35-H35</f>
        <v>683.48999999999978</v>
      </c>
      <c r="M35" s="1"/>
      <c r="N35" s="5">
        <f t="shared" ref="N35:N45" si="24">IF(H35=0,0,L35/H35)</f>
        <v>0.41423636363636351</v>
      </c>
      <c r="O35" s="13"/>
      <c r="P35" s="1">
        <f>SUM(OSRRefP22_1x_0)</f>
        <v>8712.119999999999</v>
      </c>
      <c r="Q35" s="1"/>
      <c r="R35" s="5">
        <f t="shared" ref="R35:R45" si="25">IF(P$12=0,0,P35/P$12)</f>
        <v>2.0226124586753835</v>
      </c>
      <c r="S35" s="1"/>
      <c r="T35" s="1">
        <f>SUM(OSRRefT22_1x_0)</f>
        <v>7999</v>
      </c>
      <c r="U35" s="1"/>
      <c r="V35" s="5">
        <f t="shared" ref="V35:V45" si="26">IF(T$12=0,0,T35/T$12)</f>
        <v>1.8490522422561257</v>
      </c>
      <c r="W35" s="1"/>
      <c r="X35" s="1">
        <f t="shared" ref="X35:X45" si="27">+P35-T35</f>
        <v>713.11999999999898</v>
      </c>
      <c r="Y35" s="1"/>
      <c r="Z35" s="5">
        <f t="shared" ref="Z35:Z45" si="28">IF(T35=0,0,X35/T35)</f>
        <v>8.9151143892986492E-2</v>
      </c>
    </row>
    <row r="36" spans="1:26" s="24" customFormat="1" hidden="1" outlineLevel="2" x14ac:dyDescent="0.25">
      <c r="A36" s="25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0</v>
      </c>
      <c r="Y36" s="2"/>
      <c r="Z36" s="7">
        <f t="shared" si="28"/>
        <v>0</v>
      </c>
    </row>
    <row r="37" spans="1:26" s="24" customFormat="1" hidden="1" outlineLevel="2" x14ac:dyDescent="0.25">
      <c r="A37" s="25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5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5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5"/>
      <c r="B40" s="11" t="str">
        <f>CONCATENATE("          ", "6005", " - ", "TEMPORARY WAGES-HOURLY")</f>
        <v xml:space="preserve">          6005 - TEMPORARY WAGES-HOURLY</v>
      </c>
      <c r="C40" s="11"/>
      <c r="D40" s="6">
        <v>1578.99</v>
      </c>
      <c r="E40" s="2"/>
      <c r="F40" s="7">
        <f t="shared" si="21"/>
        <v>1.5161020854937204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1578.99</v>
      </c>
      <c r="M40" s="2"/>
      <c r="N40" s="7">
        <f t="shared" si="24"/>
        <v>0</v>
      </c>
      <c r="O40" s="11"/>
      <c r="P40" s="6">
        <v>6163.62</v>
      </c>
      <c r="Q40" s="2"/>
      <c r="R40" s="7">
        <f t="shared" si="25"/>
        <v>1.4309507447717396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6163.62</v>
      </c>
      <c r="Y40" s="2"/>
      <c r="Z40" s="7">
        <f t="shared" si="28"/>
        <v>0</v>
      </c>
    </row>
    <row r="41" spans="1:26" s="24" customFormat="1" hidden="1" outlineLevel="2" x14ac:dyDescent="0.25">
      <c r="A41" s="25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/>
      <c r="Q41" s="2"/>
      <c r="R41" s="7">
        <f t="shared" si="25"/>
        <v>0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0</v>
      </c>
      <c r="Y41" s="2"/>
      <c r="Z41" s="7">
        <f t="shared" si="28"/>
        <v>0</v>
      </c>
    </row>
    <row r="42" spans="1:26" s="24" customFormat="1" hidden="1" outlineLevel="2" x14ac:dyDescent="0.25">
      <c r="A42" s="25"/>
      <c r="B42" s="11" t="str">
        <f>CONCATENATE("          ", "6007", " - ", "STUDENT HOURLY")</f>
        <v xml:space="preserve">          6007 - STUDENT HOURLY</v>
      </c>
      <c r="C42" s="11"/>
      <c r="D42" s="6">
        <v>754.5</v>
      </c>
      <c r="E42" s="2"/>
      <c r="F42" s="7">
        <f t="shared" si="21"/>
        <v>0.7244498214079963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754.5</v>
      </c>
      <c r="M42" s="2"/>
      <c r="N42" s="7">
        <f t="shared" si="24"/>
        <v>0</v>
      </c>
      <c r="O42" s="11"/>
      <c r="P42" s="6">
        <v>2548.5</v>
      </c>
      <c r="Q42" s="2"/>
      <c r="R42" s="7">
        <f t="shared" si="25"/>
        <v>0.59166171390364408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2548.5</v>
      </c>
      <c r="Y42" s="2"/>
      <c r="Z42" s="7">
        <f t="shared" si="28"/>
        <v>0</v>
      </c>
    </row>
    <row r="43" spans="1:26" s="24" customFormat="1" hidden="1" outlineLevel="2" x14ac:dyDescent="0.25">
      <c r="A43" s="25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1"/>
        <v>0</v>
      </c>
      <c r="G43" s="2"/>
      <c r="H43" s="6">
        <v>1650</v>
      </c>
      <c r="I43" s="2"/>
      <c r="J43" s="7">
        <f t="shared" si="22"/>
        <v>1.853932584269663</v>
      </c>
      <c r="K43" s="2"/>
      <c r="L43" s="6">
        <f t="shared" si="23"/>
        <v>-1650</v>
      </c>
      <c r="M43" s="2"/>
      <c r="N43" s="7">
        <f t="shared" si="24"/>
        <v>-1</v>
      </c>
      <c r="O43" s="11"/>
      <c r="P43" s="6"/>
      <c r="Q43" s="2"/>
      <c r="R43" s="7">
        <f t="shared" si="25"/>
        <v>0</v>
      </c>
      <c r="S43" s="2"/>
      <c r="T43" s="6">
        <v>7999</v>
      </c>
      <c r="U43" s="2"/>
      <c r="V43" s="7">
        <f t="shared" si="26"/>
        <v>1.8490522422561257</v>
      </c>
      <c r="W43" s="2"/>
      <c r="X43" s="6">
        <f t="shared" si="27"/>
        <v>-7999</v>
      </c>
      <c r="Y43" s="2"/>
      <c r="Z43" s="7">
        <f t="shared" si="28"/>
        <v>-1</v>
      </c>
    </row>
    <row r="44" spans="1:26" s="24" customFormat="1" hidden="1" outlineLevel="2" x14ac:dyDescent="0.25">
      <c r="A44" s="25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1"/>
        <v>0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0</v>
      </c>
      <c r="M44" s="2"/>
      <c r="N44" s="7">
        <f t="shared" si="24"/>
        <v>0</v>
      </c>
      <c r="O44" s="11"/>
      <c r="P44" s="6"/>
      <c r="Q44" s="2"/>
      <c r="R44" s="7">
        <f t="shared" si="25"/>
        <v>0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0</v>
      </c>
      <c r="Y44" s="2"/>
      <c r="Z44" s="7">
        <f t="shared" si="28"/>
        <v>0</v>
      </c>
    </row>
    <row r="45" spans="1:26" s="24" customFormat="1" hidden="1" outlineLevel="2" x14ac:dyDescent="0.25">
      <c r="A45" s="25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1"/>
        <v>0</v>
      </c>
      <c r="G45" s="2"/>
      <c r="H45" s="6">
        <v>0</v>
      </c>
      <c r="I45" s="2"/>
      <c r="J45" s="7">
        <f t="shared" si="22"/>
        <v>0</v>
      </c>
      <c r="K45" s="2"/>
      <c r="L45" s="6">
        <f t="shared" si="23"/>
        <v>0</v>
      </c>
      <c r="M45" s="2"/>
      <c r="N45" s="7">
        <f t="shared" si="24"/>
        <v>0</v>
      </c>
      <c r="O45" s="11"/>
      <c r="P45" s="6"/>
      <c r="Q45" s="2"/>
      <c r="R45" s="7">
        <f t="shared" si="25"/>
        <v>0</v>
      </c>
      <c r="S45" s="2"/>
      <c r="T45" s="6">
        <v>0</v>
      </c>
      <c r="U45" s="2"/>
      <c r="V45" s="7">
        <f t="shared" si="26"/>
        <v>0</v>
      </c>
      <c r="W45" s="2"/>
      <c r="X45" s="6">
        <f t="shared" si="27"/>
        <v>0</v>
      </c>
      <c r="Y45" s="2"/>
      <c r="Z45" s="7">
        <f t="shared" si="28"/>
        <v>0</v>
      </c>
    </row>
    <row r="46" spans="1:26" s="26" customFormat="1" outlineLevel="1" collapsed="1" x14ac:dyDescent="0.25">
      <c r="A46" s="27"/>
      <c r="B46" s="13" t="str">
        <f>CONCATENATE("     ","Bad Debts/Over/Short                              ")</f>
        <v xml:space="preserve">     Bad Debts/Over/Short                              </v>
      </c>
      <c r="C46" s="13"/>
      <c r="D46" s="1">
        <f>SUM(OSRRefD22_2x_0)</f>
        <v>-0.1</v>
      </c>
      <c r="E46" s="1"/>
      <c r="F46" s="5">
        <f t="shared" ref="F46:F57" si="29">IF(D$12=0,0,D46/D$12)</f>
        <v>-9.6017206283365985E-5</v>
      </c>
      <c r="G46" s="1"/>
      <c r="H46" s="1">
        <f>SUM(OSRRefH22_2x_0)</f>
        <v>25</v>
      </c>
      <c r="I46" s="1"/>
      <c r="J46" s="5">
        <f t="shared" ref="J46:J57" si="30">IF(H$12=0,0,H46/H$12)</f>
        <v>2.8089887640449437E-2</v>
      </c>
      <c r="K46" s="1"/>
      <c r="L46" s="1">
        <f t="shared" ref="L46:L57" si="31">+D46-H46</f>
        <v>-25.1</v>
      </c>
      <c r="M46" s="1"/>
      <c r="N46" s="5">
        <f t="shared" ref="N46:N57" si="32">IF(H46=0,0,L46/H46)</f>
        <v>-1.004</v>
      </c>
      <c r="O46" s="13"/>
      <c r="P46" s="1">
        <f>SUM(OSRRefP22_2x_0)</f>
        <v>-0.96</v>
      </c>
      <c r="Q46" s="1"/>
      <c r="R46" s="5">
        <f t="shared" ref="R46:R57" si="33">IF(P$12=0,0,P46/P$12)</f>
        <v>-2.2287433602020729E-4</v>
      </c>
      <c r="S46" s="1"/>
      <c r="T46" s="1">
        <f>SUM(OSRRefT22_2x_0)</f>
        <v>125</v>
      </c>
      <c r="U46" s="1"/>
      <c r="V46" s="5">
        <f t="shared" ref="V46:V57" si="34">IF(T$12=0,0,T46/T$12)</f>
        <v>2.8895053166897826E-2</v>
      </c>
      <c r="W46" s="1"/>
      <c r="X46" s="1">
        <f t="shared" ref="X46:X57" si="35">+P46-T46</f>
        <v>-125.96</v>
      </c>
      <c r="Y46" s="1"/>
      <c r="Z46" s="5">
        <f t="shared" ref="Z46:Z57" si="36">IF(T46=0,0,X46/T46)</f>
        <v>-1.0076799999999999</v>
      </c>
    </row>
    <row r="47" spans="1:26" s="24" customFormat="1" hidden="1" outlineLevel="2" x14ac:dyDescent="0.25">
      <c r="A47" s="25"/>
      <c r="B47" s="11" t="str">
        <f>CONCATENATE("          ", "6272", " - ", "CASH (OVER/SHORT)")</f>
        <v xml:space="preserve">          6272 - CASH (OVER/SHORT)</v>
      </c>
      <c r="C47" s="11"/>
      <c r="D47" s="6">
        <v>-0.1</v>
      </c>
      <c r="E47" s="2"/>
      <c r="F47" s="7">
        <f t="shared" si="29"/>
        <v>-9.6017206283365985E-5</v>
      </c>
      <c r="G47" s="2"/>
      <c r="H47" s="6">
        <v>25</v>
      </c>
      <c r="I47" s="2"/>
      <c r="J47" s="7">
        <f t="shared" si="30"/>
        <v>2.8089887640449437E-2</v>
      </c>
      <c r="K47" s="2"/>
      <c r="L47" s="6">
        <f t="shared" si="31"/>
        <v>-25.1</v>
      </c>
      <c r="M47" s="2"/>
      <c r="N47" s="7">
        <f t="shared" si="32"/>
        <v>-1.004</v>
      </c>
      <c r="O47" s="11"/>
      <c r="P47" s="6">
        <v>-0.96</v>
      </c>
      <c r="Q47" s="2"/>
      <c r="R47" s="7">
        <f t="shared" si="33"/>
        <v>-2.2287433602020729E-4</v>
      </c>
      <c r="S47" s="2"/>
      <c r="T47" s="6">
        <v>125</v>
      </c>
      <c r="U47" s="2"/>
      <c r="V47" s="7">
        <f t="shared" si="34"/>
        <v>2.8895053166897826E-2</v>
      </c>
      <c r="W47" s="2"/>
      <c r="X47" s="6">
        <f t="shared" si="35"/>
        <v>-125.96</v>
      </c>
      <c r="Y47" s="2"/>
      <c r="Z47" s="7">
        <f t="shared" si="36"/>
        <v>-1.0076799999999999</v>
      </c>
    </row>
    <row r="48" spans="1:26" s="26" customFormat="1" outlineLevel="1" collapsed="1" x14ac:dyDescent="0.25">
      <c r="A48" s="27"/>
      <c r="B48" s="13" t="str">
        <f>CONCATENATE("     ","Bank/card Fees                                    ")</f>
        <v xml:space="preserve">     Bank/card Fees                                    </v>
      </c>
      <c r="C48" s="13"/>
      <c r="D48" s="1">
        <f>SUM(OSRRefD22_3x_0)</f>
        <v>33.65</v>
      </c>
      <c r="E48" s="1"/>
      <c r="F48" s="5">
        <f t="shared" si="29"/>
        <v>3.2309789914352648E-2</v>
      </c>
      <c r="G48" s="1"/>
      <c r="H48" s="1">
        <f>SUM(OSRRefH22_3x_0)</f>
        <v>19</v>
      </c>
      <c r="I48" s="1"/>
      <c r="J48" s="5">
        <f t="shared" si="30"/>
        <v>2.1348314606741574E-2</v>
      </c>
      <c r="K48" s="1"/>
      <c r="L48" s="1">
        <f t="shared" si="31"/>
        <v>14.649999999999999</v>
      </c>
      <c r="M48" s="1"/>
      <c r="N48" s="5">
        <f t="shared" si="32"/>
        <v>0.77105263157894732</v>
      </c>
      <c r="O48" s="13"/>
      <c r="P48" s="1">
        <f>SUM(OSRRefP22_3x_0)</f>
        <v>106.95</v>
      </c>
      <c r="Q48" s="1"/>
      <c r="R48" s="5">
        <f t="shared" si="33"/>
        <v>2.482959399725122E-2</v>
      </c>
      <c r="S48" s="1"/>
      <c r="T48" s="1">
        <f>SUM(OSRRefT22_3x_0)</f>
        <v>92</v>
      </c>
      <c r="U48" s="1"/>
      <c r="V48" s="5">
        <f t="shared" si="34"/>
        <v>2.1266759130836799E-2</v>
      </c>
      <c r="W48" s="1"/>
      <c r="X48" s="1">
        <f t="shared" si="35"/>
        <v>14.950000000000003</v>
      </c>
      <c r="Y48" s="1"/>
      <c r="Z48" s="5">
        <f t="shared" si="36"/>
        <v>0.16250000000000003</v>
      </c>
    </row>
    <row r="49" spans="1:26" s="24" customFormat="1" hidden="1" outlineLevel="2" x14ac:dyDescent="0.25">
      <c r="A49" s="25"/>
      <c r="B49" s="11" t="str">
        <f>CONCATENATE("          ", "6381", " - ", "BANK/CREDIT CARD FEES")</f>
        <v xml:space="preserve">          6381 - BANK/CREDIT CARD FEES</v>
      </c>
      <c r="C49" s="11"/>
      <c r="D49" s="6">
        <v>33.65</v>
      </c>
      <c r="E49" s="2"/>
      <c r="F49" s="7">
        <f t="shared" si="29"/>
        <v>3.2309789914352648E-2</v>
      </c>
      <c r="G49" s="2"/>
      <c r="H49" s="6">
        <v>19</v>
      </c>
      <c r="I49" s="2"/>
      <c r="J49" s="7">
        <f t="shared" si="30"/>
        <v>2.1348314606741574E-2</v>
      </c>
      <c r="K49" s="2"/>
      <c r="L49" s="6">
        <f t="shared" si="31"/>
        <v>14.649999999999999</v>
      </c>
      <c r="M49" s="2"/>
      <c r="N49" s="7">
        <f t="shared" si="32"/>
        <v>0.77105263157894732</v>
      </c>
      <c r="O49" s="11"/>
      <c r="P49" s="6">
        <v>106.95</v>
      </c>
      <c r="Q49" s="2"/>
      <c r="R49" s="7">
        <f t="shared" si="33"/>
        <v>2.482959399725122E-2</v>
      </c>
      <c r="S49" s="2"/>
      <c r="T49" s="6">
        <v>92</v>
      </c>
      <c r="U49" s="2"/>
      <c r="V49" s="7">
        <f t="shared" si="34"/>
        <v>2.1266759130836799E-2</v>
      </c>
      <c r="W49" s="2"/>
      <c r="X49" s="6">
        <f t="shared" si="35"/>
        <v>14.950000000000003</v>
      </c>
      <c r="Y49" s="2"/>
      <c r="Z49" s="7">
        <f t="shared" si="36"/>
        <v>0.16250000000000003</v>
      </c>
    </row>
    <row r="50" spans="1:26" s="26" customFormat="1" outlineLevel="1" collapsed="1" x14ac:dyDescent="0.25">
      <c r="A50" s="27"/>
      <c r="B50" s="13" t="str">
        <f>CONCATENATE("     ","General                                           ")</f>
        <v xml:space="preserve">     General                                           </v>
      </c>
      <c r="C50" s="13"/>
      <c r="D50" s="1">
        <f>SUM(OSRRefD22_4x_0)</f>
        <v>7.5</v>
      </c>
      <c r="E50" s="1"/>
      <c r="F50" s="5">
        <f t="shared" si="29"/>
        <v>7.2012904712524485E-3</v>
      </c>
      <c r="G50" s="1"/>
      <c r="H50" s="1">
        <f>SUM(OSRRefH22_4x_0)</f>
        <v>163</v>
      </c>
      <c r="I50" s="1"/>
      <c r="J50" s="5">
        <f t="shared" si="30"/>
        <v>0.18314606741573033</v>
      </c>
      <c r="K50" s="1"/>
      <c r="L50" s="1">
        <f t="shared" si="31"/>
        <v>-155.5</v>
      </c>
      <c r="M50" s="1"/>
      <c r="N50" s="5">
        <f t="shared" si="32"/>
        <v>-0.95398773006134974</v>
      </c>
      <c r="O50" s="13"/>
      <c r="P50" s="1">
        <f>SUM(OSRRefP22_4x_0)</f>
        <v>1154.05</v>
      </c>
      <c r="Q50" s="1"/>
      <c r="R50" s="5">
        <f t="shared" si="33"/>
        <v>0.26792513279595853</v>
      </c>
      <c r="S50" s="1"/>
      <c r="T50" s="1">
        <f>SUM(OSRRefT22_4x_0)</f>
        <v>792</v>
      </c>
      <c r="U50" s="1"/>
      <c r="V50" s="5">
        <f t="shared" si="34"/>
        <v>0.18307905686546463</v>
      </c>
      <c r="W50" s="1"/>
      <c r="X50" s="1">
        <f t="shared" si="35"/>
        <v>362.04999999999995</v>
      </c>
      <c r="Y50" s="1"/>
      <c r="Z50" s="5">
        <f t="shared" si="36"/>
        <v>0.45713383838383831</v>
      </c>
    </row>
    <row r="51" spans="1:26" s="24" customFormat="1" hidden="1" outlineLevel="2" x14ac:dyDescent="0.25">
      <c r="A51" s="25"/>
      <c r="B51" s="11" t="str">
        <f>CONCATENATE("          ", "6279", " - ", "GENERAL EXPENSE")</f>
        <v xml:space="preserve">          6279 - GENERAL EXPENSE</v>
      </c>
      <c r="C51" s="11"/>
      <c r="D51" s="6">
        <v>7.5</v>
      </c>
      <c r="E51" s="2"/>
      <c r="F51" s="7">
        <f t="shared" si="29"/>
        <v>7.2012904712524485E-3</v>
      </c>
      <c r="G51" s="2"/>
      <c r="H51" s="6">
        <v>163</v>
      </c>
      <c r="I51" s="2"/>
      <c r="J51" s="7">
        <f t="shared" si="30"/>
        <v>0.18314606741573033</v>
      </c>
      <c r="K51" s="2"/>
      <c r="L51" s="6">
        <f t="shared" si="31"/>
        <v>-155.5</v>
      </c>
      <c r="M51" s="2"/>
      <c r="N51" s="7">
        <f t="shared" si="32"/>
        <v>-0.95398773006134974</v>
      </c>
      <c r="O51" s="11"/>
      <c r="P51" s="6">
        <v>1154.05</v>
      </c>
      <c r="Q51" s="2"/>
      <c r="R51" s="7">
        <f t="shared" si="33"/>
        <v>0.26792513279595853</v>
      </c>
      <c r="S51" s="2"/>
      <c r="T51" s="6">
        <v>792</v>
      </c>
      <c r="U51" s="2"/>
      <c r="V51" s="7">
        <f t="shared" si="34"/>
        <v>0.18307905686546463</v>
      </c>
      <c r="W51" s="2"/>
      <c r="X51" s="6">
        <f t="shared" si="35"/>
        <v>362.04999999999995</v>
      </c>
      <c r="Y51" s="2"/>
      <c r="Z51" s="7">
        <f t="shared" si="36"/>
        <v>0.45713383838383831</v>
      </c>
    </row>
    <row r="52" spans="1:26" s="26" customFormat="1" outlineLevel="1" collapsed="1" x14ac:dyDescent="0.25">
      <c r="A52" s="27"/>
      <c r="B52" s="13" t="str">
        <f>CONCATENATE("     ","R/H Commissions                                   ")</f>
        <v xml:space="preserve">     R/H Commissions                                   </v>
      </c>
      <c r="C52" s="13"/>
      <c r="D52" s="1">
        <f>SUM(OSRRefD22_5x_0)</f>
        <v>0</v>
      </c>
      <c r="E52" s="1"/>
      <c r="F52" s="5">
        <f t="shared" si="29"/>
        <v>0</v>
      </c>
      <c r="G52" s="1"/>
      <c r="H52" s="1">
        <f>SUM(OSRRefH22_5x_0)</f>
        <v>56</v>
      </c>
      <c r="I52" s="1"/>
      <c r="J52" s="5">
        <f t="shared" si="30"/>
        <v>6.2921348314606745E-2</v>
      </c>
      <c r="K52" s="1"/>
      <c r="L52" s="1">
        <f t="shared" si="31"/>
        <v>-56</v>
      </c>
      <c r="M52" s="1"/>
      <c r="N52" s="5">
        <f t="shared" si="32"/>
        <v>-1</v>
      </c>
      <c r="O52" s="13"/>
      <c r="P52" s="1">
        <f>SUM(OSRRefP22_5x_0)</f>
        <v>261.27</v>
      </c>
      <c r="Q52" s="1"/>
      <c r="R52" s="5">
        <f t="shared" si="33"/>
        <v>6.0656643512499539E-2</v>
      </c>
      <c r="S52" s="1"/>
      <c r="T52" s="1">
        <f>SUM(OSRRefT22_5x_0)</f>
        <v>273</v>
      </c>
      <c r="U52" s="1"/>
      <c r="V52" s="5">
        <f t="shared" si="34"/>
        <v>6.3106796116504854E-2</v>
      </c>
      <c r="W52" s="1"/>
      <c r="X52" s="1">
        <f t="shared" si="35"/>
        <v>-11.730000000000018</v>
      </c>
      <c r="Y52" s="1"/>
      <c r="Z52" s="5">
        <f t="shared" si="36"/>
        <v>-4.2967032967033032E-2</v>
      </c>
    </row>
    <row r="53" spans="1:26" s="24" customFormat="1" hidden="1" outlineLevel="2" x14ac:dyDescent="0.25">
      <c r="A53" s="25"/>
      <c r="B53" s="11" t="str">
        <f>CONCATENATE("          ", "6387", " - ", "COMMISSION DUE HOUSING")</f>
        <v xml:space="preserve">          6387 - COMMISSION DUE HOUSING</v>
      </c>
      <c r="C53" s="11"/>
      <c r="D53" s="6"/>
      <c r="E53" s="2"/>
      <c r="F53" s="7">
        <f t="shared" si="29"/>
        <v>0</v>
      </c>
      <c r="G53" s="2"/>
      <c r="H53" s="6">
        <v>56</v>
      </c>
      <c r="I53" s="2"/>
      <c r="J53" s="7">
        <f t="shared" si="30"/>
        <v>6.2921348314606745E-2</v>
      </c>
      <c r="K53" s="2"/>
      <c r="L53" s="6">
        <f t="shared" si="31"/>
        <v>-56</v>
      </c>
      <c r="M53" s="2"/>
      <c r="N53" s="7">
        <f t="shared" si="32"/>
        <v>-1</v>
      </c>
      <c r="O53" s="11"/>
      <c r="P53" s="6">
        <v>261.27</v>
      </c>
      <c r="Q53" s="2"/>
      <c r="R53" s="7">
        <f t="shared" si="33"/>
        <v>6.0656643512499539E-2</v>
      </c>
      <c r="S53" s="2"/>
      <c r="T53" s="6">
        <v>273</v>
      </c>
      <c r="U53" s="2"/>
      <c r="V53" s="7">
        <f t="shared" si="34"/>
        <v>6.3106796116504854E-2</v>
      </c>
      <c r="W53" s="2"/>
      <c r="X53" s="6">
        <f t="shared" si="35"/>
        <v>-11.730000000000018</v>
      </c>
      <c r="Y53" s="2"/>
      <c r="Z53" s="7">
        <f t="shared" si="36"/>
        <v>-4.2967032967033032E-2</v>
      </c>
    </row>
    <row r="54" spans="1:26" s="26" customFormat="1" outlineLevel="1" collapsed="1" x14ac:dyDescent="0.25">
      <c r="A54" s="27"/>
      <c r="B54" s="13" t="str">
        <f>CONCATENATE("     ","Supplies                                          ")</f>
        <v xml:space="preserve">     Supplies                                          </v>
      </c>
      <c r="C54" s="13"/>
      <c r="D54" s="1">
        <f>SUM(OSRRefD22_6x_0)</f>
        <v>60.18</v>
      </c>
      <c r="E54" s="1"/>
      <c r="F54" s="5">
        <f t="shared" si="29"/>
        <v>5.7783154741329647E-2</v>
      </c>
      <c r="G54" s="1"/>
      <c r="H54" s="1">
        <f>SUM(OSRRefH22_6x_0)</f>
        <v>18</v>
      </c>
      <c r="I54" s="1"/>
      <c r="J54" s="5">
        <f t="shared" si="30"/>
        <v>2.0224719101123594E-2</v>
      </c>
      <c r="K54" s="1"/>
      <c r="L54" s="1">
        <f t="shared" si="31"/>
        <v>42.18</v>
      </c>
      <c r="M54" s="1"/>
      <c r="N54" s="5">
        <f t="shared" si="32"/>
        <v>2.3433333333333333</v>
      </c>
      <c r="O54" s="13"/>
      <c r="P54" s="1">
        <f>SUM(OSRRefP22_6x_0)</f>
        <v>1583.77</v>
      </c>
      <c r="Q54" s="1"/>
      <c r="R54" s="5">
        <f t="shared" si="33"/>
        <v>0.36768925745700387</v>
      </c>
      <c r="S54" s="1"/>
      <c r="T54" s="1">
        <f>SUM(OSRRefT22_6x_0)</f>
        <v>87</v>
      </c>
      <c r="U54" s="1"/>
      <c r="V54" s="5">
        <f t="shared" si="34"/>
        <v>2.0110957004160889E-2</v>
      </c>
      <c r="W54" s="1"/>
      <c r="X54" s="1">
        <f t="shared" si="35"/>
        <v>1496.77</v>
      </c>
      <c r="Y54" s="1"/>
      <c r="Z54" s="5">
        <f t="shared" si="36"/>
        <v>17.204252873563217</v>
      </c>
    </row>
    <row r="55" spans="1:26" s="24" customFormat="1" hidden="1" outlineLevel="2" x14ac:dyDescent="0.25">
      <c r="A55" s="25"/>
      <c r="B55" s="11" t="str">
        <f>CONCATENATE("          ", "6237", " - ", "JANITORIAL SUPPLIES")</f>
        <v xml:space="preserve">          6237 - JANITORIAL SUPPLIES</v>
      </c>
      <c r="C55" s="11"/>
      <c r="D55" s="6"/>
      <c r="E55" s="2"/>
      <c r="F55" s="7">
        <f t="shared" si="29"/>
        <v>0</v>
      </c>
      <c r="G55" s="2"/>
      <c r="H55" s="6"/>
      <c r="I55" s="2"/>
      <c r="J55" s="7">
        <f t="shared" si="30"/>
        <v>0</v>
      </c>
      <c r="K55" s="2"/>
      <c r="L55" s="6">
        <f t="shared" si="31"/>
        <v>0</v>
      </c>
      <c r="M55" s="2"/>
      <c r="N55" s="7">
        <f t="shared" si="32"/>
        <v>0</v>
      </c>
      <c r="O55" s="11"/>
      <c r="P55" s="6">
        <v>47.13</v>
      </c>
      <c r="Q55" s="2"/>
      <c r="R55" s="7">
        <f t="shared" si="33"/>
        <v>1.0941736933992053E-2</v>
      </c>
      <c r="S55" s="2"/>
      <c r="T55" s="6"/>
      <c r="U55" s="2"/>
      <c r="V55" s="7">
        <f t="shared" si="34"/>
        <v>0</v>
      </c>
      <c r="W55" s="2"/>
      <c r="X55" s="6">
        <f t="shared" si="35"/>
        <v>47.13</v>
      </c>
      <c r="Y55" s="2"/>
      <c r="Z55" s="7">
        <f t="shared" si="36"/>
        <v>0</v>
      </c>
    </row>
    <row r="56" spans="1:26" s="24" customFormat="1" hidden="1" outlineLevel="2" x14ac:dyDescent="0.25">
      <c r="A56" s="25"/>
      <c r="B56" s="11" t="str">
        <f>CONCATENATE("          ", "6247", " - ", "STORE SUPPLIES")</f>
        <v xml:space="preserve">          6247 - STORE SUPPLIES</v>
      </c>
      <c r="C56" s="11"/>
      <c r="D56" s="6">
        <v>60.18</v>
      </c>
      <c r="E56" s="2"/>
      <c r="F56" s="7">
        <f t="shared" si="29"/>
        <v>5.7783154741329647E-2</v>
      </c>
      <c r="G56" s="2"/>
      <c r="H56" s="6">
        <v>18</v>
      </c>
      <c r="I56" s="2"/>
      <c r="J56" s="7">
        <f t="shared" si="30"/>
        <v>2.0224719101123594E-2</v>
      </c>
      <c r="K56" s="2"/>
      <c r="L56" s="6">
        <f t="shared" si="31"/>
        <v>42.18</v>
      </c>
      <c r="M56" s="2"/>
      <c r="N56" s="7">
        <f t="shared" si="32"/>
        <v>2.3433333333333333</v>
      </c>
      <c r="O56" s="11"/>
      <c r="P56" s="6">
        <v>423.04</v>
      </c>
      <c r="Q56" s="2"/>
      <c r="R56" s="7">
        <f t="shared" si="33"/>
        <v>9.8213290739571357E-2</v>
      </c>
      <c r="S56" s="2"/>
      <c r="T56" s="6">
        <v>87</v>
      </c>
      <c r="U56" s="2"/>
      <c r="V56" s="7">
        <f t="shared" si="34"/>
        <v>2.0110957004160889E-2</v>
      </c>
      <c r="W56" s="2"/>
      <c r="X56" s="6">
        <f t="shared" si="35"/>
        <v>336.04</v>
      </c>
      <c r="Y56" s="2"/>
      <c r="Z56" s="7">
        <f t="shared" si="36"/>
        <v>3.8625287356321842</v>
      </c>
    </row>
    <row r="57" spans="1:26" s="24" customFormat="1" hidden="1" outlineLevel="2" x14ac:dyDescent="0.25">
      <c r="A57" s="25"/>
      <c r="B57" s="11" t="str">
        <f>CONCATENATE("          ", "6248", " - ", "UNIFORMS")</f>
        <v xml:space="preserve">          6248 - UNIFORMS</v>
      </c>
      <c r="C57" s="11"/>
      <c r="D57" s="6"/>
      <c r="E57" s="2"/>
      <c r="F57" s="7">
        <f t="shared" si="29"/>
        <v>0</v>
      </c>
      <c r="G57" s="2"/>
      <c r="H57" s="6"/>
      <c r="I57" s="2"/>
      <c r="J57" s="7">
        <f t="shared" si="30"/>
        <v>0</v>
      </c>
      <c r="K57" s="2"/>
      <c r="L57" s="6">
        <f t="shared" si="31"/>
        <v>0</v>
      </c>
      <c r="M57" s="2"/>
      <c r="N57" s="7">
        <f t="shared" si="32"/>
        <v>0</v>
      </c>
      <c r="O57" s="11"/>
      <c r="P57" s="6">
        <v>1113.5999999999999</v>
      </c>
      <c r="Q57" s="2"/>
      <c r="R57" s="7">
        <f t="shared" si="33"/>
        <v>0.25853422978344043</v>
      </c>
      <c r="S57" s="2"/>
      <c r="T57" s="6"/>
      <c r="U57" s="2"/>
      <c r="V57" s="7">
        <f t="shared" si="34"/>
        <v>0</v>
      </c>
      <c r="W57" s="2"/>
      <c r="X57" s="6">
        <f t="shared" si="35"/>
        <v>1113.5999999999999</v>
      </c>
      <c r="Y57" s="2"/>
      <c r="Z57" s="7">
        <f t="shared" si="36"/>
        <v>0</v>
      </c>
    </row>
    <row r="58" spans="1:26" s="26" customFormat="1" outlineLevel="1" collapsed="1" x14ac:dyDescent="0.25">
      <c r="A58" s="27"/>
      <c r="B58" s="13" t="str">
        <f>CONCATENATE("     ","Telephone/Data Lines                              ")</f>
        <v xml:space="preserve">     Telephone/Data Lines                              </v>
      </c>
      <c r="C58" s="13"/>
      <c r="D58" s="1">
        <f>SUM(OSRRefD22_7x_0)</f>
        <v>75.5</v>
      </c>
      <c r="E58" s="1"/>
      <c r="F58" s="5">
        <f t="shared" ref="F58:F59" si="37">IF(D$12=0,0,D58/D$12)</f>
        <v>7.2492990743941318E-2</v>
      </c>
      <c r="G58" s="1"/>
      <c r="H58" s="1">
        <f>SUM(OSRRefH22_7x_0)</f>
        <v>0</v>
      </c>
      <c r="I58" s="1"/>
      <c r="J58" s="5">
        <f t="shared" ref="J58:J59" si="38">IF(H$12=0,0,H58/H$12)</f>
        <v>0</v>
      </c>
      <c r="K58" s="1"/>
      <c r="L58" s="1">
        <f t="shared" ref="L58:L59" si="39">+D58-H58</f>
        <v>75.5</v>
      </c>
      <c r="M58" s="1"/>
      <c r="N58" s="5">
        <f t="shared" ref="N58:N59" si="40">IF(H58=0,0,L58/H58)</f>
        <v>0</v>
      </c>
      <c r="O58" s="13"/>
      <c r="P58" s="1">
        <f>SUM(OSRRefP22_7x_0)</f>
        <v>337.5</v>
      </c>
      <c r="Q58" s="1"/>
      <c r="R58" s="5">
        <f t="shared" ref="R58:R59" si="41">IF(P$12=0,0,P58/P$12)</f>
        <v>7.8354258757104125E-2</v>
      </c>
      <c r="S58" s="1"/>
      <c r="T58" s="1">
        <f>SUM(OSRRefT22_7x_0)</f>
        <v>0</v>
      </c>
      <c r="U58" s="1"/>
      <c r="V58" s="5">
        <f t="shared" ref="V58:V59" si="42">IF(T$12=0,0,T58/T$12)</f>
        <v>0</v>
      </c>
      <c r="W58" s="1"/>
      <c r="X58" s="1">
        <f t="shared" ref="X58:X59" si="43">+P58-T58</f>
        <v>337.5</v>
      </c>
      <c r="Y58" s="1"/>
      <c r="Z58" s="5">
        <f t="shared" ref="Z58:Z59" si="44">IF(T58=0,0,X58/T58)</f>
        <v>0</v>
      </c>
    </row>
    <row r="59" spans="1:26" s="24" customFormat="1" hidden="1" outlineLevel="2" x14ac:dyDescent="0.25">
      <c r="A59" s="25"/>
      <c r="B59" s="11" t="str">
        <f>CONCATENATE("          ", "6309", " - ", "TELEPHONE")</f>
        <v xml:space="preserve">          6309 - TELEPHONE</v>
      </c>
      <c r="C59" s="11"/>
      <c r="D59" s="6">
        <v>75.5</v>
      </c>
      <c r="E59" s="2"/>
      <c r="F59" s="7">
        <f t="shared" si="37"/>
        <v>7.2492990743941318E-2</v>
      </c>
      <c r="G59" s="2"/>
      <c r="H59" s="6"/>
      <c r="I59" s="2"/>
      <c r="J59" s="7">
        <f t="shared" si="38"/>
        <v>0</v>
      </c>
      <c r="K59" s="2"/>
      <c r="L59" s="6">
        <f t="shared" si="39"/>
        <v>75.5</v>
      </c>
      <c r="M59" s="2"/>
      <c r="N59" s="7">
        <f t="shared" si="40"/>
        <v>0</v>
      </c>
      <c r="O59" s="11"/>
      <c r="P59" s="6">
        <v>337.5</v>
      </c>
      <c r="Q59" s="2"/>
      <c r="R59" s="7">
        <f t="shared" si="41"/>
        <v>7.8354258757104125E-2</v>
      </c>
      <c r="S59" s="2"/>
      <c r="T59" s="6"/>
      <c r="U59" s="2"/>
      <c r="V59" s="7">
        <f t="shared" si="42"/>
        <v>0</v>
      </c>
      <c r="W59" s="2"/>
      <c r="X59" s="6">
        <f t="shared" si="43"/>
        <v>337.5</v>
      </c>
      <c r="Y59" s="2"/>
      <c r="Z59" s="7">
        <f t="shared" si="44"/>
        <v>0</v>
      </c>
    </row>
    <row r="60" spans="1:26" s="59" customFormat="1" x14ac:dyDescent="0.25">
      <c r="A60" s="36"/>
      <c r="B60" s="36"/>
      <c r="C60" s="36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9" t="s">
        <v>0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8" t="s">
        <v>3</v>
      </c>
      <c r="C63" s="28"/>
      <c r="D63" s="20">
        <f>+D23-D25+D61</f>
        <v>-2047.1100000000001</v>
      </c>
      <c r="E63" s="14"/>
      <c r="F63" s="22">
        <f>IF(D$12=0,0,D63/D$12)</f>
        <v>-1.9655778315474133</v>
      </c>
      <c r="G63" s="14"/>
      <c r="H63" s="20">
        <f>+H23-H25+H61</f>
        <v>-1600.7600000000002</v>
      </c>
      <c r="I63" s="14"/>
      <c r="J63" s="22">
        <f>IF(H$12=0,0,H63/H$12)</f>
        <v>-1.798606741573034</v>
      </c>
      <c r="K63" s="16"/>
      <c r="L63" s="20">
        <f>+D63-H63</f>
        <v>-446.34999999999991</v>
      </c>
      <c r="M63" s="16"/>
      <c r="N63" s="22">
        <f>IF(H63=0,0,L63/H63)</f>
        <v>0.2788363027561907</v>
      </c>
      <c r="O63" s="29"/>
      <c r="P63" s="20">
        <f>+P23-P25+P61</f>
        <v>-10082.000000000002</v>
      </c>
      <c r="Q63" s="14"/>
      <c r="R63" s="22">
        <f>IF(P$12=0,0,P63/P$12)</f>
        <v>-2.3406448497455523</v>
      </c>
      <c r="S63" s="14"/>
      <c r="T63" s="20">
        <f>+T23-T25+T61</f>
        <v>-7760.9584000000004</v>
      </c>
      <c r="U63" s="14"/>
      <c r="V63" s="22">
        <f>IF(T$12=0,0,T63/T$12)</f>
        <v>-1.7940264447526584</v>
      </c>
      <c r="W63" s="16"/>
      <c r="X63" s="20">
        <f>+P63-T63</f>
        <v>-2321.0416000000014</v>
      </c>
      <c r="Y63" s="16"/>
      <c r="Z63" s="22">
        <f>IF(T63=0,0,X63/T63)</f>
        <v>0.29906636273169579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2"/>
      <c r="B65" s="10" t="s">
        <v>14</v>
      </c>
      <c r="C65" s="10"/>
      <c r="D65" s="4">
        <v>127.37</v>
      </c>
      <c r="E65" s="4"/>
      <c r="F65" s="12">
        <f>IF(D$12=0,0,D65/D$12)</f>
        <v>0.12229711564312325</v>
      </c>
      <c r="G65" s="4"/>
      <c r="H65" s="4">
        <v>134</v>
      </c>
      <c r="I65" s="4"/>
      <c r="J65" s="12">
        <f>IF(H$12=0,0,H65/H$12)</f>
        <v>0.15056179775280898</v>
      </c>
      <c r="K65" s="4"/>
      <c r="L65" s="4">
        <f>+D65-H65</f>
        <v>-6.6299999999999955</v>
      </c>
      <c r="M65" s="4"/>
      <c r="N65" s="12">
        <f>IF(H65=0,0,L65/H65)</f>
        <v>-4.9477611940298476E-2</v>
      </c>
      <c r="O65" s="10"/>
      <c r="P65" s="4">
        <v>456.12</v>
      </c>
      <c r="Q65" s="4"/>
      <c r="R65" s="12">
        <f>IF(P$12=0,0,P65/P$12)</f>
        <v>0.10589316890160098</v>
      </c>
      <c r="S65" s="4"/>
      <c r="T65" s="4">
        <v>548</v>
      </c>
      <c r="U65" s="4"/>
      <c r="V65" s="12">
        <f>IF(T$12=0,0,T65/T$12)</f>
        <v>0.12667591308368006</v>
      </c>
      <c r="W65" s="4"/>
      <c r="X65" s="4">
        <f>+P65-T65</f>
        <v>-91.88</v>
      </c>
      <c r="Y65" s="4"/>
      <c r="Z65" s="12">
        <f>IF(T65=0,0,X65/T65)</f>
        <v>-0.16766423357664234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8" t="s">
        <v>4</v>
      </c>
      <c r="C67" s="28"/>
      <c r="D67" s="30">
        <f>+D63-D65</f>
        <v>-2174.48</v>
      </c>
      <c r="E67" s="14"/>
      <c r="F67" s="32">
        <f>IF(D$12=0,0,D67/D$12)</f>
        <v>-2.0878749471905365</v>
      </c>
      <c r="G67" s="14"/>
      <c r="H67" s="30">
        <f>+H63-H65</f>
        <v>-1734.7600000000002</v>
      </c>
      <c r="I67" s="14"/>
      <c r="J67" s="32">
        <f>IF(H$12=0,0,H67/H$12)</f>
        <v>-1.9491685393258429</v>
      </c>
      <c r="K67" s="16"/>
      <c r="L67" s="30">
        <f>D67-H67</f>
        <v>-439.7199999999998</v>
      </c>
      <c r="M67" s="16"/>
      <c r="N67" s="32">
        <f>IF(H67=0,0,L67/H67)</f>
        <v>0.25347598515068354</v>
      </c>
      <c r="O67" s="29"/>
      <c r="P67" s="30">
        <f>+P63-P65</f>
        <v>-10538.120000000003</v>
      </c>
      <c r="Q67" s="14"/>
      <c r="R67" s="32">
        <f>IF(P$12=0,0,P67/P$12)</f>
        <v>-2.4465380186471535</v>
      </c>
      <c r="S67" s="14"/>
      <c r="T67" s="30">
        <f>+T63-T65</f>
        <v>-8308.9583999999995</v>
      </c>
      <c r="U67" s="14"/>
      <c r="V67" s="32">
        <f>IF(T$12=0,0,T67/T$12)</f>
        <v>-1.9207023578363382</v>
      </c>
      <c r="W67" s="16"/>
      <c r="X67" s="30">
        <f>P67-T67</f>
        <v>-2229.1616000000031</v>
      </c>
      <c r="Y67" s="16"/>
      <c r="Z67" s="32">
        <f>IF(T67=0,0,X67/T67)</f>
        <v>0.26828412090738152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8" t="s">
        <v>5</v>
      </c>
      <c r="C70" s="28"/>
      <c r="D70" s="31">
        <f>SUM(D67:D69)</f>
        <v>-2174.48</v>
      </c>
      <c r="E70" s="14"/>
      <c r="F70" s="35">
        <f>IF(D$12=0,0,D70/D$12)</f>
        <v>-2.0878749471905365</v>
      </c>
      <c r="G70" s="14"/>
      <c r="H70" s="31">
        <f>SUM(H67:H69)</f>
        <v>-1734.7600000000002</v>
      </c>
      <c r="I70" s="14"/>
      <c r="J70" s="35">
        <f>IF(H$12=0,0,H70/H$12)</f>
        <v>-1.9491685393258429</v>
      </c>
      <c r="K70" s="16"/>
      <c r="L70" s="31">
        <f>+D70-H70</f>
        <v>-439.7199999999998</v>
      </c>
      <c r="M70" s="16"/>
      <c r="N70" s="35">
        <f>IF(H70=0,0,L70/H70)</f>
        <v>0.25347598515068354</v>
      </c>
      <c r="O70" s="29"/>
      <c r="P70" s="31">
        <f>SUM(P67:P69)</f>
        <v>-10538.120000000003</v>
      </c>
      <c r="Q70" s="14"/>
      <c r="R70" s="35">
        <f>IF(P$12=0,0,P70/P$12)</f>
        <v>-2.4465380186471535</v>
      </c>
      <c r="S70" s="14"/>
      <c r="T70" s="31">
        <f>SUM(T67:T69)</f>
        <v>-8308.9583999999995</v>
      </c>
      <c r="U70" s="14"/>
      <c r="V70" s="35">
        <f>IF(T$12=0,0,T70/T$12)</f>
        <v>-1.9207023578363382</v>
      </c>
      <c r="W70" s="16"/>
      <c r="X70" s="31">
        <f>+P70-T70</f>
        <v>-2229.1616000000031</v>
      </c>
      <c r="Y70" s="16"/>
      <c r="Z70" s="35">
        <f>IF(T70=0,0,X70/T70)</f>
        <v>0.26828412090738152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6">
        <v>43815.48418353009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62" t="s">
        <v>314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58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","444", " - ", "Parkside Dining Hall")</f>
        <v>Department 444 - Parkside Dining Hall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435948.06</v>
      </c>
      <c r="E12" s="4"/>
      <c r="F12" s="12"/>
      <c r="G12" s="4"/>
      <c r="H12" s="4">
        <f>SUM(OSRRefH13x_0)</f>
        <v>341949</v>
      </c>
      <c r="I12" s="4"/>
      <c r="J12" s="12"/>
      <c r="K12" s="4"/>
      <c r="L12" s="4">
        <f t="shared" ref="L12:L16" si="0">+D12-H12</f>
        <v>93999.06</v>
      </c>
      <c r="M12" s="4"/>
      <c r="N12" s="12">
        <f t="shared" ref="N12:N16" si="1">IF(H12=0,0,L12/H12)</f>
        <v>0.27489204530500161</v>
      </c>
      <c r="O12" s="10"/>
      <c r="P12" s="4">
        <f>SUM(OSRRefP13x_0)</f>
        <v>1997101.33</v>
      </c>
      <c r="Q12" s="4"/>
      <c r="R12" s="12"/>
      <c r="S12" s="4"/>
      <c r="T12" s="4">
        <f>SUM(OSRRefT13x_0)</f>
        <v>1941304</v>
      </c>
      <c r="U12" s="4"/>
      <c r="V12" s="12"/>
      <c r="W12" s="4"/>
      <c r="X12" s="4">
        <f t="shared" ref="X12:X16" si="2">+P12-T12</f>
        <v>55797.330000000075</v>
      </c>
      <c r="Y12" s="4"/>
      <c r="Z12" s="12">
        <f t="shared" ref="Z12:Z16" si="3">IF(T12=0,0,X12/T12)</f>
        <v>2.8742190816070063E-2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--215.8</f>
        <v>215.8</v>
      </c>
      <c r="E13" s="2"/>
      <c r="F13" s="19"/>
      <c r="G13" s="2"/>
      <c r="H13" s="2"/>
      <c r="I13" s="2"/>
      <c r="J13" s="19"/>
      <c r="K13" s="2"/>
      <c r="L13" s="2">
        <f t="shared" si="0"/>
        <v>215.8</v>
      </c>
      <c r="M13" s="2"/>
      <c r="N13" s="19">
        <f t="shared" si="1"/>
        <v>0</v>
      </c>
      <c r="O13" s="11"/>
      <c r="P13" s="2">
        <f>--1986.09</f>
        <v>1986.09</v>
      </c>
      <c r="Q13" s="2"/>
      <c r="R13" s="19"/>
      <c r="S13" s="2"/>
      <c r="T13" s="2"/>
      <c r="U13" s="2"/>
      <c r="V13" s="19"/>
      <c r="W13" s="2"/>
      <c r="X13" s="2">
        <f t="shared" si="2"/>
        <v>1986.09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341949</v>
      </c>
      <c r="I14" s="2"/>
      <c r="J14" s="19"/>
      <c r="K14" s="2"/>
      <c r="L14" s="2">
        <f t="shared" si="0"/>
        <v>-341949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1941304</v>
      </c>
      <c r="U14" s="2"/>
      <c r="V14" s="19"/>
      <c r="W14" s="2"/>
      <c r="X14" s="2">
        <f t="shared" si="2"/>
        <v>-1941304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--430286.93</f>
        <v>430286.93</v>
      </c>
      <c r="E15" s="2"/>
      <c r="F15" s="19"/>
      <c r="G15" s="2"/>
      <c r="H15" s="2"/>
      <c r="I15" s="2"/>
      <c r="J15" s="19"/>
      <c r="K15" s="2"/>
      <c r="L15" s="2">
        <f t="shared" si="0"/>
        <v>430286.93</v>
      </c>
      <c r="M15" s="2"/>
      <c r="N15" s="19">
        <f t="shared" si="1"/>
        <v>0</v>
      </c>
      <c r="O15" s="11"/>
      <c r="P15" s="2">
        <f>--1959870.2</f>
        <v>1959870.2</v>
      </c>
      <c r="Q15" s="2"/>
      <c r="R15" s="19"/>
      <c r="S15" s="2"/>
      <c r="T15" s="2"/>
      <c r="U15" s="2"/>
      <c r="V15" s="19"/>
      <c r="W15" s="2"/>
      <c r="X15" s="2">
        <f t="shared" si="2"/>
        <v>1959870.2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--5445.33</f>
        <v>5445.33</v>
      </c>
      <c r="E16" s="2"/>
      <c r="F16" s="19"/>
      <c r="G16" s="2"/>
      <c r="H16" s="2"/>
      <c r="I16" s="2"/>
      <c r="J16" s="19"/>
      <c r="K16" s="2"/>
      <c r="L16" s="2">
        <f t="shared" si="0"/>
        <v>5445.33</v>
      </c>
      <c r="M16" s="2"/>
      <c r="N16" s="19">
        <f t="shared" si="1"/>
        <v>0</v>
      </c>
      <c r="O16" s="11"/>
      <c r="P16" s="2">
        <f>--35245.04</f>
        <v>35245.040000000001</v>
      </c>
      <c r="Q16" s="2"/>
      <c r="R16" s="19"/>
      <c r="S16" s="2"/>
      <c r="T16" s="2"/>
      <c r="U16" s="2"/>
      <c r="V16" s="19"/>
      <c r="W16" s="2"/>
      <c r="X16" s="2">
        <f t="shared" si="2"/>
        <v>35245.040000000001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97764.409999999989</v>
      </c>
      <c r="E18" s="4"/>
      <c r="F18" s="12">
        <f t="shared" ref="F18:F21" si="4">IF(D$12=0,0,D18/D$12)</f>
        <v>0.22425701355340355</v>
      </c>
      <c r="G18" s="4"/>
      <c r="H18" s="4">
        <f>SUM(OSRRefH16x_0)</f>
        <v>88906</v>
      </c>
      <c r="I18" s="4"/>
      <c r="J18" s="12">
        <f t="shared" ref="J18:J21" si="5">IF(H$12=0,0,H18/H$12)</f>
        <v>0.25999783593459841</v>
      </c>
      <c r="K18" s="4"/>
      <c r="L18" s="4">
        <f t="shared" ref="L18:L21" si="6">+D18-H18</f>
        <v>8858.4099999999889</v>
      </c>
      <c r="M18" s="4"/>
      <c r="N18" s="12">
        <f t="shared" ref="N18:N21" si="7">IF(H18=0,0,L18/H18)</f>
        <v>9.9637932198051754E-2</v>
      </c>
      <c r="O18" s="10"/>
      <c r="P18" s="4">
        <f>SUM(OSRRefP16x_0)</f>
        <v>506589.61999999994</v>
      </c>
      <c r="Q18" s="4"/>
      <c r="R18" s="12">
        <f t="shared" ref="R18:R21" si="8">IF(P$12=0,0,P18/P$12)</f>
        <v>0.25366245186968051</v>
      </c>
      <c r="S18" s="4"/>
      <c r="T18" s="4">
        <f>SUM(OSRRefT16x_0)</f>
        <v>540716</v>
      </c>
      <c r="U18" s="4"/>
      <c r="V18" s="12">
        <f t="shared" ref="V18:V21" si="9">IF(T$12=0,0,T18/T$12)</f>
        <v>0.27853236793413089</v>
      </c>
      <c r="W18" s="4"/>
      <c r="X18" s="4">
        <f t="shared" ref="X18:X21" si="10">+P18-T18</f>
        <v>-34126.380000000063</v>
      </c>
      <c r="Y18" s="4"/>
      <c r="Z18" s="12">
        <f t="shared" ref="Z18:Z21" si="11">IF(T18=0,0,X18/T18)</f>
        <v>-6.3113316417491003E-2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88906</v>
      </c>
      <c r="I19" s="2"/>
      <c r="J19" s="19">
        <f t="shared" si="5"/>
        <v>0.25999783593459841</v>
      </c>
      <c r="K19" s="2"/>
      <c r="L19" s="2">
        <f t="shared" si="6"/>
        <v>-88906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540716</v>
      </c>
      <c r="U19" s="2"/>
      <c r="V19" s="19">
        <f t="shared" si="9"/>
        <v>0.27853236793413089</v>
      </c>
      <c r="W19" s="2"/>
      <c r="X19" s="2">
        <f t="shared" si="10"/>
        <v>-540716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86572.909999999989</v>
      </c>
      <c r="E20" s="2"/>
      <c r="F20" s="19">
        <f t="shared" si="4"/>
        <v>0.19858537734976958</v>
      </c>
      <c r="G20" s="2"/>
      <c r="H20" s="2"/>
      <c r="I20" s="2"/>
      <c r="J20" s="19">
        <f t="shared" si="5"/>
        <v>0</v>
      </c>
      <c r="K20" s="2"/>
      <c r="L20" s="2">
        <f t="shared" si="6"/>
        <v>86572.909999999989</v>
      </c>
      <c r="M20" s="2"/>
      <c r="N20" s="19">
        <f t="shared" si="7"/>
        <v>0</v>
      </c>
      <c r="O20" s="11"/>
      <c r="P20" s="2">
        <v>507242.86999999994</v>
      </c>
      <c r="Q20" s="2"/>
      <c r="R20" s="19">
        <f t="shared" si="8"/>
        <v>0.25398955094582004</v>
      </c>
      <c r="S20" s="2"/>
      <c r="T20" s="2"/>
      <c r="U20" s="2"/>
      <c r="V20" s="19">
        <f t="shared" si="9"/>
        <v>0</v>
      </c>
      <c r="W20" s="2"/>
      <c r="X20" s="2">
        <f t="shared" si="10"/>
        <v>507242.86999999994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11191.5</v>
      </c>
      <c r="E21" s="2"/>
      <c r="F21" s="19">
        <f t="shared" si="4"/>
        <v>2.5671636203633982E-2</v>
      </c>
      <c r="G21" s="2"/>
      <c r="H21" s="2"/>
      <c r="I21" s="2"/>
      <c r="J21" s="19">
        <f t="shared" si="5"/>
        <v>0</v>
      </c>
      <c r="K21" s="2"/>
      <c r="L21" s="2">
        <f t="shared" si="6"/>
        <v>11191.5</v>
      </c>
      <c r="M21" s="2"/>
      <c r="N21" s="19">
        <f t="shared" si="7"/>
        <v>0</v>
      </c>
      <c r="O21" s="11"/>
      <c r="P21" s="2">
        <v>-653.25</v>
      </c>
      <c r="Q21" s="2"/>
      <c r="R21" s="19">
        <f t="shared" si="8"/>
        <v>-3.2709907613951664E-4</v>
      </c>
      <c r="S21" s="2"/>
      <c r="T21" s="2"/>
      <c r="U21" s="2"/>
      <c r="V21" s="19">
        <f t="shared" si="9"/>
        <v>0</v>
      </c>
      <c r="W21" s="2"/>
      <c r="X21" s="2">
        <f t="shared" si="10"/>
        <v>-653.25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D12-D18</f>
        <v>338183.65</v>
      </c>
      <c r="E23" s="14"/>
      <c r="F23" s="22">
        <f>IF(D$12=0,0,D23/D$12)</f>
        <v>0.77574298644659645</v>
      </c>
      <c r="G23" s="14"/>
      <c r="H23" s="20">
        <f>H12-H18</f>
        <v>253043</v>
      </c>
      <c r="I23" s="14"/>
      <c r="J23" s="22">
        <f>IF(H$12=0,0,H23/H$12)</f>
        <v>0.74000216406540154</v>
      </c>
      <c r="K23" s="16"/>
      <c r="L23" s="20">
        <f>+D23-H23</f>
        <v>85140.650000000023</v>
      </c>
      <c r="M23" s="16"/>
      <c r="N23" s="22">
        <f>IF(H23=0,0,L23/H23)</f>
        <v>0.33646712218871899</v>
      </c>
      <c r="O23" s="29"/>
      <c r="P23" s="20">
        <f>P12-P18</f>
        <v>1490511.7100000002</v>
      </c>
      <c r="Q23" s="14"/>
      <c r="R23" s="22">
        <f>IF(P$12=0,0,P23/P$12)</f>
        <v>0.74633754813031949</v>
      </c>
      <c r="S23" s="14"/>
      <c r="T23" s="20">
        <f>T12-T18</f>
        <v>1400588</v>
      </c>
      <c r="U23" s="14"/>
      <c r="V23" s="22">
        <f>IF(T$12=0,0,T23/T$12)</f>
        <v>0.72146763206586917</v>
      </c>
      <c r="W23" s="16"/>
      <c r="X23" s="20">
        <f>+P23-T23</f>
        <v>89923.710000000196</v>
      </c>
      <c r="Y23" s="16"/>
      <c r="Z23" s="22">
        <f>IF(T23=0,0,X23/T23)</f>
        <v>6.420425564120226E-2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182010.03000000003</v>
      </c>
      <c r="E25" s="21"/>
      <c r="F25" s="33">
        <f t="shared" ref="F25:F36" si="12">IF(D$12=0,0,D25/D$12)</f>
        <v>0.41750393384019197</v>
      </c>
      <c r="G25" s="21"/>
      <c r="H25" s="21">
        <f>SUM(OSRRefH22x_0)</f>
        <v>170685.74403456462</v>
      </c>
      <c r="I25" s="21"/>
      <c r="J25" s="33">
        <f t="shared" ref="J25:J36" si="13">IF(H$12=0,0,H25/H$12)</f>
        <v>0.4991555583860886</v>
      </c>
      <c r="K25" s="4"/>
      <c r="L25" s="21">
        <f t="shared" ref="L25:L36" si="14">+D25-H25</f>
        <v>11324.285965435411</v>
      </c>
      <c r="M25" s="4"/>
      <c r="N25" s="33">
        <f t="shared" ref="N25:N36" si="15">IF(H25=0,0,L25/H25)</f>
        <v>6.6345821846388014E-2</v>
      </c>
      <c r="O25" s="10"/>
      <c r="P25" s="21">
        <f>SUM(OSRRefP22x_0)</f>
        <v>926603.56999999983</v>
      </c>
      <c r="Q25" s="21"/>
      <c r="R25" s="33">
        <f t="shared" ref="R25:R36" si="16">IF(P$12=0,0,P25/P$12)</f>
        <v>0.46397423910383145</v>
      </c>
      <c r="S25" s="21"/>
      <c r="T25" s="21">
        <f>SUM(OSRRefT22x_0)</f>
        <v>946992.53170173545</v>
      </c>
      <c r="U25" s="21"/>
      <c r="V25" s="33">
        <f t="shared" ref="V25:V36" si="17">IF(T$12=0,0,T25/T$12)</f>
        <v>0.48781258973439268</v>
      </c>
      <c r="W25" s="4"/>
      <c r="X25" s="21">
        <f t="shared" ref="X25:X36" si="18">+P25-T25</f>
        <v>-20388.961701735621</v>
      </c>
      <c r="Y25" s="4"/>
      <c r="Z25" s="33">
        <f t="shared" ref="Z25:Z36" si="19">IF(T25=0,0,X25/T25)</f>
        <v>-2.1530224388461517E-2</v>
      </c>
    </row>
    <row r="26" spans="1:26" s="26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33098.26</v>
      </c>
      <c r="E26" s="1"/>
      <c r="F26" s="5">
        <f t="shared" si="12"/>
        <v>7.5922484894186709E-2</v>
      </c>
      <c r="G26" s="1"/>
      <c r="H26" s="1">
        <f>SUM(OSRRefH22_0x_0)</f>
        <v>30100.970950641524</v>
      </c>
      <c r="I26" s="1"/>
      <c r="J26" s="5">
        <f t="shared" si="13"/>
        <v>8.8027661875430319E-2</v>
      </c>
      <c r="K26" s="1"/>
      <c r="L26" s="1">
        <f t="shared" si="14"/>
        <v>2997.2890493584782</v>
      </c>
      <c r="M26" s="1"/>
      <c r="N26" s="5">
        <f t="shared" si="15"/>
        <v>9.9574497257026148E-2</v>
      </c>
      <c r="O26" s="13"/>
      <c r="P26" s="1">
        <f>SUM(OSRRefP22_0x_0)</f>
        <v>166951.17000000001</v>
      </c>
      <c r="Q26" s="1"/>
      <c r="R26" s="5">
        <f t="shared" si="16"/>
        <v>8.3596744687962327E-2</v>
      </c>
      <c r="S26" s="1"/>
      <c r="T26" s="1">
        <f>SUM(OSRRefT22_0x_0)</f>
        <v>167662.35265365854</v>
      </c>
      <c r="U26" s="1"/>
      <c r="V26" s="5">
        <f t="shared" si="17"/>
        <v>8.6365841029358889E-2</v>
      </c>
      <c r="W26" s="1"/>
      <c r="X26" s="1">
        <f t="shared" si="18"/>
        <v>-711.18265365852858</v>
      </c>
      <c r="Y26" s="1"/>
      <c r="Z26" s="5">
        <f t="shared" si="19"/>
        <v>-4.2417551847648482E-3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3923.43</v>
      </c>
      <c r="E27" s="2"/>
      <c r="F27" s="7">
        <f t="shared" si="12"/>
        <v>8.9997647884933803E-3</v>
      </c>
      <c r="G27" s="2"/>
      <c r="H27" s="6">
        <v>2868.6248765630799</v>
      </c>
      <c r="I27" s="2"/>
      <c r="J27" s="7">
        <f t="shared" si="13"/>
        <v>8.3890430343796299E-3</v>
      </c>
      <c r="K27" s="2"/>
      <c r="L27" s="6">
        <f t="shared" si="14"/>
        <v>1054.80512343692</v>
      </c>
      <c r="M27" s="2"/>
      <c r="N27" s="7">
        <f t="shared" si="15"/>
        <v>0.36770409824399541</v>
      </c>
      <c r="O27" s="11"/>
      <c r="P27" s="6">
        <v>25743.3</v>
      </c>
      <c r="Q27" s="2"/>
      <c r="R27" s="7">
        <f t="shared" si="16"/>
        <v>1.2890332409923336E-2</v>
      </c>
      <c r="S27" s="2"/>
      <c r="T27" s="6">
        <v>21013.925541096942</v>
      </c>
      <c r="U27" s="2"/>
      <c r="V27" s="7">
        <f t="shared" si="17"/>
        <v>1.0824644435439757E-2</v>
      </c>
      <c r="W27" s="2"/>
      <c r="X27" s="6">
        <f t="shared" si="18"/>
        <v>4729.3744589030575</v>
      </c>
      <c r="Y27" s="2"/>
      <c r="Z27" s="7">
        <f t="shared" si="19"/>
        <v>0.22505906617275379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4044.38</v>
      </c>
      <c r="E28" s="2"/>
      <c r="F28" s="7">
        <f t="shared" si="12"/>
        <v>9.2772060965244357E-3</v>
      </c>
      <c r="G28" s="2"/>
      <c r="H28" s="6">
        <v>3671.6978552953797</v>
      </c>
      <c r="I28" s="2"/>
      <c r="J28" s="7">
        <f t="shared" si="13"/>
        <v>1.0737559856280847E-2</v>
      </c>
      <c r="K28" s="2"/>
      <c r="L28" s="6">
        <f t="shared" si="14"/>
        <v>372.68214470462044</v>
      </c>
      <c r="M28" s="2"/>
      <c r="N28" s="7">
        <f t="shared" si="15"/>
        <v>0.1015013106721547</v>
      </c>
      <c r="O28" s="11"/>
      <c r="P28" s="6">
        <v>12522.69</v>
      </c>
      <c r="Q28" s="2"/>
      <c r="R28" s="7">
        <f t="shared" si="16"/>
        <v>6.2704329579511119E-3</v>
      </c>
      <c r="S28" s="2"/>
      <c r="T28" s="6">
        <v>20350.855287584611</v>
      </c>
      <c r="U28" s="2"/>
      <c r="V28" s="7">
        <f t="shared" si="17"/>
        <v>1.048308522909581E-2</v>
      </c>
      <c r="W28" s="2"/>
      <c r="X28" s="6">
        <f t="shared" si="18"/>
        <v>-7828.1652875846103</v>
      </c>
      <c r="Y28" s="2"/>
      <c r="Z28" s="7">
        <f t="shared" si="19"/>
        <v>-0.38466026007075571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17316.740000000002</v>
      </c>
      <c r="E29" s="2"/>
      <c r="F29" s="7">
        <f t="shared" si="12"/>
        <v>3.9722025600939709E-2</v>
      </c>
      <c r="G29" s="2"/>
      <c r="H29" s="6">
        <v>16958.384615384599</v>
      </c>
      <c r="I29" s="2"/>
      <c r="J29" s="7">
        <f t="shared" si="13"/>
        <v>4.9593315422430242E-2</v>
      </c>
      <c r="K29" s="2"/>
      <c r="L29" s="6">
        <f t="shared" si="14"/>
        <v>358.35538461540273</v>
      </c>
      <c r="M29" s="2"/>
      <c r="N29" s="7">
        <f t="shared" si="15"/>
        <v>2.1131457549931006E-2</v>
      </c>
      <c r="O29" s="11"/>
      <c r="P29" s="6">
        <v>84062.66</v>
      </c>
      <c r="Q29" s="2"/>
      <c r="R29" s="7">
        <f t="shared" si="16"/>
        <v>4.2092335895645316E-2</v>
      </c>
      <c r="S29" s="2"/>
      <c r="T29" s="6">
        <v>90603.615384615405</v>
      </c>
      <c r="U29" s="2"/>
      <c r="V29" s="7">
        <f t="shared" si="17"/>
        <v>4.6671523565920331E-2</v>
      </c>
      <c r="W29" s="2"/>
      <c r="X29" s="6">
        <f t="shared" si="18"/>
        <v>-6540.9553846154013</v>
      </c>
      <c r="Y29" s="2"/>
      <c r="Z29" s="7">
        <f t="shared" si="19"/>
        <v>-7.219309468886892E-2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271.41000000000003</v>
      </c>
      <c r="E30" s="2"/>
      <c r="F30" s="7">
        <f t="shared" si="12"/>
        <v>6.2257416628944291E-4</v>
      </c>
      <c r="G30" s="2"/>
      <c r="H30" s="6">
        <v>246.04160886</v>
      </c>
      <c r="I30" s="2"/>
      <c r="J30" s="7">
        <f t="shared" si="13"/>
        <v>7.1952720686418146E-4</v>
      </c>
      <c r="K30" s="2"/>
      <c r="L30" s="6">
        <f t="shared" si="14"/>
        <v>25.368391140000028</v>
      </c>
      <c r="M30" s="2"/>
      <c r="N30" s="7">
        <f t="shared" si="15"/>
        <v>0.10310610167743978</v>
      </c>
      <c r="O30" s="11"/>
      <c r="P30" s="6">
        <v>1215.7</v>
      </c>
      <c r="Q30" s="2"/>
      <c r="R30" s="7">
        <f t="shared" si="16"/>
        <v>6.0873225696564935E-4</v>
      </c>
      <c r="S30" s="2"/>
      <c r="T30" s="6">
        <v>1363.7171068999999</v>
      </c>
      <c r="U30" s="2"/>
      <c r="V30" s="7">
        <f t="shared" si="17"/>
        <v>7.0247478339301823E-4</v>
      </c>
      <c r="W30" s="2"/>
      <c r="X30" s="6">
        <f t="shared" si="18"/>
        <v>-148.01710689999982</v>
      </c>
      <c r="Y30" s="2"/>
      <c r="Z30" s="7">
        <f t="shared" si="19"/>
        <v>-0.10853945158499341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1216.6600000000001</v>
      </c>
      <c r="E31" s="2"/>
      <c r="F31" s="7">
        <f t="shared" si="12"/>
        <v>2.7908370552216706E-3</v>
      </c>
      <c r="G31" s="2"/>
      <c r="H31" s="6">
        <v>1267.60705538462</v>
      </c>
      <c r="I31" s="2"/>
      <c r="J31" s="7">
        <f t="shared" si="13"/>
        <v>3.7070061774844201E-3</v>
      </c>
      <c r="K31" s="2"/>
      <c r="L31" s="6">
        <f t="shared" si="14"/>
        <v>-50.947055384619944</v>
      </c>
      <c r="M31" s="2"/>
      <c r="N31" s="7">
        <f t="shared" si="15"/>
        <v>-4.0191520840945051E-2</v>
      </c>
      <c r="O31" s="11"/>
      <c r="P31" s="6">
        <v>6644.21</v>
      </c>
      <c r="Q31" s="2"/>
      <c r="R31" s="7">
        <f t="shared" si="16"/>
        <v>3.3269268314993308E-3</v>
      </c>
      <c r="S31" s="2"/>
      <c r="T31" s="6">
        <v>6971.8388046153996</v>
      </c>
      <c r="U31" s="2"/>
      <c r="V31" s="7">
        <f t="shared" si="17"/>
        <v>3.5913173849203418E-3</v>
      </c>
      <c r="W31" s="2"/>
      <c r="X31" s="6">
        <f t="shared" si="18"/>
        <v>-327.62880461539953</v>
      </c>
      <c r="Y31" s="2"/>
      <c r="Z31" s="7">
        <f t="shared" si="19"/>
        <v>-4.6993169778754389E-2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"6117", " - ", "RETIREMENT STAFF HOURLY")</f>
        <v xml:space="preserve">          6117 - RETIREMENT STAFF HOURLY</v>
      </c>
      <c r="C33" s="11"/>
      <c r="D33" s="6">
        <v>694.87</v>
      </c>
      <c r="E33" s="2"/>
      <c r="F33" s="7">
        <f t="shared" si="12"/>
        <v>1.5939284143161459E-3</v>
      </c>
      <c r="G33" s="2"/>
      <c r="H33" s="6"/>
      <c r="I33" s="2"/>
      <c r="J33" s="7">
        <f t="shared" si="13"/>
        <v>0</v>
      </c>
      <c r="K33" s="2"/>
      <c r="L33" s="6">
        <f t="shared" si="14"/>
        <v>694.87</v>
      </c>
      <c r="M33" s="2"/>
      <c r="N33" s="7">
        <f t="shared" si="15"/>
        <v>0</v>
      </c>
      <c r="O33" s="11"/>
      <c r="P33" s="6">
        <v>3688.96</v>
      </c>
      <c r="Q33" s="2"/>
      <c r="R33" s="7">
        <f t="shared" si="16"/>
        <v>1.847157149507281E-3</v>
      </c>
      <c r="S33" s="2"/>
      <c r="T33" s="6"/>
      <c r="U33" s="2"/>
      <c r="V33" s="7">
        <f t="shared" si="17"/>
        <v>0</v>
      </c>
      <c r="W33" s="2"/>
      <c r="X33" s="6">
        <f t="shared" si="18"/>
        <v>3688.96</v>
      </c>
      <c r="Y33" s="2"/>
      <c r="Z33" s="7">
        <f t="shared" si="19"/>
        <v>0</v>
      </c>
    </row>
    <row r="34" spans="1:26" s="24" customFormat="1" hidden="1" outlineLevel="2" x14ac:dyDescent="0.25">
      <c r="A34" s="25"/>
      <c r="B34" s="11" t="str">
        <f>CONCATENATE("          ", "6118", " - ", "VACATION")</f>
        <v xml:space="preserve">          6118 - VACATION</v>
      </c>
      <c r="C34" s="11"/>
      <c r="D34" s="6">
        <v>2637.87</v>
      </c>
      <c r="E34" s="2"/>
      <c r="F34" s="7">
        <f t="shared" si="12"/>
        <v>6.0508813825206603E-3</v>
      </c>
      <c r="G34" s="2"/>
      <c r="H34" s="6">
        <v>1124.5099476923101</v>
      </c>
      <c r="I34" s="2"/>
      <c r="J34" s="7">
        <f t="shared" si="13"/>
        <v>3.2885311777262403E-3</v>
      </c>
      <c r="K34" s="2"/>
      <c r="L34" s="6">
        <f t="shared" si="14"/>
        <v>1513.3600523076898</v>
      </c>
      <c r="M34" s="2"/>
      <c r="N34" s="7">
        <f t="shared" si="15"/>
        <v>1.3457951665197516</v>
      </c>
      <c r="O34" s="11"/>
      <c r="P34" s="6">
        <v>15325.79</v>
      </c>
      <c r="Q34" s="2"/>
      <c r="R34" s="7">
        <f t="shared" si="16"/>
        <v>7.6740172217500853E-3</v>
      </c>
      <c r="S34" s="2"/>
      <c r="T34" s="6">
        <v>6184.8047123076894</v>
      </c>
      <c r="U34" s="2"/>
      <c r="V34" s="7">
        <f t="shared" si="17"/>
        <v>3.1859022143403038E-3</v>
      </c>
      <c r="W34" s="2"/>
      <c r="X34" s="6">
        <f t="shared" si="18"/>
        <v>9140.9852876923105</v>
      </c>
      <c r="Y34" s="2"/>
      <c r="Z34" s="7">
        <f t="shared" si="19"/>
        <v>1.4779747644257637</v>
      </c>
    </row>
    <row r="35" spans="1:26" s="24" customFormat="1" hidden="1" outlineLevel="2" x14ac:dyDescent="0.25">
      <c r="A35" s="25"/>
      <c r="B35" s="11" t="str">
        <f>CONCATENATE("          ", "6119", " - ", "SICK LEAVE")</f>
        <v xml:space="preserve">          6119 - SICK LEAVE</v>
      </c>
      <c r="C35" s="11"/>
      <c r="D35" s="6">
        <v>1637.04</v>
      </c>
      <c r="E35" s="2"/>
      <c r="F35" s="7">
        <f t="shared" si="12"/>
        <v>3.7551262414150894E-3</v>
      </c>
      <c r="G35" s="2"/>
      <c r="H35" s="6">
        <v>2464.1049914615401</v>
      </c>
      <c r="I35" s="2"/>
      <c r="J35" s="7">
        <f t="shared" si="13"/>
        <v>7.2060599430369444E-3</v>
      </c>
      <c r="K35" s="2"/>
      <c r="L35" s="6">
        <f t="shared" si="14"/>
        <v>-827.0649914615401</v>
      </c>
      <c r="M35" s="2"/>
      <c r="N35" s="7">
        <f t="shared" si="15"/>
        <v>-0.33564519138893556</v>
      </c>
      <c r="O35" s="11"/>
      <c r="P35" s="6">
        <v>11095.97</v>
      </c>
      <c r="Q35" s="2"/>
      <c r="R35" s="7">
        <f t="shared" si="16"/>
        <v>5.5560375596965823E-3</v>
      </c>
      <c r="S35" s="2"/>
      <c r="T35" s="6">
        <v>13673.59581653846</v>
      </c>
      <c r="U35" s="2"/>
      <c r="V35" s="7">
        <f t="shared" si="17"/>
        <v>7.0435108651393397E-3</v>
      </c>
      <c r="W35" s="2"/>
      <c r="X35" s="6">
        <f t="shared" si="18"/>
        <v>-2577.6258165384606</v>
      </c>
      <c r="Y35" s="2"/>
      <c r="Z35" s="7">
        <f t="shared" si="19"/>
        <v>-0.18851118982329257</v>
      </c>
    </row>
    <row r="36" spans="1:26" s="24" customFormat="1" hidden="1" outlineLevel="2" x14ac:dyDescent="0.25">
      <c r="A36" s="25"/>
      <c r="B36" s="11" t="str">
        <f>CONCATENATE("          ", "6156", " - ", "EMPLOYEE MEALS")</f>
        <v xml:space="preserve">          6156 - EMPLOYEE MEALS</v>
      </c>
      <c r="C36" s="11"/>
      <c r="D36" s="6">
        <v>1355.86</v>
      </c>
      <c r="E36" s="2"/>
      <c r="F36" s="7">
        <f t="shared" si="12"/>
        <v>3.1101411484661724E-3</v>
      </c>
      <c r="G36" s="2"/>
      <c r="H36" s="6">
        <v>1500</v>
      </c>
      <c r="I36" s="2"/>
      <c r="J36" s="7">
        <f t="shared" si="13"/>
        <v>4.3866190572278323E-3</v>
      </c>
      <c r="K36" s="2"/>
      <c r="L36" s="6">
        <f t="shared" si="14"/>
        <v>-144.1400000000001</v>
      </c>
      <c r="M36" s="2"/>
      <c r="N36" s="7">
        <f t="shared" si="15"/>
        <v>-9.6093333333333406E-2</v>
      </c>
      <c r="O36" s="11"/>
      <c r="P36" s="6">
        <v>6651.89</v>
      </c>
      <c r="Q36" s="2"/>
      <c r="R36" s="7">
        <f t="shared" si="16"/>
        <v>3.3307724050236349E-3</v>
      </c>
      <c r="S36" s="2"/>
      <c r="T36" s="6">
        <v>7500</v>
      </c>
      <c r="U36" s="2"/>
      <c r="V36" s="7">
        <f t="shared" si="17"/>
        <v>3.8633825511099756E-3</v>
      </c>
      <c r="W36" s="2"/>
      <c r="X36" s="6">
        <f t="shared" si="18"/>
        <v>-848.10999999999967</v>
      </c>
      <c r="Y36" s="2"/>
      <c r="Z36" s="7">
        <f t="shared" si="19"/>
        <v>-0.11308133333333328</v>
      </c>
    </row>
    <row r="37" spans="1:26" s="26" customFormat="1" outlineLevel="1" collapsed="1" x14ac:dyDescent="0.25">
      <c r="A37" s="27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90142.56</v>
      </c>
      <c r="E37" s="1"/>
      <c r="F37" s="5">
        <f t="shared" ref="F37:F47" si="20">IF(D$12=0,0,D37/D$12)</f>
        <v>0.20677362344495809</v>
      </c>
      <c r="G37" s="1"/>
      <c r="H37" s="1">
        <f>SUM(OSRRefH22_1x_0)</f>
        <v>91042.773083923094</v>
      </c>
      <c r="I37" s="1"/>
      <c r="J37" s="5">
        <f t="shared" ref="J37:J47" si="21">IF(H$12=0,0,H37/H$12)</f>
        <v>0.26624664228853745</v>
      </c>
      <c r="K37" s="1"/>
      <c r="L37" s="1">
        <f t="shared" ref="L37:L47" si="22">+D37-H37</f>
        <v>-900.21308392309584</v>
      </c>
      <c r="M37" s="1"/>
      <c r="N37" s="5">
        <f t="shared" ref="N37:N47" si="23">IF(H37=0,0,L37/H37)</f>
        <v>-9.8878038687736456E-3</v>
      </c>
      <c r="O37" s="13"/>
      <c r="P37" s="1">
        <f>SUM(OSRRefP22_1x_0)</f>
        <v>484999.16999999993</v>
      </c>
      <c r="Q37" s="1"/>
      <c r="R37" s="5">
        <f t="shared" ref="R37:R47" si="24">IF(P$12=0,0,P37/P$12)</f>
        <v>0.24285155826319535</v>
      </c>
      <c r="S37" s="1"/>
      <c r="T37" s="1">
        <f>SUM(OSRRefT22_1x_0)</f>
        <v>504648.17904807685</v>
      </c>
      <c r="U37" s="1"/>
      <c r="V37" s="5">
        <f t="shared" ref="V37:V47" si="25">IF(T$12=0,0,T37/T$12)</f>
        <v>0.25995319591783506</v>
      </c>
      <c r="W37" s="1"/>
      <c r="X37" s="1">
        <f t="shared" ref="X37:X47" si="26">+P37-T37</f>
        <v>-19649.009048076929</v>
      </c>
      <c r="Y37" s="1"/>
      <c r="Z37" s="5">
        <f t="shared" ref="Z37:Z47" si="27">IF(T37=0,0,X37/T37)</f>
        <v>-3.8936054589835359E-2</v>
      </c>
    </row>
    <row r="38" spans="1:26" s="24" customFormat="1" hidden="1" outlineLevel="2" x14ac:dyDescent="0.25">
      <c r="A38" s="25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"6002", " - ", "STAFF SALARIES")</f>
        <v xml:space="preserve">          6002 - STAFF SALARIES</v>
      </c>
      <c r="C39" s="11"/>
      <c r="D39" s="6">
        <v>13591.67</v>
      </c>
      <c r="E39" s="2"/>
      <c r="F39" s="7">
        <f t="shared" si="20"/>
        <v>3.1177269145319743E-2</v>
      </c>
      <c r="G39" s="2"/>
      <c r="H39" s="6">
        <v>14002.6360769231</v>
      </c>
      <c r="I39" s="2"/>
      <c r="J39" s="7">
        <f t="shared" si="21"/>
        <v>4.0949486844304557E-2</v>
      </c>
      <c r="K39" s="2"/>
      <c r="L39" s="6">
        <f t="shared" si="22"/>
        <v>-410.96607692309954</v>
      </c>
      <c r="M39" s="2"/>
      <c r="N39" s="7">
        <f t="shared" si="23"/>
        <v>-2.9349193585084164E-2</v>
      </c>
      <c r="O39" s="11"/>
      <c r="P39" s="6">
        <v>76221.319999999992</v>
      </c>
      <c r="Q39" s="2"/>
      <c r="R39" s="7">
        <f t="shared" si="24"/>
        <v>3.8165975283787922E-2</v>
      </c>
      <c r="S39" s="2"/>
      <c r="T39" s="6">
        <v>77014.49842307689</v>
      </c>
      <c r="U39" s="2"/>
      <c r="V39" s="7">
        <f t="shared" si="25"/>
        <v>3.9671529252026931E-2</v>
      </c>
      <c r="W39" s="2"/>
      <c r="X39" s="6">
        <f t="shared" si="26"/>
        <v>-793.17842307689716</v>
      </c>
      <c r="Y39" s="2"/>
      <c r="Z39" s="7">
        <f t="shared" si="27"/>
        <v>-1.0299079255435706E-2</v>
      </c>
    </row>
    <row r="40" spans="1:26" s="24" customFormat="1" hidden="1" outlineLevel="2" x14ac:dyDescent="0.25">
      <c r="A40" s="25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"6004", " - ", "STAFF HOURLY")</f>
        <v xml:space="preserve">          6004 - STAFF HOURLY</v>
      </c>
      <c r="C41" s="11"/>
      <c r="D41" s="6">
        <v>20471.449999999997</v>
      </c>
      <c r="E41" s="2"/>
      <c r="F41" s="7">
        <f t="shared" si="20"/>
        <v>4.6958461060705253E-2</v>
      </c>
      <c r="G41" s="2"/>
      <c r="H41" s="6">
        <v>21606.845600000001</v>
      </c>
      <c r="I41" s="2"/>
      <c r="J41" s="7">
        <f t="shared" si="21"/>
        <v>6.3187333783692887E-2</v>
      </c>
      <c r="K41" s="2"/>
      <c r="L41" s="6">
        <f t="shared" si="22"/>
        <v>-1135.3956000000035</v>
      </c>
      <c r="M41" s="2"/>
      <c r="N41" s="7">
        <f t="shared" si="23"/>
        <v>-5.2547957301088105E-2</v>
      </c>
      <c r="O41" s="11"/>
      <c r="P41" s="6">
        <v>105377.62999999999</v>
      </c>
      <c r="Q41" s="2"/>
      <c r="R41" s="7">
        <f t="shared" si="24"/>
        <v>5.2765289580974838E-2</v>
      </c>
      <c r="S41" s="2"/>
      <c r="T41" s="6">
        <v>118837.6508</v>
      </c>
      <c r="U41" s="2"/>
      <c r="V41" s="7">
        <f t="shared" si="25"/>
        <v>6.1215374202082729E-2</v>
      </c>
      <c r="W41" s="2"/>
      <c r="X41" s="6">
        <f t="shared" si="26"/>
        <v>-13460.020800000013</v>
      </c>
      <c r="Y41" s="2"/>
      <c r="Z41" s="7">
        <f t="shared" si="27"/>
        <v>-0.11326394210411313</v>
      </c>
    </row>
    <row r="42" spans="1:26" s="24" customFormat="1" hidden="1" outlineLevel="2" x14ac:dyDescent="0.25">
      <c r="A42" s="25"/>
      <c r="B42" s="11" t="str">
        <f>CONCATENATE("          ", "6005", " - ", "TEMPORARY WAGES-HOURLY")</f>
        <v xml:space="preserve">          6005 - TEMPORARY WAGES-HOURLY</v>
      </c>
      <c r="C42" s="11"/>
      <c r="D42" s="6">
        <v>14473.38</v>
      </c>
      <c r="E42" s="2"/>
      <c r="F42" s="7">
        <f t="shared" si="20"/>
        <v>3.3199780726171829E-2</v>
      </c>
      <c r="G42" s="2"/>
      <c r="H42" s="6">
        <v>20513.291407000001</v>
      </c>
      <c r="I42" s="2"/>
      <c r="J42" s="7">
        <f t="shared" si="21"/>
        <v>5.9989330008276089E-2</v>
      </c>
      <c r="K42" s="2"/>
      <c r="L42" s="6">
        <f t="shared" si="22"/>
        <v>-6039.9114070000014</v>
      </c>
      <c r="M42" s="2"/>
      <c r="N42" s="7">
        <f t="shared" si="23"/>
        <v>-0.29443892192449084</v>
      </c>
      <c r="O42" s="11"/>
      <c r="P42" s="6">
        <v>97116.25</v>
      </c>
      <c r="Q42" s="2"/>
      <c r="R42" s="7">
        <f t="shared" si="24"/>
        <v>4.8628604137978315E-2</v>
      </c>
      <c r="S42" s="2"/>
      <c r="T42" s="6">
        <v>102663.269825</v>
      </c>
      <c r="U42" s="2"/>
      <c r="V42" s="7">
        <f t="shared" si="25"/>
        <v>5.2883664704240031E-2</v>
      </c>
      <c r="W42" s="2"/>
      <c r="X42" s="6">
        <f t="shared" si="26"/>
        <v>-5547.0198249999958</v>
      </c>
      <c r="Y42" s="2"/>
      <c r="Z42" s="7">
        <f t="shared" si="27"/>
        <v>-5.4031201562695752E-2</v>
      </c>
    </row>
    <row r="43" spans="1:26" s="24" customFormat="1" hidden="1" outlineLevel="2" x14ac:dyDescent="0.25">
      <c r="A43" s="25"/>
      <c r="B43" s="11" t="str">
        <f>CONCATENATE("          ", "6006", " - ", "TEMPORARY PART TIME")</f>
        <v xml:space="preserve">          6006 - TEMPORARY PART TIME</v>
      </c>
      <c r="C43" s="11"/>
      <c r="D43" s="6">
        <v>858</v>
      </c>
      <c r="E43" s="2"/>
      <c r="F43" s="7">
        <f t="shared" si="20"/>
        <v>1.9681243678432701E-3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858</v>
      </c>
      <c r="M43" s="2"/>
      <c r="N43" s="7">
        <f t="shared" si="23"/>
        <v>0</v>
      </c>
      <c r="O43" s="11"/>
      <c r="P43" s="6">
        <v>8067</v>
      </c>
      <c r="Q43" s="2"/>
      <c r="R43" s="7">
        <f t="shared" si="24"/>
        <v>4.0393543776769706E-3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8067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"6007", " - ", "STUDENT HOURLY")</f>
        <v xml:space="preserve">          6007 - STUDENT HOURLY</v>
      </c>
      <c r="C44" s="11"/>
      <c r="D44" s="6">
        <v>30944.060000000005</v>
      </c>
      <c r="E44" s="2"/>
      <c r="F44" s="7">
        <f t="shared" si="20"/>
        <v>7.098107054312848E-2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30944.060000000005</v>
      </c>
      <c r="M44" s="2"/>
      <c r="N44" s="7">
        <f t="shared" si="23"/>
        <v>0</v>
      </c>
      <c r="O44" s="11"/>
      <c r="P44" s="6">
        <v>147153.97</v>
      </c>
      <c r="Q44" s="2"/>
      <c r="R44" s="7">
        <f t="shared" si="24"/>
        <v>7.3683777477630538E-2</v>
      </c>
      <c r="S44" s="2"/>
      <c r="T44" s="6">
        <v>66371.28</v>
      </c>
      <c r="U44" s="2"/>
      <c r="V44" s="7">
        <f t="shared" si="25"/>
        <v>3.4189019339577929E-2</v>
      </c>
      <c r="W44" s="2"/>
      <c r="X44" s="6">
        <f t="shared" si="26"/>
        <v>80782.69</v>
      </c>
      <c r="Y44" s="2"/>
      <c r="Z44" s="7">
        <f t="shared" si="27"/>
        <v>1.2171332238884047</v>
      </c>
    </row>
    <row r="45" spans="1:26" s="24" customFormat="1" hidden="1" outlineLevel="2" x14ac:dyDescent="0.25">
      <c r="A45" s="25"/>
      <c r="B45" s="11" t="str">
        <f>CONCATENATE("          ", "6008", " - ", "STUDENT HOURLY-FICA EXEMPT")</f>
        <v xml:space="preserve">          6008 - STUDENT HOURLY-FICA EXEMPT</v>
      </c>
      <c r="C45" s="11"/>
      <c r="D45" s="6">
        <v>9804</v>
      </c>
      <c r="E45" s="2"/>
      <c r="F45" s="7">
        <f t="shared" si="20"/>
        <v>2.2488917601789535E-2</v>
      </c>
      <c r="G45" s="2"/>
      <c r="H45" s="6">
        <v>34920</v>
      </c>
      <c r="I45" s="2"/>
      <c r="J45" s="7">
        <f t="shared" si="21"/>
        <v>0.10212049165226393</v>
      </c>
      <c r="K45" s="2"/>
      <c r="L45" s="6">
        <f t="shared" si="22"/>
        <v>-25116</v>
      </c>
      <c r="M45" s="2"/>
      <c r="N45" s="7">
        <f t="shared" si="23"/>
        <v>-0.71924398625429553</v>
      </c>
      <c r="O45" s="11"/>
      <c r="P45" s="6">
        <v>51063</v>
      </c>
      <c r="Q45" s="2"/>
      <c r="R45" s="7">
        <f t="shared" si="24"/>
        <v>2.5568557405146786E-2</v>
      </c>
      <c r="S45" s="2"/>
      <c r="T45" s="6">
        <v>139761.47999999998</v>
      </c>
      <c r="U45" s="2"/>
      <c r="V45" s="7">
        <f t="shared" si="25"/>
        <v>7.1993608419907429E-2</v>
      </c>
      <c r="W45" s="2"/>
      <c r="X45" s="6">
        <f t="shared" si="26"/>
        <v>-88698.479999999981</v>
      </c>
      <c r="Y45" s="2"/>
      <c r="Z45" s="7">
        <f t="shared" si="27"/>
        <v>-0.63464181976321365</v>
      </c>
    </row>
    <row r="46" spans="1:26" s="24" customFormat="1" hidden="1" outlineLevel="2" x14ac:dyDescent="0.25">
      <c r="A46" s="25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5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6" customFormat="1" outlineLevel="1" collapsed="1" x14ac:dyDescent="0.25">
      <c r="A48" s="27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73.47</v>
      </c>
      <c r="E48" s="1"/>
      <c r="F48" s="5">
        <f t="shared" ref="F48:F69" si="28">IF(D$12=0,0,D48/D$12)</f>
        <v>1.6852925093874716E-4</v>
      </c>
      <c r="G48" s="1"/>
      <c r="H48" s="1">
        <f>SUM(OSRRefH22_2x_0)</f>
        <v>100</v>
      </c>
      <c r="I48" s="1"/>
      <c r="J48" s="5">
        <f t="shared" ref="J48:J69" si="29">IF(H$12=0,0,H48/H$12)</f>
        <v>2.924412704818555E-4</v>
      </c>
      <c r="K48" s="1"/>
      <c r="L48" s="1">
        <f t="shared" ref="L48:L69" si="30">+D48-H48</f>
        <v>-26.53</v>
      </c>
      <c r="M48" s="1"/>
      <c r="N48" s="5">
        <f t="shared" ref="N48:N69" si="31">IF(H48=0,0,L48/H48)</f>
        <v>-0.26530000000000004</v>
      </c>
      <c r="O48" s="13"/>
      <c r="P48" s="1">
        <f>SUM(OSRRefP22_2x_0)</f>
        <v>2435.9499999999998</v>
      </c>
      <c r="Q48" s="1"/>
      <c r="R48" s="5">
        <f t="shared" ref="R48:R69" si="32">IF(P$12=0,0,P48/P$12)</f>
        <v>1.2197428159541608E-3</v>
      </c>
      <c r="S48" s="1"/>
      <c r="T48" s="1">
        <f>SUM(OSRRefT22_2x_0)</f>
        <v>3200</v>
      </c>
      <c r="U48" s="1"/>
      <c r="V48" s="5">
        <f t="shared" ref="V48:V69" si="33">IF(T$12=0,0,T48/T$12)</f>
        <v>1.6483765551402563E-3</v>
      </c>
      <c r="W48" s="1"/>
      <c r="X48" s="1">
        <f t="shared" ref="X48:X69" si="34">+P48-T48</f>
        <v>-764.05000000000018</v>
      </c>
      <c r="Y48" s="1"/>
      <c r="Z48" s="5">
        <f t="shared" ref="Z48:Z69" si="35">IF(T48=0,0,X48/T48)</f>
        <v>-0.23876562500000006</v>
      </c>
    </row>
    <row r="49" spans="1:26" s="24" customFormat="1" hidden="1" outlineLevel="2" x14ac:dyDescent="0.25">
      <c r="A49" s="25"/>
      <c r="B49" s="11" t="str">
        <f>CONCATENATE("          ", "6362", " - ", "ADVERTISING EXPENSE")</f>
        <v xml:space="preserve">          6362 - ADVERTISING EXPENSE</v>
      </c>
      <c r="C49" s="11"/>
      <c r="D49" s="6">
        <v>73.47</v>
      </c>
      <c r="E49" s="2"/>
      <c r="F49" s="7">
        <f t="shared" si="28"/>
        <v>1.6852925093874716E-4</v>
      </c>
      <c r="G49" s="2"/>
      <c r="H49" s="6">
        <v>100</v>
      </c>
      <c r="I49" s="2"/>
      <c r="J49" s="7">
        <f t="shared" si="29"/>
        <v>2.924412704818555E-4</v>
      </c>
      <c r="K49" s="2"/>
      <c r="L49" s="6">
        <f t="shared" si="30"/>
        <v>-26.53</v>
      </c>
      <c r="M49" s="2"/>
      <c r="N49" s="7">
        <f t="shared" si="31"/>
        <v>-0.26530000000000004</v>
      </c>
      <c r="O49" s="11"/>
      <c r="P49" s="6">
        <v>2435.9499999999998</v>
      </c>
      <c r="Q49" s="2"/>
      <c r="R49" s="7">
        <f t="shared" si="32"/>
        <v>1.2197428159541608E-3</v>
      </c>
      <c r="S49" s="2"/>
      <c r="T49" s="6">
        <v>3200</v>
      </c>
      <c r="U49" s="2"/>
      <c r="V49" s="7">
        <f t="shared" si="33"/>
        <v>1.6483765551402563E-3</v>
      </c>
      <c r="W49" s="2"/>
      <c r="X49" s="6">
        <f t="shared" si="34"/>
        <v>-764.05000000000018</v>
      </c>
      <c r="Y49" s="2"/>
      <c r="Z49" s="7">
        <f t="shared" si="35"/>
        <v>-0.23876562500000006</v>
      </c>
    </row>
    <row r="50" spans="1:26" s="26" customFormat="1" outlineLevel="1" collapsed="1" x14ac:dyDescent="0.25">
      <c r="A50" s="27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8</v>
      </c>
      <c r="I50" s="1"/>
      <c r="J50" s="5">
        <f t="shared" si="29"/>
        <v>2.3395301638548437E-5</v>
      </c>
      <c r="K50" s="1"/>
      <c r="L50" s="1">
        <f t="shared" si="30"/>
        <v>-8</v>
      </c>
      <c r="M50" s="1"/>
      <c r="N50" s="5">
        <f t="shared" si="31"/>
        <v>-1</v>
      </c>
      <c r="O50" s="13"/>
      <c r="P50" s="1">
        <f>SUM(OSRRefP22_3x_0)</f>
        <v>16.239999999999998</v>
      </c>
      <c r="Q50" s="1"/>
      <c r="R50" s="5">
        <f t="shared" si="32"/>
        <v>8.1317856816008427E-6</v>
      </c>
      <c r="S50" s="1"/>
      <c r="T50" s="1">
        <f>SUM(OSRRefT22_3x_0)</f>
        <v>40</v>
      </c>
      <c r="U50" s="1"/>
      <c r="V50" s="5">
        <f t="shared" si="33"/>
        <v>2.0604706939253205E-5</v>
      </c>
      <c r="W50" s="1"/>
      <c r="X50" s="1">
        <f t="shared" si="34"/>
        <v>-23.76</v>
      </c>
      <c r="Y50" s="1"/>
      <c r="Z50" s="5">
        <f t="shared" si="35"/>
        <v>-0.59400000000000008</v>
      </c>
    </row>
    <row r="51" spans="1:26" s="24" customFormat="1" hidden="1" outlineLevel="2" x14ac:dyDescent="0.25">
      <c r="A51" s="25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8</v>
      </c>
      <c r="I51" s="2"/>
      <c r="J51" s="7">
        <f t="shared" si="29"/>
        <v>2.3395301638548437E-5</v>
      </c>
      <c r="K51" s="2"/>
      <c r="L51" s="6">
        <f t="shared" si="30"/>
        <v>-8</v>
      </c>
      <c r="M51" s="2"/>
      <c r="N51" s="7">
        <f t="shared" si="31"/>
        <v>-1</v>
      </c>
      <c r="O51" s="11"/>
      <c r="P51" s="6">
        <v>16.239999999999998</v>
      </c>
      <c r="Q51" s="2"/>
      <c r="R51" s="7">
        <f t="shared" si="32"/>
        <v>8.1317856816008427E-6</v>
      </c>
      <c r="S51" s="2"/>
      <c r="T51" s="6">
        <v>40</v>
      </c>
      <c r="U51" s="2"/>
      <c r="V51" s="7">
        <f t="shared" si="33"/>
        <v>2.0604706939253205E-5</v>
      </c>
      <c r="W51" s="2"/>
      <c r="X51" s="6">
        <f t="shared" si="34"/>
        <v>-23.76</v>
      </c>
      <c r="Y51" s="2"/>
      <c r="Z51" s="7">
        <f t="shared" si="35"/>
        <v>-0.59400000000000008</v>
      </c>
    </row>
    <row r="52" spans="1:26" s="26" customFormat="1" outlineLevel="1" collapsed="1" x14ac:dyDescent="0.25">
      <c r="A52" s="27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133.75</v>
      </c>
      <c r="E52" s="1"/>
      <c r="F52" s="5">
        <f t="shared" si="28"/>
        <v>3.0680260396158203E-4</v>
      </c>
      <c r="G52" s="1"/>
      <c r="H52" s="1">
        <f>SUM(OSRRefH22_4x_0)</f>
        <v>170</v>
      </c>
      <c r="I52" s="1"/>
      <c r="J52" s="5">
        <f t="shared" si="29"/>
        <v>4.9715015981915435E-4</v>
      </c>
      <c r="K52" s="1"/>
      <c r="L52" s="1">
        <f t="shared" si="30"/>
        <v>-36.25</v>
      </c>
      <c r="M52" s="1"/>
      <c r="N52" s="5">
        <f t="shared" si="31"/>
        <v>-0.21323529411764705</v>
      </c>
      <c r="O52" s="13"/>
      <c r="P52" s="1">
        <f>SUM(OSRRefP22_4x_0)</f>
        <v>844.08</v>
      </c>
      <c r="Q52" s="1"/>
      <c r="R52" s="5">
        <f t="shared" si="32"/>
        <v>4.2265256515551969E-4</v>
      </c>
      <c r="S52" s="1"/>
      <c r="T52" s="1">
        <f>SUM(OSRRefT22_4x_0)</f>
        <v>850</v>
      </c>
      <c r="U52" s="1"/>
      <c r="V52" s="5">
        <f t="shared" si="33"/>
        <v>4.3785002245913057E-4</v>
      </c>
      <c r="W52" s="1"/>
      <c r="X52" s="1">
        <f t="shared" si="34"/>
        <v>-5.9199999999999591</v>
      </c>
      <c r="Y52" s="1"/>
      <c r="Z52" s="5">
        <f t="shared" si="35"/>
        <v>-6.9647058823528929E-3</v>
      </c>
    </row>
    <row r="53" spans="1:26" s="24" customFormat="1" hidden="1" outlineLevel="2" x14ac:dyDescent="0.25">
      <c r="A53" s="25"/>
      <c r="B53" s="11" t="str">
        <f>CONCATENATE("          ", "6381", " - ", "BANK/CREDIT CARD FEES")</f>
        <v xml:space="preserve">          6381 - BANK/CREDIT CARD FEES</v>
      </c>
      <c r="C53" s="11"/>
      <c r="D53" s="6">
        <v>133.75</v>
      </c>
      <c r="E53" s="2"/>
      <c r="F53" s="7">
        <f t="shared" si="28"/>
        <v>3.0680260396158203E-4</v>
      </c>
      <c r="G53" s="2"/>
      <c r="H53" s="6">
        <v>170</v>
      </c>
      <c r="I53" s="2"/>
      <c r="J53" s="7">
        <f t="shared" si="29"/>
        <v>4.9715015981915435E-4</v>
      </c>
      <c r="K53" s="2"/>
      <c r="L53" s="6">
        <f t="shared" si="30"/>
        <v>-36.25</v>
      </c>
      <c r="M53" s="2"/>
      <c r="N53" s="7">
        <f t="shared" si="31"/>
        <v>-0.21323529411764705</v>
      </c>
      <c r="O53" s="11"/>
      <c r="P53" s="6">
        <v>844.08</v>
      </c>
      <c r="Q53" s="2"/>
      <c r="R53" s="7">
        <f t="shared" si="32"/>
        <v>4.2265256515551969E-4</v>
      </c>
      <c r="S53" s="2"/>
      <c r="T53" s="6">
        <v>850</v>
      </c>
      <c r="U53" s="2"/>
      <c r="V53" s="7">
        <f t="shared" si="33"/>
        <v>4.3785002245913057E-4</v>
      </c>
      <c r="W53" s="2"/>
      <c r="X53" s="6">
        <f t="shared" si="34"/>
        <v>-5.9199999999999591</v>
      </c>
      <c r="Y53" s="2"/>
      <c r="Z53" s="7">
        <f t="shared" si="35"/>
        <v>-6.9647058823528929E-3</v>
      </c>
    </row>
    <row r="54" spans="1:26" s="26" customFormat="1" outlineLevel="1" collapsed="1" x14ac:dyDescent="0.25">
      <c r="A54" s="27"/>
      <c r="B54" s="13" t="str">
        <f>CONCATENATE("     ","Donations                                         ")</f>
        <v xml:space="preserve">     Donations                                         </v>
      </c>
      <c r="C54" s="13"/>
      <c r="D54" s="1">
        <f>SUM(OSRRefD22_5x_0)</f>
        <v>3538.59</v>
      </c>
      <c r="E54" s="1"/>
      <c r="F54" s="5">
        <f t="shared" si="28"/>
        <v>8.1169990755320717E-3</v>
      </c>
      <c r="G54" s="1"/>
      <c r="H54" s="1">
        <f>SUM(OSRRefH22_5x_0)</f>
        <v>4100</v>
      </c>
      <c r="I54" s="1"/>
      <c r="J54" s="5">
        <f t="shared" si="29"/>
        <v>1.1990092089756075E-2</v>
      </c>
      <c r="K54" s="1"/>
      <c r="L54" s="1">
        <f t="shared" si="30"/>
        <v>-561.40999999999985</v>
      </c>
      <c r="M54" s="1"/>
      <c r="N54" s="5">
        <f t="shared" si="31"/>
        <v>-0.1369292682926829</v>
      </c>
      <c r="O54" s="13"/>
      <c r="P54" s="1">
        <f>SUM(OSRRefP22_5x_0)</f>
        <v>14885.070000000002</v>
      </c>
      <c r="Q54" s="1"/>
      <c r="R54" s="5">
        <f t="shared" si="32"/>
        <v>7.4533373827356079E-3</v>
      </c>
      <c r="S54" s="1"/>
      <c r="T54" s="1">
        <f>SUM(OSRRefT22_5x_0)</f>
        <v>14400</v>
      </c>
      <c r="U54" s="1"/>
      <c r="V54" s="5">
        <f t="shared" si="33"/>
        <v>7.4176944981311534E-3</v>
      </c>
      <c r="W54" s="1"/>
      <c r="X54" s="1">
        <f t="shared" si="34"/>
        <v>485.07000000000153</v>
      </c>
      <c r="Y54" s="1"/>
      <c r="Z54" s="5">
        <f t="shared" si="35"/>
        <v>3.3685416666666773E-2</v>
      </c>
    </row>
    <row r="55" spans="1:26" s="24" customFormat="1" hidden="1" outlineLevel="2" x14ac:dyDescent="0.25">
      <c r="A55" s="25"/>
      <c r="B55" s="11" t="str">
        <f>CONCATENATE("          ", "6399", " - ", "DONATION-ON CAMPUS")</f>
        <v xml:space="preserve">          6399 - DONATION-ON CAMPUS</v>
      </c>
      <c r="C55" s="11"/>
      <c r="D55" s="6">
        <v>3538.59</v>
      </c>
      <c r="E55" s="2"/>
      <c r="F55" s="7">
        <f t="shared" si="28"/>
        <v>8.1169990755320717E-3</v>
      </c>
      <c r="G55" s="2"/>
      <c r="H55" s="6">
        <v>4100</v>
      </c>
      <c r="I55" s="2"/>
      <c r="J55" s="7">
        <f t="shared" si="29"/>
        <v>1.1990092089756075E-2</v>
      </c>
      <c r="K55" s="2"/>
      <c r="L55" s="6">
        <f t="shared" si="30"/>
        <v>-561.40999999999985</v>
      </c>
      <c r="M55" s="2"/>
      <c r="N55" s="7">
        <f t="shared" si="31"/>
        <v>-0.1369292682926829</v>
      </c>
      <c r="O55" s="11"/>
      <c r="P55" s="6">
        <v>14885.070000000002</v>
      </c>
      <c r="Q55" s="2"/>
      <c r="R55" s="7">
        <f t="shared" si="32"/>
        <v>7.4533373827356079E-3</v>
      </c>
      <c r="S55" s="2"/>
      <c r="T55" s="6">
        <v>14400</v>
      </c>
      <c r="U55" s="2"/>
      <c r="V55" s="7">
        <f t="shared" si="33"/>
        <v>7.4176944981311534E-3</v>
      </c>
      <c r="W55" s="2"/>
      <c r="X55" s="6">
        <f t="shared" si="34"/>
        <v>485.07000000000153</v>
      </c>
      <c r="Y55" s="2"/>
      <c r="Z55" s="7">
        <f t="shared" si="35"/>
        <v>3.3685416666666773E-2</v>
      </c>
    </row>
    <row r="56" spans="1:26" s="26" customFormat="1" outlineLevel="1" collapsed="1" x14ac:dyDescent="0.25">
      <c r="A56" s="27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172.19</v>
      </c>
      <c r="E56" s="1"/>
      <c r="F56" s="5">
        <f t="shared" si="28"/>
        <v>3.9497824580295187E-4</v>
      </c>
      <c r="G56" s="1"/>
      <c r="H56" s="1">
        <f>SUM(OSRRefH22_6x_0)</f>
        <v>145</v>
      </c>
      <c r="I56" s="1"/>
      <c r="J56" s="5">
        <f t="shared" si="29"/>
        <v>4.2403984219869042E-4</v>
      </c>
      <c r="K56" s="1"/>
      <c r="L56" s="1">
        <f t="shared" si="30"/>
        <v>27.189999999999998</v>
      </c>
      <c r="M56" s="1"/>
      <c r="N56" s="5">
        <f t="shared" si="31"/>
        <v>0.18751724137931033</v>
      </c>
      <c r="O56" s="13"/>
      <c r="P56" s="1">
        <f>SUM(OSRRefP22_6x_0)</f>
        <v>1012.18</v>
      </c>
      <c r="Q56" s="1"/>
      <c r="R56" s="5">
        <f t="shared" si="32"/>
        <v>5.068245585715973E-4</v>
      </c>
      <c r="S56" s="1"/>
      <c r="T56" s="1">
        <f>SUM(OSRRefT22_6x_0)</f>
        <v>725</v>
      </c>
      <c r="U56" s="1"/>
      <c r="V56" s="5">
        <f t="shared" si="33"/>
        <v>3.7346031327396432E-4</v>
      </c>
      <c r="W56" s="1"/>
      <c r="X56" s="1">
        <f t="shared" si="34"/>
        <v>287.17999999999995</v>
      </c>
      <c r="Y56" s="1"/>
      <c r="Z56" s="5">
        <f t="shared" si="35"/>
        <v>0.39611034482758611</v>
      </c>
    </row>
    <row r="57" spans="1:26" s="24" customFormat="1" hidden="1" outlineLevel="2" x14ac:dyDescent="0.25">
      <c r="A57" s="25"/>
      <c r="B57" s="11" t="str">
        <f>CONCATENATE("          ", "6277", " - ", "EMPLOYEE APPRECIATION")</f>
        <v xml:space="preserve">          6277 - EMPLOYEE APPRECIATION</v>
      </c>
      <c r="C57" s="11"/>
      <c r="D57" s="6">
        <v>172.19</v>
      </c>
      <c r="E57" s="2"/>
      <c r="F57" s="7">
        <f t="shared" si="28"/>
        <v>3.9497824580295187E-4</v>
      </c>
      <c r="G57" s="2"/>
      <c r="H57" s="6">
        <v>145</v>
      </c>
      <c r="I57" s="2"/>
      <c r="J57" s="7">
        <f t="shared" si="29"/>
        <v>4.2403984219869042E-4</v>
      </c>
      <c r="K57" s="2"/>
      <c r="L57" s="6">
        <f t="shared" si="30"/>
        <v>27.189999999999998</v>
      </c>
      <c r="M57" s="2"/>
      <c r="N57" s="7">
        <f t="shared" si="31"/>
        <v>0.18751724137931033</v>
      </c>
      <c r="O57" s="11"/>
      <c r="P57" s="6">
        <v>1012.18</v>
      </c>
      <c r="Q57" s="2"/>
      <c r="R57" s="7">
        <f t="shared" si="32"/>
        <v>5.068245585715973E-4</v>
      </c>
      <c r="S57" s="2"/>
      <c r="T57" s="6">
        <v>725</v>
      </c>
      <c r="U57" s="2"/>
      <c r="V57" s="7">
        <f t="shared" si="33"/>
        <v>3.7346031327396432E-4</v>
      </c>
      <c r="W57" s="2"/>
      <c r="X57" s="6">
        <f t="shared" si="34"/>
        <v>287.17999999999995</v>
      </c>
      <c r="Y57" s="2"/>
      <c r="Z57" s="7">
        <f t="shared" si="35"/>
        <v>0.39611034482758611</v>
      </c>
    </row>
    <row r="58" spans="1:26" s="26" customFormat="1" outlineLevel="1" collapsed="1" x14ac:dyDescent="0.25">
      <c r="A58" s="27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-2817.31</v>
      </c>
      <c r="E58" s="1"/>
      <c r="F58" s="5">
        <f t="shared" si="28"/>
        <v>-6.4624900498467634E-3</v>
      </c>
      <c r="G58" s="1"/>
      <c r="H58" s="1">
        <f>SUM(OSRRefH22_7x_0)</f>
        <v>270</v>
      </c>
      <c r="I58" s="1"/>
      <c r="J58" s="5">
        <f t="shared" si="29"/>
        <v>7.8959143030100985E-4</v>
      </c>
      <c r="K58" s="1"/>
      <c r="L58" s="1">
        <f t="shared" si="30"/>
        <v>-3087.31</v>
      </c>
      <c r="M58" s="1"/>
      <c r="N58" s="5">
        <f t="shared" si="31"/>
        <v>-11.434481481481482</v>
      </c>
      <c r="O58" s="13"/>
      <c r="P58" s="1">
        <f>SUM(OSRRefP22_7x_0)</f>
        <v>1392.89</v>
      </c>
      <c r="Q58" s="1"/>
      <c r="R58" s="5">
        <f t="shared" si="32"/>
        <v>6.9745584717025857E-4</v>
      </c>
      <c r="S58" s="1"/>
      <c r="T58" s="1">
        <f>SUM(OSRRefT22_7x_0)</f>
        <v>1350</v>
      </c>
      <c r="U58" s="1"/>
      <c r="V58" s="5">
        <f t="shared" si="33"/>
        <v>6.9540885919979563E-4</v>
      </c>
      <c r="W58" s="1"/>
      <c r="X58" s="1">
        <f t="shared" si="34"/>
        <v>42.8900000000001</v>
      </c>
      <c r="Y58" s="1"/>
      <c r="Z58" s="5">
        <f t="shared" si="35"/>
        <v>3.1770370370370442E-2</v>
      </c>
    </row>
    <row r="59" spans="1:26" s="24" customFormat="1" hidden="1" outlineLevel="2" x14ac:dyDescent="0.25">
      <c r="A59" s="25"/>
      <c r="B59" s="11" t="str">
        <f>CONCATENATE("          ", "6351", " - ", "EQUIPMENT RENTAL")</f>
        <v xml:space="preserve">          6351 - EQUIPMENT RENTAL</v>
      </c>
      <c r="C59" s="11"/>
      <c r="D59" s="6">
        <v>-2817.31</v>
      </c>
      <c r="E59" s="2"/>
      <c r="F59" s="7">
        <f t="shared" si="28"/>
        <v>-6.4624900498467634E-3</v>
      </c>
      <c r="G59" s="2"/>
      <c r="H59" s="6">
        <v>270</v>
      </c>
      <c r="I59" s="2"/>
      <c r="J59" s="7">
        <f t="shared" si="29"/>
        <v>7.8959143030100985E-4</v>
      </c>
      <c r="K59" s="2"/>
      <c r="L59" s="6">
        <f t="shared" si="30"/>
        <v>-3087.31</v>
      </c>
      <c r="M59" s="2"/>
      <c r="N59" s="7">
        <f t="shared" si="31"/>
        <v>-11.434481481481482</v>
      </c>
      <c r="O59" s="11"/>
      <c r="P59" s="6">
        <v>1392.89</v>
      </c>
      <c r="Q59" s="2"/>
      <c r="R59" s="7">
        <f t="shared" si="32"/>
        <v>6.9745584717025857E-4</v>
      </c>
      <c r="S59" s="2"/>
      <c r="T59" s="6">
        <v>1350</v>
      </c>
      <c r="U59" s="2"/>
      <c r="V59" s="7">
        <f t="shared" si="33"/>
        <v>6.9540885919979563E-4</v>
      </c>
      <c r="W59" s="2"/>
      <c r="X59" s="6">
        <f t="shared" si="34"/>
        <v>42.8900000000001</v>
      </c>
      <c r="Y59" s="2"/>
      <c r="Z59" s="7">
        <f t="shared" si="35"/>
        <v>3.1770370370370442E-2</v>
      </c>
    </row>
    <row r="60" spans="1:26" s="26" customFormat="1" outlineLevel="1" collapsed="1" x14ac:dyDescent="0.25">
      <c r="A60" s="27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SUM(OSRRefD22_8x_0)</f>
        <v>0</v>
      </c>
      <c r="E60" s="1"/>
      <c r="F60" s="5">
        <f t="shared" si="28"/>
        <v>0</v>
      </c>
      <c r="G60" s="1"/>
      <c r="H60" s="1">
        <f>SUM(OSRRefH22_8x_0)</f>
        <v>1</v>
      </c>
      <c r="I60" s="1"/>
      <c r="J60" s="5">
        <f t="shared" si="29"/>
        <v>2.9244127048185547E-6</v>
      </c>
      <c r="K60" s="1"/>
      <c r="L60" s="1">
        <f t="shared" si="30"/>
        <v>-1</v>
      </c>
      <c r="M60" s="1"/>
      <c r="N60" s="5">
        <f t="shared" si="31"/>
        <v>-1</v>
      </c>
      <c r="O60" s="13"/>
      <c r="P60" s="1">
        <f>SUM(OSRRefP22_8x_0)</f>
        <v>0</v>
      </c>
      <c r="Q60" s="1"/>
      <c r="R60" s="5">
        <f t="shared" si="32"/>
        <v>0</v>
      </c>
      <c r="S60" s="1"/>
      <c r="T60" s="1">
        <f>SUM(OSRRefT22_8x_0)</f>
        <v>5</v>
      </c>
      <c r="U60" s="1"/>
      <c r="V60" s="5">
        <f t="shared" si="33"/>
        <v>2.5755883674066506E-6</v>
      </c>
      <c r="W60" s="1"/>
      <c r="X60" s="1">
        <f t="shared" si="34"/>
        <v>-5</v>
      </c>
      <c r="Y60" s="1"/>
      <c r="Z60" s="5">
        <f t="shared" si="35"/>
        <v>-1</v>
      </c>
    </row>
    <row r="61" spans="1:26" s="24" customFormat="1" hidden="1" outlineLevel="2" x14ac:dyDescent="0.25">
      <c r="A61" s="25"/>
      <c r="B61" s="11" t="str">
        <f>CONCATENATE("          ", "6307", " - ", "POSTAGE")</f>
        <v xml:space="preserve">          6307 - POSTAGE</v>
      </c>
      <c r="C61" s="11"/>
      <c r="D61" s="6"/>
      <c r="E61" s="2"/>
      <c r="F61" s="7">
        <f t="shared" si="28"/>
        <v>0</v>
      </c>
      <c r="G61" s="2"/>
      <c r="H61" s="6">
        <v>1</v>
      </c>
      <c r="I61" s="2"/>
      <c r="J61" s="7">
        <f t="shared" si="29"/>
        <v>2.9244127048185547E-6</v>
      </c>
      <c r="K61" s="2"/>
      <c r="L61" s="6">
        <f t="shared" si="30"/>
        <v>-1</v>
      </c>
      <c r="M61" s="2"/>
      <c r="N61" s="7">
        <f t="shared" si="31"/>
        <v>-1</v>
      </c>
      <c r="O61" s="11"/>
      <c r="P61" s="6"/>
      <c r="Q61" s="2"/>
      <c r="R61" s="7">
        <f t="shared" si="32"/>
        <v>0</v>
      </c>
      <c r="S61" s="2"/>
      <c r="T61" s="6">
        <v>5</v>
      </c>
      <c r="U61" s="2"/>
      <c r="V61" s="7">
        <f t="shared" si="33"/>
        <v>2.5755883674066506E-6</v>
      </c>
      <c r="W61" s="2"/>
      <c r="X61" s="6">
        <f t="shared" si="34"/>
        <v>-5</v>
      </c>
      <c r="Y61" s="2"/>
      <c r="Z61" s="7">
        <f t="shared" si="35"/>
        <v>-1</v>
      </c>
    </row>
    <row r="62" spans="1:26" s="26" customFormat="1" outlineLevel="1" collapsed="1" x14ac:dyDescent="0.25">
      <c r="A62" s="27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0</v>
      </c>
      <c r="E62" s="1"/>
      <c r="F62" s="5">
        <f t="shared" si="28"/>
        <v>0</v>
      </c>
      <c r="G62" s="1"/>
      <c r="H62" s="1">
        <f>SUM(OSRRefH22_9x_0)</f>
        <v>300</v>
      </c>
      <c r="I62" s="1"/>
      <c r="J62" s="5">
        <f t="shared" si="29"/>
        <v>8.773238114455664E-4</v>
      </c>
      <c r="K62" s="1"/>
      <c r="L62" s="1">
        <f t="shared" si="30"/>
        <v>-300</v>
      </c>
      <c r="M62" s="1"/>
      <c r="N62" s="5">
        <f t="shared" si="31"/>
        <v>-1</v>
      </c>
      <c r="O62" s="13"/>
      <c r="P62" s="1">
        <f>SUM(OSRRefP22_9x_0)</f>
        <v>2539.62</v>
      </c>
      <c r="Q62" s="1"/>
      <c r="R62" s="5">
        <f t="shared" si="32"/>
        <v>1.2716530512750697E-3</v>
      </c>
      <c r="S62" s="1"/>
      <c r="T62" s="1">
        <f>SUM(OSRRefT22_9x_0)</f>
        <v>2550</v>
      </c>
      <c r="U62" s="1"/>
      <c r="V62" s="5">
        <f t="shared" si="33"/>
        <v>1.3135500673773918E-3</v>
      </c>
      <c r="W62" s="1"/>
      <c r="X62" s="1">
        <f t="shared" si="34"/>
        <v>-10.380000000000109</v>
      </c>
      <c r="Y62" s="1"/>
      <c r="Z62" s="5">
        <f t="shared" si="35"/>
        <v>-4.0705882352941609E-3</v>
      </c>
    </row>
    <row r="63" spans="1:26" s="24" customFormat="1" hidden="1" outlineLevel="2" x14ac:dyDescent="0.25">
      <c r="A63" s="25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28"/>
        <v>0</v>
      </c>
      <c r="G63" s="2"/>
      <c r="H63" s="6">
        <v>300</v>
      </c>
      <c r="I63" s="2"/>
      <c r="J63" s="7">
        <f t="shared" si="29"/>
        <v>8.773238114455664E-4</v>
      </c>
      <c r="K63" s="2"/>
      <c r="L63" s="6">
        <f t="shared" si="30"/>
        <v>-300</v>
      </c>
      <c r="M63" s="2"/>
      <c r="N63" s="7">
        <f t="shared" si="31"/>
        <v>-1</v>
      </c>
      <c r="O63" s="11"/>
      <c r="P63" s="6">
        <v>2539.62</v>
      </c>
      <c r="Q63" s="2"/>
      <c r="R63" s="7">
        <f t="shared" si="32"/>
        <v>1.2716530512750697E-3</v>
      </c>
      <c r="S63" s="2"/>
      <c r="T63" s="6">
        <v>2550</v>
      </c>
      <c r="U63" s="2"/>
      <c r="V63" s="7">
        <f t="shared" si="33"/>
        <v>1.3135500673773918E-3</v>
      </c>
      <c r="W63" s="2"/>
      <c r="X63" s="6">
        <f t="shared" si="34"/>
        <v>-10.380000000000109</v>
      </c>
      <c r="Y63" s="2"/>
      <c r="Z63" s="7">
        <f t="shared" si="35"/>
        <v>-4.0705882352941609E-3</v>
      </c>
    </row>
    <row r="64" spans="1:26" s="26" customFormat="1" outlineLevel="1" collapsed="1" x14ac:dyDescent="0.25">
      <c r="A64" s="27"/>
      <c r="B64" s="13" t="str">
        <f>CONCATENATE("     ","R/H Commissions                                   ")</f>
        <v xml:space="preserve">     R/H Commissions                                   </v>
      </c>
      <c r="C64" s="13"/>
      <c r="D64" s="1">
        <f>SUM(OSRRefD22_10x_0)</f>
        <v>34460.519999999997</v>
      </c>
      <c r="E64" s="1"/>
      <c r="F64" s="5">
        <f t="shared" si="28"/>
        <v>7.9047306690618144E-2</v>
      </c>
      <c r="G64" s="1"/>
      <c r="H64" s="1">
        <f>SUM(OSRRefH22_10x_0)</f>
        <v>27356</v>
      </c>
      <c r="I64" s="1"/>
      <c r="J64" s="5">
        <f t="shared" si="29"/>
        <v>8.0000233953016392E-2</v>
      </c>
      <c r="K64" s="1"/>
      <c r="L64" s="1">
        <f t="shared" si="30"/>
        <v>7104.5199999999968</v>
      </c>
      <c r="M64" s="1"/>
      <c r="N64" s="5">
        <f t="shared" si="31"/>
        <v>0.25970609738265815</v>
      </c>
      <c r="O64" s="13"/>
      <c r="P64" s="1">
        <f>SUM(OSRRefP22_10x_0)</f>
        <v>154819.35999999999</v>
      </c>
      <c r="Q64" s="1"/>
      <c r="R64" s="5">
        <f t="shared" si="32"/>
        <v>7.7522035399175251E-2</v>
      </c>
      <c r="S64" s="1"/>
      <c r="T64" s="1">
        <f>SUM(OSRRefT22_10x_0)</f>
        <v>155302</v>
      </c>
      <c r="U64" s="1"/>
      <c r="V64" s="5">
        <f t="shared" si="33"/>
        <v>7.9998804926997527E-2</v>
      </c>
      <c r="W64" s="1"/>
      <c r="X64" s="1">
        <f t="shared" si="34"/>
        <v>-482.64000000001397</v>
      </c>
      <c r="Y64" s="1"/>
      <c r="Z64" s="5">
        <f t="shared" si="35"/>
        <v>-3.1077513489846491E-3</v>
      </c>
    </row>
    <row r="65" spans="1:26" s="24" customFormat="1" hidden="1" outlineLevel="2" x14ac:dyDescent="0.25">
      <c r="A65" s="25"/>
      <c r="B65" s="11" t="str">
        <f>CONCATENATE("          ", "6387", " - ", "COMMISSION DUE HOUSING")</f>
        <v xml:space="preserve">          6387 - COMMISSION DUE HOUSING</v>
      </c>
      <c r="C65" s="11"/>
      <c r="D65" s="6">
        <v>34460.519999999997</v>
      </c>
      <c r="E65" s="2"/>
      <c r="F65" s="7">
        <f t="shared" si="28"/>
        <v>7.9047306690618144E-2</v>
      </c>
      <c r="G65" s="2"/>
      <c r="H65" s="6">
        <v>27356</v>
      </c>
      <c r="I65" s="2"/>
      <c r="J65" s="7">
        <f t="shared" si="29"/>
        <v>8.0000233953016392E-2</v>
      </c>
      <c r="K65" s="2"/>
      <c r="L65" s="6">
        <f t="shared" si="30"/>
        <v>7104.5199999999968</v>
      </c>
      <c r="M65" s="2"/>
      <c r="N65" s="7">
        <f t="shared" si="31"/>
        <v>0.25970609738265815</v>
      </c>
      <c r="O65" s="11"/>
      <c r="P65" s="6">
        <v>154819.35999999999</v>
      </c>
      <c r="Q65" s="2"/>
      <c r="R65" s="7">
        <f t="shared" si="32"/>
        <v>7.7522035399175251E-2</v>
      </c>
      <c r="S65" s="2"/>
      <c r="T65" s="6">
        <v>155302</v>
      </c>
      <c r="U65" s="2"/>
      <c r="V65" s="7">
        <f t="shared" si="33"/>
        <v>7.9998804926997527E-2</v>
      </c>
      <c r="W65" s="2"/>
      <c r="X65" s="6">
        <f t="shared" si="34"/>
        <v>-482.64000000001397</v>
      </c>
      <c r="Y65" s="2"/>
      <c r="Z65" s="7">
        <f t="shared" si="35"/>
        <v>-3.1077513489846491E-3</v>
      </c>
    </row>
    <row r="66" spans="1:26" s="26" customFormat="1" outlineLevel="1" collapsed="1" x14ac:dyDescent="0.25">
      <c r="A66" s="27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8311.6099999999988</v>
      </c>
      <c r="E66" s="1"/>
      <c r="F66" s="5">
        <f t="shared" si="28"/>
        <v>1.9065596942901865E-2</v>
      </c>
      <c r="G66" s="1"/>
      <c r="H66" s="1">
        <f>SUM(OSRRefH22_11x_0)</f>
        <v>1290</v>
      </c>
      <c r="I66" s="1"/>
      <c r="J66" s="5">
        <f t="shared" si="29"/>
        <v>3.7724923892159356E-3</v>
      </c>
      <c r="K66" s="1"/>
      <c r="L66" s="1">
        <f t="shared" si="30"/>
        <v>7021.6099999999988</v>
      </c>
      <c r="M66" s="1"/>
      <c r="N66" s="5">
        <f t="shared" si="31"/>
        <v>5.4431085271317823</v>
      </c>
      <c r="O66" s="13"/>
      <c r="P66" s="1">
        <f>SUM(OSRRefP22_11x_0)</f>
        <v>8530.8000000000011</v>
      </c>
      <c r="Q66" s="1"/>
      <c r="R66" s="5">
        <f t="shared" si="32"/>
        <v>4.2715909662931328E-3</v>
      </c>
      <c r="S66" s="1"/>
      <c r="T66" s="1">
        <f>SUM(OSRRefT22_11x_0)</f>
        <v>6450</v>
      </c>
      <c r="U66" s="1"/>
      <c r="V66" s="5">
        <f t="shared" si="33"/>
        <v>3.3225089939545789E-3</v>
      </c>
      <c r="W66" s="1"/>
      <c r="X66" s="1">
        <f t="shared" si="34"/>
        <v>2080.8000000000011</v>
      </c>
      <c r="Y66" s="1"/>
      <c r="Z66" s="5">
        <f t="shared" si="35"/>
        <v>0.32260465116279086</v>
      </c>
    </row>
    <row r="67" spans="1:26" s="24" customFormat="1" hidden="1" outlineLevel="2" x14ac:dyDescent="0.25">
      <c r="A67" s="25"/>
      <c r="B67" s="11" t="str">
        <f>CONCATENATE("          ", "6371", " - ", "COMPUTER SOFTWARE MAINTENANCE")</f>
        <v xml:space="preserve">          6371 - COMPUTER SOFTWARE MAINTENANCE</v>
      </c>
      <c r="C67" s="11"/>
      <c r="D67" s="6">
        <v>8238.75</v>
      </c>
      <c r="E67" s="2"/>
      <c r="F67" s="7">
        <f t="shared" si="28"/>
        <v>1.8898466941222311E-2</v>
      </c>
      <c r="G67" s="2"/>
      <c r="H67" s="6">
        <v>1000</v>
      </c>
      <c r="I67" s="2"/>
      <c r="J67" s="7">
        <f t="shared" si="29"/>
        <v>2.924412704818555E-3</v>
      </c>
      <c r="K67" s="2"/>
      <c r="L67" s="6">
        <f t="shared" si="30"/>
        <v>7238.75</v>
      </c>
      <c r="M67" s="2"/>
      <c r="N67" s="7">
        <f t="shared" si="31"/>
        <v>7.2387499999999996</v>
      </c>
      <c r="O67" s="11"/>
      <c r="P67" s="6">
        <v>8238.75</v>
      </c>
      <c r="Q67" s="2"/>
      <c r="R67" s="7">
        <f t="shared" si="32"/>
        <v>4.1253540199685306E-3</v>
      </c>
      <c r="S67" s="2"/>
      <c r="T67" s="6">
        <v>5000</v>
      </c>
      <c r="U67" s="2"/>
      <c r="V67" s="7">
        <f t="shared" si="33"/>
        <v>2.5755883674066504E-3</v>
      </c>
      <c r="W67" s="2"/>
      <c r="X67" s="6">
        <f t="shared" si="34"/>
        <v>3238.75</v>
      </c>
      <c r="Y67" s="2"/>
      <c r="Z67" s="7">
        <f t="shared" si="35"/>
        <v>0.64775000000000005</v>
      </c>
    </row>
    <row r="68" spans="1:26" s="24" customFormat="1" hidden="1" outlineLevel="2" x14ac:dyDescent="0.25">
      <c r="A68" s="25"/>
      <c r="B68" s="11" t="str">
        <f>CONCATENATE("          ", "6373", " - ", "MAINTENANCE CONTRACTS")</f>
        <v xml:space="preserve">          6373 - MAINTENANCE CONTRACTS</v>
      </c>
      <c r="C68" s="11"/>
      <c r="D68" s="6">
        <v>9.73</v>
      </c>
      <c r="E68" s="2"/>
      <c r="F68" s="7">
        <f t="shared" si="28"/>
        <v>2.2319172609691166E-5</v>
      </c>
      <c r="G68" s="2"/>
      <c r="H68" s="6">
        <v>30</v>
      </c>
      <c r="I68" s="2"/>
      <c r="J68" s="7">
        <f t="shared" si="29"/>
        <v>8.773238114455665E-5</v>
      </c>
      <c r="K68" s="2"/>
      <c r="L68" s="6">
        <f t="shared" si="30"/>
        <v>-20.27</v>
      </c>
      <c r="M68" s="2"/>
      <c r="N68" s="7">
        <f t="shared" si="31"/>
        <v>-0.67566666666666664</v>
      </c>
      <c r="O68" s="11"/>
      <c r="P68" s="6">
        <v>123.43</v>
      </c>
      <c r="Q68" s="2"/>
      <c r="R68" s="7">
        <f t="shared" si="32"/>
        <v>6.1804575534482275E-5</v>
      </c>
      <c r="S68" s="2"/>
      <c r="T68" s="6">
        <v>150</v>
      </c>
      <c r="U68" s="2"/>
      <c r="V68" s="7">
        <f t="shared" si="33"/>
        <v>7.7267651022199505E-5</v>
      </c>
      <c r="W68" s="2"/>
      <c r="X68" s="6">
        <f t="shared" si="34"/>
        <v>-26.569999999999993</v>
      </c>
      <c r="Y68" s="2"/>
      <c r="Z68" s="7">
        <f t="shared" si="35"/>
        <v>-0.17713333333333328</v>
      </c>
    </row>
    <row r="69" spans="1:26" s="24" customFormat="1" hidden="1" outlineLevel="2" x14ac:dyDescent="0.25">
      <c r="A69" s="25"/>
      <c r="B69" s="11" t="str">
        <f>CONCATENATE("          ", "6375", " - ", "OUTSIDE REPAIRS &amp; MAINTENANCE")</f>
        <v xml:space="preserve">          6375 - OUTSIDE REPAIRS &amp; MAINTENANCE</v>
      </c>
      <c r="C69" s="11"/>
      <c r="D69" s="6">
        <v>63.13</v>
      </c>
      <c r="E69" s="2"/>
      <c r="F69" s="7">
        <f t="shared" si="28"/>
        <v>1.4481082906986673E-4</v>
      </c>
      <c r="G69" s="2"/>
      <c r="H69" s="6">
        <v>260</v>
      </c>
      <c r="I69" s="2"/>
      <c r="J69" s="7">
        <f t="shared" si="29"/>
        <v>7.603473032528243E-4</v>
      </c>
      <c r="K69" s="2"/>
      <c r="L69" s="6">
        <f t="shared" si="30"/>
        <v>-196.87</v>
      </c>
      <c r="M69" s="2"/>
      <c r="N69" s="7">
        <f t="shared" si="31"/>
        <v>-0.75719230769230772</v>
      </c>
      <c r="O69" s="11"/>
      <c r="P69" s="6">
        <v>168.62</v>
      </c>
      <c r="Q69" s="2"/>
      <c r="R69" s="7">
        <f t="shared" si="32"/>
        <v>8.4432370790119102E-5</v>
      </c>
      <c r="S69" s="2"/>
      <c r="T69" s="6">
        <v>1300</v>
      </c>
      <c r="U69" s="2"/>
      <c r="V69" s="7">
        <f t="shared" si="33"/>
        <v>6.6965297552572906E-4</v>
      </c>
      <c r="W69" s="2"/>
      <c r="X69" s="6">
        <f t="shared" si="34"/>
        <v>-1131.3800000000001</v>
      </c>
      <c r="Y69" s="2"/>
      <c r="Z69" s="7">
        <f t="shared" si="35"/>
        <v>-0.87029230769230781</v>
      </c>
    </row>
    <row r="70" spans="1:26" s="26" customFormat="1" outlineLevel="1" collapsed="1" x14ac:dyDescent="0.25">
      <c r="A70" s="27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5601.8</v>
      </c>
      <c r="E70" s="1"/>
      <c r="F70" s="5">
        <f t="shared" ref="F70:F74" si="36">IF(D$12=0,0,D70/D$12)</f>
        <v>1.2849695901846656E-2</v>
      </c>
      <c r="G70" s="1"/>
      <c r="H70" s="1">
        <f>SUM(OSRRefH22_12x_0)</f>
        <v>5947</v>
      </c>
      <c r="I70" s="1"/>
      <c r="J70" s="5">
        <f t="shared" ref="J70:J74" si="37">IF(H$12=0,0,H70/H$12)</f>
        <v>1.7391482355555946E-2</v>
      </c>
      <c r="K70" s="1"/>
      <c r="L70" s="1">
        <f t="shared" ref="L70:L74" si="38">+D70-H70</f>
        <v>-345.19999999999982</v>
      </c>
      <c r="M70" s="1"/>
      <c r="N70" s="5">
        <f t="shared" ref="N70:N74" si="39">IF(H70=0,0,L70/H70)</f>
        <v>-5.8046073650580093E-2</v>
      </c>
      <c r="O70" s="13"/>
      <c r="P70" s="1">
        <f>SUM(OSRRefP22_12x_0)</f>
        <v>31511.1</v>
      </c>
      <c r="Q70" s="1"/>
      <c r="R70" s="5">
        <f t="shared" ref="R70:R74" si="40">IF(P$12=0,0,P70/P$12)</f>
        <v>1.577841821376184E-2</v>
      </c>
      <c r="S70" s="1"/>
      <c r="T70" s="1">
        <f>SUM(OSRRefT22_12x_0)</f>
        <v>34535</v>
      </c>
      <c r="U70" s="1"/>
      <c r="V70" s="5">
        <f t="shared" ref="V70:V74" si="41">IF(T$12=0,0,T70/T$12)</f>
        <v>1.7789588853677735E-2</v>
      </c>
      <c r="W70" s="1"/>
      <c r="X70" s="1">
        <f t="shared" ref="X70:X74" si="42">+P70-T70</f>
        <v>-3023.9000000000015</v>
      </c>
      <c r="Y70" s="1"/>
      <c r="Z70" s="5">
        <f t="shared" ref="Z70:Z74" si="43">IF(T70=0,0,X70/T70)</f>
        <v>-8.7560445924424538E-2</v>
      </c>
    </row>
    <row r="71" spans="1:26" s="24" customFormat="1" hidden="1" outlineLevel="2" x14ac:dyDescent="0.25">
      <c r="A71" s="25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421.34</v>
      </c>
      <c r="E71" s="2"/>
      <c r="F71" s="7">
        <f t="shared" si="36"/>
        <v>9.6649128338820904E-4</v>
      </c>
      <c r="G71" s="2"/>
      <c r="H71" s="6">
        <v>430</v>
      </c>
      <c r="I71" s="2"/>
      <c r="J71" s="7">
        <f t="shared" si="37"/>
        <v>1.2574974630719785E-3</v>
      </c>
      <c r="K71" s="2"/>
      <c r="L71" s="6">
        <f t="shared" si="38"/>
        <v>-8.660000000000025</v>
      </c>
      <c r="M71" s="2"/>
      <c r="N71" s="7">
        <f t="shared" si="39"/>
        <v>-2.0139534883720989E-2</v>
      </c>
      <c r="O71" s="11"/>
      <c r="P71" s="6">
        <v>2106.6999999999998</v>
      </c>
      <c r="Q71" s="2"/>
      <c r="R71" s="7">
        <f t="shared" si="40"/>
        <v>1.0548788728712126E-3</v>
      </c>
      <c r="S71" s="2"/>
      <c r="T71" s="6">
        <v>2150</v>
      </c>
      <c r="U71" s="2"/>
      <c r="V71" s="7">
        <f t="shared" si="41"/>
        <v>1.1075029979848597E-3</v>
      </c>
      <c r="W71" s="2"/>
      <c r="X71" s="6">
        <f t="shared" si="42"/>
        <v>-43.300000000000182</v>
      </c>
      <c r="Y71" s="2"/>
      <c r="Z71" s="7">
        <f t="shared" si="43"/>
        <v>-2.0139534883721014E-2</v>
      </c>
    </row>
    <row r="72" spans="1:26" s="24" customFormat="1" hidden="1" outlineLevel="2" x14ac:dyDescent="0.25">
      <c r="A72" s="25"/>
      <c r="B72" s="11" t="str">
        <f>CONCATENATE("          ", "6284", " - ", "TRASH REMOVAL EXPENSE")</f>
        <v xml:space="preserve">          6284 - TRASH REMOVAL EXPENSE</v>
      </c>
      <c r="C72" s="11"/>
      <c r="D72" s="6"/>
      <c r="E72" s="2"/>
      <c r="F72" s="7">
        <f t="shared" si="36"/>
        <v>0</v>
      </c>
      <c r="G72" s="2"/>
      <c r="H72" s="6"/>
      <c r="I72" s="2"/>
      <c r="J72" s="7">
        <f t="shared" si="37"/>
        <v>0</v>
      </c>
      <c r="K72" s="2"/>
      <c r="L72" s="6">
        <f t="shared" si="38"/>
        <v>0</v>
      </c>
      <c r="M72" s="2"/>
      <c r="N72" s="7">
        <f t="shared" si="39"/>
        <v>0</v>
      </c>
      <c r="O72" s="11"/>
      <c r="P72" s="6"/>
      <c r="Q72" s="2"/>
      <c r="R72" s="7">
        <f t="shared" si="40"/>
        <v>0</v>
      </c>
      <c r="S72" s="2"/>
      <c r="T72" s="6">
        <v>0</v>
      </c>
      <c r="U72" s="2"/>
      <c r="V72" s="7">
        <f t="shared" si="41"/>
        <v>0</v>
      </c>
      <c r="W72" s="2"/>
      <c r="X72" s="6">
        <f t="shared" si="42"/>
        <v>0</v>
      </c>
      <c r="Y72" s="2"/>
      <c r="Z72" s="7">
        <f t="shared" si="43"/>
        <v>0</v>
      </c>
    </row>
    <row r="73" spans="1:26" s="24" customFormat="1" hidden="1" outlineLevel="2" x14ac:dyDescent="0.25">
      <c r="A73" s="25"/>
      <c r="B73" s="11" t="str">
        <f>CONCATENATE("          ", "6285", " - ", "JANITORIAL SERVICES")</f>
        <v xml:space="preserve">          6285 - JANITORIAL SERVICES</v>
      </c>
      <c r="C73" s="11"/>
      <c r="D73" s="6">
        <v>3916.67</v>
      </c>
      <c r="E73" s="2"/>
      <c r="F73" s="7">
        <f t="shared" si="36"/>
        <v>8.984258354080071E-3</v>
      </c>
      <c r="G73" s="2"/>
      <c r="H73" s="6">
        <v>3917</v>
      </c>
      <c r="I73" s="2"/>
      <c r="J73" s="7">
        <f t="shared" si="37"/>
        <v>1.1454924564774279E-2</v>
      </c>
      <c r="K73" s="2"/>
      <c r="L73" s="6">
        <f t="shared" si="38"/>
        <v>-0.32999999999992724</v>
      </c>
      <c r="M73" s="2"/>
      <c r="N73" s="7">
        <f t="shared" si="39"/>
        <v>-8.4248149093675581E-5</v>
      </c>
      <c r="O73" s="11"/>
      <c r="P73" s="6">
        <v>22237.85</v>
      </c>
      <c r="Q73" s="2"/>
      <c r="R73" s="7">
        <f t="shared" si="40"/>
        <v>1.1135063437166704E-2</v>
      </c>
      <c r="S73" s="2"/>
      <c r="T73" s="6">
        <v>24385</v>
      </c>
      <c r="U73" s="2"/>
      <c r="V73" s="7">
        <f t="shared" si="41"/>
        <v>1.2561144467842233E-2</v>
      </c>
      <c r="W73" s="2"/>
      <c r="X73" s="6">
        <f t="shared" si="42"/>
        <v>-2147.1500000000015</v>
      </c>
      <c r="Y73" s="2"/>
      <c r="Z73" s="7">
        <f t="shared" si="43"/>
        <v>-8.8052081197457513E-2</v>
      </c>
    </row>
    <row r="74" spans="1:26" s="24" customFormat="1" hidden="1" outlineLevel="2" x14ac:dyDescent="0.25">
      <c r="A74" s="25"/>
      <c r="B74" s="11" t="str">
        <f>CONCATENATE("          ", "6286", " - ", "LAUNDRY EXPENSE")</f>
        <v xml:space="preserve">          6286 - LAUNDRY EXPENSE</v>
      </c>
      <c r="C74" s="11"/>
      <c r="D74" s="6">
        <v>1263.79</v>
      </c>
      <c r="E74" s="2"/>
      <c r="F74" s="7">
        <f t="shared" si="36"/>
        <v>2.8989462643783759E-3</v>
      </c>
      <c r="G74" s="2"/>
      <c r="H74" s="6">
        <v>1600</v>
      </c>
      <c r="I74" s="2"/>
      <c r="J74" s="7">
        <f t="shared" si="37"/>
        <v>4.679060327709688E-3</v>
      </c>
      <c r="K74" s="2"/>
      <c r="L74" s="6">
        <f t="shared" si="38"/>
        <v>-336.21000000000004</v>
      </c>
      <c r="M74" s="2"/>
      <c r="N74" s="7">
        <f t="shared" si="39"/>
        <v>-0.21013125000000002</v>
      </c>
      <c r="O74" s="11"/>
      <c r="P74" s="6">
        <v>7166.55</v>
      </c>
      <c r="Q74" s="2"/>
      <c r="R74" s="7">
        <f t="shared" si="40"/>
        <v>3.5884759037239236E-3</v>
      </c>
      <c r="S74" s="2"/>
      <c r="T74" s="6">
        <v>8000</v>
      </c>
      <c r="U74" s="2"/>
      <c r="V74" s="7">
        <f t="shared" si="41"/>
        <v>4.1209413878506409E-3</v>
      </c>
      <c r="W74" s="2"/>
      <c r="X74" s="6">
        <f t="shared" si="42"/>
        <v>-833.44999999999982</v>
      </c>
      <c r="Y74" s="2"/>
      <c r="Z74" s="7">
        <f t="shared" si="43"/>
        <v>-0.10418124999999998</v>
      </c>
    </row>
    <row r="75" spans="1:26" s="26" customFormat="1" outlineLevel="1" collapsed="1" x14ac:dyDescent="0.25">
      <c r="A75" s="27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SUM(OSRRefD22_13x_0)</f>
        <v>8857.59</v>
      </c>
      <c r="E75" s="1"/>
      <c r="F75" s="5">
        <f t="shared" ref="F75:F83" si="44">IF(D$12=0,0,D75/D$12)</f>
        <v>2.0317993845413603E-2</v>
      </c>
      <c r="G75" s="1"/>
      <c r="H75" s="1">
        <f>SUM(OSRRefH22_13x_0)</f>
        <v>8880</v>
      </c>
      <c r="I75" s="1"/>
      <c r="J75" s="5">
        <f t="shared" ref="J75:J83" si="45">IF(H$12=0,0,H75/H$12)</f>
        <v>2.5968784818788768E-2</v>
      </c>
      <c r="K75" s="1"/>
      <c r="L75" s="1">
        <f t="shared" ref="L75:L83" si="46">+D75-H75</f>
        <v>-22.409999999999854</v>
      </c>
      <c r="M75" s="1"/>
      <c r="N75" s="5">
        <f t="shared" ref="N75:N83" si="47">IF(H75=0,0,L75/H75)</f>
        <v>-2.5236486486486321E-3</v>
      </c>
      <c r="O75" s="13"/>
      <c r="P75" s="1">
        <f>SUM(OSRRefP22_13x_0)</f>
        <v>53922.07</v>
      </c>
      <c r="Q75" s="1"/>
      <c r="R75" s="5">
        <f t="shared" ref="R75:R83" si="48">IF(P$12=0,0,P75/P$12)</f>
        <v>2.7000167287455565E-2</v>
      </c>
      <c r="S75" s="1"/>
      <c r="T75" s="1">
        <f>SUM(OSRRefT22_13x_0)</f>
        <v>50400</v>
      </c>
      <c r="U75" s="1"/>
      <c r="V75" s="5">
        <f t="shared" ref="V75:V83" si="49">IF(T$12=0,0,T75/T$12)</f>
        <v>2.5961930743459035E-2</v>
      </c>
      <c r="W75" s="1"/>
      <c r="X75" s="1">
        <f t="shared" ref="X75:X83" si="50">+P75-T75</f>
        <v>3522.0699999999997</v>
      </c>
      <c r="Y75" s="1"/>
      <c r="Z75" s="5">
        <f t="shared" ref="Z75:Z83" si="51">IF(T75=0,0,X75/T75)</f>
        <v>6.9882341269841261E-2</v>
      </c>
    </row>
    <row r="76" spans="1:26" s="24" customFormat="1" hidden="1" outlineLevel="2" x14ac:dyDescent="0.25">
      <c r="A76" s="25"/>
      <c r="B76" s="11" t="str">
        <f>CONCATENATE("          ", "6234", " - ", "EXPENDABLE SUPPLIES &amp; EQUIPMEN")</f>
        <v xml:space="preserve">          6234 - EXPENDABLE SUPPLIES &amp; EQUIPMEN</v>
      </c>
      <c r="C76" s="11"/>
      <c r="D76" s="6"/>
      <c r="E76" s="2"/>
      <c r="F76" s="7">
        <f t="shared" si="44"/>
        <v>0</v>
      </c>
      <c r="G76" s="2"/>
      <c r="H76" s="6"/>
      <c r="I76" s="2"/>
      <c r="J76" s="7">
        <f t="shared" si="45"/>
        <v>0</v>
      </c>
      <c r="K76" s="2"/>
      <c r="L76" s="6">
        <f t="shared" si="46"/>
        <v>0</v>
      </c>
      <c r="M76" s="2"/>
      <c r="N76" s="7">
        <f t="shared" si="47"/>
        <v>0</v>
      </c>
      <c r="O76" s="11"/>
      <c r="P76" s="6">
        <v>100</v>
      </c>
      <c r="Q76" s="2"/>
      <c r="R76" s="7">
        <f t="shared" si="48"/>
        <v>5.0072571931039669E-5</v>
      </c>
      <c r="S76" s="2"/>
      <c r="T76" s="6"/>
      <c r="U76" s="2"/>
      <c r="V76" s="7">
        <f t="shared" si="49"/>
        <v>0</v>
      </c>
      <c r="W76" s="2"/>
      <c r="X76" s="6">
        <f t="shared" si="50"/>
        <v>100</v>
      </c>
      <c r="Y76" s="2"/>
      <c r="Z76" s="7">
        <f t="shared" si="51"/>
        <v>0</v>
      </c>
    </row>
    <row r="77" spans="1:26" s="24" customFormat="1" hidden="1" outlineLevel="2" x14ac:dyDescent="0.25">
      <c r="A77" s="25"/>
      <c r="B77" s="11" t="str">
        <f>CONCATENATE("          ", "6237", " - ", "JANITORIAL SUPPLIES")</f>
        <v xml:space="preserve">          6237 - JANITORIAL SUPPLIES</v>
      </c>
      <c r="C77" s="11"/>
      <c r="D77" s="6">
        <v>3485.61</v>
      </c>
      <c r="E77" s="2"/>
      <c r="F77" s="7">
        <f t="shared" si="44"/>
        <v>7.9954708365946158E-3</v>
      </c>
      <c r="G77" s="2"/>
      <c r="H77" s="6">
        <v>4000</v>
      </c>
      <c r="I77" s="2"/>
      <c r="J77" s="7">
        <f t="shared" si="45"/>
        <v>1.169765081927422E-2</v>
      </c>
      <c r="K77" s="2"/>
      <c r="L77" s="6">
        <f t="shared" si="46"/>
        <v>-514.38999999999987</v>
      </c>
      <c r="M77" s="2"/>
      <c r="N77" s="7">
        <f t="shared" si="47"/>
        <v>-0.12859749999999998</v>
      </c>
      <c r="O77" s="11"/>
      <c r="P77" s="6">
        <v>21001.4</v>
      </c>
      <c r="Q77" s="2"/>
      <c r="R77" s="7">
        <f t="shared" si="48"/>
        <v>1.0515941121525367E-2</v>
      </c>
      <c r="S77" s="2"/>
      <c r="T77" s="6">
        <v>20000</v>
      </c>
      <c r="U77" s="2"/>
      <c r="V77" s="7">
        <f t="shared" si="49"/>
        <v>1.0302353469626602E-2</v>
      </c>
      <c r="W77" s="2"/>
      <c r="X77" s="6">
        <f t="shared" si="50"/>
        <v>1001.4000000000015</v>
      </c>
      <c r="Y77" s="2"/>
      <c r="Z77" s="7">
        <f t="shared" si="51"/>
        <v>5.0070000000000073E-2</v>
      </c>
    </row>
    <row r="78" spans="1:26" s="24" customFormat="1" hidden="1" outlineLevel="2" x14ac:dyDescent="0.25">
      <c r="A78" s="25"/>
      <c r="B78" s="11" t="str">
        <f>CONCATENATE("          ", "6239", " - ", "KITCHEN SUPPLIES")</f>
        <v xml:space="preserve">          6239 - KITCHEN SUPPLIES</v>
      </c>
      <c r="C78" s="11"/>
      <c r="D78" s="6">
        <v>1752.95</v>
      </c>
      <c r="E78" s="2"/>
      <c r="F78" s="7">
        <f t="shared" si="44"/>
        <v>4.0210065391734972E-3</v>
      </c>
      <c r="G78" s="2"/>
      <c r="H78" s="6">
        <v>1000</v>
      </c>
      <c r="I78" s="2"/>
      <c r="J78" s="7">
        <f t="shared" si="45"/>
        <v>2.924412704818555E-3</v>
      </c>
      <c r="K78" s="2"/>
      <c r="L78" s="6">
        <f t="shared" si="46"/>
        <v>752.95</v>
      </c>
      <c r="M78" s="2"/>
      <c r="N78" s="7">
        <f t="shared" si="47"/>
        <v>0.75295000000000001</v>
      </c>
      <c r="O78" s="11"/>
      <c r="P78" s="6">
        <v>15652.969999999998</v>
      </c>
      <c r="Q78" s="2"/>
      <c r="R78" s="7">
        <f t="shared" si="48"/>
        <v>7.8378446625940595E-3</v>
      </c>
      <c r="S78" s="2"/>
      <c r="T78" s="6">
        <v>11000</v>
      </c>
      <c r="U78" s="2"/>
      <c r="V78" s="7">
        <f t="shared" si="49"/>
        <v>5.6662944082946304E-3</v>
      </c>
      <c r="W78" s="2"/>
      <c r="X78" s="6">
        <f t="shared" si="50"/>
        <v>4652.9699999999975</v>
      </c>
      <c r="Y78" s="2"/>
      <c r="Z78" s="7">
        <f t="shared" si="51"/>
        <v>0.4229972727272725</v>
      </c>
    </row>
    <row r="79" spans="1:26" s="24" customFormat="1" hidden="1" outlineLevel="2" x14ac:dyDescent="0.25">
      <c r="A79" s="25"/>
      <c r="B79" s="11" t="str">
        <f>CONCATENATE("          ", "6241", " - ", "OFFICE EXPENSE")</f>
        <v xml:space="preserve">          6241 - OFFICE EXPENSE</v>
      </c>
      <c r="C79" s="11"/>
      <c r="D79" s="6">
        <v>1130.3900000000001</v>
      </c>
      <c r="E79" s="2"/>
      <c r="F79" s="7">
        <f t="shared" si="44"/>
        <v>2.5929465083523945E-3</v>
      </c>
      <c r="G79" s="2"/>
      <c r="H79" s="6">
        <v>305</v>
      </c>
      <c r="I79" s="2"/>
      <c r="J79" s="7">
        <f t="shared" si="45"/>
        <v>8.9194587496965922E-4</v>
      </c>
      <c r="K79" s="2"/>
      <c r="L79" s="6">
        <f t="shared" si="46"/>
        <v>825.3900000000001</v>
      </c>
      <c r="M79" s="2"/>
      <c r="N79" s="7">
        <f t="shared" si="47"/>
        <v>2.7061967213114757</v>
      </c>
      <c r="O79" s="11"/>
      <c r="P79" s="6">
        <v>2439.85</v>
      </c>
      <c r="Q79" s="2"/>
      <c r="R79" s="7">
        <f t="shared" si="48"/>
        <v>1.2216956462594714E-3</v>
      </c>
      <c r="S79" s="2"/>
      <c r="T79" s="6">
        <v>1525</v>
      </c>
      <c r="U79" s="2"/>
      <c r="V79" s="7">
        <f t="shared" si="49"/>
        <v>7.8555445205902839E-4</v>
      </c>
      <c r="W79" s="2"/>
      <c r="X79" s="6">
        <f t="shared" si="50"/>
        <v>914.84999999999991</v>
      </c>
      <c r="Y79" s="2"/>
      <c r="Z79" s="7">
        <f t="shared" si="51"/>
        <v>0.59990163934426222</v>
      </c>
    </row>
    <row r="80" spans="1:26" s="24" customFormat="1" hidden="1" outlineLevel="2" x14ac:dyDescent="0.25">
      <c r="A80" s="25"/>
      <c r="B80" s="11" t="str">
        <f>CONCATENATE("          ", "6243", " - ", "PAPER SUPPLIES")</f>
        <v xml:space="preserve">          6243 - PAPER SUPPLIES</v>
      </c>
      <c r="C80" s="11"/>
      <c r="D80" s="6">
        <v>1918.24</v>
      </c>
      <c r="E80" s="2"/>
      <c r="F80" s="7">
        <f t="shared" si="44"/>
        <v>4.4001572113888977E-3</v>
      </c>
      <c r="G80" s="2"/>
      <c r="H80" s="6">
        <v>3200</v>
      </c>
      <c r="I80" s="2"/>
      <c r="J80" s="7">
        <f t="shared" si="45"/>
        <v>9.358120655419376E-3</v>
      </c>
      <c r="K80" s="2"/>
      <c r="L80" s="6">
        <f t="shared" si="46"/>
        <v>-1281.76</v>
      </c>
      <c r="M80" s="2"/>
      <c r="N80" s="7">
        <f t="shared" si="47"/>
        <v>-0.40055000000000002</v>
      </c>
      <c r="O80" s="11"/>
      <c r="P80" s="6">
        <v>12294.73</v>
      </c>
      <c r="Q80" s="2"/>
      <c r="R80" s="7">
        <f t="shared" si="48"/>
        <v>6.1562875229771137E-3</v>
      </c>
      <c r="S80" s="2"/>
      <c r="T80" s="6">
        <v>16000</v>
      </c>
      <c r="U80" s="2"/>
      <c r="V80" s="7">
        <f t="shared" si="49"/>
        <v>8.2418827757012817E-3</v>
      </c>
      <c r="W80" s="2"/>
      <c r="X80" s="6">
        <f t="shared" si="50"/>
        <v>-3705.2700000000004</v>
      </c>
      <c r="Y80" s="2"/>
      <c r="Z80" s="7">
        <f t="shared" si="51"/>
        <v>-0.23157937500000003</v>
      </c>
    </row>
    <row r="81" spans="1:26" s="24" customFormat="1" hidden="1" outlineLevel="2" x14ac:dyDescent="0.25">
      <c r="A81" s="25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44"/>
        <v>0</v>
      </c>
      <c r="G81" s="2"/>
      <c r="H81" s="6"/>
      <c r="I81" s="2"/>
      <c r="J81" s="7">
        <f t="shared" si="45"/>
        <v>0</v>
      </c>
      <c r="K81" s="2"/>
      <c r="L81" s="6">
        <f t="shared" si="46"/>
        <v>0</v>
      </c>
      <c r="M81" s="2"/>
      <c r="N81" s="7">
        <f t="shared" si="47"/>
        <v>0</v>
      </c>
      <c r="O81" s="11"/>
      <c r="P81" s="6">
        <v>441</v>
      </c>
      <c r="Q81" s="2"/>
      <c r="R81" s="7">
        <f t="shared" si="48"/>
        <v>2.2082004221588494E-4</v>
      </c>
      <c r="S81" s="2"/>
      <c r="T81" s="6"/>
      <c r="U81" s="2"/>
      <c r="V81" s="7">
        <f t="shared" si="49"/>
        <v>0</v>
      </c>
      <c r="W81" s="2"/>
      <c r="X81" s="6">
        <f t="shared" si="50"/>
        <v>441</v>
      </c>
      <c r="Y81" s="2"/>
      <c r="Z81" s="7">
        <f t="shared" si="51"/>
        <v>0</v>
      </c>
    </row>
    <row r="82" spans="1:26" s="24" customFormat="1" hidden="1" outlineLevel="2" x14ac:dyDescent="0.25">
      <c r="A82" s="25"/>
      <c r="B82" s="11" t="str">
        <f>CONCATENATE("          ", "6247", " - ", "STORE SUPPLIES")</f>
        <v xml:space="preserve">          6247 - STORE SUPPLIES</v>
      </c>
      <c r="C82" s="11"/>
      <c r="D82" s="6"/>
      <c r="E82" s="2"/>
      <c r="F82" s="7">
        <f t="shared" si="44"/>
        <v>0</v>
      </c>
      <c r="G82" s="2"/>
      <c r="H82" s="6"/>
      <c r="I82" s="2"/>
      <c r="J82" s="7">
        <f t="shared" si="45"/>
        <v>0</v>
      </c>
      <c r="K82" s="2"/>
      <c r="L82" s="6">
        <f t="shared" si="46"/>
        <v>0</v>
      </c>
      <c r="M82" s="2"/>
      <c r="N82" s="7">
        <f t="shared" si="47"/>
        <v>0</v>
      </c>
      <c r="O82" s="11"/>
      <c r="P82" s="6">
        <v>153.87</v>
      </c>
      <c r="Q82" s="2"/>
      <c r="R82" s="7">
        <f t="shared" si="48"/>
        <v>7.7046666430290747E-5</v>
      </c>
      <c r="S82" s="2"/>
      <c r="T82" s="6"/>
      <c r="U82" s="2"/>
      <c r="V82" s="7">
        <f t="shared" si="49"/>
        <v>0</v>
      </c>
      <c r="W82" s="2"/>
      <c r="X82" s="6">
        <f t="shared" si="50"/>
        <v>153.87</v>
      </c>
      <c r="Y82" s="2"/>
      <c r="Z82" s="7">
        <f t="shared" si="51"/>
        <v>0</v>
      </c>
    </row>
    <row r="83" spans="1:26" s="24" customFormat="1" hidden="1" outlineLevel="2" x14ac:dyDescent="0.25">
      <c r="A83" s="25"/>
      <c r="B83" s="11" t="str">
        <f>CONCATENATE("          ", "6248", " - ", "UNIFORMS")</f>
        <v xml:space="preserve">          6248 - UNIFORMS</v>
      </c>
      <c r="C83" s="11"/>
      <c r="D83" s="6">
        <v>570.4</v>
      </c>
      <c r="E83" s="2"/>
      <c r="F83" s="7">
        <f t="shared" si="44"/>
        <v>1.3084127499041972E-3</v>
      </c>
      <c r="G83" s="2"/>
      <c r="H83" s="6">
        <v>375</v>
      </c>
      <c r="I83" s="2"/>
      <c r="J83" s="7">
        <f t="shared" si="45"/>
        <v>1.0966547643069581E-3</v>
      </c>
      <c r="K83" s="2"/>
      <c r="L83" s="6">
        <f t="shared" si="46"/>
        <v>195.39999999999998</v>
      </c>
      <c r="M83" s="2"/>
      <c r="N83" s="7">
        <f t="shared" si="47"/>
        <v>0.52106666666666657</v>
      </c>
      <c r="O83" s="11"/>
      <c r="P83" s="6">
        <v>1838.25</v>
      </c>
      <c r="Q83" s="2"/>
      <c r="R83" s="7">
        <f t="shared" si="48"/>
        <v>9.2045905352233673E-4</v>
      </c>
      <c r="S83" s="2"/>
      <c r="T83" s="6">
        <v>1875</v>
      </c>
      <c r="U83" s="2"/>
      <c r="V83" s="7">
        <f t="shared" si="49"/>
        <v>9.6584563777749391E-4</v>
      </c>
      <c r="W83" s="2"/>
      <c r="X83" s="6">
        <f t="shared" si="50"/>
        <v>-36.75</v>
      </c>
      <c r="Y83" s="2"/>
      <c r="Z83" s="7">
        <f t="shared" si="51"/>
        <v>-1.9599999999999999E-2</v>
      </c>
    </row>
    <row r="84" spans="1:26" s="26" customFormat="1" outlineLevel="1" collapsed="1" x14ac:dyDescent="0.25">
      <c r="A84" s="27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SUM(OSRRefD22_14x_0)</f>
        <v>312</v>
      </c>
      <c r="E84" s="1"/>
      <c r="F84" s="5">
        <f t="shared" ref="F84:F89" si="52">IF(D$12=0,0,D84/D$12)</f>
        <v>7.1568158830664366E-4</v>
      </c>
      <c r="G84" s="1"/>
      <c r="H84" s="1">
        <f>SUM(OSRRefH22_14x_0)</f>
        <v>275</v>
      </c>
      <c r="I84" s="1"/>
      <c r="J84" s="5">
        <f t="shared" ref="J84:J89" si="53">IF(H$12=0,0,H84/H$12)</f>
        <v>8.0421349382510257E-4</v>
      </c>
      <c r="K84" s="1"/>
      <c r="L84" s="1">
        <f t="shared" ref="L84:L89" si="54">+D84-H84</f>
        <v>37</v>
      </c>
      <c r="M84" s="1"/>
      <c r="N84" s="5">
        <f t="shared" ref="N84:N89" si="55">IF(H84=0,0,L84/H84)</f>
        <v>0.13454545454545455</v>
      </c>
      <c r="O84" s="13"/>
      <c r="P84" s="1">
        <f>SUM(OSRRefP22_14x_0)</f>
        <v>1654.45</v>
      </c>
      <c r="Q84" s="1"/>
      <c r="R84" s="5">
        <f t="shared" ref="R84:R89" si="56">IF(P$12=0,0,P84/P$12)</f>
        <v>8.2842566631308591E-4</v>
      </c>
      <c r="S84" s="1"/>
      <c r="T84" s="1">
        <f>SUM(OSRRefT22_14x_0)</f>
        <v>1375</v>
      </c>
      <c r="U84" s="1"/>
      <c r="V84" s="5">
        <f t="shared" ref="V84:V89" si="57">IF(T$12=0,0,T84/T$12)</f>
        <v>7.082868010368288E-4</v>
      </c>
      <c r="W84" s="1"/>
      <c r="X84" s="1">
        <f t="shared" ref="X84:X89" si="58">+P84-T84</f>
        <v>279.45000000000005</v>
      </c>
      <c r="Y84" s="1"/>
      <c r="Z84" s="5">
        <f t="shared" ref="Z84:Z89" si="59">IF(T84=0,0,X84/T84)</f>
        <v>0.20323636363636366</v>
      </c>
    </row>
    <row r="85" spans="1:26" s="24" customFormat="1" hidden="1" outlineLevel="2" x14ac:dyDescent="0.25">
      <c r="A85" s="25"/>
      <c r="B85" s="11" t="str">
        <f>CONCATENATE("          ", "6309", " - ", "TELEPHONE")</f>
        <v xml:space="preserve">          6309 - TELEPHONE</v>
      </c>
      <c r="C85" s="11"/>
      <c r="D85" s="6">
        <v>312</v>
      </c>
      <c r="E85" s="2"/>
      <c r="F85" s="7">
        <f t="shared" si="52"/>
        <v>7.1568158830664366E-4</v>
      </c>
      <c r="G85" s="2"/>
      <c r="H85" s="6">
        <v>275</v>
      </c>
      <c r="I85" s="2"/>
      <c r="J85" s="7">
        <f t="shared" si="53"/>
        <v>8.0421349382510257E-4</v>
      </c>
      <c r="K85" s="2"/>
      <c r="L85" s="6">
        <f t="shared" si="54"/>
        <v>37</v>
      </c>
      <c r="M85" s="2"/>
      <c r="N85" s="7">
        <f t="shared" si="55"/>
        <v>0.13454545454545455</v>
      </c>
      <c r="O85" s="11"/>
      <c r="P85" s="6">
        <v>1654.45</v>
      </c>
      <c r="Q85" s="2"/>
      <c r="R85" s="7">
        <f t="shared" si="56"/>
        <v>8.2842566631308591E-4</v>
      </c>
      <c r="S85" s="2"/>
      <c r="T85" s="6">
        <v>1375</v>
      </c>
      <c r="U85" s="2"/>
      <c r="V85" s="7">
        <f t="shared" si="57"/>
        <v>7.082868010368288E-4</v>
      </c>
      <c r="W85" s="2"/>
      <c r="X85" s="6">
        <f t="shared" si="58"/>
        <v>279.45000000000005</v>
      </c>
      <c r="Y85" s="2"/>
      <c r="Z85" s="7">
        <f t="shared" si="59"/>
        <v>0.20323636363636366</v>
      </c>
    </row>
    <row r="86" spans="1:26" s="26" customFormat="1" outlineLevel="1" collapsed="1" x14ac:dyDescent="0.25">
      <c r="A86" s="27"/>
      <c r="B86" s="13" t="str">
        <f>CONCATENATE("     ","Training                                          ")</f>
        <v xml:space="preserve">     Training                                          </v>
      </c>
      <c r="C86" s="13"/>
      <c r="D86" s="1">
        <f>SUM(OSRRefD22_15x_0)</f>
        <v>125</v>
      </c>
      <c r="E86" s="1"/>
      <c r="F86" s="5">
        <f t="shared" si="52"/>
        <v>2.8673140557157202E-4</v>
      </c>
      <c r="G86" s="1"/>
      <c r="H86" s="1">
        <f>SUM(OSRRefH22_15x_0)</f>
        <v>700</v>
      </c>
      <c r="I86" s="1"/>
      <c r="J86" s="5">
        <f t="shared" si="53"/>
        <v>2.0470888933729883E-3</v>
      </c>
      <c r="K86" s="1"/>
      <c r="L86" s="1">
        <f t="shared" si="54"/>
        <v>-575</v>
      </c>
      <c r="M86" s="1"/>
      <c r="N86" s="5">
        <f t="shared" si="55"/>
        <v>-0.8214285714285714</v>
      </c>
      <c r="O86" s="13"/>
      <c r="P86" s="1">
        <f>SUM(OSRRefP22_15x_0)</f>
        <v>763</v>
      </c>
      <c r="Q86" s="1"/>
      <c r="R86" s="5">
        <f t="shared" si="56"/>
        <v>3.820537238338327E-4</v>
      </c>
      <c r="S86" s="1"/>
      <c r="T86" s="1">
        <f>SUM(OSRRefT22_15x_0)</f>
        <v>3500</v>
      </c>
      <c r="U86" s="1"/>
      <c r="V86" s="5">
        <f t="shared" si="57"/>
        <v>1.8029118571846552E-3</v>
      </c>
      <c r="W86" s="1"/>
      <c r="X86" s="1">
        <f t="shared" si="58"/>
        <v>-2737</v>
      </c>
      <c r="Y86" s="1"/>
      <c r="Z86" s="5">
        <f t="shared" si="59"/>
        <v>-0.78200000000000003</v>
      </c>
    </row>
    <row r="87" spans="1:26" s="24" customFormat="1" hidden="1" outlineLevel="2" x14ac:dyDescent="0.25">
      <c r="A87" s="25"/>
      <c r="B87" s="11" t="str">
        <f>CONCATENATE("          ", "6376", " - ", "TRAINING")</f>
        <v xml:space="preserve">          6376 - TRAINING</v>
      </c>
      <c r="C87" s="11"/>
      <c r="D87" s="6">
        <v>125</v>
      </c>
      <c r="E87" s="2"/>
      <c r="F87" s="7">
        <f t="shared" si="52"/>
        <v>2.8673140557157202E-4</v>
      </c>
      <c r="G87" s="2"/>
      <c r="H87" s="6">
        <v>700</v>
      </c>
      <c r="I87" s="2"/>
      <c r="J87" s="7">
        <f t="shared" si="53"/>
        <v>2.0470888933729883E-3</v>
      </c>
      <c r="K87" s="2"/>
      <c r="L87" s="6">
        <f t="shared" si="54"/>
        <v>-575</v>
      </c>
      <c r="M87" s="2"/>
      <c r="N87" s="7">
        <f t="shared" si="55"/>
        <v>-0.8214285714285714</v>
      </c>
      <c r="O87" s="11"/>
      <c r="P87" s="6">
        <v>763</v>
      </c>
      <c r="Q87" s="2"/>
      <c r="R87" s="7">
        <f t="shared" si="56"/>
        <v>3.820537238338327E-4</v>
      </c>
      <c r="S87" s="2"/>
      <c r="T87" s="6">
        <v>3500</v>
      </c>
      <c r="U87" s="2"/>
      <c r="V87" s="7">
        <f t="shared" si="57"/>
        <v>1.8029118571846552E-3</v>
      </c>
      <c r="W87" s="2"/>
      <c r="X87" s="6">
        <f t="shared" si="58"/>
        <v>-2737</v>
      </c>
      <c r="Y87" s="2"/>
      <c r="Z87" s="7">
        <f t="shared" si="59"/>
        <v>-0.78200000000000003</v>
      </c>
    </row>
    <row r="88" spans="1:26" s="26" customFormat="1" outlineLevel="1" collapsed="1" x14ac:dyDescent="0.25">
      <c r="A88" s="27"/>
      <c r="B88" s="13" t="str">
        <f>CONCATENATE("     ","Travel                                            ")</f>
        <v xml:space="preserve">     Travel                                            </v>
      </c>
      <c r="C88" s="13"/>
      <c r="D88" s="1">
        <f>SUM(OSRRefD22_16x_0)</f>
        <v>0</v>
      </c>
      <c r="E88" s="1"/>
      <c r="F88" s="5">
        <f t="shared" si="52"/>
        <v>0</v>
      </c>
      <c r="G88" s="1"/>
      <c r="H88" s="1">
        <f>SUM(OSRRefH22_16x_0)</f>
        <v>0</v>
      </c>
      <c r="I88" s="1"/>
      <c r="J88" s="5">
        <f t="shared" si="53"/>
        <v>0</v>
      </c>
      <c r="K88" s="1"/>
      <c r="L88" s="1">
        <f t="shared" si="54"/>
        <v>0</v>
      </c>
      <c r="M88" s="1"/>
      <c r="N88" s="5">
        <f t="shared" si="55"/>
        <v>0</v>
      </c>
      <c r="O88" s="13"/>
      <c r="P88" s="1">
        <f>SUM(OSRRefP22_16x_0)</f>
        <v>326.42</v>
      </c>
      <c r="Q88" s="1"/>
      <c r="R88" s="5">
        <f t="shared" si="56"/>
        <v>1.6344688929729971E-4</v>
      </c>
      <c r="S88" s="1"/>
      <c r="T88" s="1">
        <f>SUM(OSRRefT22_16x_0)</f>
        <v>0</v>
      </c>
      <c r="U88" s="1"/>
      <c r="V88" s="5">
        <f t="shared" si="57"/>
        <v>0</v>
      </c>
      <c r="W88" s="1"/>
      <c r="X88" s="1">
        <f t="shared" si="58"/>
        <v>326.42</v>
      </c>
      <c r="Y88" s="1"/>
      <c r="Z88" s="5">
        <f t="shared" si="59"/>
        <v>0</v>
      </c>
    </row>
    <row r="89" spans="1:26" s="24" customFormat="1" hidden="1" outlineLevel="2" x14ac:dyDescent="0.25">
      <c r="A89" s="25"/>
      <c r="B89" s="11" t="str">
        <f>CONCATENATE("          ", "6292", " - ", "TRAVEL/CONFERENCE")</f>
        <v xml:space="preserve">          6292 - TRAVEL/CONFERENCE</v>
      </c>
      <c r="C89" s="11"/>
      <c r="D89" s="6"/>
      <c r="E89" s="2"/>
      <c r="F89" s="7">
        <f t="shared" si="52"/>
        <v>0</v>
      </c>
      <c r="G89" s="2"/>
      <c r="H89" s="6"/>
      <c r="I89" s="2"/>
      <c r="J89" s="7">
        <f t="shared" si="53"/>
        <v>0</v>
      </c>
      <c r="K89" s="2"/>
      <c r="L89" s="6">
        <f t="shared" si="54"/>
        <v>0</v>
      </c>
      <c r="M89" s="2"/>
      <c r="N89" s="7">
        <f t="shared" si="55"/>
        <v>0</v>
      </c>
      <c r="O89" s="11"/>
      <c r="P89" s="6">
        <v>326.42</v>
      </c>
      <c r="Q89" s="2"/>
      <c r="R89" s="7">
        <f t="shared" si="56"/>
        <v>1.6344688929729971E-4</v>
      </c>
      <c r="S89" s="2"/>
      <c r="T89" s="6"/>
      <c r="U89" s="2"/>
      <c r="V89" s="7">
        <f t="shared" si="57"/>
        <v>0</v>
      </c>
      <c r="W89" s="2"/>
      <c r="X89" s="6">
        <f t="shared" si="58"/>
        <v>326.42</v>
      </c>
      <c r="Y89" s="2"/>
      <c r="Z89" s="7">
        <f t="shared" si="59"/>
        <v>0</v>
      </c>
    </row>
    <row r="90" spans="1:26" s="59" customFormat="1" x14ac:dyDescent="0.25">
      <c r="A90" s="36"/>
      <c r="B90" s="36"/>
      <c r="C90" s="36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6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3" customFormat="1" x14ac:dyDescent="0.25">
      <c r="A91" s="10"/>
      <c r="B91" s="29" t="s">
        <v>0</v>
      </c>
      <c r="C91" s="10"/>
      <c r="D91" s="4">
        <f>SUM(0)</f>
        <v>0</v>
      </c>
      <c r="E91" s="4"/>
      <c r="F91" s="12">
        <f>IF(D$12=0,0,D91/D$12)</f>
        <v>0</v>
      </c>
      <c r="G91" s="4"/>
      <c r="H91" s="4">
        <f>SUM(0)</f>
        <v>0</v>
      </c>
      <c r="I91" s="4"/>
      <c r="J91" s="12">
        <f>IF(H$12=0,0,H91/H$12)</f>
        <v>0</v>
      </c>
      <c r="K91" s="4"/>
      <c r="L91" s="4">
        <f>+D91-H91</f>
        <v>0</v>
      </c>
      <c r="M91" s="4"/>
      <c r="N91" s="12">
        <f>IF(H91=0,0,L91/H91)</f>
        <v>0</v>
      </c>
      <c r="O91" s="10"/>
      <c r="P91" s="4">
        <f>SUM(0)</f>
        <v>0</v>
      </c>
      <c r="Q91" s="4"/>
      <c r="R91" s="12">
        <f>IF(P$12=0,0,P91/P$12)</f>
        <v>0</v>
      </c>
      <c r="S91" s="4"/>
      <c r="T91" s="4">
        <f>SUM(0)</f>
        <v>0</v>
      </c>
      <c r="U91" s="4"/>
      <c r="V91" s="12">
        <f>IF(T$12=0,0,T91/T$12)</f>
        <v>0</v>
      </c>
      <c r="W91" s="4"/>
      <c r="X91" s="4">
        <f>+P91-T91</f>
        <v>0</v>
      </c>
      <c r="Y91" s="4"/>
      <c r="Z91" s="12">
        <f>IF(T91=0,0,X91/T91)</f>
        <v>0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8" t="s">
        <v>3</v>
      </c>
      <c r="C93" s="28"/>
      <c r="D93" s="20">
        <f>+D23-D25+D91</f>
        <v>156173.62</v>
      </c>
      <c r="E93" s="14"/>
      <c r="F93" s="22">
        <f>IF(D$12=0,0,D93/D$12)</f>
        <v>0.35823905260640454</v>
      </c>
      <c r="G93" s="14"/>
      <c r="H93" s="20">
        <f>+H23-H25+H91</f>
        <v>82357.255965435383</v>
      </c>
      <c r="I93" s="14"/>
      <c r="J93" s="22">
        <f>IF(H$12=0,0,H93/H$12)</f>
        <v>0.24084660567931296</v>
      </c>
      <c r="K93" s="16"/>
      <c r="L93" s="20">
        <f>+D93-H93</f>
        <v>73816.364034564613</v>
      </c>
      <c r="M93" s="16"/>
      <c r="N93" s="22">
        <f>IF(H93=0,0,L93/H93)</f>
        <v>0.89629460293753227</v>
      </c>
      <c r="O93" s="29"/>
      <c r="P93" s="20">
        <f>+P23-P25+P91</f>
        <v>563908.14000000036</v>
      </c>
      <c r="Q93" s="14"/>
      <c r="R93" s="22">
        <f>IF(P$12=0,0,P93/P$12)</f>
        <v>0.2823633090264881</v>
      </c>
      <c r="S93" s="14"/>
      <c r="T93" s="20">
        <f>+T23-T25+T91</f>
        <v>453595.46829826455</v>
      </c>
      <c r="U93" s="14"/>
      <c r="V93" s="22">
        <f>IF(T$12=0,0,T93/T$12)</f>
        <v>0.23365504233147644</v>
      </c>
      <c r="W93" s="16"/>
      <c r="X93" s="20">
        <f>+P93-T93</f>
        <v>110312.67170173582</v>
      </c>
      <c r="Y93" s="16"/>
      <c r="Z93" s="22">
        <f>IF(T93=0,0,X93/T93)</f>
        <v>0.24319615033984207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2"/>
      <c r="B95" s="10" t="s">
        <v>14</v>
      </c>
      <c r="C95" s="10"/>
      <c r="D95" s="4">
        <v>54329.82</v>
      </c>
      <c r="E95" s="4"/>
      <c r="F95" s="12">
        <f>IF(D$12=0,0,D95/D$12)</f>
        <v>0.12462452522440402</v>
      </c>
      <c r="G95" s="4"/>
      <c r="H95" s="4">
        <v>53425</v>
      </c>
      <c r="I95" s="4"/>
      <c r="J95" s="12">
        <f>IF(H$12=0,0,H95/H$12)</f>
        <v>0.15623674875493129</v>
      </c>
      <c r="K95" s="4"/>
      <c r="L95" s="4">
        <f>+D95-H95</f>
        <v>904.81999999999971</v>
      </c>
      <c r="M95" s="4"/>
      <c r="N95" s="12">
        <f>IF(H95=0,0,L95/H95)</f>
        <v>1.6936265793167989E-2</v>
      </c>
      <c r="O95" s="10"/>
      <c r="P95" s="4">
        <v>211479.50999999998</v>
      </c>
      <c r="Q95" s="4"/>
      <c r="R95" s="12">
        <f>IF(P$12=0,0,P95/P$12)</f>
        <v>0.10589322976416023</v>
      </c>
      <c r="S95" s="4"/>
      <c r="T95" s="4">
        <v>246026</v>
      </c>
      <c r="U95" s="4"/>
      <c r="V95" s="12">
        <f>IF(T$12=0,0,T95/T$12)</f>
        <v>0.12673234073591771</v>
      </c>
      <c r="W95" s="4"/>
      <c r="X95" s="4">
        <f>+P95-T95</f>
        <v>-34546.49000000002</v>
      </c>
      <c r="Y95" s="4"/>
      <c r="Z95" s="12">
        <f>IF(T95=0,0,X95/T95)</f>
        <v>-0.14041804524725038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8" t="s">
        <v>4</v>
      </c>
      <c r="C97" s="28"/>
      <c r="D97" s="30">
        <f>+D93-D95</f>
        <v>101843.79999999999</v>
      </c>
      <c r="E97" s="14"/>
      <c r="F97" s="32">
        <f>IF(D$12=0,0,D97/D$12)</f>
        <v>0.23361452738200048</v>
      </c>
      <c r="G97" s="14"/>
      <c r="H97" s="30">
        <f>+H93-H95</f>
        <v>28932.255965435383</v>
      </c>
      <c r="I97" s="14"/>
      <c r="J97" s="32">
        <f>IF(H$12=0,0,H97/H$12)</f>
        <v>8.4609856924381652E-2</v>
      </c>
      <c r="K97" s="16"/>
      <c r="L97" s="30">
        <f>D97-H97</f>
        <v>72911.544034564606</v>
      </c>
      <c r="M97" s="16"/>
      <c r="N97" s="32">
        <f>IF(H97=0,0,L97/H97)</f>
        <v>2.5200780790018635</v>
      </c>
      <c r="O97" s="29"/>
      <c r="P97" s="30">
        <f>+P93-P95</f>
        <v>352428.63000000035</v>
      </c>
      <c r="Q97" s="14"/>
      <c r="R97" s="32">
        <f>IF(P$12=0,0,P97/P$12)</f>
        <v>0.17647007926232783</v>
      </c>
      <c r="S97" s="14"/>
      <c r="T97" s="30">
        <f>+T93-T95</f>
        <v>207569.46829826455</v>
      </c>
      <c r="U97" s="14"/>
      <c r="V97" s="32">
        <f>IF(T$12=0,0,T97/T$12)</f>
        <v>0.10692270159555874</v>
      </c>
      <c r="W97" s="16"/>
      <c r="X97" s="30">
        <f>P97-T97</f>
        <v>144859.16170173581</v>
      </c>
      <c r="Y97" s="16"/>
      <c r="Z97" s="32">
        <f>IF(T97=0,0,X97/T97)</f>
        <v>0.697882799861404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8" t="s">
        <v>5</v>
      </c>
      <c r="C100" s="28"/>
      <c r="D100" s="31">
        <f>SUM(D97:D99)</f>
        <v>101843.79999999999</v>
      </c>
      <c r="E100" s="14"/>
      <c r="F100" s="35">
        <f>IF(D$12=0,0,D100/D$12)</f>
        <v>0.23361452738200048</v>
      </c>
      <c r="G100" s="14"/>
      <c r="H100" s="31">
        <f>SUM(H97:H99)</f>
        <v>28932.255965435383</v>
      </c>
      <c r="I100" s="14"/>
      <c r="J100" s="35">
        <f>IF(H$12=0,0,H100/H$12)</f>
        <v>8.4609856924381652E-2</v>
      </c>
      <c r="K100" s="16"/>
      <c r="L100" s="31">
        <f>+D100-H100</f>
        <v>72911.544034564606</v>
      </c>
      <c r="M100" s="16"/>
      <c r="N100" s="35">
        <f>IF(H100=0,0,L100/H100)</f>
        <v>2.5200780790018635</v>
      </c>
      <c r="O100" s="29"/>
      <c r="P100" s="31">
        <f>SUM(P97:P99)</f>
        <v>352428.63000000035</v>
      </c>
      <c r="Q100" s="14"/>
      <c r="R100" s="35">
        <f>IF(P$12=0,0,P100/P$12)</f>
        <v>0.17647007926232783</v>
      </c>
      <c r="S100" s="14"/>
      <c r="T100" s="31">
        <f>SUM(T97:T99)</f>
        <v>207569.46829826455</v>
      </c>
      <c r="U100" s="14"/>
      <c r="V100" s="35">
        <f>IF(T$12=0,0,T100/T$12)</f>
        <v>0.10692270159555874</v>
      </c>
      <c r="W100" s="16"/>
      <c r="X100" s="31">
        <f>+P100-T100</f>
        <v>144859.16170173581</v>
      </c>
      <c r="Y100" s="16"/>
      <c r="Z100" s="35">
        <f>IF(T100=0,0,X100/T100)</f>
        <v>0.697882799861404</v>
      </c>
    </row>
    <row r="101" spans="1:26" ht="15.75" thickTop="1" x14ac:dyDescent="0.25">
      <c r="A101" s="9"/>
      <c r="C101" s="9"/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56">
        <v>43815.484200381943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62" t="s">
        <v>314</v>
      </c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A104" s="9"/>
      <c r="B104" s="58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","445", " - ", "Central Park Coffee House")</f>
        <v>Department 445 - Central Park Coffee House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x14ac:dyDescent="0.25">
      <c r="A12" s="10"/>
      <c r="B12" s="29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9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8" t="s">
        <v>6</v>
      </c>
      <c r="C16" s="28"/>
      <c r="D16" s="20">
        <f>D12-D14</f>
        <v>0</v>
      </c>
      <c r="E16" s="14"/>
      <c r="F16" s="22">
        <f>IF(D$12=0,0,D16/D$12)</f>
        <v>0</v>
      </c>
      <c r="G16" s="14"/>
      <c r="H16" s="20">
        <f>H12-H14</f>
        <v>0</v>
      </c>
      <c r="I16" s="14"/>
      <c r="J16" s="22">
        <f>IF(H$12=0,0,H16/H$12)</f>
        <v>0</v>
      </c>
      <c r="K16" s="16"/>
      <c r="L16" s="20">
        <f>+D16-H16</f>
        <v>0</v>
      </c>
      <c r="M16" s="16"/>
      <c r="N16" s="22">
        <f>IF(H16=0,0,L16/H16)</f>
        <v>0</v>
      </c>
      <c r="O16" s="29"/>
      <c r="P16" s="20">
        <f>P12-P14</f>
        <v>0</v>
      </c>
      <c r="Q16" s="14"/>
      <c r="R16" s="22">
        <f>IF(P$12=0,0,P16/P$12)</f>
        <v>0</v>
      </c>
      <c r="S16" s="14"/>
      <c r="T16" s="20">
        <f>T12-T14</f>
        <v>0</v>
      </c>
      <c r="U16" s="14"/>
      <c r="V16" s="22">
        <f>IF(T$12=0,0,T16/T$12)</f>
        <v>0</v>
      </c>
      <c r="W16" s="16"/>
      <c r="X16" s="20">
        <f>+P16-T16</f>
        <v>0</v>
      </c>
      <c r="Y16" s="16"/>
      <c r="Z16" s="22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9" t="s">
        <v>9</v>
      </c>
      <c r="C18" s="10"/>
      <c r="D18" s="21">
        <f>SUM(0)</f>
        <v>0</v>
      </c>
      <c r="E18" s="21"/>
      <c r="F18" s="33">
        <f>IF(D$12=0,0,D18/D$12)</f>
        <v>0</v>
      </c>
      <c r="G18" s="21"/>
      <c r="H18" s="21">
        <f>SUM(0)</f>
        <v>0</v>
      </c>
      <c r="I18" s="21"/>
      <c r="J18" s="33">
        <f>IF(H$12=0,0,H18/H$12)</f>
        <v>0</v>
      </c>
      <c r="K18" s="4"/>
      <c r="L18" s="21">
        <f>+D18-H18</f>
        <v>0</v>
      </c>
      <c r="M18" s="4"/>
      <c r="N18" s="33">
        <f>IF(H18=0,0,L18/H18)</f>
        <v>0</v>
      </c>
      <c r="O18" s="10"/>
      <c r="P18" s="21">
        <f>SUM(0)</f>
        <v>0</v>
      </c>
      <c r="Q18" s="21"/>
      <c r="R18" s="33">
        <f>IF(P$12=0,0,P18/P$12)</f>
        <v>0</v>
      </c>
      <c r="S18" s="21"/>
      <c r="T18" s="21">
        <f>SUM(0)</f>
        <v>0</v>
      </c>
      <c r="U18" s="21"/>
      <c r="V18" s="33">
        <f>IF(T$12=0,0,T18/T$12)</f>
        <v>0</v>
      </c>
      <c r="W18" s="4"/>
      <c r="X18" s="21">
        <f>+P18-T18</f>
        <v>0</v>
      </c>
      <c r="Y18" s="4"/>
      <c r="Z18" s="33">
        <f>IF(T18=0,0,X18/T18)</f>
        <v>0</v>
      </c>
    </row>
    <row r="19" spans="1:26" s="59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9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8" t="s">
        <v>3</v>
      </c>
      <c r="C22" s="28"/>
      <c r="D22" s="20">
        <f>+D16-D18+D20</f>
        <v>0</v>
      </c>
      <c r="E22" s="14"/>
      <c r="F22" s="22">
        <f>IF(D$12=0,0,D22/D$12)</f>
        <v>0</v>
      </c>
      <c r="G22" s="14"/>
      <c r="H22" s="20">
        <f>+H16-H18+H20</f>
        <v>0</v>
      </c>
      <c r="I22" s="14"/>
      <c r="J22" s="22">
        <f>IF(H$12=0,0,H22/H$12)</f>
        <v>0</v>
      </c>
      <c r="K22" s="16"/>
      <c r="L22" s="20">
        <f>+D22-H22</f>
        <v>0</v>
      </c>
      <c r="M22" s="16"/>
      <c r="N22" s="22">
        <f>IF(H22=0,0,L22/H22)</f>
        <v>0</v>
      </c>
      <c r="O22" s="29"/>
      <c r="P22" s="20">
        <f>+P16-P18+P20</f>
        <v>0</v>
      </c>
      <c r="Q22" s="14"/>
      <c r="R22" s="22">
        <f>IF(P$12=0,0,P22/P$12)</f>
        <v>0</v>
      </c>
      <c r="S22" s="14"/>
      <c r="T22" s="20">
        <f>+T16-T18+T20</f>
        <v>0</v>
      </c>
      <c r="U22" s="14"/>
      <c r="V22" s="22">
        <f>IF(T$12=0,0,T22/T$12)</f>
        <v>0</v>
      </c>
      <c r="W22" s="16"/>
      <c r="X22" s="20">
        <f>+P22-T22</f>
        <v>0</v>
      </c>
      <c r="Y22" s="16"/>
      <c r="Z22" s="22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8" t="s">
        <v>4</v>
      </c>
      <c r="C26" s="28"/>
      <c r="D26" s="30">
        <f>+D22-D24</f>
        <v>0</v>
      </c>
      <c r="E26" s="14"/>
      <c r="F26" s="32">
        <f>IF(D$12=0,0,D26/D$12)</f>
        <v>0</v>
      </c>
      <c r="G26" s="14"/>
      <c r="H26" s="30">
        <f>+H22-H24</f>
        <v>0</v>
      </c>
      <c r="I26" s="14"/>
      <c r="J26" s="32">
        <f>IF(H$12=0,0,H26/H$12)</f>
        <v>0</v>
      </c>
      <c r="K26" s="16"/>
      <c r="L26" s="30">
        <f>D26-H26</f>
        <v>0</v>
      </c>
      <c r="M26" s="16"/>
      <c r="N26" s="32">
        <f>IF(H26=0,0,L26/H26)</f>
        <v>0</v>
      </c>
      <c r="O26" s="29"/>
      <c r="P26" s="30">
        <f>+P22-P24</f>
        <v>0</v>
      </c>
      <c r="Q26" s="14"/>
      <c r="R26" s="32">
        <f>IF(P$12=0,0,P26/P$12)</f>
        <v>0</v>
      </c>
      <c r="S26" s="14"/>
      <c r="T26" s="30">
        <f>+T22-T24</f>
        <v>0</v>
      </c>
      <c r="U26" s="14"/>
      <c r="V26" s="32">
        <f>IF(T$12=0,0,T26/T$12)</f>
        <v>0</v>
      </c>
      <c r="W26" s="16"/>
      <c r="X26" s="30">
        <f>P26-T26</f>
        <v>0</v>
      </c>
      <c r="Y26" s="16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8" t="s">
        <v>5</v>
      </c>
      <c r="C29" s="28"/>
      <c r="D29" s="31">
        <f>SUM(D26:D28)</f>
        <v>0</v>
      </c>
      <c r="E29" s="14"/>
      <c r="F29" s="35">
        <f>IF(D$12=0,0,D29/D$12)</f>
        <v>0</v>
      </c>
      <c r="G29" s="14"/>
      <c r="H29" s="31">
        <f>SUM(H26:H28)</f>
        <v>0</v>
      </c>
      <c r="I29" s="14"/>
      <c r="J29" s="35">
        <f>IF(H$12=0,0,H29/H$12)</f>
        <v>0</v>
      </c>
      <c r="K29" s="16"/>
      <c r="L29" s="31">
        <f>+D29-H29</f>
        <v>0</v>
      </c>
      <c r="M29" s="16"/>
      <c r="N29" s="35">
        <f>IF(H29=0,0,L29/H29)</f>
        <v>0</v>
      </c>
      <c r="O29" s="29"/>
      <c r="P29" s="31">
        <f>SUM(P26:P28)</f>
        <v>0</v>
      </c>
      <c r="Q29" s="14"/>
      <c r="R29" s="35">
        <f>IF(P$12=0,0,P29/P$12)</f>
        <v>0</v>
      </c>
      <c r="S29" s="14"/>
      <c r="T29" s="31">
        <f>SUM(T26:T28)</f>
        <v>0</v>
      </c>
      <c r="U29" s="14"/>
      <c r="V29" s="35">
        <f>IF(T$12=0,0,T29/T$12)</f>
        <v>0</v>
      </c>
      <c r="W29" s="16"/>
      <c r="X29" s="31">
        <f>+P29-T29</f>
        <v>0</v>
      </c>
      <c r="Y29" s="16"/>
      <c r="Z29" s="35">
        <f>IF(T29=0,0,X29/T29)</f>
        <v>0</v>
      </c>
    </row>
    <row r="30" spans="1:26" ht="15.75" thickTop="1" x14ac:dyDescent="0.25">
      <c r="A30" s="9"/>
      <c r="C30" s="9"/>
      <c r="D30" s="17"/>
      <c r="E30" s="17"/>
      <c r="G30" s="17"/>
      <c r="H30" s="17"/>
      <c r="I30" s="17"/>
      <c r="J30" s="43"/>
      <c r="K30" s="17"/>
      <c r="L30" s="17"/>
      <c r="M30" s="17"/>
      <c r="P30" s="17"/>
      <c r="Q30" s="17"/>
      <c r="R30" s="43"/>
      <c r="S30" s="17"/>
      <c r="T30" s="17"/>
      <c r="U30" s="17"/>
      <c r="V30" s="43"/>
      <c r="W30" s="17"/>
      <c r="X30" s="17"/>
    </row>
    <row r="31" spans="1:26" x14ac:dyDescent="0.25">
      <c r="A31" s="9"/>
      <c r="B31" s="56">
        <v>43815.48421628472</v>
      </c>
      <c r="D31" s="17"/>
      <c r="E31" s="17"/>
      <c r="G31" s="17"/>
      <c r="H31" s="17"/>
      <c r="I31" s="17"/>
      <c r="J31" s="43"/>
      <c r="K31" s="17"/>
      <c r="L31" s="17"/>
      <c r="M31" s="17"/>
      <c r="P31" s="17"/>
      <c r="Q31" s="17"/>
      <c r="R31" s="43"/>
      <c r="S31" s="17"/>
      <c r="T31" s="17"/>
      <c r="U31" s="17"/>
      <c r="V31" s="43"/>
      <c r="W31" s="17"/>
      <c r="X31" s="17"/>
    </row>
    <row r="32" spans="1:26" x14ac:dyDescent="0.25">
      <c r="A32" s="9"/>
      <c r="B32" s="62" t="s">
        <v>314</v>
      </c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8"/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","450", " - ", "Beachside Dining Hall")</f>
        <v>Department 450 - Beachside Dining Hall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248936.94999999998</v>
      </c>
      <c r="E12" s="4"/>
      <c r="F12" s="12"/>
      <c r="G12" s="4"/>
      <c r="H12" s="4">
        <f>SUM(OSRRefH13x_0)</f>
        <v>268544</v>
      </c>
      <c r="I12" s="4"/>
      <c r="J12" s="12"/>
      <c r="K12" s="4"/>
      <c r="L12" s="4">
        <f t="shared" ref="L12:L16" si="0">+D12-H12</f>
        <v>-19607.050000000017</v>
      </c>
      <c r="M12" s="4"/>
      <c r="N12" s="12">
        <f t="shared" ref="N12:N16" si="1">IF(H12=0,0,L12/H12)</f>
        <v>-7.3012429992850403E-2</v>
      </c>
      <c r="O12" s="10"/>
      <c r="P12" s="4">
        <f>SUM(OSRRefP13x_0)</f>
        <v>1108976.18</v>
      </c>
      <c r="Q12" s="4"/>
      <c r="R12" s="12"/>
      <c r="S12" s="4"/>
      <c r="T12" s="4">
        <f>SUM(OSRRefT13x_0)</f>
        <v>1054714</v>
      </c>
      <c r="U12" s="4"/>
      <c r="V12" s="12"/>
      <c r="W12" s="4"/>
      <c r="X12" s="4">
        <f t="shared" ref="X12:X16" si="2">+P12-T12</f>
        <v>54262.179999999935</v>
      </c>
      <c r="Y12" s="4"/>
      <c r="Z12" s="12">
        <f t="shared" ref="Z12:Z16" si="3">IF(T12=0,0,X12/T12)</f>
        <v>5.1447292820612917E-2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--56.59</f>
        <v>56.59</v>
      </c>
      <c r="E13" s="2"/>
      <c r="F13" s="19"/>
      <c r="G13" s="2"/>
      <c r="H13" s="2"/>
      <c r="I13" s="2"/>
      <c r="J13" s="19"/>
      <c r="K13" s="2"/>
      <c r="L13" s="2">
        <f t="shared" si="0"/>
        <v>56.59</v>
      </c>
      <c r="M13" s="2"/>
      <c r="N13" s="19">
        <f t="shared" si="1"/>
        <v>0</v>
      </c>
      <c r="O13" s="11"/>
      <c r="P13" s="2">
        <f>--139.14</f>
        <v>139.13999999999999</v>
      </c>
      <c r="Q13" s="2"/>
      <c r="R13" s="19"/>
      <c r="S13" s="2"/>
      <c r="T13" s="2"/>
      <c r="U13" s="2"/>
      <c r="V13" s="19"/>
      <c r="W13" s="2"/>
      <c r="X13" s="2">
        <f t="shared" si="2"/>
        <v>139.13999999999999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19"/>
      <c r="G14" s="2"/>
      <c r="H14" s="2">
        <v>268544</v>
      </c>
      <c r="I14" s="2"/>
      <c r="J14" s="19"/>
      <c r="K14" s="2"/>
      <c r="L14" s="2">
        <f t="shared" si="0"/>
        <v>-268544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v>1054714</v>
      </c>
      <c r="U14" s="2"/>
      <c r="V14" s="19"/>
      <c r="W14" s="2"/>
      <c r="X14" s="2">
        <f t="shared" si="2"/>
        <v>-1054714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--247648.83</f>
        <v>247648.83</v>
      </c>
      <c r="E15" s="2"/>
      <c r="F15" s="19"/>
      <c r="G15" s="2"/>
      <c r="H15" s="2"/>
      <c r="I15" s="2"/>
      <c r="J15" s="19"/>
      <c r="K15" s="2"/>
      <c r="L15" s="2">
        <f t="shared" si="0"/>
        <v>247648.83</v>
      </c>
      <c r="M15" s="2"/>
      <c r="N15" s="19">
        <f t="shared" si="1"/>
        <v>0</v>
      </c>
      <c r="O15" s="11"/>
      <c r="P15" s="2">
        <f>--1103901.7</f>
        <v>1103901.7</v>
      </c>
      <c r="Q15" s="2"/>
      <c r="R15" s="19"/>
      <c r="S15" s="2"/>
      <c r="T15" s="2"/>
      <c r="U15" s="2"/>
      <c r="V15" s="19"/>
      <c r="W15" s="2"/>
      <c r="X15" s="2">
        <f t="shared" si="2"/>
        <v>1103901.7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--1231.53</f>
        <v>1231.53</v>
      </c>
      <c r="E16" s="2"/>
      <c r="F16" s="19"/>
      <c r="G16" s="2"/>
      <c r="H16" s="2"/>
      <c r="I16" s="2"/>
      <c r="J16" s="19"/>
      <c r="K16" s="2"/>
      <c r="L16" s="2">
        <f t="shared" si="0"/>
        <v>1231.53</v>
      </c>
      <c r="M16" s="2"/>
      <c r="N16" s="19">
        <f t="shared" si="1"/>
        <v>0</v>
      </c>
      <c r="O16" s="11"/>
      <c r="P16" s="2">
        <f>--4935.34</f>
        <v>4935.34</v>
      </c>
      <c r="Q16" s="2"/>
      <c r="R16" s="19"/>
      <c r="S16" s="2"/>
      <c r="T16" s="2"/>
      <c r="U16" s="2"/>
      <c r="V16" s="19"/>
      <c r="W16" s="2"/>
      <c r="X16" s="2">
        <f t="shared" si="2"/>
        <v>4935.34</v>
      </c>
      <c r="Y16" s="2"/>
      <c r="Z16" s="19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9" t="s">
        <v>8</v>
      </c>
      <c r="C18" s="10"/>
      <c r="D18" s="4">
        <f>SUM(OSRRefD16x_0)</f>
        <v>56355.91</v>
      </c>
      <c r="E18" s="4"/>
      <c r="F18" s="12">
        <f t="shared" ref="F18:F21" si="4">IF(D$12=0,0,D18/D$12)</f>
        <v>0.22638627973870495</v>
      </c>
      <c r="G18" s="4"/>
      <c r="H18" s="4">
        <f>SUM(OSRRefH16x_0)</f>
        <v>60286</v>
      </c>
      <c r="I18" s="4"/>
      <c r="J18" s="12">
        <f t="shared" ref="J18:J21" si="5">IF(H$12=0,0,H18/H$12)</f>
        <v>0.2244920757864633</v>
      </c>
      <c r="K18" s="4"/>
      <c r="L18" s="4">
        <f t="shared" ref="L18:L21" si="6">+D18-H18</f>
        <v>-3930.0899999999965</v>
      </c>
      <c r="M18" s="4"/>
      <c r="N18" s="12">
        <f t="shared" ref="N18:N21" si="7">IF(H18=0,0,L18/H18)</f>
        <v>-6.5190757389775353E-2</v>
      </c>
      <c r="O18" s="10"/>
      <c r="P18" s="4">
        <f>SUM(OSRRefP16x_0)</f>
        <v>247690.35</v>
      </c>
      <c r="Q18" s="4"/>
      <c r="R18" s="12">
        <f t="shared" ref="R18:R21" si="8">IF(P$12=0,0,P18/P$12)</f>
        <v>0.22335046907860548</v>
      </c>
      <c r="S18" s="4"/>
      <c r="T18" s="4">
        <f>SUM(OSRRefT16x_0)</f>
        <v>259929</v>
      </c>
      <c r="U18" s="4"/>
      <c r="V18" s="12">
        <f t="shared" ref="V18:V21" si="9">IF(T$12=0,0,T18/T$12)</f>
        <v>0.24644500784098816</v>
      </c>
      <c r="W18" s="4"/>
      <c r="X18" s="4">
        <f t="shared" ref="X18:X21" si="10">+P18-T18</f>
        <v>-12238.649999999994</v>
      </c>
      <c r="Y18" s="4"/>
      <c r="Z18" s="12">
        <f t="shared" ref="Z18:Z21" si="11">IF(T18=0,0,X18/T18)</f>
        <v>-4.7084588483778243E-2</v>
      </c>
    </row>
    <row r="19" spans="1:26" s="24" customFormat="1" hidden="1" outlineLevel="1" x14ac:dyDescent="0.25">
      <c r="A19" s="44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19">
        <f t="shared" si="4"/>
        <v>0</v>
      </c>
      <c r="G19" s="2"/>
      <c r="H19" s="2">
        <v>60286</v>
      </c>
      <c r="I19" s="2"/>
      <c r="J19" s="19">
        <f t="shared" si="5"/>
        <v>0.2244920757864633</v>
      </c>
      <c r="K19" s="2"/>
      <c r="L19" s="2">
        <f t="shared" si="6"/>
        <v>-60286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259929</v>
      </c>
      <c r="U19" s="2"/>
      <c r="V19" s="19">
        <f t="shared" si="9"/>
        <v>0.24644500784098816</v>
      </c>
      <c r="W19" s="2"/>
      <c r="X19" s="2">
        <f t="shared" si="10"/>
        <v>-259929</v>
      </c>
      <c r="Y19" s="2"/>
      <c r="Z19" s="19">
        <f t="shared" si="11"/>
        <v>-1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56590.91</v>
      </c>
      <c r="E20" s="2"/>
      <c r="F20" s="19">
        <f t="shared" si="4"/>
        <v>0.22733029387561793</v>
      </c>
      <c r="G20" s="2"/>
      <c r="H20" s="2"/>
      <c r="I20" s="2"/>
      <c r="J20" s="19">
        <f t="shared" si="5"/>
        <v>0</v>
      </c>
      <c r="K20" s="2"/>
      <c r="L20" s="2">
        <f t="shared" si="6"/>
        <v>56590.91</v>
      </c>
      <c r="M20" s="2"/>
      <c r="N20" s="19">
        <f t="shared" si="7"/>
        <v>0</v>
      </c>
      <c r="O20" s="11"/>
      <c r="P20" s="2">
        <v>250530.35</v>
      </c>
      <c r="Q20" s="2"/>
      <c r="R20" s="19">
        <f t="shared" si="8"/>
        <v>0.22591138972885785</v>
      </c>
      <c r="S20" s="2"/>
      <c r="T20" s="2"/>
      <c r="U20" s="2"/>
      <c r="V20" s="19">
        <f t="shared" si="9"/>
        <v>0</v>
      </c>
      <c r="W20" s="2"/>
      <c r="X20" s="2">
        <f t="shared" si="10"/>
        <v>250530.35</v>
      </c>
      <c r="Y20" s="2"/>
      <c r="Z20" s="19">
        <f t="shared" si="11"/>
        <v>0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-235</v>
      </c>
      <c r="E21" s="2"/>
      <c r="F21" s="19">
        <f t="shared" si="4"/>
        <v>-9.4401413691298146E-4</v>
      </c>
      <c r="G21" s="2"/>
      <c r="H21" s="2"/>
      <c r="I21" s="2"/>
      <c r="J21" s="19">
        <f t="shared" si="5"/>
        <v>0</v>
      </c>
      <c r="K21" s="2"/>
      <c r="L21" s="2">
        <f t="shared" si="6"/>
        <v>-235</v>
      </c>
      <c r="M21" s="2"/>
      <c r="N21" s="19">
        <f t="shared" si="7"/>
        <v>0</v>
      </c>
      <c r="O21" s="11"/>
      <c r="P21" s="2">
        <v>-2840</v>
      </c>
      <c r="Q21" s="2"/>
      <c r="R21" s="19">
        <f t="shared" si="8"/>
        <v>-2.5609206502523797E-3</v>
      </c>
      <c r="S21" s="2"/>
      <c r="T21" s="2"/>
      <c r="U21" s="2"/>
      <c r="V21" s="19">
        <f t="shared" si="9"/>
        <v>0</v>
      </c>
      <c r="W21" s="2"/>
      <c r="X21" s="2">
        <f t="shared" si="10"/>
        <v>-2840</v>
      </c>
      <c r="Y21" s="2"/>
      <c r="Z21" s="19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8" t="s">
        <v>6</v>
      </c>
      <c r="C23" s="28"/>
      <c r="D23" s="20">
        <f>D12-D18</f>
        <v>192581.03999999998</v>
      </c>
      <c r="E23" s="14"/>
      <c r="F23" s="22">
        <f>IF(D$12=0,0,D23/D$12)</f>
        <v>0.77361372026129505</v>
      </c>
      <c r="G23" s="14"/>
      <c r="H23" s="20">
        <f>H12-H18</f>
        <v>208258</v>
      </c>
      <c r="I23" s="14"/>
      <c r="J23" s="22">
        <f>IF(H$12=0,0,H23/H$12)</f>
        <v>0.77550792421353665</v>
      </c>
      <c r="K23" s="16"/>
      <c r="L23" s="20">
        <f>+D23-H23</f>
        <v>-15676.960000000021</v>
      </c>
      <c r="M23" s="16"/>
      <c r="N23" s="22">
        <f>IF(H23=0,0,L23/H23)</f>
        <v>-7.527662802869528E-2</v>
      </c>
      <c r="O23" s="29"/>
      <c r="P23" s="20">
        <f>P12-P18</f>
        <v>861285.83</v>
      </c>
      <c r="Q23" s="14"/>
      <c r="R23" s="22">
        <f>IF(P$12=0,0,P23/P$12)</f>
        <v>0.77664953092139455</v>
      </c>
      <c r="S23" s="14"/>
      <c r="T23" s="20">
        <f>T12-T18</f>
        <v>794785</v>
      </c>
      <c r="U23" s="14"/>
      <c r="V23" s="22">
        <f>IF(T$12=0,0,T23/T$12)</f>
        <v>0.75355499215901178</v>
      </c>
      <c r="W23" s="16"/>
      <c r="X23" s="20">
        <f>+P23-T23</f>
        <v>66500.829999999958</v>
      </c>
      <c r="Y23" s="16"/>
      <c r="Z23" s="22">
        <f>IF(T23=0,0,X23/T23)</f>
        <v>8.3671470900935421E-2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9" t="s">
        <v>9</v>
      </c>
      <c r="C25" s="10"/>
      <c r="D25" s="21">
        <f>SUM(OSRRefD22x_0)</f>
        <v>130629.77</v>
      </c>
      <c r="E25" s="21"/>
      <c r="F25" s="33">
        <f t="shared" ref="F25:F36" si="12">IF(D$12=0,0,D25/D$12)</f>
        <v>0.52475042375187775</v>
      </c>
      <c r="G25" s="21"/>
      <c r="H25" s="21">
        <f>SUM(OSRRefH22x_0)</f>
        <v>111981.63680621229</v>
      </c>
      <c r="I25" s="21"/>
      <c r="J25" s="33">
        <f t="shared" ref="J25:J36" si="13">IF(H$12=0,0,H25/H$12)</f>
        <v>0.41699548977527812</v>
      </c>
      <c r="K25" s="4"/>
      <c r="L25" s="21">
        <f t="shared" ref="L25:L36" si="14">+D25-H25</f>
        <v>18648.133193787711</v>
      </c>
      <c r="M25" s="4"/>
      <c r="N25" s="33">
        <f t="shared" ref="N25:N36" si="15">IF(H25=0,0,L25/H25)</f>
        <v>0.16652849275688733</v>
      </c>
      <c r="O25" s="10"/>
      <c r="P25" s="21">
        <f>SUM(OSRRefP22x_0)</f>
        <v>636109.23999999987</v>
      </c>
      <c r="Q25" s="21"/>
      <c r="R25" s="33">
        <f t="shared" ref="R25:R36" si="16">IF(P$12=0,0,P25/P$12)</f>
        <v>0.57360045370857282</v>
      </c>
      <c r="S25" s="21"/>
      <c r="T25" s="21">
        <f>SUM(OSRRefT22x_0)</f>
        <v>496472.10235084151</v>
      </c>
      <c r="U25" s="21"/>
      <c r="V25" s="33">
        <f t="shared" ref="V25:V36" si="17">IF(T$12=0,0,T25/T$12)</f>
        <v>0.47071727724372819</v>
      </c>
      <c r="W25" s="4"/>
      <c r="X25" s="21">
        <f t="shared" ref="X25:X36" si="18">+P25-T25</f>
        <v>139637.13764915837</v>
      </c>
      <c r="Y25" s="4"/>
      <c r="Z25" s="33">
        <f t="shared" ref="Z25:Z36" si="19">IF(T25=0,0,X25/T25)</f>
        <v>0.28125877967354773</v>
      </c>
    </row>
    <row r="26" spans="1:26" s="26" customFormat="1" outlineLevel="1" collapsed="1" x14ac:dyDescent="0.25">
      <c r="A26" s="27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28282.499999999996</v>
      </c>
      <c r="E26" s="1"/>
      <c r="F26" s="5">
        <f t="shared" si="12"/>
        <v>0.11361310564783572</v>
      </c>
      <c r="G26" s="1"/>
      <c r="H26" s="1">
        <f>SUM(OSRRefH22_0x_0)</f>
        <v>19665.173611135375</v>
      </c>
      <c r="I26" s="1"/>
      <c r="J26" s="5">
        <f t="shared" si="13"/>
        <v>7.3228869798377075E-2</v>
      </c>
      <c r="K26" s="1"/>
      <c r="L26" s="1">
        <f t="shared" si="14"/>
        <v>8617.3263888646215</v>
      </c>
      <c r="M26" s="1"/>
      <c r="N26" s="5">
        <f t="shared" si="15"/>
        <v>0.43820240590121584</v>
      </c>
      <c r="O26" s="13"/>
      <c r="P26" s="1">
        <f>SUM(OSRRefP22_0x_0)</f>
        <v>132227.54</v>
      </c>
      <c r="Q26" s="1"/>
      <c r="R26" s="5">
        <f t="shared" si="16"/>
        <v>0.11923388652044808</v>
      </c>
      <c r="S26" s="1"/>
      <c r="T26" s="1">
        <f>SUM(OSRRefT22_0x_0)</f>
        <v>93826.463769918439</v>
      </c>
      <c r="U26" s="1"/>
      <c r="V26" s="5">
        <f t="shared" si="17"/>
        <v>8.8959152689656568E-2</v>
      </c>
      <c r="W26" s="1"/>
      <c r="X26" s="1">
        <f t="shared" si="18"/>
        <v>38401.07623008157</v>
      </c>
      <c r="Y26" s="1"/>
      <c r="Z26" s="5">
        <f t="shared" si="19"/>
        <v>0.40927766737803117</v>
      </c>
    </row>
    <row r="27" spans="1:26" s="24" customFormat="1" hidden="1" outlineLevel="2" x14ac:dyDescent="0.25">
      <c r="A27" s="25"/>
      <c r="B27" s="11" t="str">
        <f>CONCATENATE("          ", "6111", " - ", "F.I.C.A.")</f>
        <v xml:space="preserve">          6111 - F.I.C.A.</v>
      </c>
      <c r="C27" s="11"/>
      <c r="D27" s="6">
        <v>3806.53</v>
      </c>
      <c r="E27" s="2"/>
      <c r="F27" s="7">
        <f t="shared" si="12"/>
        <v>1.5291140989716474E-2</v>
      </c>
      <c r="G27" s="2"/>
      <c r="H27" s="6">
        <v>4049.3705953569201</v>
      </c>
      <c r="I27" s="2"/>
      <c r="J27" s="7">
        <f t="shared" si="13"/>
        <v>1.5078983687428951E-2</v>
      </c>
      <c r="K27" s="2"/>
      <c r="L27" s="6">
        <f t="shared" si="14"/>
        <v>-242.84059535691995</v>
      </c>
      <c r="M27" s="2"/>
      <c r="N27" s="7">
        <f t="shared" si="15"/>
        <v>-5.9969960673731684E-2</v>
      </c>
      <c r="O27" s="11"/>
      <c r="P27" s="6">
        <v>19638.670000000002</v>
      </c>
      <c r="Q27" s="2"/>
      <c r="R27" s="7">
        <f t="shared" si="16"/>
        <v>1.7708829417778842E-2</v>
      </c>
      <c r="S27" s="2"/>
      <c r="T27" s="6">
        <v>17762.667100823059</v>
      </c>
      <c r="U27" s="2"/>
      <c r="V27" s="7">
        <f t="shared" si="17"/>
        <v>1.6841216766652439E-2</v>
      </c>
      <c r="W27" s="2"/>
      <c r="X27" s="6">
        <f t="shared" si="18"/>
        <v>1876.0028991769432</v>
      </c>
      <c r="Y27" s="2"/>
      <c r="Z27" s="7">
        <f t="shared" si="19"/>
        <v>0.10561493319266316</v>
      </c>
    </row>
    <row r="28" spans="1:26" s="24" customFormat="1" hidden="1" outlineLevel="2" x14ac:dyDescent="0.25">
      <c r="A28" s="25"/>
      <c r="B28" s="11" t="str">
        <f>CONCATENATE("          ", "6112", " - ", "COMPENSATION INSURANCE")</f>
        <v xml:space="preserve">          6112 - COMPENSATION INSURANCE</v>
      </c>
      <c r="C28" s="11"/>
      <c r="D28" s="6">
        <v>3101.68</v>
      </c>
      <c r="E28" s="2"/>
      <c r="F28" s="7">
        <f t="shared" si="12"/>
        <v>1.2459701141192579E-2</v>
      </c>
      <c r="G28" s="2"/>
      <c r="H28" s="6">
        <v>2246.95939746462</v>
      </c>
      <c r="I28" s="2"/>
      <c r="J28" s="7">
        <f t="shared" si="13"/>
        <v>8.3671927038571712E-3</v>
      </c>
      <c r="K28" s="2"/>
      <c r="L28" s="6">
        <f t="shared" si="14"/>
        <v>854.72060253537984</v>
      </c>
      <c r="M28" s="2"/>
      <c r="N28" s="7">
        <f t="shared" si="15"/>
        <v>0.3803898742005809</v>
      </c>
      <c r="O28" s="11"/>
      <c r="P28" s="6">
        <v>9195.84</v>
      </c>
      <c r="Q28" s="2"/>
      <c r="R28" s="7">
        <f t="shared" si="16"/>
        <v>8.2921889269073398E-3</v>
      </c>
      <c r="S28" s="2"/>
      <c r="T28" s="6">
        <v>10004.487660775399</v>
      </c>
      <c r="U28" s="2"/>
      <c r="V28" s="7">
        <f t="shared" si="17"/>
        <v>9.48549811681214E-3</v>
      </c>
      <c r="W28" s="2"/>
      <c r="X28" s="6">
        <f t="shared" si="18"/>
        <v>-808.64766077539934</v>
      </c>
      <c r="Y28" s="2"/>
      <c r="Z28" s="7">
        <f t="shared" si="19"/>
        <v>-8.0828492991786544E-2</v>
      </c>
    </row>
    <row r="29" spans="1:26" s="24" customFormat="1" hidden="1" outlineLevel="2" x14ac:dyDescent="0.25">
      <c r="A29" s="25"/>
      <c r="B29" s="11" t="str">
        <f>CONCATENATE("          ", "6113", " - ", "GROUP INSURANCE")</f>
        <v xml:space="preserve">          6113 - GROUP INSURANCE</v>
      </c>
      <c r="C29" s="11"/>
      <c r="D29" s="6">
        <v>14845.84</v>
      </c>
      <c r="E29" s="2"/>
      <c r="F29" s="7">
        <f t="shared" si="12"/>
        <v>5.9636948231269006E-2</v>
      </c>
      <c r="G29" s="2"/>
      <c r="H29" s="6">
        <v>10500.692307692299</v>
      </c>
      <c r="I29" s="2"/>
      <c r="J29" s="7">
        <f t="shared" si="13"/>
        <v>3.9102315850260291E-2</v>
      </c>
      <c r="K29" s="2"/>
      <c r="L29" s="6">
        <f t="shared" si="14"/>
        <v>4345.1476923077007</v>
      </c>
      <c r="M29" s="2"/>
      <c r="N29" s="7">
        <f t="shared" si="15"/>
        <v>0.41379630647063675</v>
      </c>
      <c r="O29" s="11"/>
      <c r="P29" s="6">
        <v>67133.25</v>
      </c>
      <c r="Q29" s="2"/>
      <c r="R29" s="7">
        <f t="shared" si="16"/>
        <v>6.0536241635054777E-2</v>
      </c>
      <c r="S29" s="2"/>
      <c r="T29" s="6">
        <v>52503.461538461503</v>
      </c>
      <c r="U29" s="2"/>
      <c r="V29" s="7">
        <f t="shared" si="17"/>
        <v>4.9779809065264614E-2</v>
      </c>
      <c r="W29" s="2"/>
      <c r="X29" s="6">
        <f t="shared" si="18"/>
        <v>14629.788461538497</v>
      </c>
      <c r="Y29" s="2"/>
      <c r="Z29" s="7">
        <f t="shared" si="19"/>
        <v>0.2786442652132835</v>
      </c>
    </row>
    <row r="30" spans="1:26" s="24" customFormat="1" hidden="1" outlineLevel="2" x14ac:dyDescent="0.25">
      <c r="A30" s="25"/>
      <c r="B30" s="11" t="str">
        <f>CONCATENATE("          ", "6114", " - ", "STATE UNEMPLOYMENT INSURANCE")</f>
        <v xml:space="preserve">          6114 - STATE UNEMPLOYMENT INSURANCE</v>
      </c>
      <c r="C30" s="11"/>
      <c r="D30" s="6">
        <v>207.84</v>
      </c>
      <c r="E30" s="2"/>
      <c r="F30" s="7">
        <f t="shared" si="12"/>
        <v>8.3491020517444288E-4</v>
      </c>
      <c r="G30" s="2"/>
      <c r="H30" s="6">
        <v>150.56944415999999</v>
      </c>
      <c r="I30" s="2"/>
      <c r="J30" s="7">
        <f t="shared" si="13"/>
        <v>5.6068817087702569E-4</v>
      </c>
      <c r="K30" s="2"/>
      <c r="L30" s="6">
        <f t="shared" si="14"/>
        <v>57.270555840000014</v>
      </c>
      <c r="M30" s="2"/>
      <c r="N30" s="7">
        <f t="shared" si="15"/>
        <v>0.38035974801861167</v>
      </c>
      <c r="O30" s="11"/>
      <c r="P30" s="6">
        <v>859.39</v>
      </c>
      <c r="Q30" s="2"/>
      <c r="R30" s="7">
        <f t="shared" si="16"/>
        <v>7.7493999916211013E-4</v>
      </c>
      <c r="S30" s="2"/>
      <c r="T30" s="6">
        <v>670.40381232000004</v>
      </c>
      <c r="U30" s="2"/>
      <c r="V30" s="7">
        <f t="shared" si="17"/>
        <v>6.35626162466792E-4</v>
      </c>
      <c r="W30" s="2"/>
      <c r="X30" s="6">
        <f t="shared" si="18"/>
        <v>188.98618767999994</v>
      </c>
      <c r="Y30" s="2"/>
      <c r="Z30" s="7">
        <f t="shared" si="19"/>
        <v>0.2818990348906194</v>
      </c>
    </row>
    <row r="31" spans="1:26" s="24" customFormat="1" hidden="1" outlineLevel="2" x14ac:dyDescent="0.25">
      <c r="A31" s="25"/>
      <c r="B31" s="11" t="str">
        <f>CONCATENATE("          ", "6115", " - ", "P.E.R.S.")</f>
        <v xml:space="preserve">          6115 - P.E.R.S.</v>
      </c>
      <c r="C31" s="11"/>
      <c r="D31" s="6">
        <v>959.64</v>
      </c>
      <c r="E31" s="2"/>
      <c r="F31" s="7">
        <f t="shared" si="12"/>
        <v>3.854952027009249E-3</v>
      </c>
      <c r="G31" s="2"/>
      <c r="H31" s="6">
        <v>403.720384615385</v>
      </c>
      <c r="I31" s="2"/>
      <c r="J31" s="7">
        <f t="shared" si="13"/>
        <v>1.5033677334641065E-3</v>
      </c>
      <c r="K31" s="2"/>
      <c r="L31" s="6">
        <f t="shared" si="14"/>
        <v>555.91961538461499</v>
      </c>
      <c r="M31" s="2"/>
      <c r="N31" s="7">
        <f t="shared" si="15"/>
        <v>1.3769916916982694</v>
      </c>
      <c r="O31" s="11"/>
      <c r="P31" s="6">
        <v>5924.24</v>
      </c>
      <c r="Q31" s="2"/>
      <c r="R31" s="7">
        <f t="shared" si="16"/>
        <v>5.3420804764264642E-3</v>
      </c>
      <c r="S31" s="2"/>
      <c r="T31" s="6">
        <v>2220.4621153846169</v>
      </c>
      <c r="U31" s="2"/>
      <c r="V31" s="7">
        <f t="shared" si="17"/>
        <v>2.1052741457728038E-3</v>
      </c>
      <c r="W31" s="2"/>
      <c r="X31" s="6">
        <f t="shared" si="18"/>
        <v>3703.7778846153828</v>
      </c>
      <c r="Y31" s="2"/>
      <c r="Z31" s="7">
        <f t="shared" si="19"/>
        <v>1.6680212010614888</v>
      </c>
    </row>
    <row r="32" spans="1:26" s="24" customFormat="1" hidden="1" outlineLevel="2" x14ac:dyDescent="0.25">
      <c r="A32" s="25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5"/>
      <c r="B33" s="11" t="str">
        <f>CONCATENATE("          ", "6117", " - ", "RETIREMENT STAFF HOURLY")</f>
        <v xml:space="preserve">          6117 - RETIREMENT STAFF HOURLY</v>
      </c>
      <c r="C33" s="11"/>
      <c r="D33" s="6">
        <v>553.28</v>
      </c>
      <c r="E33" s="2"/>
      <c r="F33" s="7">
        <f t="shared" si="12"/>
        <v>2.2225708156221888E-3</v>
      </c>
      <c r="G33" s="2"/>
      <c r="H33" s="6"/>
      <c r="I33" s="2"/>
      <c r="J33" s="7">
        <f t="shared" si="13"/>
        <v>0</v>
      </c>
      <c r="K33" s="2"/>
      <c r="L33" s="6">
        <f t="shared" si="14"/>
        <v>553.28</v>
      </c>
      <c r="M33" s="2"/>
      <c r="N33" s="7">
        <f t="shared" si="15"/>
        <v>0</v>
      </c>
      <c r="O33" s="11"/>
      <c r="P33" s="6">
        <v>2371.5100000000002</v>
      </c>
      <c r="Q33" s="2"/>
      <c r="R33" s="7">
        <f t="shared" si="16"/>
        <v>2.1384679335493036E-3</v>
      </c>
      <c r="S33" s="2"/>
      <c r="T33" s="6"/>
      <c r="U33" s="2"/>
      <c r="V33" s="7">
        <f t="shared" si="17"/>
        <v>0</v>
      </c>
      <c r="W33" s="2"/>
      <c r="X33" s="6">
        <f t="shared" si="18"/>
        <v>2371.5100000000002</v>
      </c>
      <c r="Y33" s="2"/>
      <c r="Z33" s="7">
        <f t="shared" si="19"/>
        <v>0</v>
      </c>
    </row>
    <row r="34" spans="1:26" s="24" customFormat="1" hidden="1" outlineLevel="2" x14ac:dyDescent="0.25">
      <c r="A34" s="25"/>
      <c r="B34" s="11" t="str">
        <f>CONCATENATE("          ", "6118", " - ", "VACATION")</f>
        <v xml:space="preserve">          6118 - VACATION</v>
      </c>
      <c r="C34" s="11"/>
      <c r="D34" s="6">
        <v>2050.14</v>
      </c>
      <c r="E34" s="2"/>
      <c r="F34" s="7">
        <f t="shared" si="12"/>
        <v>8.235579330428849E-3</v>
      </c>
      <c r="G34" s="2"/>
      <c r="H34" s="6">
        <v>623.46597230769203</v>
      </c>
      <c r="I34" s="2"/>
      <c r="J34" s="7">
        <f t="shared" si="13"/>
        <v>2.3216529593202305E-3</v>
      </c>
      <c r="K34" s="2"/>
      <c r="L34" s="6">
        <f t="shared" si="14"/>
        <v>1426.6740276923078</v>
      </c>
      <c r="M34" s="2"/>
      <c r="N34" s="7">
        <f t="shared" si="15"/>
        <v>2.2882949367896179</v>
      </c>
      <c r="O34" s="11"/>
      <c r="P34" s="6">
        <v>12053.79</v>
      </c>
      <c r="Q34" s="2"/>
      <c r="R34" s="7">
        <f t="shared" si="16"/>
        <v>1.0869295677748463E-2</v>
      </c>
      <c r="S34" s="2"/>
      <c r="T34" s="6">
        <v>3187.7462076923061</v>
      </c>
      <c r="U34" s="2"/>
      <c r="V34" s="7">
        <f t="shared" si="17"/>
        <v>3.0223797235006894E-3</v>
      </c>
      <c r="W34" s="2"/>
      <c r="X34" s="6">
        <f t="shared" si="18"/>
        <v>8866.0437923076952</v>
      </c>
      <c r="Y34" s="2"/>
      <c r="Z34" s="7">
        <f t="shared" si="19"/>
        <v>2.7812891035406668</v>
      </c>
    </row>
    <row r="35" spans="1:26" s="24" customFormat="1" hidden="1" outlineLevel="2" x14ac:dyDescent="0.25">
      <c r="A35" s="25"/>
      <c r="B35" s="11" t="str">
        <f>CONCATENATE("          ", "6119", " - ", "SICK LEAVE")</f>
        <v xml:space="preserve">          6119 - SICK LEAVE</v>
      </c>
      <c r="C35" s="11"/>
      <c r="D35" s="6">
        <v>1637.12</v>
      </c>
      <c r="E35" s="2"/>
      <c r="F35" s="7">
        <f t="shared" si="12"/>
        <v>6.5764443566935322E-3</v>
      </c>
      <c r="G35" s="2"/>
      <c r="H35" s="6">
        <v>1690.3955095384601</v>
      </c>
      <c r="I35" s="2"/>
      <c r="J35" s="7">
        <f t="shared" si="13"/>
        <v>6.2946686931693134E-3</v>
      </c>
      <c r="K35" s="2"/>
      <c r="L35" s="6">
        <f t="shared" si="14"/>
        <v>-53.275509538460255</v>
      </c>
      <c r="M35" s="2"/>
      <c r="N35" s="7">
        <f t="shared" si="15"/>
        <v>-3.1516594334190122E-2</v>
      </c>
      <c r="O35" s="11"/>
      <c r="P35" s="6">
        <v>9501.26</v>
      </c>
      <c r="Q35" s="2"/>
      <c r="R35" s="7">
        <f t="shared" si="16"/>
        <v>8.5675961047242694E-3</v>
      </c>
      <c r="S35" s="2"/>
      <c r="T35" s="6">
        <v>7477.2353344615385</v>
      </c>
      <c r="U35" s="2"/>
      <c r="V35" s="7">
        <f t="shared" si="17"/>
        <v>7.0893487091870768E-3</v>
      </c>
      <c r="W35" s="2"/>
      <c r="X35" s="6">
        <f t="shared" si="18"/>
        <v>2024.0246655384617</v>
      </c>
      <c r="Y35" s="2"/>
      <c r="Z35" s="7">
        <f t="shared" si="19"/>
        <v>0.27069158251713882</v>
      </c>
    </row>
    <row r="36" spans="1:26" s="24" customFormat="1" hidden="1" outlineLevel="2" x14ac:dyDescent="0.25">
      <c r="A36" s="25"/>
      <c r="B36" s="11" t="str">
        <f>CONCATENATE("          ", "6156", " - ", "EMPLOYEE MEALS")</f>
        <v xml:space="preserve">          6156 - EMPLOYEE MEALS</v>
      </c>
      <c r="C36" s="11"/>
      <c r="D36" s="6">
        <v>1120.43</v>
      </c>
      <c r="E36" s="2"/>
      <c r="F36" s="7">
        <f t="shared" si="12"/>
        <v>4.5008585507294125E-3</v>
      </c>
      <c r="G36" s="2"/>
      <c r="H36" s="6"/>
      <c r="I36" s="2"/>
      <c r="J36" s="7">
        <f t="shared" si="13"/>
        <v>0</v>
      </c>
      <c r="K36" s="2"/>
      <c r="L36" s="6">
        <f t="shared" si="14"/>
        <v>1120.43</v>
      </c>
      <c r="M36" s="2"/>
      <c r="N36" s="7">
        <f t="shared" si="15"/>
        <v>0</v>
      </c>
      <c r="O36" s="11"/>
      <c r="P36" s="6">
        <v>5549.59</v>
      </c>
      <c r="Q36" s="2"/>
      <c r="R36" s="7">
        <f t="shared" si="16"/>
        <v>5.004246349096516E-3</v>
      </c>
      <c r="S36" s="2"/>
      <c r="T36" s="6"/>
      <c r="U36" s="2"/>
      <c r="V36" s="7">
        <f t="shared" si="17"/>
        <v>0</v>
      </c>
      <c r="W36" s="2"/>
      <c r="X36" s="6">
        <f t="shared" si="18"/>
        <v>5549.59</v>
      </c>
      <c r="Y36" s="2"/>
      <c r="Z36" s="7">
        <f t="shared" si="19"/>
        <v>0</v>
      </c>
    </row>
    <row r="37" spans="1:26" s="26" customFormat="1" outlineLevel="1" collapsed="1" x14ac:dyDescent="0.25">
      <c r="A37" s="27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69394.81</v>
      </c>
      <c r="E37" s="1"/>
      <c r="F37" s="5">
        <f t="shared" ref="F37:F47" si="20">IF(D$12=0,0,D37/D$12)</f>
        <v>0.27876460284421417</v>
      </c>
      <c r="G37" s="1"/>
      <c r="H37" s="1">
        <f>SUM(OSRRefH22_1x_0)</f>
        <v>55597.463195076911</v>
      </c>
      <c r="I37" s="1"/>
      <c r="J37" s="5">
        <f t="shared" ref="J37:J47" si="21">IF(H$12=0,0,H37/H$12)</f>
        <v>0.20703297483867414</v>
      </c>
      <c r="K37" s="1"/>
      <c r="L37" s="1">
        <f t="shared" ref="L37:L47" si="22">+D37-H37</f>
        <v>13797.346804923087</v>
      </c>
      <c r="M37" s="1"/>
      <c r="N37" s="5">
        <f t="shared" ref="N37:N47" si="23">IF(H37=0,0,L37/H37)</f>
        <v>0.24816504228820327</v>
      </c>
      <c r="O37" s="13"/>
      <c r="P37" s="1">
        <f>SUM(OSRRefP22_1x_0)</f>
        <v>336763.47</v>
      </c>
      <c r="Q37" s="1"/>
      <c r="R37" s="5">
        <f t="shared" ref="R37:R47" si="24">IF(P$12=0,0,P37/P$12)</f>
        <v>0.30367060724424216</v>
      </c>
      <c r="S37" s="1"/>
      <c r="T37" s="1">
        <f>SUM(OSRRefT22_1x_0)</f>
        <v>247182.63858092306</v>
      </c>
      <c r="U37" s="1"/>
      <c r="V37" s="5">
        <f t="shared" ref="V37:V47" si="25">IF(T$12=0,0,T37/T$12)</f>
        <v>0.23435987251607834</v>
      </c>
      <c r="W37" s="1"/>
      <c r="X37" s="1">
        <f t="shared" ref="X37:X47" si="26">+P37-T37</f>
        <v>89580.831419076916</v>
      </c>
      <c r="Y37" s="1"/>
      <c r="Z37" s="5">
        <f t="shared" ref="Z37:Z47" si="27">IF(T37=0,0,X37/T37)</f>
        <v>0.36240745682367087</v>
      </c>
    </row>
    <row r="38" spans="1:26" s="24" customFormat="1" hidden="1" outlineLevel="2" x14ac:dyDescent="0.25">
      <c r="A38" s="25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5"/>
      <c r="B39" s="11" t="str">
        <f>CONCATENATE("          ", "6002", " - ", "STAFF SALARIES")</f>
        <v xml:space="preserve">          6002 - STAFF SALARIES</v>
      </c>
      <c r="C39" s="11"/>
      <c r="D39" s="6">
        <v>8640.1299999999992</v>
      </c>
      <c r="E39" s="2"/>
      <c r="F39" s="7">
        <f t="shared" si="20"/>
        <v>3.4708105807514711E-2</v>
      </c>
      <c r="G39" s="2"/>
      <c r="H39" s="6">
        <v>4459.7019230769201</v>
      </c>
      <c r="I39" s="2"/>
      <c r="J39" s="7">
        <f t="shared" si="21"/>
        <v>1.6606969148731381E-2</v>
      </c>
      <c r="K39" s="2"/>
      <c r="L39" s="6">
        <f t="shared" si="22"/>
        <v>4180.4280769230791</v>
      </c>
      <c r="M39" s="2"/>
      <c r="N39" s="7">
        <f t="shared" si="23"/>
        <v>0.93737836048890921</v>
      </c>
      <c r="O39" s="11"/>
      <c r="P39" s="6">
        <v>49481.369999999995</v>
      </c>
      <c r="Q39" s="2"/>
      <c r="R39" s="7">
        <f t="shared" si="24"/>
        <v>4.4618965575978373E-2</v>
      </c>
      <c r="S39" s="2"/>
      <c r="T39" s="6">
        <v>24528.36057692306</v>
      </c>
      <c r="U39" s="2"/>
      <c r="V39" s="7">
        <f t="shared" si="25"/>
        <v>2.3255935331211171E-2</v>
      </c>
      <c r="W39" s="2"/>
      <c r="X39" s="6">
        <f t="shared" si="26"/>
        <v>24953.009423076935</v>
      </c>
      <c r="Y39" s="2"/>
      <c r="Z39" s="7">
        <f t="shared" si="27"/>
        <v>1.0173125653800685</v>
      </c>
    </row>
    <row r="40" spans="1:26" s="24" customFormat="1" hidden="1" outlineLevel="2" x14ac:dyDescent="0.25">
      <c r="A40" s="25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5"/>
      <c r="B41" s="11" t="str">
        <f>CONCATENATE("          ", "6004", " - ", "STAFF HOURLY")</f>
        <v xml:space="preserve">          6004 - STAFF HOURLY</v>
      </c>
      <c r="C41" s="11"/>
      <c r="D41" s="6">
        <v>22985.86</v>
      </c>
      <c r="E41" s="2"/>
      <c r="F41" s="7">
        <f t="shared" si="20"/>
        <v>9.2336071442989887E-2</v>
      </c>
      <c r="G41" s="2"/>
      <c r="H41" s="6">
        <v>15122.50944</v>
      </c>
      <c r="I41" s="2"/>
      <c r="J41" s="7">
        <f t="shared" si="21"/>
        <v>5.6312967111534794E-2</v>
      </c>
      <c r="K41" s="2"/>
      <c r="L41" s="6">
        <f t="shared" si="22"/>
        <v>7863.3505600000008</v>
      </c>
      <c r="M41" s="2"/>
      <c r="N41" s="7">
        <f t="shared" si="23"/>
        <v>0.51997656812175219</v>
      </c>
      <c r="O41" s="11"/>
      <c r="P41" s="6">
        <v>108255.96</v>
      </c>
      <c r="Q41" s="2"/>
      <c r="R41" s="7">
        <f t="shared" si="24"/>
        <v>9.7617930801723818E-2</v>
      </c>
      <c r="S41" s="2"/>
      <c r="T41" s="6">
        <v>75612.547200000001</v>
      </c>
      <c r="U41" s="2"/>
      <c r="V41" s="7">
        <f t="shared" si="25"/>
        <v>7.1690095324419695E-2</v>
      </c>
      <c r="W41" s="2"/>
      <c r="X41" s="6">
        <f t="shared" si="26"/>
        <v>32643.412800000006</v>
      </c>
      <c r="Y41" s="2"/>
      <c r="Z41" s="7">
        <f t="shared" si="27"/>
        <v>0.43171952286776027</v>
      </c>
    </row>
    <row r="42" spans="1:26" s="24" customFormat="1" hidden="1" outlineLevel="2" x14ac:dyDescent="0.25">
      <c r="A42" s="25"/>
      <c r="B42" s="11" t="str">
        <f>CONCATENATE("          ", "6005", " - ", "TEMPORARY WAGES-HOURLY")</f>
        <v xml:space="preserve">          6005 - TEMPORARY WAGES-HOURLY</v>
      </c>
      <c r="C42" s="11"/>
      <c r="D42" s="6">
        <v>13620.7</v>
      </c>
      <c r="E42" s="2"/>
      <c r="F42" s="7">
        <f t="shared" si="20"/>
        <v>5.4715461083619778E-2</v>
      </c>
      <c r="G42" s="2"/>
      <c r="H42" s="6">
        <v>4849.1518319999996</v>
      </c>
      <c r="I42" s="2"/>
      <c r="J42" s="7">
        <f t="shared" si="21"/>
        <v>1.8057196705195424E-2</v>
      </c>
      <c r="K42" s="2"/>
      <c r="L42" s="6">
        <f t="shared" si="22"/>
        <v>8771.5481680000012</v>
      </c>
      <c r="M42" s="2"/>
      <c r="N42" s="7">
        <f t="shared" si="23"/>
        <v>1.8088829700311191</v>
      </c>
      <c r="O42" s="11"/>
      <c r="P42" s="6">
        <v>60521.479999999996</v>
      </c>
      <c r="Q42" s="2"/>
      <c r="R42" s="7">
        <f t="shared" si="24"/>
        <v>5.4574192928111401E-2</v>
      </c>
      <c r="S42" s="2"/>
      <c r="T42" s="6">
        <v>20089.343303999998</v>
      </c>
      <c r="U42" s="2"/>
      <c r="V42" s="7">
        <f t="shared" si="25"/>
        <v>1.9047195072787501E-2</v>
      </c>
      <c r="W42" s="2"/>
      <c r="X42" s="6">
        <f t="shared" si="26"/>
        <v>40432.136696000001</v>
      </c>
      <c r="Y42" s="2"/>
      <c r="Z42" s="7">
        <f t="shared" si="27"/>
        <v>2.012616145991668</v>
      </c>
    </row>
    <row r="43" spans="1:26" s="24" customFormat="1" hidden="1" outlineLevel="2" x14ac:dyDescent="0.25">
      <c r="A43" s="25"/>
      <c r="B43" s="11" t="str">
        <f>CONCATENATE("          ", "6006", " - ", "TEMPORARY PART TIME")</f>
        <v xml:space="preserve">          6006 - TEMPORARY PART TIME</v>
      </c>
      <c r="C43" s="11"/>
      <c r="D43" s="6">
        <v>1994</v>
      </c>
      <c r="E43" s="2"/>
      <c r="F43" s="7">
        <f t="shared" si="20"/>
        <v>8.0100603787424899E-3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1994</v>
      </c>
      <c r="M43" s="2"/>
      <c r="N43" s="7">
        <f t="shared" si="23"/>
        <v>0</v>
      </c>
      <c r="O43" s="11"/>
      <c r="P43" s="6">
        <v>9798.2199999999993</v>
      </c>
      <c r="Q43" s="2"/>
      <c r="R43" s="7">
        <f t="shared" si="24"/>
        <v>8.8353746245478423E-3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9798.2199999999993</v>
      </c>
      <c r="Y43" s="2"/>
      <c r="Z43" s="7">
        <f t="shared" si="27"/>
        <v>0</v>
      </c>
    </row>
    <row r="44" spans="1:26" s="24" customFormat="1" hidden="1" outlineLevel="2" x14ac:dyDescent="0.25">
      <c r="A44" s="25"/>
      <c r="B44" s="11" t="str">
        <f>CONCATENATE("          ", "6007", " - ", "STUDENT HOURLY")</f>
        <v xml:space="preserve">          6007 - STUDENT HOURLY</v>
      </c>
      <c r="C44" s="11"/>
      <c r="D44" s="6">
        <v>15155.12</v>
      </c>
      <c r="E44" s="2"/>
      <c r="F44" s="7">
        <f t="shared" si="20"/>
        <v>6.0879351177075165E-2</v>
      </c>
      <c r="G44" s="2"/>
      <c r="H44" s="6">
        <v>31166.099999999995</v>
      </c>
      <c r="I44" s="2"/>
      <c r="J44" s="7">
        <f t="shared" si="21"/>
        <v>0.11605584187321256</v>
      </c>
      <c r="K44" s="2"/>
      <c r="L44" s="6">
        <f t="shared" si="22"/>
        <v>-16010.979999999994</v>
      </c>
      <c r="M44" s="2"/>
      <c r="N44" s="7">
        <f t="shared" si="23"/>
        <v>-0.51373062397925939</v>
      </c>
      <c r="O44" s="11"/>
      <c r="P44" s="6">
        <v>74282.94</v>
      </c>
      <c r="Q44" s="2"/>
      <c r="R44" s="7">
        <f t="shared" si="24"/>
        <v>6.6983350354738916E-2</v>
      </c>
      <c r="S44" s="2"/>
      <c r="T44" s="6">
        <v>122067.22499999999</v>
      </c>
      <c r="U44" s="2"/>
      <c r="V44" s="7">
        <f t="shared" si="25"/>
        <v>0.11573490538667354</v>
      </c>
      <c r="W44" s="2"/>
      <c r="X44" s="6">
        <f t="shared" si="26"/>
        <v>-47784.284999999989</v>
      </c>
      <c r="Y44" s="2"/>
      <c r="Z44" s="7">
        <f t="shared" si="27"/>
        <v>-0.3914587638082212</v>
      </c>
    </row>
    <row r="45" spans="1:26" s="24" customFormat="1" hidden="1" outlineLevel="2" x14ac:dyDescent="0.25">
      <c r="A45" s="25"/>
      <c r="B45" s="11" t="str">
        <f>CONCATENATE("          ", "6008", " - ", "STUDENT HOURLY-FICA EXEMPT")</f>
        <v xml:space="preserve">          6008 - STUDENT HOURLY-FICA EXEMPT</v>
      </c>
      <c r="C45" s="11"/>
      <c r="D45" s="6">
        <v>6999</v>
      </c>
      <c r="E45" s="2"/>
      <c r="F45" s="7">
        <f t="shared" si="20"/>
        <v>2.8115552954272156E-2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6999</v>
      </c>
      <c r="M45" s="2"/>
      <c r="N45" s="7">
        <f t="shared" si="23"/>
        <v>0</v>
      </c>
      <c r="O45" s="11"/>
      <c r="P45" s="6">
        <v>34423.5</v>
      </c>
      <c r="Q45" s="2"/>
      <c r="R45" s="7">
        <f t="shared" si="24"/>
        <v>3.104079295914183E-2</v>
      </c>
      <c r="S45" s="2"/>
      <c r="T45" s="6">
        <v>4885.1624999999995</v>
      </c>
      <c r="U45" s="2"/>
      <c r="V45" s="7">
        <f t="shared" si="25"/>
        <v>4.6317414009864281E-3</v>
      </c>
      <c r="W45" s="2"/>
      <c r="X45" s="6">
        <f t="shared" si="26"/>
        <v>29538.337500000001</v>
      </c>
      <c r="Y45" s="2"/>
      <c r="Z45" s="7">
        <f t="shared" si="27"/>
        <v>6.0465414405355</v>
      </c>
    </row>
    <row r="46" spans="1:26" s="24" customFormat="1" hidden="1" outlineLevel="2" x14ac:dyDescent="0.25">
      <c r="A46" s="25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5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6" customFormat="1" outlineLevel="1" collapsed="1" x14ac:dyDescent="0.25">
      <c r="A48" s="27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54.36</v>
      </c>
      <c r="E48" s="1"/>
      <c r="F48" s="5">
        <f t="shared" ref="F48:F52" si="28">IF(D$12=0,0,D48/D$12)</f>
        <v>2.1836854673442413E-4</v>
      </c>
      <c r="G48" s="1"/>
      <c r="H48" s="1">
        <f>SUM(OSRRefH22_2x_0)</f>
        <v>100</v>
      </c>
      <c r="I48" s="1"/>
      <c r="J48" s="5">
        <f t="shared" ref="J48:J52" si="29">IF(H$12=0,0,H48/H$12)</f>
        <v>3.7237845567206863E-4</v>
      </c>
      <c r="K48" s="1"/>
      <c r="L48" s="1">
        <f t="shared" ref="L48:L52" si="30">+D48-H48</f>
        <v>-45.64</v>
      </c>
      <c r="M48" s="1"/>
      <c r="N48" s="5">
        <f t="shared" ref="N48:N52" si="31">IF(H48=0,0,L48/H48)</f>
        <v>-0.45640000000000003</v>
      </c>
      <c r="O48" s="13"/>
      <c r="P48" s="1">
        <f>SUM(OSRRefP22_2x_0)</f>
        <v>2809.67</v>
      </c>
      <c r="Q48" s="1"/>
      <c r="R48" s="5">
        <f t="shared" ref="R48:R52" si="32">IF(P$12=0,0,P48/P$12)</f>
        <v>2.5335710997868325E-3</v>
      </c>
      <c r="S48" s="1"/>
      <c r="T48" s="1">
        <f>SUM(OSRRefT22_2x_0)</f>
        <v>3400</v>
      </c>
      <c r="U48" s="1"/>
      <c r="V48" s="5">
        <f t="shared" ref="V48:V52" si="33">IF(T$12=0,0,T48/T$12)</f>
        <v>3.2236227071983496E-3</v>
      </c>
      <c r="W48" s="1"/>
      <c r="X48" s="1">
        <f t="shared" ref="X48:X52" si="34">+P48-T48</f>
        <v>-590.32999999999993</v>
      </c>
      <c r="Y48" s="1"/>
      <c r="Z48" s="5">
        <f t="shared" ref="Z48:Z52" si="35">IF(T48=0,0,X48/T48)</f>
        <v>-0.17362647058823527</v>
      </c>
    </row>
    <row r="49" spans="1:26" s="24" customFormat="1" hidden="1" outlineLevel="2" x14ac:dyDescent="0.25">
      <c r="A49" s="25"/>
      <c r="B49" s="11" t="str">
        <f>CONCATENATE("          ", "6362", " - ", "ADVERTISING EXPENSE")</f>
        <v xml:space="preserve">          6362 - ADVERTISING EXPENSE</v>
      </c>
      <c r="C49" s="11"/>
      <c r="D49" s="6">
        <v>54.36</v>
      </c>
      <c r="E49" s="2"/>
      <c r="F49" s="7">
        <f t="shared" si="28"/>
        <v>2.1836854673442413E-4</v>
      </c>
      <c r="G49" s="2"/>
      <c r="H49" s="6">
        <v>100</v>
      </c>
      <c r="I49" s="2"/>
      <c r="J49" s="7">
        <f t="shared" si="29"/>
        <v>3.7237845567206863E-4</v>
      </c>
      <c r="K49" s="2"/>
      <c r="L49" s="6">
        <f t="shared" si="30"/>
        <v>-45.64</v>
      </c>
      <c r="M49" s="2"/>
      <c r="N49" s="7">
        <f t="shared" si="31"/>
        <v>-0.45640000000000003</v>
      </c>
      <c r="O49" s="11"/>
      <c r="P49" s="6">
        <v>2809.67</v>
      </c>
      <c r="Q49" s="2"/>
      <c r="R49" s="7">
        <f t="shared" si="32"/>
        <v>2.5335710997868325E-3</v>
      </c>
      <c r="S49" s="2"/>
      <c r="T49" s="6">
        <v>3400</v>
      </c>
      <c r="U49" s="2"/>
      <c r="V49" s="7">
        <f t="shared" si="33"/>
        <v>3.2236227071983496E-3</v>
      </c>
      <c r="W49" s="2"/>
      <c r="X49" s="6">
        <f t="shared" si="34"/>
        <v>-590.32999999999993</v>
      </c>
      <c r="Y49" s="2"/>
      <c r="Z49" s="7">
        <f t="shared" si="35"/>
        <v>-0.17362647058823527</v>
      </c>
    </row>
    <row r="50" spans="1:26" s="26" customFormat="1" outlineLevel="1" collapsed="1" x14ac:dyDescent="0.25">
      <c r="A50" s="27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-0.15</v>
      </c>
      <c r="E50" s="1"/>
      <c r="F50" s="5">
        <f t="shared" si="28"/>
        <v>-6.0256221505083924E-7</v>
      </c>
      <c r="G50" s="1"/>
      <c r="H50" s="1">
        <f>SUM(OSRRefH22_3x_0)</f>
        <v>70</v>
      </c>
      <c r="I50" s="1"/>
      <c r="J50" s="5">
        <f t="shared" si="29"/>
        <v>2.6066491897044805E-4</v>
      </c>
      <c r="K50" s="1"/>
      <c r="L50" s="1">
        <f t="shared" si="30"/>
        <v>-70.150000000000006</v>
      </c>
      <c r="M50" s="1"/>
      <c r="N50" s="5">
        <f t="shared" si="31"/>
        <v>-1.0021428571428572</v>
      </c>
      <c r="O50" s="13"/>
      <c r="P50" s="1">
        <f>SUM(OSRRefP22_3x_0)</f>
        <v>13.18</v>
      </c>
      <c r="Q50" s="1"/>
      <c r="R50" s="5">
        <f t="shared" si="32"/>
        <v>1.1884835975467029E-5</v>
      </c>
      <c r="S50" s="1"/>
      <c r="T50" s="1">
        <f>SUM(OSRRefT22_3x_0)</f>
        <v>280</v>
      </c>
      <c r="U50" s="1"/>
      <c r="V50" s="5">
        <f t="shared" si="33"/>
        <v>2.6547481118104055E-4</v>
      </c>
      <c r="W50" s="1"/>
      <c r="X50" s="1">
        <f t="shared" si="34"/>
        <v>-266.82</v>
      </c>
      <c r="Y50" s="1"/>
      <c r="Z50" s="5">
        <f t="shared" si="35"/>
        <v>-0.95292857142857146</v>
      </c>
    </row>
    <row r="51" spans="1:26" s="24" customFormat="1" hidden="1" outlineLevel="2" x14ac:dyDescent="0.25">
      <c r="A51" s="25"/>
      <c r="B51" s="11" t="str">
        <f>CONCATENATE("          ", "6272", " - ", "CASH (OVER/SHORT)")</f>
        <v xml:space="preserve">          6272 - CASH (OVER/SHORT)</v>
      </c>
      <c r="C51" s="11"/>
      <c r="D51" s="6">
        <v>-0.15</v>
      </c>
      <c r="E51" s="2"/>
      <c r="F51" s="7">
        <f t="shared" si="28"/>
        <v>-6.0256221505083924E-7</v>
      </c>
      <c r="G51" s="2"/>
      <c r="H51" s="6">
        <v>20</v>
      </c>
      <c r="I51" s="2"/>
      <c r="J51" s="7">
        <f t="shared" si="29"/>
        <v>7.4475691134413732E-5</v>
      </c>
      <c r="K51" s="2"/>
      <c r="L51" s="6">
        <f t="shared" si="30"/>
        <v>-20.149999999999999</v>
      </c>
      <c r="M51" s="2"/>
      <c r="N51" s="7">
        <f t="shared" si="31"/>
        <v>-1.0074999999999998</v>
      </c>
      <c r="O51" s="11"/>
      <c r="P51" s="6">
        <v>13.18</v>
      </c>
      <c r="Q51" s="2"/>
      <c r="R51" s="7">
        <f t="shared" si="32"/>
        <v>1.1884835975467029E-5</v>
      </c>
      <c r="S51" s="2"/>
      <c r="T51" s="6">
        <v>80</v>
      </c>
      <c r="U51" s="2"/>
      <c r="V51" s="7">
        <f t="shared" si="33"/>
        <v>7.5849946051725876E-5</v>
      </c>
      <c r="W51" s="2"/>
      <c r="X51" s="6">
        <f t="shared" si="34"/>
        <v>-66.819999999999993</v>
      </c>
      <c r="Y51" s="2"/>
      <c r="Z51" s="7">
        <f t="shared" si="35"/>
        <v>-0.83524999999999994</v>
      </c>
    </row>
    <row r="52" spans="1:26" s="24" customFormat="1" hidden="1" outlineLevel="2" x14ac:dyDescent="0.25">
      <c r="A52" s="25"/>
      <c r="B52" s="11" t="str">
        <f>CONCATENATE("          ", "6342", " - ", "BAD DEBT")</f>
        <v xml:space="preserve">          6342 - BAD DEBT</v>
      </c>
      <c r="C52" s="11"/>
      <c r="D52" s="6"/>
      <c r="E52" s="2"/>
      <c r="F52" s="7">
        <f t="shared" si="28"/>
        <v>0</v>
      </c>
      <c r="G52" s="2"/>
      <c r="H52" s="6">
        <v>50</v>
      </c>
      <c r="I52" s="2"/>
      <c r="J52" s="7">
        <f t="shared" si="29"/>
        <v>1.8618922783603432E-4</v>
      </c>
      <c r="K52" s="2"/>
      <c r="L52" s="6">
        <f t="shared" si="30"/>
        <v>-50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200</v>
      </c>
      <c r="U52" s="2"/>
      <c r="V52" s="7">
        <f t="shared" si="33"/>
        <v>1.8962486512931468E-4</v>
      </c>
      <c r="W52" s="2"/>
      <c r="X52" s="6">
        <f t="shared" si="34"/>
        <v>-200</v>
      </c>
      <c r="Y52" s="2"/>
      <c r="Z52" s="7">
        <f t="shared" si="35"/>
        <v>-1</v>
      </c>
    </row>
    <row r="53" spans="1:26" s="26" customFormat="1" outlineLevel="1" collapsed="1" x14ac:dyDescent="0.25">
      <c r="A53" s="27"/>
      <c r="B53" s="13" t="str">
        <f>CONCATENATE("     ","Bank/card Fees                                    ")</f>
        <v xml:space="preserve">     Bank/card Fees                                    </v>
      </c>
      <c r="C53" s="13"/>
      <c r="D53" s="1">
        <f>SUM(OSRRefD22_4x_0)</f>
        <v>11.94</v>
      </c>
      <c r="E53" s="1"/>
      <c r="F53" s="5">
        <f t="shared" ref="F53:F70" si="36">IF(D$12=0,0,D53/D$12)</f>
        <v>4.7963952318046803E-5</v>
      </c>
      <c r="G53" s="1"/>
      <c r="H53" s="1">
        <f>SUM(OSRRefH22_4x_0)</f>
        <v>20</v>
      </c>
      <c r="I53" s="1"/>
      <c r="J53" s="5">
        <f t="shared" ref="J53:J70" si="37">IF(H$12=0,0,H53/H$12)</f>
        <v>7.4475691134413732E-5</v>
      </c>
      <c r="K53" s="1"/>
      <c r="L53" s="1">
        <f t="shared" ref="L53:L70" si="38">+D53-H53</f>
        <v>-8.06</v>
      </c>
      <c r="M53" s="1"/>
      <c r="N53" s="5">
        <f t="shared" ref="N53:N70" si="39">IF(H53=0,0,L53/H53)</f>
        <v>-0.40300000000000002</v>
      </c>
      <c r="O53" s="13"/>
      <c r="P53" s="1">
        <f>SUM(OSRRefP22_4x_0)</f>
        <v>45.57</v>
      </c>
      <c r="Q53" s="1"/>
      <c r="R53" s="5">
        <f t="shared" ref="R53:R70" si="40">IF(P$12=0,0,P53/P$12)</f>
        <v>4.1091955645070757E-5</v>
      </c>
      <c r="S53" s="1"/>
      <c r="T53" s="1">
        <f>SUM(OSRRefT22_4x_0)</f>
        <v>100</v>
      </c>
      <c r="U53" s="1"/>
      <c r="V53" s="5">
        <f t="shared" ref="V53:V70" si="41">IF(T$12=0,0,T53/T$12)</f>
        <v>9.4812432564657338E-5</v>
      </c>
      <c r="W53" s="1"/>
      <c r="X53" s="1">
        <f t="shared" ref="X53:X70" si="42">+P53-T53</f>
        <v>-54.43</v>
      </c>
      <c r="Y53" s="1"/>
      <c r="Z53" s="5">
        <f t="shared" ref="Z53:Z70" si="43">IF(T53=0,0,X53/T53)</f>
        <v>-0.54430000000000001</v>
      </c>
    </row>
    <row r="54" spans="1:26" s="24" customFormat="1" hidden="1" outlineLevel="2" x14ac:dyDescent="0.25">
      <c r="A54" s="25"/>
      <c r="B54" s="11" t="str">
        <f>CONCATENATE("          ", "6381", " - ", "BANK/CREDIT CARD FEES")</f>
        <v xml:space="preserve">          6381 - BANK/CREDIT CARD FEES</v>
      </c>
      <c r="C54" s="11"/>
      <c r="D54" s="6">
        <v>11.94</v>
      </c>
      <c r="E54" s="2"/>
      <c r="F54" s="7">
        <f t="shared" si="36"/>
        <v>4.7963952318046803E-5</v>
      </c>
      <c r="G54" s="2"/>
      <c r="H54" s="6">
        <v>20</v>
      </c>
      <c r="I54" s="2"/>
      <c r="J54" s="7">
        <f t="shared" si="37"/>
        <v>7.4475691134413732E-5</v>
      </c>
      <c r="K54" s="2"/>
      <c r="L54" s="6">
        <f t="shared" si="38"/>
        <v>-8.06</v>
      </c>
      <c r="M54" s="2"/>
      <c r="N54" s="7">
        <f t="shared" si="39"/>
        <v>-0.40300000000000002</v>
      </c>
      <c r="O54" s="11"/>
      <c r="P54" s="6">
        <v>45.57</v>
      </c>
      <c r="Q54" s="2"/>
      <c r="R54" s="7">
        <f t="shared" si="40"/>
        <v>4.1091955645070757E-5</v>
      </c>
      <c r="S54" s="2"/>
      <c r="T54" s="6">
        <v>100</v>
      </c>
      <c r="U54" s="2"/>
      <c r="V54" s="7">
        <f t="shared" si="41"/>
        <v>9.4812432564657338E-5</v>
      </c>
      <c r="W54" s="2"/>
      <c r="X54" s="6">
        <f t="shared" si="42"/>
        <v>-54.43</v>
      </c>
      <c r="Y54" s="2"/>
      <c r="Z54" s="7">
        <f t="shared" si="43"/>
        <v>-0.54430000000000001</v>
      </c>
    </row>
    <row r="55" spans="1:26" s="26" customFormat="1" outlineLevel="1" collapsed="1" x14ac:dyDescent="0.25">
      <c r="A55" s="27"/>
      <c r="B55" s="13" t="str">
        <f>CONCATENATE("     ","Donations                                         ")</f>
        <v xml:space="preserve">     Donations                                         </v>
      </c>
      <c r="C55" s="13"/>
      <c r="D55" s="1">
        <f>SUM(OSRRefD22_5x_0)</f>
        <v>2747.89</v>
      </c>
      <c r="E55" s="1"/>
      <c r="F55" s="5">
        <f t="shared" si="36"/>
        <v>1.103849790077367E-2</v>
      </c>
      <c r="G55" s="1"/>
      <c r="H55" s="1">
        <f>SUM(OSRRefH22_5x_0)</f>
        <v>2416</v>
      </c>
      <c r="I55" s="1"/>
      <c r="J55" s="5">
        <f t="shared" si="37"/>
        <v>8.996663489037179E-3</v>
      </c>
      <c r="K55" s="1"/>
      <c r="L55" s="1">
        <f t="shared" si="38"/>
        <v>331.88999999999987</v>
      </c>
      <c r="M55" s="1"/>
      <c r="N55" s="5">
        <f t="shared" si="39"/>
        <v>0.13737168874172181</v>
      </c>
      <c r="O55" s="13"/>
      <c r="P55" s="1">
        <f>SUM(OSRRefP22_5x_0)</f>
        <v>11788.16</v>
      </c>
      <c r="Q55" s="1"/>
      <c r="R55" s="5">
        <f t="shared" si="40"/>
        <v>1.0629768441013765E-2</v>
      </c>
      <c r="S55" s="1"/>
      <c r="T55" s="1">
        <f>SUM(OSRRefT22_5x_0)</f>
        <v>9490</v>
      </c>
      <c r="U55" s="1"/>
      <c r="V55" s="5">
        <f t="shared" si="41"/>
        <v>8.9976998503859817E-3</v>
      </c>
      <c r="W55" s="1"/>
      <c r="X55" s="1">
        <f t="shared" si="42"/>
        <v>2298.16</v>
      </c>
      <c r="Y55" s="1"/>
      <c r="Z55" s="5">
        <f t="shared" si="43"/>
        <v>0.24216649104320337</v>
      </c>
    </row>
    <row r="56" spans="1:26" s="24" customFormat="1" hidden="1" outlineLevel="2" x14ac:dyDescent="0.25">
      <c r="A56" s="25"/>
      <c r="B56" s="11" t="str">
        <f>CONCATENATE("          ", "6399", " - ", "DONATION-ON CAMPUS")</f>
        <v xml:space="preserve">          6399 - DONATION-ON CAMPUS</v>
      </c>
      <c r="C56" s="11"/>
      <c r="D56" s="6">
        <v>2747.89</v>
      </c>
      <c r="E56" s="2"/>
      <c r="F56" s="7">
        <f t="shared" si="36"/>
        <v>1.103849790077367E-2</v>
      </c>
      <c r="G56" s="2"/>
      <c r="H56" s="6">
        <v>2416</v>
      </c>
      <c r="I56" s="2"/>
      <c r="J56" s="7">
        <f t="shared" si="37"/>
        <v>8.996663489037179E-3</v>
      </c>
      <c r="K56" s="2"/>
      <c r="L56" s="6">
        <f t="shared" si="38"/>
        <v>331.88999999999987</v>
      </c>
      <c r="M56" s="2"/>
      <c r="N56" s="7">
        <f t="shared" si="39"/>
        <v>0.13737168874172181</v>
      </c>
      <c r="O56" s="11"/>
      <c r="P56" s="6">
        <v>11788.16</v>
      </c>
      <c r="Q56" s="2"/>
      <c r="R56" s="7">
        <f t="shared" si="40"/>
        <v>1.0629768441013765E-2</v>
      </c>
      <c r="S56" s="2"/>
      <c r="T56" s="6">
        <v>9490</v>
      </c>
      <c r="U56" s="2"/>
      <c r="V56" s="7">
        <f t="shared" si="41"/>
        <v>8.9976998503859817E-3</v>
      </c>
      <c r="W56" s="2"/>
      <c r="X56" s="6">
        <f t="shared" si="42"/>
        <v>2298.16</v>
      </c>
      <c r="Y56" s="2"/>
      <c r="Z56" s="7">
        <f t="shared" si="43"/>
        <v>0.24216649104320337</v>
      </c>
    </row>
    <row r="57" spans="1:26" s="26" customFormat="1" outlineLevel="1" collapsed="1" x14ac:dyDescent="0.25">
      <c r="A57" s="27"/>
      <c r="B57" s="13" t="str">
        <f>CONCATENATE("     ","Employees' Appreciation                           ")</f>
        <v xml:space="preserve">     Employees' Appreciation                           </v>
      </c>
      <c r="C57" s="13"/>
      <c r="D57" s="1">
        <f>SUM(OSRRefD22_6x_0)</f>
        <v>0</v>
      </c>
      <c r="E57" s="1"/>
      <c r="F57" s="5">
        <f t="shared" si="36"/>
        <v>0</v>
      </c>
      <c r="G57" s="1"/>
      <c r="H57" s="1">
        <f>SUM(OSRRefH22_6x_0)</f>
        <v>200</v>
      </c>
      <c r="I57" s="1"/>
      <c r="J57" s="5">
        <f t="shared" si="37"/>
        <v>7.4475691134413726E-4</v>
      </c>
      <c r="K57" s="1"/>
      <c r="L57" s="1">
        <f t="shared" si="38"/>
        <v>-200</v>
      </c>
      <c r="M57" s="1"/>
      <c r="N57" s="5">
        <f t="shared" si="39"/>
        <v>-1</v>
      </c>
      <c r="O57" s="13"/>
      <c r="P57" s="1">
        <f>SUM(OSRRefP22_6x_0)</f>
        <v>21.34</v>
      </c>
      <c r="Q57" s="1"/>
      <c r="R57" s="5">
        <f t="shared" si="40"/>
        <v>1.924297418182598E-5</v>
      </c>
      <c r="S57" s="1"/>
      <c r="T57" s="1">
        <f>SUM(OSRRefT22_6x_0)</f>
        <v>200</v>
      </c>
      <c r="U57" s="1"/>
      <c r="V57" s="5">
        <f t="shared" si="41"/>
        <v>1.8962486512931468E-4</v>
      </c>
      <c r="W57" s="1"/>
      <c r="X57" s="1">
        <f t="shared" si="42"/>
        <v>-178.66</v>
      </c>
      <c r="Y57" s="1"/>
      <c r="Z57" s="5">
        <f t="shared" si="43"/>
        <v>-0.89329999999999998</v>
      </c>
    </row>
    <row r="58" spans="1:26" s="24" customFormat="1" hidden="1" outlineLevel="2" x14ac:dyDescent="0.25">
      <c r="A58" s="25"/>
      <c r="B58" s="11" t="str">
        <f>CONCATENATE("          ", "6277", " - ", "EMPLOYEE APPRECIATION")</f>
        <v xml:space="preserve">          6277 - EMPLOYEE APPRECIATION</v>
      </c>
      <c r="C58" s="11"/>
      <c r="D58" s="6"/>
      <c r="E58" s="2"/>
      <c r="F58" s="7">
        <f t="shared" si="36"/>
        <v>0</v>
      </c>
      <c r="G58" s="2"/>
      <c r="H58" s="6">
        <v>200</v>
      </c>
      <c r="I58" s="2"/>
      <c r="J58" s="7">
        <f t="shared" si="37"/>
        <v>7.4475691134413726E-4</v>
      </c>
      <c r="K58" s="2"/>
      <c r="L58" s="6">
        <f t="shared" si="38"/>
        <v>-200</v>
      </c>
      <c r="M58" s="2"/>
      <c r="N58" s="7">
        <f t="shared" si="39"/>
        <v>-1</v>
      </c>
      <c r="O58" s="11"/>
      <c r="P58" s="6">
        <v>21.34</v>
      </c>
      <c r="Q58" s="2"/>
      <c r="R58" s="7">
        <f t="shared" si="40"/>
        <v>1.924297418182598E-5</v>
      </c>
      <c r="S58" s="2"/>
      <c r="T58" s="6">
        <v>200</v>
      </c>
      <c r="U58" s="2"/>
      <c r="V58" s="7">
        <f t="shared" si="41"/>
        <v>1.8962486512931468E-4</v>
      </c>
      <c r="W58" s="2"/>
      <c r="X58" s="6">
        <f t="shared" si="42"/>
        <v>-178.66</v>
      </c>
      <c r="Y58" s="2"/>
      <c r="Z58" s="7">
        <f t="shared" si="43"/>
        <v>-0.89329999999999998</v>
      </c>
    </row>
    <row r="59" spans="1:26" s="26" customFormat="1" outlineLevel="1" collapsed="1" x14ac:dyDescent="0.25">
      <c r="A59" s="27"/>
      <c r="B59" s="13" t="str">
        <f>CONCATENATE("     ","Equipment Rental                                  ")</f>
        <v xml:space="preserve">     Equipment Rental                                  </v>
      </c>
      <c r="C59" s="13"/>
      <c r="D59" s="1">
        <f>SUM(OSRRefD22_7x_0)</f>
        <v>0</v>
      </c>
      <c r="E59" s="1"/>
      <c r="F59" s="5">
        <f t="shared" si="36"/>
        <v>0</v>
      </c>
      <c r="G59" s="1"/>
      <c r="H59" s="1">
        <f>SUM(OSRRefH22_7x_0)</f>
        <v>0</v>
      </c>
      <c r="I59" s="1"/>
      <c r="J59" s="5">
        <f t="shared" si="37"/>
        <v>0</v>
      </c>
      <c r="K59" s="1"/>
      <c r="L59" s="1">
        <f t="shared" si="38"/>
        <v>0</v>
      </c>
      <c r="M59" s="1"/>
      <c r="N59" s="5">
        <f t="shared" si="39"/>
        <v>0</v>
      </c>
      <c r="O59" s="13"/>
      <c r="P59" s="1">
        <f>SUM(OSRRefP22_7x_0)</f>
        <v>0.01</v>
      </c>
      <c r="Q59" s="1"/>
      <c r="R59" s="5">
        <f t="shared" si="40"/>
        <v>9.0173262332830268E-9</v>
      </c>
      <c r="S59" s="1"/>
      <c r="T59" s="1">
        <f>SUM(OSRRefT22_7x_0)</f>
        <v>0</v>
      </c>
      <c r="U59" s="1"/>
      <c r="V59" s="5">
        <f t="shared" si="41"/>
        <v>0</v>
      </c>
      <c r="W59" s="1"/>
      <c r="X59" s="1">
        <f t="shared" si="42"/>
        <v>0.01</v>
      </c>
      <c r="Y59" s="1"/>
      <c r="Z59" s="5">
        <f t="shared" si="43"/>
        <v>0</v>
      </c>
    </row>
    <row r="60" spans="1:26" s="24" customFormat="1" hidden="1" outlineLevel="2" x14ac:dyDescent="0.25">
      <c r="A60" s="25"/>
      <c r="B60" s="11" t="str">
        <f>CONCATENATE("          ", "6351", " - ", "EQUIPMENT RENTAL")</f>
        <v xml:space="preserve">          6351 - EQUIPMENT RENTAL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0.01</v>
      </c>
      <c r="Q60" s="2"/>
      <c r="R60" s="7">
        <f t="shared" si="40"/>
        <v>9.0173262332830268E-9</v>
      </c>
      <c r="S60" s="2"/>
      <c r="T60" s="6"/>
      <c r="U60" s="2"/>
      <c r="V60" s="7">
        <f t="shared" si="41"/>
        <v>0</v>
      </c>
      <c r="W60" s="2"/>
      <c r="X60" s="6">
        <f t="shared" si="42"/>
        <v>0.01</v>
      </c>
      <c r="Y60" s="2"/>
      <c r="Z60" s="7">
        <f t="shared" si="43"/>
        <v>0</v>
      </c>
    </row>
    <row r="61" spans="1:26" s="26" customFormat="1" outlineLevel="1" collapsed="1" x14ac:dyDescent="0.25">
      <c r="A61" s="27"/>
      <c r="B61" s="13" t="str">
        <f>CONCATENATE("     ","General                                           ")</f>
        <v xml:space="preserve">     General                                           </v>
      </c>
      <c r="C61" s="13"/>
      <c r="D61" s="1">
        <f>SUM(OSRRefD22_8x_0)</f>
        <v>0</v>
      </c>
      <c r="E61" s="1"/>
      <c r="F61" s="5">
        <f t="shared" si="36"/>
        <v>0</v>
      </c>
      <c r="G61" s="1"/>
      <c r="H61" s="1">
        <f>SUM(OSRRefH22_8x_0)</f>
        <v>275</v>
      </c>
      <c r="I61" s="1"/>
      <c r="J61" s="5">
        <f t="shared" si="37"/>
        <v>1.0240407530981888E-3</v>
      </c>
      <c r="K61" s="1"/>
      <c r="L61" s="1">
        <f t="shared" si="38"/>
        <v>-275</v>
      </c>
      <c r="M61" s="1"/>
      <c r="N61" s="5">
        <f t="shared" si="39"/>
        <v>-1</v>
      </c>
      <c r="O61" s="13"/>
      <c r="P61" s="1">
        <f>SUM(OSRRefP22_8x_0)</f>
        <v>1517.11</v>
      </c>
      <c r="Q61" s="1"/>
      <c r="R61" s="5">
        <f t="shared" si="40"/>
        <v>1.3680275801776012E-3</v>
      </c>
      <c r="S61" s="1"/>
      <c r="T61" s="1">
        <f>SUM(OSRRefT22_8x_0)</f>
        <v>1375</v>
      </c>
      <c r="U61" s="1"/>
      <c r="V61" s="5">
        <f t="shared" si="41"/>
        <v>1.3036709477640383E-3</v>
      </c>
      <c r="W61" s="1"/>
      <c r="X61" s="1">
        <f t="shared" si="42"/>
        <v>142.1099999999999</v>
      </c>
      <c r="Y61" s="1"/>
      <c r="Z61" s="5">
        <f t="shared" si="43"/>
        <v>0.10335272727272719</v>
      </c>
    </row>
    <row r="62" spans="1:26" s="24" customFormat="1" hidden="1" outlineLevel="2" x14ac:dyDescent="0.25">
      <c r="A62" s="25"/>
      <c r="B62" s="11" t="str">
        <f>CONCATENATE("          ", "6279", " - ", "GENERAL EXPENSE")</f>
        <v xml:space="preserve">          6279 - GENERAL EXPENSE</v>
      </c>
      <c r="C62" s="11"/>
      <c r="D62" s="6"/>
      <c r="E62" s="2"/>
      <c r="F62" s="7">
        <f t="shared" si="36"/>
        <v>0</v>
      </c>
      <c r="G62" s="2"/>
      <c r="H62" s="6">
        <v>275</v>
      </c>
      <c r="I62" s="2"/>
      <c r="J62" s="7">
        <f t="shared" si="37"/>
        <v>1.0240407530981888E-3</v>
      </c>
      <c r="K62" s="2"/>
      <c r="L62" s="6">
        <f t="shared" si="38"/>
        <v>-275</v>
      </c>
      <c r="M62" s="2"/>
      <c r="N62" s="7">
        <f t="shared" si="39"/>
        <v>-1</v>
      </c>
      <c r="O62" s="11"/>
      <c r="P62" s="6">
        <v>1517.11</v>
      </c>
      <c r="Q62" s="2"/>
      <c r="R62" s="7">
        <f t="shared" si="40"/>
        <v>1.3680275801776012E-3</v>
      </c>
      <c r="S62" s="2"/>
      <c r="T62" s="6">
        <v>1375</v>
      </c>
      <c r="U62" s="2"/>
      <c r="V62" s="7">
        <f t="shared" si="41"/>
        <v>1.3036709477640383E-3</v>
      </c>
      <c r="W62" s="2"/>
      <c r="X62" s="6">
        <f t="shared" si="42"/>
        <v>142.1099999999999</v>
      </c>
      <c r="Y62" s="2"/>
      <c r="Z62" s="7">
        <f t="shared" si="43"/>
        <v>0.10335272727272719</v>
      </c>
    </row>
    <row r="63" spans="1:26" s="26" customFormat="1" outlineLevel="1" collapsed="1" x14ac:dyDescent="0.25">
      <c r="A63" s="27"/>
      <c r="B63" s="13" t="str">
        <f>CONCATENATE("     ","Insurance                                         ")</f>
        <v xml:space="preserve">     Insurance                                         </v>
      </c>
      <c r="C63" s="13"/>
      <c r="D63" s="1">
        <f>SUM(OSRRefD22_9x_0)</f>
        <v>5.9</v>
      </c>
      <c r="E63" s="1"/>
      <c r="F63" s="5">
        <f t="shared" si="36"/>
        <v>2.3700780458666346E-5</v>
      </c>
      <c r="G63" s="1"/>
      <c r="H63" s="1">
        <f>SUM(OSRRefH22_9x_0)</f>
        <v>5</v>
      </c>
      <c r="I63" s="1"/>
      <c r="J63" s="5">
        <f t="shared" si="37"/>
        <v>1.8618922783603433E-5</v>
      </c>
      <c r="K63" s="1"/>
      <c r="L63" s="1">
        <f t="shared" si="38"/>
        <v>0.90000000000000036</v>
      </c>
      <c r="M63" s="1"/>
      <c r="N63" s="5">
        <f t="shared" si="39"/>
        <v>0.18000000000000008</v>
      </c>
      <c r="O63" s="13"/>
      <c r="P63" s="1">
        <f>SUM(OSRRefP22_9x_0)</f>
        <v>29.5</v>
      </c>
      <c r="Q63" s="1"/>
      <c r="R63" s="5">
        <f t="shared" si="40"/>
        <v>2.6601112388184932E-5</v>
      </c>
      <c r="S63" s="1"/>
      <c r="T63" s="1">
        <f>SUM(OSRRefT22_9x_0)</f>
        <v>25</v>
      </c>
      <c r="U63" s="1"/>
      <c r="V63" s="5">
        <f t="shared" si="41"/>
        <v>2.3703108141164334E-5</v>
      </c>
      <c r="W63" s="1"/>
      <c r="X63" s="1">
        <f t="shared" si="42"/>
        <v>4.5</v>
      </c>
      <c r="Y63" s="1"/>
      <c r="Z63" s="5">
        <f t="shared" si="43"/>
        <v>0.18</v>
      </c>
    </row>
    <row r="64" spans="1:26" s="24" customFormat="1" hidden="1" outlineLevel="2" x14ac:dyDescent="0.25">
      <c r="A64" s="25"/>
      <c r="B64" s="11" t="str">
        <f>CONCATENATE("          ", "6314", " - ", "LIABILITY INSURANCE")</f>
        <v xml:space="preserve">          6314 - LIABILITY INSURANCE</v>
      </c>
      <c r="C64" s="11"/>
      <c r="D64" s="6">
        <v>5.9</v>
      </c>
      <c r="E64" s="2"/>
      <c r="F64" s="7">
        <f t="shared" si="36"/>
        <v>2.3700780458666346E-5</v>
      </c>
      <c r="G64" s="2"/>
      <c r="H64" s="6">
        <v>5</v>
      </c>
      <c r="I64" s="2"/>
      <c r="J64" s="7">
        <f t="shared" si="37"/>
        <v>1.8618922783603433E-5</v>
      </c>
      <c r="K64" s="2"/>
      <c r="L64" s="6">
        <f t="shared" si="38"/>
        <v>0.90000000000000036</v>
      </c>
      <c r="M64" s="2"/>
      <c r="N64" s="7">
        <f t="shared" si="39"/>
        <v>0.18000000000000008</v>
      </c>
      <c r="O64" s="11"/>
      <c r="P64" s="6">
        <v>29.5</v>
      </c>
      <c r="Q64" s="2"/>
      <c r="R64" s="7">
        <f t="shared" si="40"/>
        <v>2.6601112388184932E-5</v>
      </c>
      <c r="S64" s="2"/>
      <c r="T64" s="6">
        <v>25</v>
      </c>
      <c r="U64" s="2"/>
      <c r="V64" s="7">
        <f t="shared" si="41"/>
        <v>2.3703108141164334E-5</v>
      </c>
      <c r="W64" s="2"/>
      <c r="X64" s="6">
        <f t="shared" si="42"/>
        <v>4.5</v>
      </c>
      <c r="Y64" s="2"/>
      <c r="Z64" s="7">
        <f t="shared" si="43"/>
        <v>0.18</v>
      </c>
    </row>
    <row r="65" spans="1:26" s="26" customFormat="1" outlineLevel="1" collapsed="1" x14ac:dyDescent="0.25">
      <c r="A65" s="27"/>
      <c r="B65" s="13" t="str">
        <f>CONCATENATE("     ","R/H Commissions                                   ")</f>
        <v xml:space="preserve">     R/H Commissions                                   </v>
      </c>
      <c r="C65" s="13"/>
      <c r="D65" s="1">
        <f>SUM(OSRRefD22_10x_0)</f>
        <v>19712.310000000001</v>
      </c>
      <c r="E65" s="1"/>
      <c r="F65" s="5">
        <f t="shared" si="36"/>
        <v>7.9185954515792065E-2</v>
      </c>
      <c r="G65" s="1"/>
      <c r="H65" s="1">
        <f>SUM(OSRRefH22_10x_0)</f>
        <v>21563</v>
      </c>
      <c r="I65" s="1"/>
      <c r="J65" s="5">
        <f t="shared" si="37"/>
        <v>8.0295966396568164E-2</v>
      </c>
      <c r="K65" s="1"/>
      <c r="L65" s="1">
        <f t="shared" si="38"/>
        <v>-1850.6899999999987</v>
      </c>
      <c r="M65" s="1"/>
      <c r="N65" s="5">
        <f t="shared" si="39"/>
        <v>-8.5827111255391123E-2</v>
      </c>
      <c r="O65" s="13"/>
      <c r="P65" s="1">
        <f>SUM(OSRRefP22_10x_0)</f>
        <v>86060.49</v>
      </c>
      <c r="Q65" s="1"/>
      <c r="R65" s="5">
        <f t="shared" si="40"/>
        <v>7.7603551412619168E-2</v>
      </c>
      <c r="S65" s="1"/>
      <c r="T65" s="1">
        <f>SUM(OSRRefT22_10x_0)</f>
        <v>84455</v>
      </c>
      <c r="U65" s="1"/>
      <c r="V65" s="5">
        <f t="shared" si="41"/>
        <v>8.0073839922481349E-2</v>
      </c>
      <c r="W65" s="1"/>
      <c r="X65" s="1">
        <f t="shared" si="42"/>
        <v>1605.4900000000052</v>
      </c>
      <c r="Y65" s="1"/>
      <c r="Z65" s="5">
        <f t="shared" si="43"/>
        <v>1.9010005328281395E-2</v>
      </c>
    </row>
    <row r="66" spans="1:26" s="24" customFormat="1" hidden="1" outlineLevel="2" x14ac:dyDescent="0.25">
      <c r="A66" s="25"/>
      <c r="B66" s="11" t="str">
        <f>CONCATENATE("          ", "6387", " - ", "COMMISSION DUE HOUSING")</f>
        <v xml:space="preserve">          6387 - COMMISSION DUE HOUSING</v>
      </c>
      <c r="C66" s="11"/>
      <c r="D66" s="6">
        <v>19712.310000000001</v>
      </c>
      <c r="E66" s="2"/>
      <c r="F66" s="7">
        <f t="shared" si="36"/>
        <v>7.9185954515792065E-2</v>
      </c>
      <c r="G66" s="2"/>
      <c r="H66" s="6">
        <v>21563</v>
      </c>
      <c r="I66" s="2"/>
      <c r="J66" s="7">
        <f t="shared" si="37"/>
        <v>8.0295966396568164E-2</v>
      </c>
      <c r="K66" s="2"/>
      <c r="L66" s="6">
        <f t="shared" si="38"/>
        <v>-1850.6899999999987</v>
      </c>
      <c r="M66" s="2"/>
      <c r="N66" s="7">
        <f t="shared" si="39"/>
        <v>-8.5827111255391123E-2</v>
      </c>
      <c r="O66" s="11"/>
      <c r="P66" s="6">
        <v>86060.49</v>
      </c>
      <c r="Q66" s="2"/>
      <c r="R66" s="7">
        <f t="shared" si="40"/>
        <v>7.7603551412619168E-2</v>
      </c>
      <c r="S66" s="2"/>
      <c r="T66" s="6">
        <v>84455</v>
      </c>
      <c r="U66" s="2"/>
      <c r="V66" s="7">
        <f t="shared" si="41"/>
        <v>8.0073839922481349E-2</v>
      </c>
      <c r="W66" s="2"/>
      <c r="X66" s="6">
        <f t="shared" si="42"/>
        <v>1605.4900000000052</v>
      </c>
      <c r="Y66" s="2"/>
      <c r="Z66" s="7">
        <f t="shared" si="43"/>
        <v>1.9010005328281395E-2</v>
      </c>
    </row>
    <row r="67" spans="1:26" s="26" customFormat="1" outlineLevel="1" collapsed="1" x14ac:dyDescent="0.25">
      <c r="A67" s="27"/>
      <c r="B67" s="13" t="str">
        <f>CONCATENATE("     ","Repair and Maintenance                            ")</f>
        <v xml:space="preserve">     Repair and Maintenance                            </v>
      </c>
      <c r="C67" s="13"/>
      <c r="D67" s="1">
        <f>SUM(OSRRefD22_11x_0)</f>
        <v>0</v>
      </c>
      <c r="E67" s="1"/>
      <c r="F67" s="5">
        <f t="shared" si="36"/>
        <v>0</v>
      </c>
      <c r="G67" s="1"/>
      <c r="H67" s="1">
        <f>SUM(OSRRefH22_11x_0)</f>
        <v>497</v>
      </c>
      <c r="I67" s="1"/>
      <c r="J67" s="5">
        <f t="shared" si="37"/>
        <v>1.8507209246901811E-3</v>
      </c>
      <c r="K67" s="1"/>
      <c r="L67" s="1">
        <f t="shared" si="38"/>
        <v>-497</v>
      </c>
      <c r="M67" s="1"/>
      <c r="N67" s="5">
        <f t="shared" si="39"/>
        <v>-1</v>
      </c>
      <c r="O67" s="13"/>
      <c r="P67" s="1">
        <f>SUM(OSRRefP22_11x_0)</f>
        <v>68.48</v>
      </c>
      <c r="Q67" s="1"/>
      <c r="R67" s="5">
        <f t="shared" si="40"/>
        <v>6.1750650045522181E-5</v>
      </c>
      <c r="S67" s="1"/>
      <c r="T67" s="1">
        <f>SUM(OSRRefT22_11x_0)</f>
        <v>2555</v>
      </c>
      <c r="U67" s="1"/>
      <c r="V67" s="5">
        <f t="shared" si="41"/>
        <v>2.4224576520269952E-3</v>
      </c>
      <c r="W67" s="1"/>
      <c r="X67" s="1">
        <f t="shared" si="42"/>
        <v>-2486.52</v>
      </c>
      <c r="Y67" s="1"/>
      <c r="Z67" s="5">
        <f t="shared" si="43"/>
        <v>-0.97319765166340511</v>
      </c>
    </row>
    <row r="68" spans="1:26" s="24" customFormat="1" hidden="1" outlineLevel="2" x14ac:dyDescent="0.25">
      <c r="A68" s="25"/>
      <c r="B68" s="11" t="str">
        <f>CONCATENATE("          ", "6371", " - ", "COMPUTER SOFTWARE MAINTENANCE")</f>
        <v xml:space="preserve">          6371 - COMPUTER SOFTWARE MAINTENANCE</v>
      </c>
      <c r="C68" s="11"/>
      <c r="D68" s="6"/>
      <c r="E68" s="2"/>
      <c r="F68" s="7">
        <f t="shared" si="36"/>
        <v>0</v>
      </c>
      <c r="G68" s="2"/>
      <c r="H68" s="6">
        <v>497</v>
      </c>
      <c r="I68" s="2"/>
      <c r="J68" s="7">
        <f t="shared" si="37"/>
        <v>1.8507209246901811E-3</v>
      </c>
      <c r="K68" s="2"/>
      <c r="L68" s="6">
        <f t="shared" si="38"/>
        <v>-497</v>
      </c>
      <c r="M68" s="2"/>
      <c r="N68" s="7">
        <f t="shared" si="39"/>
        <v>-1</v>
      </c>
      <c r="O68" s="11"/>
      <c r="P68" s="6"/>
      <c r="Q68" s="2"/>
      <c r="R68" s="7">
        <f t="shared" si="40"/>
        <v>0</v>
      </c>
      <c r="S68" s="2"/>
      <c r="T68" s="6">
        <v>2485</v>
      </c>
      <c r="U68" s="2"/>
      <c r="V68" s="7">
        <f t="shared" si="41"/>
        <v>2.356088949231735E-3</v>
      </c>
      <c r="W68" s="2"/>
      <c r="X68" s="6">
        <f t="shared" si="42"/>
        <v>-2485</v>
      </c>
      <c r="Y68" s="2"/>
      <c r="Z68" s="7">
        <f t="shared" si="43"/>
        <v>-1</v>
      </c>
    </row>
    <row r="69" spans="1:26" s="24" customFormat="1" hidden="1" outlineLevel="2" x14ac:dyDescent="0.25">
      <c r="A69" s="25"/>
      <c r="B69" s="11" t="str">
        <f>CONCATENATE("          ", "6372", " - ", "COMPUTER HARDWARE MAINTENANCE")</f>
        <v xml:space="preserve">          6372 - COMPUTER HARDWARE MAINTENANCE</v>
      </c>
      <c r="C69" s="11"/>
      <c r="D69" s="6"/>
      <c r="E69" s="2"/>
      <c r="F69" s="7">
        <f t="shared" si="36"/>
        <v>0</v>
      </c>
      <c r="G69" s="2"/>
      <c r="H69" s="6"/>
      <c r="I69" s="2"/>
      <c r="J69" s="7">
        <f t="shared" si="37"/>
        <v>0</v>
      </c>
      <c r="K69" s="2"/>
      <c r="L69" s="6">
        <f t="shared" si="38"/>
        <v>0</v>
      </c>
      <c r="M69" s="2"/>
      <c r="N69" s="7">
        <f t="shared" si="39"/>
        <v>0</v>
      </c>
      <c r="O69" s="11"/>
      <c r="P69" s="6"/>
      <c r="Q69" s="2"/>
      <c r="R69" s="7">
        <f t="shared" si="40"/>
        <v>0</v>
      </c>
      <c r="S69" s="2"/>
      <c r="T69" s="6">
        <v>70</v>
      </c>
      <c r="U69" s="2"/>
      <c r="V69" s="7">
        <f t="shared" si="41"/>
        <v>6.6368702795260138E-5</v>
      </c>
      <c r="W69" s="2"/>
      <c r="X69" s="6">
        <f t="shared" si="42"/>
        <v>-70</v>
      </c>
      <c r="Y69" s="2"/>
      <c r="Z69" s="7">
        <f t="shared" si="43"/>
        <v>-1</v>
      </c>
    </row>
    <row r="70" spans="1:26" s="24" customFormat="1" hidden="1" outlineLevel="2" x14ac:dyDescent="0.25">
      <c r="A70" s="25"/>
      <c r="B70" s="11" t="str">
        <f>CONCATENATE("          ", "6373", " - ", "MAINTENANCE CONTRACTS")</f>
        <v xml:space="preserve">          6373 - MAINTENANCE CONTRACTS</v>
      </c>
      <c r="C70" s="11"/>
      <c r="D70" s="6"/>
      <c r="E70" s="2"/>
      <c r="F70" s="7">
        <f t="shared" si="36"/>
        <v>0</v>
      </c>
      <c r="G70" s="2"/>
      <c r="H70" s="6"/>
      <c r="I70" s="2"/>
      <c r="J70" s="7">
        <f t="shared" si="37"/>
        <v>0</v>
      </c>
      <c r="K70" s="2"/>
      <c r="L70" s="6">
        <f t="shared" si="38"/>
        <v>0</v>
      </c>
      <c r="M70" s="2"/>
      <c r="N70" s="7">
        <f t="shared" si="39"/>
        <v>0</v>
      </c>
      <c r="O70" s="11"/>
      <c r="P70" s="6">
        <v>68.48</v>
      </c>
      <c r="Q70" s="2"/>
      <c r="R70" s="7">
        <f t="shared" si="40"/>
        <v>6.1750650045522181E-5</v>
      </c>
      <c r="S70" s="2"/>
      <c r="T70" s="6"/>
      <c r="U70" s="2"/>
      <c r="V70" s="7">
        <f t="shared" si="41"/>
        <v>0</v>
      </c>
      <c r="W70" s="2"/>
      <c r="X70" s="6">
        <f t="shared" si="42"/>
        <v>68.48</v>
      </c>
      <c r="Y70" s="2"/>
      <c r="Z70" s="7">
        <f t="shared" si="43"/>
        <v>0</v>
      </c>
    </row>
    <row r="71" spans="1:26" s="26" customFormat="1" outlineLevel="1" collapsed="1" x14ac:dyDescent="0.25">
      <c r="A71" s="27"/>
      <c r="B71" s="13" t="str">
        <f>CONCATENATE("     ","Services                                          ")</f>
        <v xml:space="preserve">     Services                                          </v>
      </c>
      <c r="C71" s="13"/>
      <c r="D71" s="1">
        <f>SUM(OSRRefD22_12x_0)</f>
        <v>5618.46</v>
      </c>
      <c r="E71" s="1"/>
      <c r="F71" s="5">
        <f t="shared" ref="F71:F74" si="44">IF(D$12=0,0,D71/D$12)</f>
        <v>2.2569811351830255E-2</v>
      </c>
      <c r="G71" s="1"/>
      <c r="H71" s="1">
        <f>SUM(OSRRefH22_12x_0)</f>
        <v>6202</v>
      </c>
      <c r="I71" s="1"/>
      <c r="J71" s="5">
        <f t="shared" ref="J71:J74" si="45">IF(H$12=0,0,H71/H$12)</f>
        <v>2.3094911820781695E-2</v>
      </c>
      <c r="K71" s="1"/>
      <c r="L71" s="1">
        <f t="shared" ref="L71:L74" si="46">+D71-H71</f>
        <v>-583.54</v>
      </c>
      <c r="M71" s="1"/>
      <c r="N71" s="5">
        <f t="shared" ref="N71:N74" si="47">IF(H71=0,0,L71/H71)</f>
        <v>-9.4089003547242825E-2</v>
      </c>
      <c r="O71" s="13"/>
      <c r="P71" s="1">
        <f>SUM(OSRRefP22_12x_0)</f>
        <v>31395.309999999998</v>
      </c>
      <c r="Q71" s="1"/>
      <c r="R71" s="5">
        <f t="shared" ref="R71:R74" si="48">IF(P$12=0,0,P71/P$12)</f>
        <v>2.8310175246505295E-2</v>
      </c>
      <c r="S71" s="1"/>
      <c r="T71" s="1">
        <f>SUM(OSRRefT22_12x_0)</f>
        <v>25558</v>
      </c>
      <c r="U71" s="1"/>
      <c r="V71" s="5">
        <f t="shared" ref="V71:V74" si="49">IF(T$12=0,0,T71/T$12)</f>
        <v>2.4232161514875124E-2</v>
      </c>
      <c r="W71" s="1"/>
      <c r="X71" s="1">
        <f t="shared" ref="X71:X74" si="50">+P71-T71</f>
        <v>5837.3099999999977</v>
      </c>
      <c r="Y71" s="1"/>
      <c r="Z71" s="5">
        <f t="shared" ref="Z71:Z74" si="51">IF(T71=0,0,X71/T71)</f>
        <v>0.22839463181782604</v>
      </c>
    </row>
    <row r="72" spans="1:26" s="24" customFormat="1" hidden="1" outlineLevel="2" x14ac:dyDescent="0.25">
      <c r="A72" s="25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669.64</v>
      </c>
      <c r="E72" s="2"/>
      <c r="F72" s="7">
        <f t="shared" si="44"/>
        <v>2.6899984112442933E-3</v>
      </c>
      <c r="G72" s="2"/>
      <c r="H72" s="6">
        <v>750</v>
      </c>
      <c r="I72" s="2"/>
      <c r="J72" s="7">
        <f t="shared" si="45"/>
        <v>2.7928384175405149E-3</v>
      </c>
      <c r="K72" s="2"/>
      <c r="L72" s="6">
        <f t="shared" si="46"/>
        <v>-80.360000000000014</v>
      </c>
      <c r="M72" s="2"/>
      <c r="N72" s="7">
        <f t="shared" si="47"/>
        <v>-0.10714666666666668</v>
      </c>
      <c r="O72" s="11"/>
      <c r="P72" s="6">
        <v>3498.2</v>
      </c>
      <c r="Q72" s="2"/>
      <c r="R72" s="7">
        <f t="shared" si="48"/>
        <v>3.1544410629270685E-3</v>
      </c>
      <c r="S72" s="2"/>
      <c r="T72" s="6">
        <v>3750</v>
      </c>
      <c r="U72" s="2"/>
      <c r="V72" s="7">
        <f t="shared" si="49"/>
        <v>3.5554662211746504E-3</v>
      </c>
      <c r="W72" s="2"/>
      <c r="X72" s="6">
        <f t="shared" si="50"/>
        <v>-251.80000000000018</v>
      </c>
      <c r="Y72" s="2"/>
      <c r="Z72" s="7">
        <f t="shared" si="51"/>
        <v>-6.7146666666666716E-2</v>
      </c>
    </row>
    <row r="73" spans="1:26" s="24" customFormat="1" hidden="1" outlineLevel="2" x14ac:dyDescent="0.25">
      <c r="A73" s="25"/>
      <c r="B73" s="11" t="str">
        <f>CONCATENATE("          ", "6285", " - ", "JANITORIAL SERVICES")</f>
        <v xml:space="preserve">          6285 - JANITORIAL SERVICES</v>
      </c>
      <c r="C73" s="11"/>
      <c r="D73" s="6">
        <v>3639.27</v>
      </c>
      <c r="E73" s="2"/>
      <c r="F73" s="7">
        <f t="shared" si="44"/>
        <v>1.4619243949120451E-2</v>
      </c>
      <c r="G73" s="2"/>
      <c r="H73" s="6">
        <v>3852</v>
      </c>
      <c r="I73" s="2"/>
      <c r="J73" s="7">
        <f t="shared" si="45"/>
        <v>1.4344018112488083E-2</v>
      </c>
      <c r="K73" s="2"/>
      <c r="L73" s="6">
        <f t="shared" si="46"/>
        <v>-212.73000000000002</v>
      </c>
      <c r="M73" s="2"/>
      <c r="N73" s="7">
        <f t="shared" si="47"/>
        <v>-5.522585669781932E-2</v>
      </c>
      <c r="O73" s="11"/>
      <c r="P73" s="6">
        <v>19741.849999999999</v>
      </c>
      <c r="Q73" s="2"/>
      <c r="R73" s="7">
        <f t="shared" si="48"/>
        <v>1.7801870189853852E-2</v>
      </c>
      <c r="S73" s="2"/>
      <c r="T73" s="6">
        <v>15408</v>
      </c>
      <c r="U73" s="2"/>
      <c r="V73" s="7">
        <f t="shared" si="49"/>
        <v>1.4608699609562403E-2</v>
      </c>
      <c r="W73" s="2"/>
      <c r="X73" s="6">
        <f t="shared" si="50"/>
        <v>4333.8499999999985</v>
      </c>
      <c r="Y73" s="2"/>
      <c r="Z73" s="7">
        <f t="shared" si="51"/>
        <v>0.28127271547248173</v>
      </c>
    </row>
    <row r="74" spans="1:26" s="24" customFormat="1" hidden="1" outlineLevel="2" x14ac:dyDescent="0.25">
      <c r="A74" s="25"/>
      <c r="B74" s="11" t="str">
        <f>CONCATENATE("          ", "6286", " - ", "LAUNDRY EXPENSE")</f>
        <v xml:space="preserve">          6286 - LAUNDRY EXPENSE</v>
      </c>
      <c r="C74" s="11"/>
      <c r="D74" s="6">
        <v>1309.55</v>
      </c>
      <c r="E74" s="2"/>
      <c r="F74" s="7">
        <f t="shared" si="44"/>
        <v>5.2605689914655097E-3</v>
      </c>
      <c r="G74" s="2"/>
      <c r="H74" s="6">
        <v>1600</v>
      </c>
      <c r="I74" s="2"/>
      <c r="J74" s="7">
        <f t="shared" si="45"/>
        <v>5.9580552907530981E-3</v>
      </c>
      <c r="K74" s="2"/>
      <c r="L74" s="6">
        <f t="shared" si="46"/>
        <v>-290.45000000000005</v>
      </c>
      <c r="M74" s="2"/>
      <c r="N74" s="7">
        <f t="shared" si="47"/>
        <v>-0.18153125000000003</v>
      </c>
      <c r="O74" s="11"/>
      <c r="P74" s="6">
        <v>8155.26</v>
      </c>
      <c r="Q74" s="2"/>
      <c r="R74" s="7">
        <f t="shared" si="48"/>
        <v>7.353863993724374E-3</v>
      </c>
      <c r="S74" s="2"/>
      <c r="T74" s="6">
        <v>6400</v>
      </c>
      <c r="U74" s="2"/>
      <c r="V74" s="7">
        <f t="shared" si="49"/>
        <v>6.0679956841380696E-3</v>
      </c>
      <c r="W74" s="2"/>
      <c r="X74" s="6">
        <f t="shared" si="50"/>
        <v>1755.2600000000002</v>
      </c>
      <c r="Y74" s="2"/>
      <c r="Z74" s="7">
        <f t="shared" si="51"/>
        <v>0.27425937500000003</v>
      </c>
    </row>
    <row r="75" spans="1:26" s="26" customFormat="1" outlineLevel="1" collapsed="1" x14ac:dyDescent="0.25">
      <c r="A75" s="27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SUM(OSRRefD22_13x_0)</f>
        <v>4288.7</v>
      </c>
      <c r="E75" s="1"/>
      <c r="F75" s="5">
        <f t="shared" ref="F75:F81" si="52">IF(D$12=0,0,D75/D$12)</f>
        <v>1.7228057144590227E-2</v>
      </c>
      <c r="G75" s="1"/>
      <c r="H75" s="1">
        <f>SUM(OSRRefH22_13x_0)</f>
        <v>5088</v>
      </c>
      <c r="I75" s="1"/>
      <c r="J75" s="5">
        <f t="shared" ref="J75:J81" si="53">IF(H$12=0,0,H75/H$12)</f>
        <v>1.8946615824594851E-2</v>
      </c>
      <c r="K75" s="1"/>
      <c r="L75" s="1">
        <f t="shared" ref="L75:L81" si="54">+D75-H75</f>
        <v>-799.30000000000018</v>
      </c>
      <c r="M75" s="1"/>
      <c r="N75" s="5">
        <f t="shared" ref="N75:N81" si="55">IF(H75=0,0,L75/H75)</f>
        <v>-0.15709512578616355</v>
      </c>
      <c r="O75" s="13"/>
      <c r="P75" s="1">
        <f>SUM(OSRRefP22_13x_0)</f>
        <v>31057.52</v>
      </c>
      <c r="Q75" s="1"/>
      <c r="R75" s="5">
        <f t="shared" ref="R75:R81" si="56">IF(P$12=0,0,P75/P$12)</f>
        <v>2.8005578983671231E-2</v>
      </c>
      <c r="S75" s="1"/>
      <c r="T75" s="1">
        <f>SUM(OSRRefT22_13x_0)</f>
        <v>23852</v>
      </c>
      <c r="U75" s="1"/>
      <c r="V75" s="5">
        <f t="shared" ref="V75:V81" si="57">IF(T$12=0,0,T75/T$12)</f>
        <v>2.261466141532207E-2</v>
      </c>
      <c r="W75" s="1"/>
      <c r="X75" s="1">
        <f t="shared" ref="X75:X81" si="58">+P75-T75</f>
        <v>7205.52</v>
      </c>
      <c r="Y75" s="1"/>
      <c r="Z75" s="5">
        <f t="shared" ref="Z75:Z81" si="59">IF(T75=0,0,X75/T75)</f>
        <v>0.30209290625524066</v>
      </c>
    </row>
    <row r="76" spans="1:26" s="24" customFormat="1" hidden="1" outlineLevel="2" x14ac:dyDescent="0.25">
      <c r="A76" s="25"/>
      <c r="B76" s="11" t="str">
        <f>CONCATENATE("          ", "6237", " - ", "JANITORIAL SUPPLIES")</f>
        <v xml:space="preserve">          6237 - JANITORIAL SUPPLIES</v>
      </c>
      <c r="C76" s="11"/>
      <c r="D76" s="6">
        <v>2312.2199999999998</v>
      </c>
      <c r="E76" s="2"/>
      <c r="F76" s="7">
        <f t="shared" si="52"/>
        <v>9.2883760325656751E-3</v>
      </c>
      <c r="G76" s="2"/>
      <c r="H76" s="6">
        <v>2005</v>
      </c>
      <c r="I76" s="2"/>
      <c r="J76" s="7">
        <f t="shared" si="53"/>
        <v>7.4661880362249765E-3</v>
      </c>
      <c r="K76" s="2"/>
      <c r="L76" s="6">
        <f t="shared" si="54"/>
        <v>307.2199999999998</v>
      </c>
      <c r="M76" s="2"/>
      <c r="N76" s="7">
        <f t="shared" si="55"/>
        <v>0.15322693266832907</v>
      </c>
      <c r="O76" s="11"/>
      <c r="P76" s="6">
        <v>8293.6200000000008</v>
      </c>
      <c r="Q76" s="2"/>
      <c r="R76" s="7">
        <f t="shared" si="56"/>
        <v>7.4786277194880792E-3</v>
      </c>
      <c r="S76" s="2"/>
      <c r="T76" s="6">
        <v>8020</v>
      </c>
      <c r="U76" s="2"/>
      <c r="V76" s="7">
        <f t="shared" si="57"/>
        <v>7.6039570916855183E-3</v>
      </c>
      <c r="W76" s="2"/>
      <c r="X76" s="6">
        <f t="shared" si="58"/>
        <v>273.6200000000008</v>
      </c>
      <c r="Y76" s="2"/>
      <c r="Z76" s="7">
        <f t="shared" si="59"/>
        <v>3.4117206982543738E-2</v>
      </c>
    </row>
    <row r="77" spans="1:26" s="24" customFormat="1" hidden="1" outlineLevel="2" x14ac:dyDescent="0.25">
      <c r="A77" s="25"/>
      <c r="B77" s="11" t="str">
        <f>CONCATENATE("          ", "6239", " - ", "KITCHEN SUPPLIES")</f>
        <v xml:space="preserve">          6239 - KITCHEN SUPPLIES</v>
      </c>
      <c r="C77" s="11"/>
      <c r="D77" s="6">
        <v>236</v>
      </c>
      <c r="E77" s="2"/>
      <c r="F77" s="7">
        <f t="shared" si="52"/>
        <v>9.480312183466537E-4</v>
      </c>
      <c r="G77" s="2"/>
      <c r="H77" s="6">
        <v>750</v>
      </c>
      <c r="I77" s="2"/>
      <c r="J77" s="7">
        <f t="shared" si="53"/>
        <v>2.7928384175405149E-3</v>
      </c>
      <c r="K77" s="2"/>
      <c r="L77" s="6">
        <f t="shared" si="54"/>
        <v>-514</v>
      </c>
      <c r="M77" s="2"/>
      <c r="N77" s="7">
        <f t="shared" si="55"/>
        <v>-0.68533333333333335</v>
      </c>
      <c r="O77" s="11"/>
      <c r="P77" s="6">
        <v>2498.77</v>
      </c>
      <c r="Q77" s="2"/>
      <c r="R77" s="7">
        <f t="shared" si="56"/>
        <v>2.2532224271940631E-3</v>
      </c>
      <c r="S77" s="2"/>
      <c r="T77" s="6">
        <v>3000</v>
      </c>
      <c r="U77" s="2"/>
      <c r="V77" s="7">
        <f t="shared" si="57"/>
        <v>2.8443729769397201E-3</v>
      </c>
      <c r="W77" s="2"/>
      <c r="X77" s="6">
        <f t="shared" si="58"/>
        <v>-501.23</v>
      </c>
      <c r="Y77" s="2"/>
      <c r="Z77" s="7">
        <f t="shared" si="59"/>
        <v>-0.16707666666666668</v>
      </c>
    </row>
    <row r="78" spans="1:26" s="24" customFormat="1" hidden="1" outlineLevel="2" x14ac:dyDescent="0.25">
      <c r="A78" s="25"/>
      <c r="B78" s="11" t="str">
        <f>CONCATENATE("          ", "6241", " - ", "OFFICE EXPENSE")</f>
        <v xml:space="preserve">          6241 - OFFICE EXPENSE</v>
      </c>
      <c r="C78" s="11"/>
      <c r="D78" s="6">
        <v>227.09</v>
      </c>
      <c r="E78" s="2"/>
      <c r="F78" s="7">
        <f t="shared" si="52"/>
        <v>9.1223902277263384E-4</v>
      </c>
      <c r="G78" s="2"/>
      <c r="H78" s="6">
        <v>524</v>
      </c>
      <c r="I78" s="2"/>
      <c r="J78" s="7">
        <f t="shared" si="53"/>
        <v>1.9512631077216397E-3</v>
      </c>
      <c r="K78" s="2"/>
      <c r="L78" s="6">
        <f t="shared" si="54"/>
        <v>-296.90999999999997</v>
      </c>
      <c r="M78" s="2"/>
      <c r="N78" s="7">
        <f t="shared" si="55"/>
        <v>-0.56662213740458012</v>
      </c>
      <c r="O78" s="11"/>
      <c r="P78" s="6">
        <v>19976.929999999997</v>
      </c>
      <c r="Q78" s="2"/>
      <c r="R78" s="7">
        <f t="shared" si="56"/>
        <v>1.8013849494945867E-2</v>
      </c>
      <c r="S78" s="2"/>
      <c r="T78" s="6">
        <v>2096</v>
      </c>
      <c r="U78" s="2"/>
      <c r="V78" s="7">
        <f t="shared" si="57"/>
        <v>1.987268586555218E-3</v>
      </c>
      <c r="W78" s="2"/>
      <c r="X78" s="6">
        <f t="shared" si="58"/>
        <v>17880.929999999997</v>
      </c>
      <c r="Y78" s="2"/>
      <c r="Z78" s="7">
        <f t="shared" si="59"/>
        <v>8.5309780534351134</v>
      </c>
    </row>
    <row r="79" spans="1:26" s="24" customFormat="1" hidden="1" outlineLevel="2" x14ac:dyDescent="0.25">
      <c r="A79" s="25"/>
      <c r="B79" s="11" t="str">
        <f>CONCATENATE("          ", "6243", " - ", "PAPER SUPPLIES")</f>
        <v xml:space="preserve">          6243 - PAPER SUPPLIES</v>
      </c>
      <c r="C79" s="11"/>
      <c r="D79" s="6">
        <v>1513.39</v>
      </c>
      <c r="E79" s="2"/>
      <c r="F79" s="7">
        <f t="shared" si="52"/>
        <v>6.0794108709052641E-3</v>
      </c>
      <c r="G79" s="2"/>
      <c r="H79" s="6">
        <v>1809</v>
      </c>
      <c r="I79" s="2"/>
      <c r="J79" s="7">
        <f t="shared" si="53"/>
        <v>6.7363262631077213E-3</v>
      </c>
      <c r="K79" s="2"/>
      <c r="L79" s="6">
        <f t="shared" si="54"/>
        <v>-295.6099999999999</v>
      </c>
      <c r="M79" s="2"/>
      <c r="N79" s="7">
        <f t="shared" si="55"/>
        <v>-0.16341072415699276</v>
      </c>
      <c r="O79" s="11"/>
      <c r="P79" s="6">
        <v>7878.38</v>
      </c>
      <c r="Q79" s="2"/>
      <c r="R79" s="7">
        <f t="shared" si="56"/>
        <v>7.1041922649772342E-3</v>
      </c>
      <c r="S79" s="2"/>
      <c r="T79" s="6">
        <v>7236</v>
      </c>
      <c r="U79" s="2"/>
      <c r="V79" s="7">
        <f t="shared" si="57"/>
        <v>6.8606276203786046E-3</v>
      </c>
      <c r="W79" s="2"/>
      <c r="X79" s="6">
        <f t="shared" si="58"/>
        <v>642.38000000000011</v>
      </c>
      <c r="Y79" s="2"/>
      <c r="Z79" s="7">
        <f t="shared" si="59"/>
        <v>8.8775566611387524E-2</v>
      </c>
    </row>
    <row r="80" spans="1:26" s="24" customFormat="1" hidden="1" outlineLevel="2" x14ac:dyDescent="0.25">
      <c r="A80" s="25"/>
      <c r="B80" s="11" t="str">
        <f>CONCATENATE("          ", "6245", " - ", "PRINTING")</f>
        <v xml:space="preserve">          6245 - PRINTING</v>
      </c>
      <c r="C80" s="11"/>
      <c r="D80" s="6"/>
      <c r="E80" s="2"/>
      <c r="F80" s="7">
        <f t="shared" si="52"/>
        <v>0</v>
      </c>
      <c r="G80" s="2"/>
      <c r="H80" s="6"/>
      <c r="I80" s="2"/>
      <c r="J80" s="7">
        <f t="shared" si="53"/>
        <v>0</v>
      </c>
      <c r="K80" s="2"/>
      <c r="L80" s="6">
        <f t="shared" si="54"/>
        <v>0</v>
      </c>
      <c r="M80" s="2"/>
      <c r="N80" s="7">
        <f t="shared" si="55"/>
        <v>0</v>
      </c>
      <c r="O80" s="11"/>
      <c r="P80" s="6">
        <v>469.44</v>
      </c>
      <c r="Q80" s="2"/>
      <c r="R80" s="7">
        <f t="shared" si="56"/>
        <v>4.2330936269523845E-4</v>
      </c>
      <c r="S80" s="2"/>
      <c r="T80" s="6"/>
      <c r="U80" s="2"/>
      <c r="V80" s="7">
        <f t="shared" si="57"/>
        <v>0</v>
      </c>
      <c r="W80" s="2"/>
      <c r="X80" s="6">
        <f t="shared" si="58"/>
        <v>469.44</v>
      </c>
      <c r="Y80" s="2"/>
      <c r="Z80" s="7">
        <f t="shared" si="59"/>
        <v>0</v>
      </c>
    </row>
    <row r="81" spans="1:26" s="24" customFormat="1" hidden="1" outlineLevel="2" x14ac:dyDescent="0.25">
      <c r="A81" s="25"/>
      <c r="B81" s="11" t="str">
        <f>CONCATENATE("          ", "6248", " - ", "UNIFORMS")</f>
        <v xml:space="preserve">          6248 - UNIFORMS</v>
      </c>
      <c r="C81" s="11"/>
      <c r="D81" s="6"/>
      <c r="E81" s="2"/>
      <c r="F81" s="7">
        <f t="shared" si="52"/>
        <v>0</v>
      </c>
      <c r="G81" s="2"/>
      <c r="H81" s="6"/>
      <c r="I81" s="2"/>
      <c r="J81" s="7">
        <f t="shared" si="53"/>
        <v>0</v>
      </c>
      <c r="K81" s="2"/>
      <c r="L81" s="6">
        <f t="shared" si="54"/>
        <v>0</v>
      </c>
      <c r="M81" s="2"/>
      <c r="N81" s="7">
        <f t="shared" si="55"/>
        <v>0</v>
      </c>
      <c r="O81" s="11"/>
      <c r="P81" s="6">
        <v>-8059.62</v>
      </c>
      <c r="Q81" s="2"/>
      <c r="R81" s="7">
        <f t="shared" si="56"/>
        <v>-7.2676222856292551E-3</v>
      </c>
      <c r="S81" s="2"/>
      <c r="T81" s="6">
        <v>3500</v>
      </c>
      <c r="U81" s="2"/>
      <c r="V81" s="7">
        <f t="shared" si="57"/>
        <v>3.3184351397630069E-3</v>
      </c>
      <c r="W81" s="2"/>
      <c r="X81" s="6">
        <f t="shared" si="58"/>
        <v>-11559.619999999999</v>
      </c>
      <c r="Y81" s="2"/>
      <c r="Z81" s="7">
        <f t="shared" si="59"/>
        <v>-3.3027485714285709</v>
      </c>
    </row>
    <row r="82" spans="1:26" s="26" customFormat="1" outlineLevel="1" collapsed="1" x14ac:dyDescent="0.25">
      <c r="A82" s="27"/>
      <c r="B82" s="13" t="str">
        <f>CONCATENATE("     ","Telephone/Data Lines                              ")</f>
        <v xml:space="preserve">     Telephone/Data Lines                              </v>
      </c>
      <c r="C82" s="13"/>
      <c r="D82" s="1">
        <f>SUM(OSRRefD22_14x_0)</f>
        <v>113.05</v>
      </c>
      <c r="E82" s="1"/>
      <c r="F82" s="5">
        <f t="shared" ref="F82:F88" si="60">IF(D$12=0,0,D82/D$12)</f>
        <v>4.5413105607664916E-4</v>
      </c>
      <c r="G82" s="1"/>
      <c r="H82" s="1">
        <f>SUM(OSRRefH22_14x_0)</f>
        <v>233</v>
      </c>
      <c r="I82" s="1"/>
      <c r="J82" s="5">
        <f t="shared" ref="J82:J88" si="61">IF(H$12=0,0,H82/H$12)</f>
        <v>8.6764180171591994E-4</v>
      </c>
      <c r="K82" s="1"/>
      <c r="L82" s="1">
        <f t="shared" ref="L82:L88" si="62">+D82-H82</f>
        <v>-119.95</v>
      </c>
      <c r="M82" s="1"/>
      <c r="N82" s="5">
        <f t="shared" ref="N82:N88" si="63">IF(H82=0,0,L82/H82)</f>
        <v>-0.51480686695278977</v>
      </c>
      <c r="O82" s="13"/>
      <c r="P82" s="1">
        <f>SUM(OSRRefP22_14x_0)</f>
        <v>676.6</v>
      </c>
      <c r="Q82" s="1"/>
      <c r="R82" s="5">
        <f t="shared" ref="R82:R88" si="64">IF(P$12=0,0,P82/P$12)</f>
        <v>6.1011229294392964E-4</v>
      </c>
      <c r="S82" s="1"/>
      <c r="T82" s="1">
        <f>SUM(OSRRefT22_14x_0)</f>
        <v>1165</v>
      </c>
      <c r="U82" s="1"/>
      <c r="V82" s="5">
        <f t="shared" ref="V82:V88" si="65">IF(T$12=0,0,T82/T$12)</f>
        <v>1.104564839378258E-3</v>
      </c>
      <c r="W82" s="1"/>
      <c r="X82" s="1">
        <f t="shared" ref="X82:X88" si="66">+P82-T82</f>
        <v>-488.4</v>
      </c>
      <c r="Y82" s="1"/>
      <c r="Z82" s="5">
        <f t="shared" ref="Z82:Z88" si="67">IF(T82=0,0,X82/T82)</f>
        <v>-0.41922746781115877</v>
      </c>
    </row>
    <row r="83" spans="1:26" s="24" customFormat="1" hidden="1" outlineLevel="2" x14ac:dyDescent="0.25">
      <c r="A83" s="25"/>
      <c r="B83" s="11" t="str">
        <f>CONCATENATE("          ", "6309", " - ", "TELEPHONE")</f>
        <v xml:space="preserve">          6309 - TELEPHONE</v>
      </c>
      <c r="C83" s="11"/>
      <c r="D83" s="6">
        <v>113.05</v>
      </c>
      <c r="E83" s="2"/>
      <c r="F83" s="7">
        <f t="shared" si="60"/>
        <v>4.5413105607664916E-4</v>
      </c>
      <c r="G83" s="2"/>
      <c r="H83" s="6">
        <v>233</v>
      </c>
      <c r="I83" s="2"/>
      <c r="J83" s="7">
        <f t="shared" si="61"/>
        <v>8.6764180171591994E-4</v>
      </c>
      <c r="K83" s="2"/>
      <c r="L83" s="6">
        <f t="shared" si="62"/>
        <v>-119.95</v>
      </c>
      <c r="M83" s="2"/>
      <c r="N83" s="7">
        <f t="shared" si="63"/>
        <v>-0.51480686695278977</v>
      </c>
      <c r="O83" s="11"/>
      <c r="P83" s="6">
        <v>676.6</v>
      </c>
      <c r="Q83" s="2"/>
      <c r="R83" s="7">
        <f t="shared" si="64"/>
        <v>6.1011229294392964E-4</v>
      </c>
      <c r="S83" s="2"/>
      <c r="T83" s="6">
        <v>1165</v>
      </c>
      <c r="U83" s="2"/>
      <c r="V83" s="7">
        <f t="shared" si="65"/>
        <v>1.104564839378258E-3</v>
      </c>
      <c r="W83" s="2"/>
      <c r="X83" s="6">
        <f t="shared" si="66"/>
        <v>-488.4</v>
      </c>
      <c r="Y83" s="2"/>
      <c r="Z83" s="7">
        <f t="shared" si="67"/>
        <v>-0.41922746781115877</v>
      </c>
    </row>
    <row r="84" spans="1:26" s="26" customFormat="1" outlineLevel="1" collapsed="1" x14ac:dyDescent="0.25">
      <c r="A84" s="27"/>
      <c r="B84" s="13" t="str">
        <f>CONCATENATE("     ","Training                                          ")</f>
        <v xml:space="preserve">     Training                                          </v>
      </c>
      <c r="C84" s="13"/>
      <c r="D84" s="1">
        <f>SUM(OSRRefD22_15x_0)</f>
        <v>400</v>
      </c>
      <c r="E84" s="1"/>
      <c r="F84" s="5">
        <f t="shared" si="60"/>
        <v>1.6068325734689046E-3</v>
      </c>
      <c r="G84" s="1"/>
      <c r="H84" s="1">
        <f>SUM(OSRRefH22_15x_0)</f>
        <v>0</v>
      </c>
      <c r="I84" s="1"/>
      <c r="J84" s="5">
        <f t="shared" si="61"/>
        <v>0</v>
      </c>
      <c r="K84" s="1"/>
      <c r="L84" s="1">
        <f t="shared" si="62"/>
        <v>400</v>
      </c>
      <c r="M84" s="1"/>
      <c r="N84" s="5">
        <f t="shared" si="63"/>
        <v>0</v>
      </c>
      <c r="O84" s="13"/>
      <c r="P84" s="1">
        <f>SUM(OSRRefP22_15x_0)</f>
        <v>1555.78</v>
      </c>
      <c r="Q84" s="1"/>
      <c r="R84" s="5">
        <f t="shared" si="64"/>
        <v>1.4028975807217068E-3</v>
      </c>
      <c r="S84" s="1"/>
      <c r="T84" s="1">
        <f>SUM(OSRRefT22_15x_0)</f>
        <v>2758</v>
      </c>
      <c r="U84" s="1"/>
      <c r="V84" s="5">
        <f t="shared" si="65"/>
        <v>2.6149268901332493E-3</v>
      </c>
      <c r="W84" s="1"/>
      <c r="X84" s="1">
        <f t="shared" si="66"/>
        <v>-1202.22</v>
      </c>
      <c r="Y84" s="1"/>
      <c r="Z84" s="5">
        <f t="shared" si="67"/>
        <v>-0.43590282813633069</v>
      </c>
    </row>
    <row r="85" spans="1:26" s="24" customFormat="1" hidden="1" outlineLevel="2" x14ac:dyDescent="0.25">
      <c r="A85" s="25"/>
      <c r="B85" s="11" t="str">
        <f>CONCATENATE("          ", "6376", " - ", "TRAINING")</f>
        <v xml:space="preserve">          6376 - TRAINING</v>
      </c>
      <c r="C85" s="11"/>
      <c r="D85" s="6">
        <v>400</v>
      </c>
      <c r="E85" s="2"/>
      <c r="F85" s="7">
        <f t="shared" si="60"/>
        <v>1.6068325734689046E-3</v>
      </c>
      <c r="G85" s="2"/>
      <c r="H85" s="6"/>
      <c r="I85" s="2"/>
      <c r="J85" s="7">
        <f t="shared" si="61"/>
        <v>0</v>
      </c>
      <c r="K85" s="2"/>
      <c r="L85" s="6">
        <f t="shared" si="62"/>
        <v>400</v>
      </c>
      <c r="M85" s="2"/>
      <c r="N85" s="7">
        <f t="shared" si="63"/>
        <v>0</v>
      </c>
      <c r="O85" s="11"/>
      <c r="P85" s="6">
        <v>1555.78</v>
      </c>
      <c r="Q85" s="2"/>
      <c r="R85" s="7">
        <f t="shared" si="64"/>
        <v>1.4028975807217068E-3</v>
      </c>
      <c r="S85" s="2"/>
      <c r="T85" s="6">
        <v>2758</v>
      </c>
      <c r="U85" s="2"/>
      <c r="V85" s="7">
        <f t="shared" si="65"/>
        <v>2.6149268901332493E-3</v>
      </c>
      <c r="W85" s="2"/>
      <c r="X85" s="6">
        <f t="shared" si="66"/>
        <v>-1202.22</v>
      </c>
      <c r="Y85" s="2"/>
      <c r="Z85" s="7">
        <f t="shared" si="67"/>
        <v>-0.43590282813633069</v>
      </c>
    </row>
    <row r="86" spans="1:26" s="26" customFormat="1" outlineLevel="1" collapsed="1" x14ac:dyDescent="0.25">
      <c r="A86" s="27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SUM(OSRRefD22_16x_0)</f>
        <v>0</v>
      </c>
      <c r="E86" s="1"/>
      <c r="F86" s="5">
        <f t="shared" si="60"/>
        <v>0</v>
      </c>
      <c r="G86" s="1"/>
      <c r="H86" s="1">
        <f>SUM(OSRRefH22_16x_0)</f>
        <v>50</v>
      </c>
      <c r="I86" s="1"/>
      <c r="J86" s="5">
        <f t="shared" si="61"/>
        <v>1.8618922783603432E-4</v>
      </c>
      <c r="K86" s="1"/>
      <c r="L86" s="1">
        <f t="shared" si="62"/>
        <v>-50</v>
      </c>
      <c r="M86" s="1"/>
      <c r="N86" s="5">
        <f t="shared" si="63"/>
        <v>-1</v>
      </c>
      <c r="O86" s="13"/>
      <c r="P86" s="1">
        <f>SUM(OSRRefP22_16x_0)</f>
        <v>79.510000000000005</v>
      </c>
      <c r="Q86" s="1"/>
      <c r="R86" s="5">
        <f t="shared" si="64"/>
        <v>7.1696760880833355E-5</v>
      </c>
      <c r="S86" s="1"/>
      <c r="T86" s="1">
        <f>SUM(OSRRefT22_16x_0)</f>
        <v>250</v>
      </c>
      <c r="U86" s="1"/>
      <c r="V86" s="5">
        <f t="shared" si="65"/>
        <v>2.3703108141164334E-4</v>
      </c>
      <c r="W86" s="1"/>
      <c r="X86" s="1">
        <f t="shared" si="66"/>
        <v>-170.49</v>
      </c>
      <c r="Y86" s="1"/>
      <c r="Z86" s="5">
        <f t="shared" si="67"/>
        <v>-0.68196000000000001</v>
      </c>
    </row>
    <row r="87" spans="1:26" s="24" customFormat="1" hidden="1" outlineLevel="2" x14ac:dyDescent="0.25">
      <c r="A87" s="25"/>
      <c r="B87" s="11" t="str">
        <f>CONCATENATE("          ", "6292", " - ", "TRAVEL/CONFERENCE")</f>
        <v xml:space="preserve">          6292 - TRAVEL/CONFERENCE</v>
      </c>
      <c r="C87" s="11"/>
      <c r="D87" s="6"/>
      <c r="E87" s="2"/>
      <c r="F87" s="7">
        <f t="shared" si="60"/>
        <v>0</v>
      </c>
      <c r="G87" s="2"/>
      <c r="H87" s="6"/>
      <c r="I87" s="2"/>
      <c r="J87" s="7">
        <f t="shared" si="61"/>
        <v>0</v>
      </c>
      <c r="K87" s="2"/>
      <c r="L87" s="6">
        <f t="shared" si="62"/>
        <v>0</v>
      </c>
      <c r="M87" s="2"/>
      <c r="N87" s="7">
        <f t="shared" si="63"/>
        <v>0</v>
      </c>
      <c r="O87" s="11"/>
      <c r="P87" s="6">
        <v>79.510000000000005</v>
      </c>
      <c r="Q87" s="2"/>
      <c r="R87" s="7">
        <f t="shared" si="64"/>
        <v>7.1696760880833355E-5</v>
      </c>
      <c r="S87" s="2"/>
      <c r="T87" s="6"/>
      <c r="U87" s="2"/>
      <c r="V87" s="7">
        <f t="shared" si="65"/>
        <v>0</v>
      </c>
      <c r="W87" s="2"/>
      <c r="X87" s="6">
        <f t="shared" si="66"/>
        <v>79.510000000000005</v>
      </c>
      <c r="Y87" s="2"/>
      <c r="Z87" s="7">
        <f t="shared" si="67"/>
        <v>0</v>
      </c>
    </row>
    <row r="88" spans="1:26" s="24" customFormat="1" hidden="1" outlineLevel="2" x14ac:dyDescent="0.25">
      <c r="A88" s="25"/>
      <c r="B88" s="11" t="str">
        <f>CONCATENATE("          ", "6298", " - ", "VEHICLE MILEAGE")</f>
        <v xml:space="preserve">          6298 - VEHICLE MILEAGE</v>
      </c>
      <c r="C88" s="11"/>
      <c r="D88" s="6"/>
      <c r="E88" s="2"/>
      <c r="F88" s="7">
        <f t="shared" si="60"/>
        <v>0</v>
      </c>
      <c r="G88" s="2"/>
      <c r="H88" s="6">
        <v>50</v>
      </c>
      <c r="I88" s="2"/>
      <c r="J88" s="7">
        <f t="shared" si="61"/>
        <v>1.8618922783603432E-4</v>
      </c>
      <c r="K88" s="2"/>
      <c r="L88" s="6">
        <f t="shared" si="62"/>
        <v>-50</v>
      </c>
      <c r="M88" s="2"/>
      <c r="N88" s="7">
        <f t="shared" si="63"/>
        <v>-1</v>
      </c>
      <c r="O88" s="11"/>
      <c r="P88" s="6"/>
      <c r="Q88" s="2"/>
      <c r="R88" s="7">
        <f t="shared" si="64"/>
        <v>0</v>
      </c>
      <c r="S88" s="2"/>
      <c r="T88" s="6">
        <v>250</v>
      </c>
      <c r="U88" s="2"/>
      <c r="V88" s="7">
        <f t="shared" si="65"/>
        <v>2.3703108141164334E-4</v>
      </c>
      <c r="W88" s="2"/>
      <c r="X88" s="6">
        <f t="shared" si="66"/>
        <v>-250</v>
      </c>
      <c r="Y88" s="2"/>
      <c r="Z88" s="7">
        <f t="shared" si="67"/>
        <v>-1</v>
      </c>
    </row>
    <row r="89" spans="1:26" s="59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9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8" t="s">
        <v>3</v>
      </c>
      <c r="C92" s="28"/>
      <c r="D92" s="20">
        <f>+D23-D25+D90</f>
        <v>61951.269999999975</v>
      </c>
      <c r="E92" s="14"/>
      <c r="F92" s="22">
        <f>IF(D$12=0,0,D92/D$12)</f>
        <v>0.24886329650941727</v>
      </c>
      <c r="G92" s="14"/>
      <c r="H92" s="20">
        <f>+H23-H25+H90</f>
        <v>96276.363193787707</v>
      </c>
      <c r="I92" s="14"/>
      <c r="J92" s="22">
        <f>IF(H$12=0,0,H92/H$12)</f>
        <v>0.35851243443825859</v>
      </c>
      <c r="K92" s="16"/>
      <c r="L92" s="20">
        <f>+D92-H92</f>
        <v>-34325.093193787732</v>
      </c>
      <c r="M92" s="16"/>
      <c r="N92" s="22">
        <f>IF(H92=0,0,L92/H92)</f>
        <v>-0.35652669102900408</v>
      </c>
      <c r="O92" s="29"/>
      <c r="P92" s="20">
        <f>+P23-P25+P90</f>
        <v>225176.59000000008</v>
      </c>
      <c r="Q92" s="14"/>
      <c r="R92" s="22">
        <f>IF(P$12=0,0,P92/P$12)</f>
        <v>0.20304907721282173</v>
      </c>
      <c r="S92" s="14"/>
      <c r="T92" s="20">
        <f>+T23-T25+T90</f>
        <v>298312.89764915849</v>
      </c>
      <c r="U92" s="14"/>
      <c r="V92" s="22">
        <f>IF(T$12=0,0,T92/T$12)</f>
        <v>0.28283771491528364</v>
      </c>
      <c r="W92" s="16"/>
      <c r="X92" s="20">
        <f>+P92-T92</f>
        <v>-73136.307649158407</v>
      </c>
      <c r="Y92" s="16"/>
      <c r="Z92" s="22">
        <f>IF(T92=0,0,X92/T92)</f>
        <v>-0.24516642835595048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30859.329999999998</v>
      </c>
      <c r="E94" s="4"/>
      <c r="F94" s="12">
        <f>IF(D$12=0,0,D94/D$12)</f>
        <v>0.12396444159856541</v>
      </c>
      <c r="G94" s="4"/>
      <c r="H94" s="4">
        <v>38993</v>
      </c>
      <c r="I94" s="4"/>
      <c r="J94" s="12">
        <f>IF(H$12=0,0,H94/H$12)</f>
        <v>0.14520153122020973</v>
      </c>
      <c r="K94" s="4"/>
      <c r="L94" s="4">
        <f>+D94-H94</f>
        <v>-8133.6700000000019</v>
      </c>
      <c r="M94" s="4"/>
      <c r="N94" s="12">
        <f>IF(H94=0,0,L94/H94)</f>
        <v>-0.20859308080937608</v>
      </c>
      <c r="O94" s="10"/>
      <c r="P94" s="4">
        <v>117433.06999999999</v>
      </c>
      <c r="Q94" s="4"/>
      <c r="R94" s="12">
        <f>IF(P$12=0,0,P94/P$12)</f>
        <v>0.1058932302765962</v>
      </c>
      <c r="S94" s="4"/>
      <c r="T94" s="4">
        <v>133667</v>
      </c>
      <c r="U94" s="4"/>
      <c r="V94" s="12">
        <f>IF(T$12=0,0,T94/T$12)</f>
        <v>0.12673293423620052</v>
      </c>
      <c r="W94" s="4"/>
      <c r="X94" s="4">
        <f>+P94-T94</f>
        <v>-16233.930000000008</v>
      </c>
      <c r="Y94" s="4"/>
      <c r="Z94" s="12">
        <f>IF(T94=0,0,X94/T94)</f>
        <v>-0.12145054501110976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8" t="s">
        <v>4</v>
      </c>
      <c r="C96" s="28"/>
      <c r="D96" s="30">
        <f>+D92-D94</f>
        <v>31091.939999999977</v>
      </c>
      <c r="E96" s="14"/>
      <c r="F96" s="32">
        <f>IF(D$12=0,0,D96/D$12)</f>
        <v>0.12489885491085184</v>
      </c>
      <c r="G96" s="14"/>
      <c r="H96" s="30">
        <f>+H92-H94</f>
        <v>57283.363193787707</v>
      </c>
      <c r="I96" s="14"/>
      <c r="J96" s="32">
        <f>IF(H$12=0,0,H96/H$12)</f>
        <v>0.21331090321804883</v>
      </c>
      <c r="K96" s="16"/>
      <c r="L96" s="30">
        <f>D96-H96</f>
        <v>-26191.42319378773</v>
      </c>
      <c r="M96" s="16"/>
      <c r="N96" s="32">
        <f>IF(H96=0,0,L96/H96)</f>
        <v>-0.45722565389855024</v>
      </c>
      <c r="O96" s="29"/>
      <c r="P96" s="30">
        <f>+P92-P94</f>
        <v>107743.52000000009</v>
      </c>
      <c r="Q96" s="14"/>
      <c r="R96" s="32">
        <f>IF(P$12=0,0,P96/P$12)</f>
        <v>9.7155846936225532E-2</v>
      </c>
      <c r="S96" s="14"/>
      <c r="T96" s="30">
        <f>+T92-T94</f>
        <v>164645.89764915849</v>
      </c>
      <c r="U96" s="14"/>
      <c r="V96" s="32">
        <f>IF(T$12=0,0,T96/T$12)</f>
        <v>0.15610478067908315</v>
      </c>
      <c r="W96" s="16"/>
      <c r="X96" s="30">
        <f>P96-T96</f>
        <v>-56902.377649158399</v>
      </c>
      <c r="Y96" s="16"/>
      <c r="Z96" s="32">
        <f>IF(T96=0,0,X96/T96)</f>
        <v>-0.34560458815931649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8" t="s">
        <v>5</v>
      </c>
      <c r="C99" s="28"/>
      <c r="D99" s="31">
        <f>SUM(D96:D98)</f>
        <v>31091.939999999977</v>
      </c>
      <c r="E99" s="14"/>
      <c r="F99" s="35">
        <f>IF(D$12=0,0,D99/D$12)</f>
        <v>0.12489885491085184</v>
      </c>
      <c r="G99" s="14"/>
      <c r="H99" s="31">
        <f>SUM(H96:H98)</f>
        <v>57283.363193787707</v>
      </c>
      <c r="I99" s="14"/>
      <c r="J99" s="35">
        <f>IF(H$12=0,0,H99/H$12)</f>
        <v>0.21331090321804883</v>
      </c>
      <c r="K99" s="16"/>
      <c r="L99" s="31">
        <f>+D99-H99</f>
        <v>-26191.42319378773</v>
      </c>
      <c r="M99" s="16"/>
      <c r="N99" s="35">
        <f>IF(H99=0,0,L99/H99)</f>
        <v>-0.45722565389855024</v>
      </c>
      <c r="O99" s="29"/>
      <c r="P99" s="31">
        <f>SUM(P96:P98)</f>
        <v>107743.52000000009</v>
      </c>
      <c r="Q99" s="14"/>
      <c r="R99" s="35">
        <f>IF(P$12=0,0,P99/P$12)</f>
        <v>9.7155846936225532E-2</v>
      </c>
      <c r="S99" s="14"/>
      <c r="T99" s="31">
        <f>SUM(T96:T98)</f>
        <v>164645.89764915849</v>
      </c>
      <c r="U99" s="14"/>
      <c r="V99" s="35">
        <f>IF(T$12=0,0,T99/T$12)</f>
        <v>0.15610478067908315</v>
      </c>
      <c r="W99" s="16"/>
      <c r="X99" s="31">
        <f>+P99-T99</f>
        <v>-56902.377649158399</v>
      </c>
      <c r="Y99" s="16"/>
      <c r="Z99" s="35">
        <f>IF(T99=0,0,X99/T99)</f>
        <v>-0.34560458815931649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56">
        <v>43815.484230092596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62" t="s">
        <v>314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58"/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">
        <v>298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22315</v>
      </c>
      <c r="E12" s="4"/>
      <c r="F12" s="12"/>
      <c r="G12" s="4"/>
      <c r="H12" s="4">
        <f>SUM(OSRRefH13x_0)</f>
        <v>25585</v>
      </c>
      <c r="I12" s="4"/>
      <c r="J12" s="12"/>
      <c r="K12" s="4"/>
      <c r="L12" s="4">
        <f t="shared" ref="L12:L13" si="0">+D12-H12</f>
        <v>-3270</v>
      </c>
      <c r="M12" s="4"/>
      <c r="N12" s="12">
        <f t="shared" ref="N12:N13" si="1">IF(H12=0,0,L12/H12)</f>
        <v>-0.1278092632401798</v>
      </c>
      <c r="O12" s="10"/>
      <c r="P12" s="4">
        <f>SUM(OSRRefP13x_0)</f>
        <v>145451</v>
      </c>
      <c r="Q12" s="4"/>
      <c r="R12" s="12"/>
      <c r="S12" s="4"/>
      <c r="T12" s="4">
        <f>SUM(OSRRefT13x_0)</f>
        <v>278170</v>
      </c>
      <c r="U12" s="4"/>
      <c r="V12" s="12"/>
      <c r="W12" s="4"/>
      <c r="X12" s="4">
        <f t="shared" ref="X12:X13" si="2">+P12-T12</f>
        <v>-132719</v>
      </c>
      <c r="Y12" s="4"/>
      <c r="Z12" s="12">
        <f t="shared" ref="Z12:Z13" si="3">IF(T12=0,0,X12/T12)</f>
        <v>-0.4771147140237984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--22315</f>
        <v>22315</v>
      </c>
      <c r="E13" s="2"/>
      <c r="F13" s="19"/>
      <c r="G13" s="2"/>
      <c r="H13" s="2">
        <v>25585</v>
      </c>
      <c r="I13" s="2"/>
      <c r="J13" s="19"/>
      <c r="K13" s="2"/>
      <c r="L13" s="2">
        <f t="shared" si="0"/>
        <v>-3270</v>
      </c>
      <c r="M13" s="2"/>
      <c r="N13" s="19">
        <f t="shared" si="1"/>
        <v>-0.1278092632401798</v>
      </c>
      <c r="O13" s="11"/>
      <c r="P13" s="2">
        <f>--145451</f>
        <v>145451</v>
      </c>
      <c r="Q13" s="2"/>
      <c r="R13" s="19"/>
      <c r="S13" s="2"/>
      <c r="T13" s="2">
        <v>278170</v>
      </c>
      <c r="U13" s="2"/>
      <c r="V13" s="19"/>
      <c r="W13" s="2"/>
      <c r="X13" s="2">
        <f t="shared" si="2"/>
        <v>-132719</v>
      </c>
      <c r="Y13" s="2"/>
      <c r="Z13" s="19">
        <f t="shared" si="3"/>
        <v>-0.4771147140237984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0">
        <f>D12-D15</f>
        <v>22315</v>
      </c>
      <c r="E17" s="14"/>
      <c r="F17" s="22">
        <f>IF(D$12=0,0,D17/D$12)</f>
        <v>1</v>
      </c>
      <c r="G17" s="14"/>
      <c r="H17" s="20">
        <f>H12-H15</f>
        <v>25585</v>
      </c>
      <c r="I17" s="14"/>
      <c r="J17" s="22">
        <f>IF(H$12=0,0,H17/H$12)</f>
        <v>1</v>
      </c>
      <c r="K17" s="16"/>
      <c r="L17" s="20">
        <f>+D17-H17</f>
        <v>-3270</v>
      </c>
      <c r="M17" s="16"/>
      <c r="N17" s="22">
        <f>IF(H17=0,0,L17/H17)</f>
        <v>-0.1278092632401798</v>
      </c>
      <c r="O17" s="29"/>
      <c r="P17" s="20">
        <f>P12-P15</f>
        <v>145451</v>
      </c>
      <c r="Q17" s="14"/>
      <c r="R17" s="22">
        <f>IF(P$12=0,0,P17/P$12)</f>
        <v>1</v>
      </c>
      <c r="S17" s="14"/>
      <c r="T17" s="20">
        <f>T12-T15</f>
        <v>278170</v>
      </c>
      <c r="U17" s="14"/>
      <c r="V17" s="22">
        <f>IF(T$12=0,0,T17/T$12)</f>
        <v>1</v>
      </c>
      <c r="W17" s="16"/>
      <c r="X17" s="20">
        <f>+P17-T17</f>
        <v>-132719</v>
      </c>
      <c r="Y17" s="16"/>
      <c r="Z17" s="22">
        <f>IF(T17=0,0,X17/T17)</f>
        <v>-0.4771147140237984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1">
        <f>SUM(OSRRefD22x_0)</f>
        <v>22180.92</v>
      </c>
      <c r="E19" s="21"/>
      <c r="F19" s="33">
        <f t="shared" ref="F19:F29" si="4">IF(D$12=0,0,D19/D$12)</f>
        <v>0.99399148554783767</v>
      </c>
      <c r="G19" s="21"/>
      <c r="H19" s="21">
        <f>SUM(OSRRefH22x_0)</f>
        <v>23878.866620846155</v>
      </c>
      <c r="I19" s="21"/>
      <c r="J19" s="33">
        <f t="shared" ref="J19:J29" si="5">IF(H$12=0,0,H19/H$12)</f>
        <v>0.93331509168833904</v>
      </c>
      <c r="K19" s="4"/>
      <c r="L19" s="21">
        <f t="shared" ref="L19:L29" si="6">+D19-H19</f>
        <v>-1697.9466208461563</v>
      </c>
      <c r="M19" s="4"/>
      <c r="N19" s="33">
        <f t="shared" ref="N19:N29" si="7">IF(H19=0,0,L19/H19)</f>
        <v>-7.1106667154958503E-2</v>
      </c>
      <c r="O19" s="10"/>
      <c r="P19" s="21">
        <f>SUM(OSRRefP22x_0)</f>
        <v>145240.64000000001</v>
      </c>
      <c r="Q19" s="21"/>
      <c r="R19" s="33">
        <f t="shared" ref="R19:R29" si="8">IF(P$12=0,0,P19/P$12)</f>
        <v>0.99855373974740647</v>
      </c>
      <c r="S19" s="21"/>
      <c r="T19" s="21">
        <f>SUM(OSRRefT22x_0)</f>
        <v>255326.91341465386</v>
      </c>
      <c r="U19" s="21"/>
      <c r="V19" s="33">
        <f t="shared" ref="V19:V29" si="9">IF(T$12=0,0,T19/T$12)</f>
        <v>0.91788084054590302</v>
      </c>
      <c r="W19" s="4"/>
      <c r="X19" s="21">
        <f t="shared" ref="X19:X29" si="10">+P19-T19</f>
        <v>-110086.27341465384</v>
      </c>
      <c r="Y19" s="4"/>
      <c r="Z19" s="33">
        <f t="shared" ref="Z19:Z29" si="11">IF(T19=0,0,X19/T19)</f>
        <v>-0.43115812564526818</v>
      </c>
    </row>
    <row r="20" spans="1:26" s="26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3933.82</v>
      </c>
      <c r="E20" s="1"/>
      <c r="F20" s="5">
        <f t="shared" si="4"/>
        <v>0.17628590634102623</v>
      </c>
      <c r="G20" s="1"/>
      <c r="H20" s="1">
        <f>SUM(OSRRefH22_0x_0)</f>
        <v>953.71815930769242</v>
      </c>
      <c r="I20" s="1"/>
      <c r="J20" s="5">
        <f t="shared" si="5"/>
        <v>3.7276457272139629E-2</v>
      </c>
      <c r="K20" s="1"/>
      <c r="L20" s="1">
        <f t="shared" si="6"/>
        <v>2980.1018406923076</v>
      </c>
      <c r="M20" s="1"/>
      <c r="N20" s="5">
        <f t="shared" si="7"/>
        <v>3.124719616176308</v>
      </c>
      <c r="O20" s="13"/>
      <c r="P20" s="1">
        <f>SUM(OSRRefP22_0x_0)</f>
        <v>23183.78</v>
      </c>
      <c r="Q20" s="1"/>
      <c r="R20" s="5">
        <f t="shared" si="8"/>
        <v>0.15939237268908429</v>
      </c>
      <c r="S20" s="1"/>
      <c r="T20" s="1">
        <f>SUM(OSRRefT22_0x_0)</f>
        <v>7146.3468761923041</v>
      </c>
      <c r="U20" s="1"/>
      <c r="V20" s="5">
        <f t="shared" si="9"/>
        <v>2.5690573664278335E-2</v>
      </c>
      <c r="W20" s="1"/>
      <c r="X20" s="1">
        <f t="shared" si="10"/>
        <v>16037.433123807696</v>
      </c>
      <c r="Y20" s="1"/>
      <c r="Z20" s="5">
        <f t="shared" si="11"/>
        <v>2.2441442322420144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6">
        <v>933.75</v>
      </c>
      <c r="E21" s="2"/>
      <c r="F21" s="7">
        <f t="shared" si="4"/>
        <v>4.184405108671297E-2</v>
      </c>
      <c r="G21" s="2"/>
      <c r="H21" s="6">
        <v>261.889780846154</v>
      </c>
      <c r="I21" s="2"/>
      <c r="J21" s="7">
        <f t="shared" si="5"/>
        <v>1.0236067259963025E-2</v>
      </c>
      <c r="K21" s="2"/>
      <c r="L21" s="6">
        <f t="shared" si="6"/>
        <v>671.86021915384595</v>
      </c>
      <c r="M21" s="2"/>
      <c r="N21" s="7">
        <f t="shared" si="7"/>
        <v>2.5654312168389928</v>
      </c>
      <c r="O21" s="11"/>
      <c r="P21" s="6">
        <v>5889.58</v>
      </c>
      <c r="Q21" s="2"/>
      <c r="R21" s="7">
        <f t="shared" si="8"/>
        <v>4.0491849488831291E-2</v>
      </c>
      <c r="S21" s="2"/>
      <c r="T21" s="6">
        <v>3001.605794653844</v>
      </c>
      <c r="U21" s="2"/>
      <c r="V21" s="7">
        <f t="shared" si="9"/>
        <v>1.0790544611762031E-2</v>
      </c>
      <c r="W21" s="2"/>
      <c r="X21" s="6">
        <f t="shared" si="10"/>
        <v>2887.9742053461559</v>
      </c>
      <c r="Y21" s="2"/>
      <c r="Z21" s="7">
        <f t="shared" si="11"/>
        <v>0.96214306705095087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6">
        <v>53.23</v>
      </c>
      <c r="E22" s="2"/>
      <c r="F22" s="7">
        <f t="shared" si="4"/>
        <v>2.3853909926058701E-3</v>
      </c>
      <c r="G22" s="2"/>
      <c r="H22" s="6">
        <v>198.256523076923</v>
      </c>
      <c r="I22" s="2"/>
      <c r="J22" s="7">
        <f t="shared" si="5"/>
        <v>7.7489358247771348E-3</v>
      </c>
      <c r="K22" s="2"/>
      <c r="L22" s="6">
        <f t="shared" si="6"/>
        <v>-145.02652307692301</v>
      </c>
      <c r="M22" s="2"/>
      <c r="N22" s="7">
        <f t="shared" si="7"/>
        <v>-0.73150946473853529</v>
      </c>
      <c r="O22" s="11"/>
      <c r="P22" s="6">
        <v>216.64</v>
      </c>
      <c r="Q22" s="2"/>
      <c r="R22" s="7">
        <f t="shared" si="8"/>
        <v>1.4894363050099344E-3</v>
      </c>
      <c r="S22" s="2"/>
      <c r="T22" s="6">
        <v>1157.0296269230771</v>
      </c>
      <c r="U22" s="2"/>
      <c r="V22" s="7">
        <f t="shared" si="9"/>
        <v>4.1594335367691592E-3</v>
      </c>
      <c r="W22" s="2"/>
      <c r="X22" s="6">
        <f t="shared" si="10"/>
        <v>-940.38962692307712</v>
      </c>
      <c r="Y22" s="2"/>
      <c r="Z22" s="7">
        <f t="shared" si="11"/>
        <v>-0.81276192505448874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6">
        <v>1243.31</v>
      </c>
      <c r="E23" s="2"/>
      <c r="F23" s="7">
        <f t="shared" si="4"/>
        <v>5.5716334304279629E-2</v>
      </c>
      <c r="G23" s="2"/>
      <c r="H23" s="6">
        <v>138.1</v>
      </c>
      <c r="I23" s="2"/>
      <c r="J23" s="7">
        <f t="shared" si="5"/>
        <v>5.3976939613054522E-3</v>
      </c>
      <c r="K23" s="2"/>
      <c r="L23" s="6">
        <f t="shared" si="6"/>
        <v>1105.21</v>
      </c>
      <c r="M23" s="2"/>
      <c r="N23" s="7">
        <f t="shared" si="7"/>
        <v>8.0029688631426517</v>
      </c>
      <c r="O23" s="11"/>
      <c r="P23" s="6">
        <v>6216.55</v>
      </c>
      <c r="Q23" s="2"/>
      <c r="R23" s="7">
        <f t="shared" si="8"/>
        <v>4.2739823033186436E-2</v>
      </c>
      <c r="S23" s="2"/>
      <c r="T23" s="6">
        <v>690.5</v>
      </c>
      <c r="U23" s="2"/>
      <c r="V23" s="7">
        <f t="shared" si="9"/>
        <v>2.4822949994607615E-3</v>
      </c>
      <c r="W23" s="2"/>
      <c r="X23" s="6">
        <f t="shared" si="10"/>
        <v>5526.05</v>
      </c>
      <c r="Y23" s="2"/>
      <c r="Z23" s="7">
        <f t="shared" si="11"/>
        <v>8.0029688631426499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6">
        <v>40.71</v>
      </c>
      <c r="E24" s="2"/>
      <c r="F24" s="7">
        <f t="shared" si="4"/>
        <v>1.8243334080215103E-3</v>
      </c>
      <c r="G24" s="2"/>
      <c r="H24" s="6">
        <v>27.129840000000002</v>
      </c>
      <c r="I24" s="2"/>
      <c r="J24" s="7">
        <f t="shared" si="5"/>
        <v>1.0603806918116085E-3</v>
      </c>
      <c r="K24" s="2"/>
      <c r="L24" s="6">
        <f t="shared" si="6"/>
        <v>13.580159999999999</v>
      </c>
      <c r="M24" s="2"/>
      <c r="N24" s="7">
        <f t="shared" si="7"/>
        <v>0.50056174308436752</v>
      </c>
      <c r="O24" s="11"/>
      <c r="P24" s="6">
        <v>234.92</v>
      </c>
      <c r="Q24" s="2"/>
      <c r="R24" s="7">
        <f t="shared" si="8"/>
        <v>1.61511436841273E-3</v>
      </c>
      <c r="S24" s="2"/>
      <c r="T24" s="6">
        <v>158.33036999999999</v>
      </c>
      <c r="U24" s="2"/>
      <c r="V24" s="7">
        <f t="shared" si="9"/>
        <v>5.6918564187367438E-4</v>
      </c>
      <c r="W24" s="2"/>
      <c r="X24" s="6">
        <f t="shared" si="10"/>
        <v>76.58963</v>
      </c>
      <c r="Y24" s="2"/>
      <c r="Z24" s="7">
        <f t="shared" si="11"/>
        <v>0.48373303239296417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6">
        <v>639.47</v>
      </c>
      <c r="E25" s="2"/>
      <c r="F25" s="7">
        <f t="shared" si="4"/>
        <v>2.8656509074613489E-2</v>
      </c>
      <c r="G25" s="2"/>
      <c r="H25" s="6">
        <v>56.936630769230796</v>
      </c>
      <c r="I25" s="2"/>
      <c r="J25" s="7">
        <f t="shared" si="5"/>
        <v>2.2253910795087275E-3</v>
      </c>
      <c r="K25" s="2"/>
      <c r="L25" s="6">
        <f t="shared" si="6"/>
        <v>582.53336923076927</v>
      </c>
      <c r="M25" s="2"/>
      <c r="N25" s="7">
        <f t="shared" si="7"/>
        <v>10.231258178795802</v>
      </c>
      <c r="O25" s="11"/>
      <c r="P25" s="6">
        <v>3967.77</v>
      </c>
      <c r="Q25" s="2"/>
      <c r="R25" s="7">
        <f t="shared" si="8"/>
        <v>2.7279083677664642E-2</v>
      </c>
      <c r="S25" s="2"/>
      <c r="T25" s="6">
        <v>313.15146923076941</v>
      </c>
      <c r="U25" s="2"/>
      <c r="V25" s="7">
        <f t="shared" si="9"/>
        <v>1.1257557221510926E-3</v>
      </c>
      <c r="W25" s="2"/>
      <c r="X25" s="6">
        <f t="shared" si="10"/>
        <v>3654.6185307692303</v>
      </c>
      <c r="Y25" s="2"/>
      <c r="Z25" s="7">
        <f t="shared" si="11"/>
        <v>11.670449893613776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577.95000000000005</v>
      </c>
      <c r="E27" s="2"/>
      <c r="F27" s="7">
        <f t="shared" si="4"/>
        <v>2.5899619090298007E-2</v>
      </c>
      <c r="G27" s="2"/>
      <c r="H27" s="6">
        <v>33.102692307692301</v>
      </c>
      <c r="I27" s="2"/>
      <c r="J27" s="7">
        <f t="shared" si="5"/>
        <v>1.2938320229701895E-3</v>
      </c>
      <c r="K27" s="2"/>
      <c r="L27" s="6">
        <f t="shared" si="6"/>
        <v>544.84730769230771</v>
      </c>
      <c r="M27" s="2"/>
      <c r="N27" s="7">
        <f t="shared" si="7"/>
        <v>16.459304960089238</v>
      </c>
      <c r="O27" s="11"/>
      <c r="P27" s="6">
        <v>3914.94</v>
      </c>
      <c r="Q27" s="2"/>
      <c r="R27" s="7">
        <f t="shared" si="8"/>
        <v>2.6915868574296498E-2</v>
      </c>
      <c r="S27" s="2"/>
      <c r="T27" s="6">
        <v>182.06480769230771</v>
      </c>
      <c r="U27" s="2"/>
      <c r="V27" s="7">
        <f t="shared" si="9"/>
        <v>6.5450914078551861E-4</v>
      </c>
      <c r="W27" s="2"/>
      <c r="X27" s="6">
        <f t="shared" si="10"/>
        <v>3732.8751923076925</v>
      </c>
      <c r="Y27" s="2"/>
      <c r="Z27" s="7">
        <f t="shared" si="11"/>
        <v>20.503002417778116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288.57</v>
      </c>
      <c r="E28" s="2"/>
      <c r="F28" s="7">
        <f t="shared" si="4"/>
        <v>1.2931660318171632E-2</v>
      </c>
      <c r="G28" s="2"/>
      <c r="H28" s="6">
        <v>88.302692307692297</v>
      </c>
      <c r="I28" s="2"/>
      <c r="J28" s="7">
        <f t="shared" si="5"/>
        <v>3.4513461914282705E-3</v>
      </c>
      <c r="K28" s="2"/>
      <c r="L28" s="6">
        <f t="shared" si="6"/>
        <v>200.2673076923077</v>
      </c>
      <c r="M28" s="2"/>
      <c r="N28" s="7">
        <f t="shared" si="7"/>
        <v>2.2679637784369326</v>
      </c>
      <c r="O28" s="11"/>
      <c r="P28" s="6">
        <v>1977.13</v>
      </c>
      <c r="Q28" s="2"/>
      <c r="R28" s="7">
        <f t="shared" si="8"/>
        <v>1.3593100081814495E-2</v>
      </c>
      <c r="S28" s="2"/>
      <c r="T28" s="6">
        <v>893.66480769230668</v>
      </c>
      <c r="U28" s="2"/>
      <c r="V28" s="7">
        <f t="shared" si="9"/>
        <v>3.2126570359575319E-3</v>
      </c>
      <c r="W28" s="2"/>
      <c r="X28" s="6">
        <f t="shared" si="10"/>
        <v>1083.4651923076935</v>
      </c>
      <c r="Y28" s="2"/>
      <c r="Z28" s="7">
        <f t="shared" si="11"/>
        <v>1.2123843111887831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156.83000000000001</v>
      </c>
      <c r="E29" s="2"/>
      <c r="F29" s="7">
        <f t="shared" si="4"/>
        <v>7.028008066323102E-3</v>
      </c>
      <c r="G29" s="2"/>
      <c r="H29" s="6">
        <v>150</v>
      </c>
      <c r="I29" s="2"/>
      <c r="J29" s="7">
        <f t="shared" si="5"/>
        <v>5.8628102403752201E-3</v>
      </c>
      <c r="K29" s="2"/>
      <c r="L29" s="6">
        <f t="shared" si="6"/>
        <v>6.8300000000000125</v>
      </c>
      <c r="M29" s="2"/>
      <c r="N29" s="7">
        <f t="shared" si="7"/>
        <v>4.5533333333333419E-2</v>
      </c>
      <c r="O29" s="11"/>
      <c r="P29" s="6">
        <v>766.25</v>
      </c>
      <c r="Q29" s="2"/>
      <c r="R29" s="7">
        <f t="shared" si="8"/>
        <v>5.2680971598682716E-3</v>
      </c>
      <c r="S29" s="2"/>
      <c r="T29" s="6">
        <v>750</v>
      </c>
      <c r="U29" s="2"/>
      <c r="V29" s="7">
        <f t="shared" si="9"/>
        <v>2.6961929755185679E-3</v>
      </c>
      <c r="W29" s="2"/>
      <c r="X29" s="6">
        <f t="shared" si="10"/>
        <v>16.25</v>
      </c>
      <c r="Y29" s="2"/>
      <c r="Z29" s="7">
        <f t="shared" si="11"/>
        <v>2.1666666666666667E-2</v>
      </c>
    </row>
    <row r="30" spans="1:26" s="26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14847.91</v>
      </c>
      <c r="E30" s="1"/>
      <c r="F30" s="5">
        <f t="shared" ref="F30:F40" si="12">IF(D$12=0,0,D30/D$12)</f>
        <v>0.66537799686309651</v>
      </c>
      <c r="G30" s="1"/>
      <c r="H30" s="1">
        <f>SUM(OSRRefH22_1x_0)</f>
        <v>10313.148461538462</v>
      </c>
      <c r="I30" s="1"/>
      <c r="J30" s="5">
        <f t="shared" ref="J30:J40" si="13">IF(H$12=0,0,H30/H$12)</f>
        <v>0.40309354940545089</v>
      </c>
      <c r="K30" s="1"/>
      <c r="L30" s="1">
        <f t="shared" ref="L30:L40" si="14">+D30-H30</f>
        <v>4534.7615384615383</v>
      </c>
      <c r="M30" s="1"/>
      <c r="N30" s="5">
        <f t="shared" ref="N30:N40" si="15">IF(H30=0,0,L30/H30)</f>
        <v>0.43970680295870251</v>
      </c>
      <c r="O30" s="13"/>
      <c r="P30" s="1">
        <f>SUM(OSRRefP22_1x_0)</f>
        <v>87099.37000000001</v>
      </c>
      <c r="Q30" s="1"/>
      <c r="R30" s="5">
        <f t="shared" ref="R30:R40" si="16">IF(P$12=0,0,P30/P$12)</f>
        <v>0.59882276505489829</v>
      </c>
      <c r="S30" s="1"/>
      <c r="T30" s="1">
        <f>SUM(OSRRefT22_1x_0)</f>
        <v>59820.566538461542</v>
      </c>
      <c r="U30" s="1"/>
      <c r="V30" s="5">
        <f t="shared" ref="V30:V40" si="17">IF(T$12=0,0,T30/T$12)</f>
        <v>0.2150503883900548</v>
      </c>
      <c r="W30" s="1"/>
      <c r="X30" s="1">
        <f t="shared" ref="X30:X40" si="18">+P30-T30</f>
        <v>27278.803461538468</v>
      </c>
      <c r="Y30" s="1"/>
      <c r="Z30" s="5">
        <f t="shared" ref="Z30:Z40" si="19">IF(T30=0,0,X30/T30)</f>
        <v>0.45601044991774864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>
        <v>5943.64</v>
      </c>
      <c r="E32" s="2"/>
      <c r="F32" s="7">
        <f t="shared" si="12"/>
        <v>0.26635178131301818</v>
      </c>
      <c r="G32" s="2"/>
      <c r="H32" s="6">
        <v>595.84846153846195</v>
      </c>
      <c r="I32" s="2"/>
      <c r="J32" s="7">
        <f t="shared" si="13"/>
        <v>2.3288976413463433E-2</v>
      </c>
      <c r="K32" s="2"/>
      <c r="L32" s="6">
        <f t="shared" si="14"/>
        <v>5347.791538461538</v>
      </c>
      <c r="M32" s="2"/>
      <c r="N32" s="7">
        <f t="shared" si="15"/>
        <v>8.9750865927449226</v>
      </c>
      <c r="O32" s="11"/>
      <c r="P32" s="6">
        <v>29181.88</v>
      </c>
      <c r="Q32" s="2"/>
      <c r="R32" s="7">
        <f t="shared" si="16"/>
        <v>0.200630315363937</v>
      </c>
      <c r="S32" s="2"/>
      <c r="T32" s="6">
        <v>3277.1665384615399</v>
      </c>
      <c r="U32" s="2"/>
      <c r="V32" s="7">
        <f t="shared" si="17"/>
        <v>1.1781164534139339E-2</v>
      </c>
      <c r="W32" s="2"/>
      <c r="X32" s="6">
        <f t="shared" si="18"/>
        <v>25904.71346153846</v>
      </c>
      <c r="Y32" s="2"/>
      <c r="Z32" s="7">
        <f t="shared" si="19"/>
        <v>7.9046069699281691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2704.8</v>
      </c>
      <c r="I34" s="2"/>
      <c r="J34" s="7">
        <f t="shared" si="13"/>
        <v>0.10571819425444597</v>
      </c>
      <c r="K34" s="2"/>
      <c r="L34" s="6">
        <f t="shared" si="14"/>
        <v>-2704.8</v>
      </c>
      <c r="M34" s="2"/>
      <c r="N34" s="7">
        <f t="shared" si="15"/>
        <v>-1</v>
      </c>
      <c r="O34" s="11"/>
      <c r="P34" s="6"/>
      <c r="Q34" s="2"/>
      <c r="R34" s="7">
        <f t="shared" si="16"/>
        <v>0</v>
      </c>
      <c r="S34" s="2"/>
      <c r="T34" s="6">
        <v>14876.4</v>
      </c>
      <c r="U34" s="2"/>
      <c r="V34" s="7">
        <f t="shared" si="17"/>
        <v>5.3479526908005892E-2</v>
      </c>
      <c r="W34" s="2"/>
      <c r="X34" s="6">
        <f t="shared" si="18"/>
        <v>-14876.4</v>
      </c>
      <c r="Y34" s="2"/>
      <c r="Z34" s="7">
        <f t="shared" si="19"/>
        <v>-1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>
        <v>6413.45</v>
      </c>
      <c r="E35" s="2"/>
      <c r="F35" s="7">
        <f t="shared" si="12"/>
        <v>0.28740533273582791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6413.45</v>
      </c>
      <c r="M35" s="2"/>
      <c r="N35" s="7">
        <f t="shared" si="15"/>
        <v>0</v>
      </c>
      <c r="O35" s="11"/>
      <c r="P35" s="6">
        <v>39096.04</v>
      </c>
      <c r="Q35" s="2"/>
      <c r="R35" s="7">
        <f t="shared" si="16"/>
        <v>0.26879182680077829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39096.04</v>
      </c>
      <c r="Y35" s="2"/>
      <c r="Z35" s="7">
        <f t="shared" si="19"/>
        <v>0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>
        <v>1780</v>
      </c>
      <c r="E37" s="2"/>
      <c r="F37" s="7">
        <f t="shared" si="12"/>
        <v>7.9766972888191803E-2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1780</v>
      </c>
      <c r="M37" s="2"/>
      <c r="N37" s="7">
        <f t="shared" si="15"/>
        <v>0</v>
      </c>
      <c r="O37" s="11"/>
      <c r="P37" s="6">
        <v>15047.430000000002</v>
      </c>
      <c r="Q37" s="2"/>
      <c r="R37" s="7">
        <f t="shared" si="16"/>
        <v>0.10345360293157148</v>
      </c>
      <c r="S37" s="2"/>
      <c r="T37" s="6">
        <v>19992</v>
      </c>
      <c r="U37" s="2"/>
      <c r="V37" s="7">
        <f t="shared" si="17"/>
        <v>7.1869719955422948E-2</v>
      </c>
      <c r="W37" s="2"/>
      <c r="X37" s="6">
        <f t="shared" si="18"/>
        <v>-4944.5699999999979</v>
      </c>
      <c r="Y37" s="2"/>
      <c r="Z37" s="7">
        <f t="shared" si="19"/>
        <v>-0.24732743097238885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>
        <v>710.82</v>
      </c>
      <c r="E38" s="2"/>
      <c r="F38" s="7">
        <f t="shared" si="12"/>
        <v>3.1853909926058709E-2</v>
      </c>
      <c r="G38" s="2"/>
      <c r="H38" s="6">
        <v>7012.5</v>
      </c>
      <c r="I38" s="2"/>
      <c r="J38" s="7">
        <f t="shared" si="13"/>
        <v>0.27408637873754155</v>
      </c>
      <c r="K38" s="2"/>
      <c r="L38" s="6">
        <f t="shared" si="14"/>
        <v>-6301.68</v>
      </c>
      <c r="M38" s="2"/>
      <c r="N38" s="7">
        <f t="shared" si="15"/>
        <v>-0.89863529411764709</v>
      </c>
      <c r="O38" s="11"/>
      <c r="P38" s="6">
        <v>3774.02</v>
      </c>
      <c r="Q38" s="2"/>
      <c r="R38" s="7">
        <f t="shared" si="16"/>
        <v>2.5947019958611491E-2</v>
      </c>
      <c r="S38" s="2"/>
      <c r="T38" s="6">
        <v>21675</v>
      </c>
      <c r="U38" s="2"/>
      <c r="V38" s="7">
        <f t="shared" si="17"/>
        <v>7.7919976992486609E-2</v>
      </c>
      <c r="W38" s="2"/>
      <c r="X38" s="6">
        <f t="shared" si="18"/>
        <v>-17900.98</v>
      </c>
      <c r="Y38" s="2"/>
      <c r="Z38" s="7">
        <f t="shared" si="19"/>
        <v>-0.82588143021914651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6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59" si="20">IF(D$12=0,0,D41/D$12)</f>
        <v>0</v>
      </c>
      <c r="G41" s="1"/>
      <c r="H41" s="1">
        <f>SUM(OSRRefH22_2x_0)</f>
        <v>400</v>
      </c>
      <c r="I41" s="1"/>
      <c r="J41" s="5">
        <f t="shared" ref="J41:J59" si="21">IF(H$12=0,0,H41/H$12)</f>
        <v>1.5634160641000587E-2</v>
      </c>
      <c r="K41" s="1"/>
      <c r="L41" s="1">
        <f t="shared" ref="L41:L59" si="22">+D41-H41</f>
        <v>-400</v>
      </c>
      <c r="M41" s="1"/>
      <c r="N41" s="5">
        <f t="shared" ref="N41:N59" si="23">IF(H41=0,0,L41/H41)</f>
        <v>-1</v>
      </c>
      <c r="O41" s="13"/>
      <c r="P41" s="1">
        <f>SUM(OSRRefP22_2x_0)</f>
        <v>106.77</v>
      </c>
      <c r="Q41" s="1"/>
      <c r="R41" s="5">
        <f t="shared" ref="R41:R59" si="24">IF(P$12=0,0,P41/P$12)</f>
        <v>7.340616427525421E-4</v>
      </c>
      <c r="S41" s="1"/>
      <c r="T41" s="1">
        <f>SUM(OSRRefT22_2x_0)</f>
        <v>2000</v>
      </c>
      <c r="U41" s="1"/>
      <c r="V41" s="5">
        <f t="shared" ref="V41:V59" si="25">IF(T$12=0,0,T41/T$12)</f>
        <v>7.1898479347161804E-3</v>
      </c>
      <c r="W41" s="1"/>
      <c r="X41" s="1">
        <f t="shared" ref="X41:X59" si="26">+P41-T41</f>
        <v>-1893.23</v>
      </c>
      <c r="Y41" s="1"/>
      <c r="Z41" s="5">
        <f t="shared" ref="Z41:Z59" si="27">IF(T41=0,0,X41/T41)</f>
        <v>-0.94661499999999998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0"/>
        <v>0</v>
      </c>
      <c r="G42" s="2"/>
      <c r="H42" s="6">
        <v>400</v>
      </c>
      <c r="I42" s="2"/>
      <c r="J42" s="7">
        <f t="shared" si="21"/>
        <v>1.5634160641000587E-2</v>
      </c>
      <c r="K42" s="2"/>
      <c r="L42" s="6">
        <f t="shared" si="22"/>
        <v>-400</v>
      </c>
      <c r="M42" s="2"/>
      <c r="N42" s="7">
        <f t="shared" si="23"/>
        <v>-1</v>
      </c>
      <c r="O42" s="11"/>
      <c r="P42" s="6">
        <v>106.77</v>
      </c>
      <c r="Q42" s="2"/>
      <c r="R42" s="7">
        <f t="shared" si="24"/>
        <v>7.340616427525421E-4</v>
      </c>
      <c r="S42" s="2"/>
      <c r="T42" s="6">
        <v>2000</v>
      </c>
      <c r="U42" s="2"/>
      <c r="V42" s="7">
        <f t="shared" si="25"/>
        <v>7.1898479347161804E-3</v>
      </c>
      <c r="W42" s="2"/>
      <c r="X42" s="6">
        <f t="shared" si="26"/>
        <v>-1893.23</v>
      </c>
      <c r="Y42" s="2"/>
      <c r="Z42" s="7">
        <f t="shared" si="27"/>
        <v>-0.94661499999999998</v>
      </c>
    </row>
    <row r="43" spans="1:26" s="26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2341.1</v>
      </c>
      <c r="E43" s="1"/>
      <c r="F43" s="5">
        <f t="shared" si="20"/>
        <v>0.10491149451041899</v>
      </c>
      <c r="G43" s="1"/>
      <c r="H43" s="1">
        <f>SUM(OSRRefH22_3x_0)</f>
        <v>1500</v>
      </c>
      <c r="I43" s="1"/>
      <c r="J43" s="5">
        <f t="shared" si="21"/>
        <v>5.86281024037522E-2</v>
      </c>
      <c r="K43" s="1"/>
      <c r="L43" s="1">
        <f t="shared" si="22"/>
        <v>841.09999999999991</v>
      </c>
      <c r="M43" s="1"/>
      <c r="N43" s="5">
        <f t="shared" si="23"/>
        <v>0.56073333333333331</v>
      </c>
      <c r="O43" s="13"/>
      <c r="P43" s="1">
        <f>SUM(OSRRefP22_3x_0)</f>
        <v>10857.79</v>
      </c>
      <c r="Q43" s="1"/>
      <c r="R43" s="5">
        <f t="shared" si="24"/>
        <v>7.4649125822441931E-2</v>
      </c>
      <c r="S43" s="1"/>
      <c r="T43" s="1">
        <f>SUM(OSRRefT22_3x_0)</f>
        <v>7700</v>
      </c>
      <c r="U43" s="1"/>
      <c r="V43" s="5">
        <f t="shared" si="25"/>
        <v>2.7680914548657298E-2</v>
      </c>
      <c r="W43" s="1"/>
      <c r="X43" s="1">
        <f t="shared" si="26"/>
        <v>3157.7900000000009</v>
      </c>
      <c r="Y43" s="1"/>
      <c r="Z43" s="5">
        <f t="shared" si="27"/>
        <v>0.41010259740259752</v>
      </c>
    </row>
    <row r="44" spans="1:26" s="24" customFormat="1" hidden="1" outlineLevel="2" x14ac:dyDescent="0.25">
      <c r="A44" s="25"/>
      <c r="B44" s="11" t="str">
        <f>CONCATENATE("          ", "6381", " - ", "BANK/CREDIT CARD FEES")</f>
        <v xml:space="preserve">          6381 - BANK/CREDIT CARD FEES</v>
      </c>
      <c r="C44" s="11"/>
      <c r="D44" s="6">
        <v>2341.1</v>
      </c>
      <c r="E44" s="2"/>
      <c r="F44" s="7">
        <f t="shared" si="20"/>
        <v>0.10491149451041899</v>
      </c>
      <c r="G44" s="2"/>
      <c r="H44" s="6">
        <v>1500</v>
      </c>
      <c r="I44" s="2"/>
      <c r="J44" s="7">
        <f t="shared" si="21"/>
        <v>5.86281024037522E-2</v>
      </c>
      <c r="K44" s="2"/>
      <c r="L44" s="6">
        <f t="shared" si="22"/>
        <v>841.09999999999991</v>
      </c>
      <c r="M44" s="2"/>
      <c r="N44" s="7">
        <f t="shared" si="23"/>
        <v>0.56073333333333331</v>
      </c>
      <c r="O44" s="11"/>
      <c r="P44" s="6">
        <v>10857.79</v>
      </c>
      <c r="Q44" s="2"/>
      <c r="R44" s="7">
        <f t="shared" si="24"/>
        <v>7.4649125822441931E-2</v>
      </c>
      <c r="S44" s="2"/>
      <c r="T44" s="6">
        <v>7700</v>
      </c>
      <c r="U44" s="2"/>
      <c r="V44" s="7">
        <f t="shared" si="25"/>
        <v>2.7680914548657298E-2</v>
      </c>
      <c r="W44" s="2"/>
      <c r="X44" s="6">
        <f t="shared" si="26"/>
        <v>3157.7900000000009</v>
      </c>
      <c r="Y44" s="2"/>
      <c r="Z44" s="7">
        <f t="shared" si="27"/>
        <v>0.41010259740259752</v>
      </c>
    </row>
    <row r="45" spans="1:26" s="26" customFormat="1" outlineLevel="1" collapsed="1" x14ac:dyDescent="0.25">
      <c r="A45" s="27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75</v>
      </c>
      <c r="I45" s="1"/>
      <c r="J45" s="5">
        <f t="shared" si="21"/>
        <v>2.9314051201876101E-3</v>
      </c>
      <c r="K45" s="1"/>
      <c r="L45" s="1">
        <f t="shared" si="22"/>
        <v>-75</v>
      </c>
      <c r="M45" s="1"/>
      <c r="N45" s="5">
        <f t="shared" si="23"/>
        <v>-1</v>
      </c>
      <c r="O45" s="13"/>
      <c r="P45" s="1">
        <f>SUM(OSRRefP22_4x_0)</f>
        <v>64.239999999999995</v>
      </c>
      <c r="Q45" s="1"/>
      <c r="R45" s="5">
        <f t="shared" si="24"/>
        <v>4.4166076548115857E-4</v>
      </c>
      <c r="S45" s="1"/>
      <c r="T45" s="1">
        <f>SUM(OSRRefT22_4x_0)</f>
        <v>375</v>
      </c>
      <c r="U45" s="1"/>
      <c r="V45" s="5">
        <f t="shared" si="25"/>
        <v>1.3480964877592839E-3</v>
      </c>
      <c r="W45" s="1"/>
      <c r="X45" s="1">
        <f t="shared" si="26"/>
        <v>-310.76</v>
      </c>
      <c r="Y45" s="1"/>
      <c r="Z45" s="5">
        <f t="shared" si="27"/>
        <v>-0.82869333333333328</v>
      </c>
    </row>
    <row r="46" spans="1:26" s="24" customFormat="1" hidden="1" outlineLevel="2" x14ac:dyDescent="0.25">
      <c r="A46" s="25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20"/>
        <v>0</v>
      </c>
      <c r="G46" s="2"/>
      <c r="H46" s="6">
        <v>75</v>
      </c>
      <c r="I46" s="2"/>
      <c r="J46" s="7">
        <f t="shared" si="21"/>
        <v>2.9314051201876101E-3</v>
      </c>
      <c r="K46" s="2"/>
      <c r="L46" s="6">
        <f t="shared" si="22"/>
        <v>-75</v>
      </c>
      <c r="M46" s="2"/>
      <c r="N46" s="7">
        <f t="shared" si="23"/>
        <v>-1</v>
      </c>
      <c r="O46" s="11"/>
      <c r="P46" s="6">
        <v>64.239999999999995</v>
      </c>
      <c r="Q46" s="2"/>
      <c r="R46" s="7">
        <f t="shared" si="24"/>
        <v>4.4166076548115857E-4</v>
      </c>
      <c r="S46" s="2"/>
      <c r="T46" s="6">
        <v>375</v>
      </c>
      <c r="U46" s="2"/>
      <c r="V46" s="7">
        <f t="shared" si="25"/>
        <v>1.3480964877592839E-3</v>
      </c>
      <c r="W46" s="2"/>
      <c r="X46" s="6">
        <f t="shared" si="26"/>
        <v>-310.76</v>
      </c>
      <c r="Y46" s="2"/>
      <c r="Z46" s="7">
        <f t="shared" si="27"/>
        <v>-0.82869333333333328</v>
      </c>
    </row>
    <row r="47" spans="1:26" s="26" customFormat="1" outlineLevel="1" collapsed="1" x14ac:dyDescent="0.25">
      <c r="A47" s="27"/>
      <c r="B47" s="13" t="str">
        <f>CONCATENATE("     ","Freight out/Postage                               ")</f>
        <v xml:space="preserve">     Freight out/Postage                               </v>
      </c>
      <c r="C47" s="13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3.9085401602501464E-4</v>
      </c>
      <c r="K47" s="1"/>
      <c r="L47" s="1">
        <f t="shared" si="22"/>
        <v>-10</v>
      </c>
      <c r="M47" s="1"/>
      <c r="N47" s="5">
        <f t="shared" si="23"/>
        <v>-1</v>
      </c>
      <c r="O47" s="13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50</v>
      </c>
      <c r="U47" s="1"/>
      <c r="V47" s="5">
        <f t="shared" si="25"/>
        <v>1.7974619836790451E-4</v>
      </c>
      <c r="W47" s="1"/>
      <c r="X47" s="1">
        <f t="shared" si="26"/>
        <v>-50</v>
      </c>
      <c r="Y47" s="1"/>
      <c r="Z47" s="5">
        <f t="shared" si="27"/>
        <v>-1</v>
      </c>
    </row>
    <row r="48" spans="1:26" s="24" customFormat="1" hidden="1" outlineLevel="2" x14ac:dyDescent="0.25">
      <c r="A48" s="25"/>
      <c r="B48" s="11" t="str">
        <f>CONCATENATE("          ", "6307", " - ", "POSTAGE")</f>
        <v xml:space="preserve">          6307 - POSTAGE</v>
      </c>
      <c r="C48" s="11"/>
      <c r="D48" s="6"/>
      <c r="E48" s="2"/>
      <c r="F48" s="7">
        <f t="shared" si="20"/>
        <v>0</v>
      </c>
      <c r="G48" s="2"/>
      <c r="H48" s="6">
        <v>10</v>
      </c>
      <c r="I48" s="2"/>
      <c r="J48" s="7">
        <f t="shared" si="21"/>
        <v>3.9085401602501464E-4</v>
      </c>
      <c r="K48" s="2"/>
      <c r="L48" s="6">
        <f t="shared" si="22"/>
        <v>-10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50</v>
      </c>
      <c r="U48" s="2"/>
      <c r="V48" s="7">
        <f t="shared" si="25"/>
        <v>1.7974619836790451E-4</v>
      </c>
      <c r="W48" s="2"/>
      <c r="X48" s="6">
        <f t="shared" si="26"/>
        <v>-50</v>
      </c>
      <c r="Y48" s="2"/>
      <c r="Z48" s="7">
        <f t="shared" si="27"/>
        <v>-1</v>
      </c>
    </row>
    <row r="49" spans="1:26" s="26" customFormat="1" outlineLevel="1" collapsed="1" x14ac:dyDescent="0.25">
      <c r="A49" s="27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1.9542700801250734E-3</v>
      </c>
      <c r="K49" s="1"/>
      <c r="L49" s="1">
        <f t="shared" si="22"/>
        <v>-50</v>
      </c>
      <c r="M49" s="1"/>
      <c r="N49" s="5">
        <f t="shared" si="23"/>
        <v>-1</v>
      </c>
      <c r="O49" s="13"/>
      <c r="P49" s="1">
        <f>SUM(OSRRefP22_6x_0)</f>
        <v>0</v>
      </c>
      <c r="Q49" s="1"/>
      <c r="R49" s="5">
        <f t="shared" si="24"/>
        <v>0</v>
      </c>
      <c r="S49" s="1"/>
      <c r="T49" s="1">
        <f>SUM(OSRRefT22_6x_0)</f>
        <v>250</v>
      </c>
      <c r="U49" s="1"/>
      <c r="V49" s="5">
        <f t="shared" si="25"/>
        <v>8.9873099183952255E-4</v>
      </c>
      <c r="W49" s="1"/>
      <c r="X49" s="1">
        <f t="shared" si="26"/>
        <v>-250</v>
      </c>
      <c r="Y49" s="1"/>
      <c r="Z49" s="5">
        <f t="shared" si="27"/>
        <v>-1</v>
      </c>
    </row>
    <row r="50" spans="1:26" s="24" customFormat="1" hidden="1" outlineLevel="2" x14ac:dyDescent="0.25">
      <c r="A50" s="25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0"/>
        <v>0</v>
      </c>
      <c r="G50" s="2"/>
      <c r="H50" s="6">
        <v>50</v>
      </c>
      <c r="I50" s="2"/>
      <c r="J50" s="7">
        <f t="shared" si="21"/>
        <v>1.9542700801250734E-3</v>
      </c>
      <c r="K50" s="2"/>
      <c r="L50" s="6">
        <f t="shared" si="22"/>
        <v>-50</v>
      </c>
      <c r="M50" s="2"/>
      <c r="N50" s="7">
        <f t="shared" si="23"/>
        <v>-1</v>
      </c>
      <c r="O50" s="11"/>
      <c r="P50" s="6"/>
      <c r="Q50" s="2"/>
      <c r="R50" s="7">
        <f t="shared" si="24"/>
        <v>0</v>
      </c>
      <c r="S50" s="2"/>
      <c r="T50" s="6">
        <v>250</v>
      </c>
      <c r="U50" s="2"/>
      <c r="V50" s="7">
        <f t="shared" si="25"/>
        <v>8.9873099183952255E-4</v>
      </c>
      <c r="W50" s="2"/>
      <c r="X50" s="6">
        <f t="shared" si="26"/>
        <v>-250</v>
      </c>
      <c r="Y50" s="2"/>
      <c r="Z50" s="7">
        <f t="shared" si="27"/>
        <v>-1</v>
      </c>
    </row>
    <row r="51" spans="1:26" s="26" customFormat="1" outlineLevel="1" collapsed="1" x14ac:dyDescent="0.25">
      <c r="A51" s="27"/>
      <c r="B51" s="13" t="str">
        <f>CONCATENATE("     ","Insurance                                         ")</f>
        <v xml:space="preserve">     Insurance                                         </v>
      </c>
      <c r="C51" s="13"/>
      <c r="D51" s="1">
        <f>SUM(OSRRefD22_7x_0)</f>
        <v>29.01</v>
      </c>
      <c r="E51" s="1"/>
      <c r="F51" s="5">
        <f t="shared" si="20"/>
        <v>1.3000224064530586E-3</v>
      </c>
      <c r="G51" s="1"/>
      <c r="H51" s="1">
        <f>SUM(OSRRefH22_7x_0)</f>
        <v>27</v>
      </c>
      <c r="I51" s="1"/>
      <c r="J51" s="5">
        <f t="shared" si="21"/>
        <v>1.0553058432675397E-3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3"/>
      <c r="P51" s="1">
        <f>SUM(OSRRefP22_7x_0)</f>
        <v>145.05000000000001</v>
      </c>
      <c r="Q51" s="1"/>
      <c r="R51" s="5">
        <f t="shared" si="24"/>
        <v>9.9724305779953391E-4</v>
      </c>
      <c r="S51" s="1"/>
      <c r="T51" s="1">
        <f>SUM(OSRRefT22_7x_0)</f>
        <v>135</v>
      </c>
      <c r="U51" s="1"/>
      <c r="V51" s="5">
        <f t="shared" si="25"/>
        <v>4.8531473559334219E-4</v>
      </c>
      <c r="W51" s="1"/>
      <c r="X51" s="1">
        <f t="shared" si="26"/>
        <v>10.050000000000011</v>
      </c>
      <c r="Y51" s="1"/>
      <c r="Z51" s="5">
        <f t="shared" si="27"/>
        <v>7.4444444444444535E-2</v>
      </c>
    </row>
    <row r="52" spans="1:26" s="24" customFormat="1" hidden="1" outlineLevel="2" x14ac:dyDescent="0.25">
      <c r="A52" s="25"/>
      <c r="B52" s="11" t="str">
        <f>CONCATENATE("          ", "6314", " - ", "LIABILITY INSURANCE")</f>
        <v xml:space="preserve">          6314 - LIABILITY INSURANCE</v>
      </c>
      <c r="C52" s="11"/>
      <c r="D52" s="6">
        <v>29.01</v>
      </c>
      <c r="E52" s="2"/>
      <c r="F52" s="7">
        <f t="shared" si="20"/>
        <v>1.3000224064530586E-3</v>
      </c>
      <c r="G52" s="2"/>
      <c r="H52" s="6">
        <v>27</v>
      </c>
      <c r="I52" s="2"/>
      <c r="J52" s="7">
        <f t="shared" si="21"/>
        <v>1.0553058432675397E-3</v>
      </c>
      <c r="K52" s="2"/>
      <c r="L52" s="6">
        <f t="shared" si="22"/>
        <v>2.0100000000000016</v>
      </c>
      <c r="M52" s="2"/>
      <c r="N52" s="7">
        <f t="shared" si="23"/>
        <v>7.4444444444444507E-2</v>
      </c>
      <c r="O52" s="11"/>
      <c r="P52" s="6">
        <v>145.05000000000001</v>
      </c>
      <c r="Q52" s="2"/>
      <c r="R52" s="7">
        <f t="shared" si="24"/>
        <v>9.9724305779953391E-4</v>
      </c>
      <c r="S52" s="2"/>
      <c r="T52" s="6">
        <v>135</v>
      </c>
      <c r="U52" s="2"/>
      <c r="V52" s="7">
        <f t="shared" si="25"/>
        <v>4.8531473559334219E-4</v>
      </c>
      <c r="W52" s="2"/>
      <c r="X52" s="6">
        <f t="shared" si="26"/>
        <v>10.050000000000011</v>
      </c>
      <c r="Y52" s="2"/>
      <c r="Z52" s="7">
        <f t="shared" si="27"/>
        <v>7.4444444444444535E-2</v>
      </c>
    </row>
    <row r="53" spans="1:26" s="26" customFormat="1" outlineLevel="1" collapsed="1" x14ac:dyDescent="0.25">
      <c r="A53" s="27"/>
      <c r="B53" s="13" t="str">
        <f>CONCATENATE("     ","Professional Services                             ")</f>
        <v xml:space="preserve">     Professional Services                             </v>
      </c>
      <c r="C53" s="13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1.5634160641000587E-2</v>
      </c>
      <c r="K53" s="1"/>
      <c r="L53" s="1">
        <f t="shared" si="22"/>
        <v>-400</v>
      </c>
      <c r="M53" s="1"/>
      <c r="N53" s="5">
        <f t="shared" si="23"/>
        <v>-1</v>
      </c>
      <c r="O53" s="13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2000</v>
      </c>
      <c r="U53" s="1"/>
      <c r="V53" s="5">
        <f t="shared" si="25"/>
        <v>7.1898479347161804E-3</v>
      </c>
      <c r="W53" s="1"/>
      <c r="X53" s="1">
        <f t="shared" si="26"/>
        <v>-2000</v>
      </c>
      <c r="Y53" s="1"/>
      <c r="Z53" s="5">
        <f t="shared" si="27"/>
        <v>-1</v>
      </c>
    </row>
    <row r="54" spans="1:26" s="24" customFormat="1" hidden="1" outlineLevel="2" x14ac:dyDescent="0.25">
      <c r="A54" s="25"/>
      <c r="B54" s="11" t="str">
        <f>CONCATENATE("          ", "6336", " - ", "PROFESSIONAL SERVICES")</f>
        <v xml:space="preserve">          6336 - PROFESSIONAL SERVICES</v>
      </c>
      <c r="C54" s="11"/>
      <c r="D54" s="6"/>
      <c r="E54" s="2"/>
      <c r="F54" s="7">
        <f t="shared" si="20"/>
        <v>0</v>
      </c>
      <c r="G54" s="2"/>
      <c r="H54" s="6">
        <v>400</v>
      </c>
      <c r="I54" s="2"/>
      <c r="J54" s="7">
        <f t="shared" si="21"/>
        <v>1.5634160641000587E-2</v>
      </c>
      <c r="K54" s="2"/>
      <c r="L54" s="6">
        <f t="shared" si="22"/>
        <v>-400</v>
      </c>
      <c r="M54" s="2"/>
      <c r="N54" s="7">
        <f t="shared" si="23"/>
        <v>-1</v>
      </c>
      <c r="O54" s="11"/>
      <c r="P54" s="6"/>
      <c r="Q54" s="2"/>
      <c r="R54" s="7">
        <f t="shared" si="24"/>
        <v>0</v>
      </c>
      <c r="S54" s="2"/>
      <c r="T54" s="6">
        <v>2000</v>
      </c>
      <c r="U54" s="2"/>
      <c r="V54" s="7">
        <f t="shared" si="25"/>
        <v>7.1898479347161804E-3</v>
      </c>
      <c r="W54" s="2"/>
      <c r="X54" s="6">
        <f t="shared" si="26"/>
        <v>-2000</v>
      </c>
      <c r="Y54" s="2"/>
      <c r="Z54" s="7">
        <f t="shared" si="27"/>
        <v>-1</v>
      </c>
    </row>
    <row r="55" spans="1:26" s="26" customFormat="1" outlineLevel="1" collapsed="1" x14ac:dyDescent="0.25">
      <c r="A55" s="27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SUM(OSRRefD22_9x_0)</f>
        <v>800</v>
      </c>
      <c r="E55" s="1"/>
      <c r="F55" s="5">
        <f t="shared" si="20"/>
        <v>3.5850324893569346E-2</v>
      </c>
      <c r="G55" s="1"/>
      <c r="H55" s="1">
        <f>SUM(OSRRefH22_9x_0)</f>
        <v>800</v>
      </c>
      <c r="I55" s="1"/>
      <c r="J55" s="5">
        <f t="shared" si="21"/>
        <v>3.1268321282001174E-2</v>
      </c>
      <c r="K55" s="1"/>
      <c r="L55" s="1">
        <f t="shared" si="22"/>
        <v>0</v>
      </c>
      <c r="M55" s="1"/>
      <c r="N55" s="5">
        <f t="shared" si="23"/>
        <v>0</v>
      </c>
      <c r="O55" s="13"/>
      <c r="P55" s="1">
        <f>SUM(OSRRefP22_9x_0)</f>
        <v>4000</v>
      </c>
      <c r="Q55" s="1"/>
      <c r="R55" s="5">
        <f t="shared" si="24"/>
        <v>2.7500670328839266E-2</v>
      </c>
      <c r="S55" s="1"/>
      <c r="T55" s="1">
        <f>SUM(OSRRefT22_9x_0)</f>
        <v>4000</v>
      </c>
      <c r="U55" s="1"/>
      <c r="V55" s="5">
        <f t="shared" si="25"/>
        <v>1.4379695869432361E-2</v>
      </c>
      <c r="W55" s="1"/>
      <c r="X55" s="1">
        <f t="shared" si="26"/>
        <v>0</v>
      </c>
      <c r="Y55" s="1"/>
      <c r="Z55" s="5">
        <f t="shared" si="27"/>
        <v>0</v>
      </c>
    </row>
    <row r="56" spans="1:26" s="24" customFormat="1" hidden="1" outlineLevel="2" x14ac:dyDescent="0.25">
      <c r="A56" s="25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0"/>
        <v>3.5850324893569346E-2</v>
      </c>
      <c r="G56" s="2"/>
      <c r="H56" s="6">
        <v>800</v>
      </c>
      <c r="I56" s="2"/>
      <c r="J56" s="7">
        <f t="shared" si="21"/>
        <v>3.1268321282001174E-2</v>
      </c>
      <c r="K56" s="2"/>
      <c r="L56" s="6">
        <f t="shared" si="22"/>
        <v>0</v>
      </c>
      <c r="M56" s="2"/>
      <c r="N56" s="7">
        <f t="shared" si="23"/>
        <v>0</v>
      </c>
      <c r="O56" s="11"/>
      <c r="P56" s="6">
        <v>4000</v>
      </c>
      <c r="Q56" s="2"/>
      <c r="R56" s="7">
        <f t="shared" si="24"/>
        <v>2.7500670328839266E-2</v>
      </c>
      <c r="S56" s="2"/>
      <c r="T56" s="6">
        <v>4000</v>
      </c>
      <c r="U56" s="2"/>
      <c r="V56" s="7">
        <f t="shared" si="25"/>
        <v>1.4379695869432361E-2</v>
      </c>
      <c r="W56" s="2"/>
      <c r="X56" s="6">
        <f t="shared" si="26"/>
        <v>0</v>
      </c>
      <c r="Y56" s="2"/>
      <c r="Z56" s="7">
        <f t="shared" si="27"/>
        <v>0</v>
      </c>
    </row>
    <row r="57" spans="1:26" s="26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SUM(OSRRefD22_10x_0)</f>
        <v>0</v>
      </c>
      <c r="E57" s="1"/>
      <c r="F57" s="5">
        <f t="shared" si="20"/>
        <v>0</v>
      </c>
      <c r="G57" s="1"/>
      <c r="H57" s="1">
        <f>SUM(OSRRefH22_10x_0)</f>
        <v>2000</v>
      </c>
      <c r="I57" s="1"/>
      <c r="J57" s="5">
        <f t="shared" si="21"/>
        <v>7.8170803205002928E-2</v>
      </c>
      <c r="K57" s="1"/>
      <c r="L57" s="1">
        <f t="shared" si="22"/>
        <v>-2000</v>
      </c>
      <c r="M57" s="1"/>
      <c r="N57" s="5">
        <f t="shared" si="23"/>
        <v>-1</v>
      </c>
      <c r="O57" s="13"/>
      <c r="P57" s="1">
        <f>SUM(OSRRefP22_10x_0)</f>
        <v>437.31</v>
      </c>
      <c r="Q57" s="1"/>
      <c r="R57" s="5">
        <f t="shared" si="24"/>
        <v>3.0065795353761749E-3</v>
      </c>
      <c r="S57" s="1"/>
      <c r="T57" s="1">
        <f>SUM(OSRRefT22_10x_0)</f>
        <v>135000</v>
      </c>
      <c r="U57" s="1"/>
      <c r="V57" s="5">
        <f t="shared" si="25"/>
        <v>0.48531473559334221</v>
      </c>
      <c r="W57" s="1"/>
      <c r="X57" s="1">
        <f t="shared" si="26"/>
        <v>-134562.69</v>
      </c>
      <c r="Y57" s="1"/>
      <c r="Z57" s="5">
        <f t="shared" si="27"/>
        <v>-0.99676066666666674</v>
      </c>
    </row>
    <row r="58" spans="1:26" s="24" customFormat="1" hidden="1" outlineLevel="2" x14ac:dyDescent="0.25">
      <c r="A58" s="25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0"/>
        <v>0</v>
      </c>
      <c r="G58" s="2"/>
      <c r="H58" s="6"/>
      <c r="I58" s="2"/>
      <c r="J58" s="7">
        <f t="shared" si="21"/>
        <v>0</v>
      </c>
      <c r="K58" s="2"/>
      <c r="L58" s="6">
        <f t="shared" si="22"/>
        <v>0</v>
      </c>
      <c r="M58" s="2"/>
      <c r="N58" s="7">
        <f t="shared" si="23"/>
        <v>0</v>
      </c>
      <c r="O58" s="11"/>
      <c r="P58" s="6">
        <v>437.31</v>
      </c>
      <c r="Q58" s="2"/>
      <c r="R58" s="7">
        <f t="shared" si="24"/>
        <v>3.0065795353761749E-3</v>
      </c>
      <c r="S58" s="2"/>
      <c r="T58" s="6">
        <v>125000</v>
      </c>
      <c r="U58" s="2"/>
      <c r="V58" s="7">
        <f t="shared" si="25"/>
        <v>0.44936549591976127</v>
      </c>
      <c r="W58" s="2"/>
      <c r="X58" s="6">
        <f t="shared" si="26"/>
        <v>-124562.69</v>
      </c>
      <c r="Y58" s="2"/>
      <c r="Z58" s="7">
        <f t="shared" si="27"/>
        <v>-0.99650152000000003</v>
      </c>
    </row>
    <row r="59" spans="1:26" s="24" customFormat="1" hidden="1" outlineLevel="2" x14ac:dyDescent="0.25">
      <c r="A59" s="25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0"/>
        <v>0</v>
      </c>
      <c r="G59" s="2"/>
      <c r="H59" s="6">
        <v>2000</v>
      </c>
      <c r="I59" s="2"/>
      <c r="J59" s="7">
        <f t="shared" si="21"/>
        <v>7.8170803205002928E-2</v>
      </c>
      <c r="K59" s="2"/>
      <c r="L59" s="6">
        <f t="shared" si="22"/>
        <v>-2000</v>
      </c>
      <c r="M59" s="2"/>
      <c r="N59" s="7">
        <f t="shared" si="23"/>
        <v>-1</v>
      </c>
      <c r="O59" s="11"/>
      <c r="P59" s="6"/>
      <c r="Q59" s="2"/>
      <c r="R59" s="7">
        <f t="shared" si="24"/>
        <v>0</v>
      </c>
      <c r="S59" s="2"/>
      <c r="T59" s="6">
        <v>10000</v>
      </c>
      <c r="U59" s="2"/>
      <c r="V59" s="7">
        <f t="shared" si="25"/>
        <v>3.5949239673580907E-2</v>
      </c>
      <c r="W59" s="2"/>
      <c r="X59" s="6">
        <f t="shared" si="26"/>
        <v>-10000</v>
      </c>
      <c r="Y59" s="2"/>
      <c r="Z59" s="7">
        <f t="shared" si="27"/>
        <v>-1</v>
      </c>
    </row>
    <row r="60" spans="1:26" s="26" customFormat="1" outlineLevel="1" collapsed="1" x14ac:dyDescent="0.25">
      <c r="A60" s="27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SUM(OSRRefD22_11x_0)</f>
        <v>45.18</v>
      </c>
      <c r="E60" s="1"/>
      <c r="F60" s="5">
        <f t="shared" ref="F60:F63" si="28">IF(D$12=0,0,D60/D$12)</f>
        <v>2.0246470983643289E-3</v>
      </c>
      <c r="G60" s="1"/>
      <c r="H60" s="1">
        <f>SUM(OSRRefH22_11x_0)</f>
        <v>7000</v>
      </c>
      <c r="I60" s="1"/>
      <c r="J60" s="5">
        <f t="shared" ref="J60:J63" si="29">IF(H$12=0,0,H60/H$12)</f>
        <v>0.27359781121751026</v>
      </c>
      <c r="K60" s="1"/>
      <c r="L60" s="1">
        <f t="shared" ref="L60:L63" si="30">+D60-H60</f>
        <v>-6954.82</v>
      </c>
      <c r="M60" s="1"/>
      <c r="N60" s="5">
        <f t="shared" ref="N60:N63" si="31">IF(H60=0,0,L60/H60)</f>
        <v>-0.99354571428571425</v>
      </c>
      <c r="O60" s="13"/>
      <c r="P60" s="1">
        <f>SUM(OSRRefP22_11x_0)</f>
        <v>18397.830000000002</v>
      </c>
      <c r="Q60" s="1"/>
      <c r="R60" s="5">
        <f t="shared" ref="R60:R63" si="32">IF(P$12=0,0,P60/P$12)</f>
        <v>0.12648816439900723</v>
      </c>
      <c r="S60" s="1"/>
      <c r="T60" s="1">
        <f>SUM(OSRRefT22_11x_0)</f>
        <v>35100</v>
      </c>
      <c r="U60" s="1"/>
      <c r="V60" s="5">
        <f t="shared" ref="V60:V63" si="33">IF(T$12=0,0,T60/T$12)</f>
        <v>0.12618183125426896</v>
      </c>
      <c r="W60" s="1"/>
      <c r="X60" s="1">
        <f t="shared" ref="X60:X63" si="34">+P60-T60</f>
        <v>-16702.169999999998</v>
      </c>
      <c r="Y60" s="1"/>
      <c r="Z60" s="5">
        <f t="shared" ref="Z60:Z63" si="35">IF(T60=0,0,X60/T60)</f>
        <v>-0.47584529914529911</v>
      </c>
    </row>
    <row r="61" spans="1:26" s="24" customFormat="1" hidden="1" outlineLevel="2" x14ac:dyDescent="0.25">
      <c r="A61" s="25"/>
      <c r="B61" s="11" t="str">
        <f>CONCATENATE("          ", "6234", " - ", "EXPENDABLE SUPPLIES &amp; EQUIPMEN")</f>
        <v xml:space="preserve">          6234 - EXPENDABLE SUPPLIES &amp; EQUIPMEN</v>
      </c>
      <c r="C61" s="11"/>
      <c r="D61" s="6"/>
      <c r="E61" s="2"/>
      <c r="F61" s="7">
        <f t="shared" si="28"/>
        <v>0</v>
      </c>
      <c r="G61" s="2"/>
      <c r="H61" s="6">
        <v>7000</v>
      </c>
      <c r="I61" s="2"/>
      <c r="J61" s="7">
        <f t="shared" si="29"/>
        <v>0.27359781121751026</v>
      </c>
      <c r="K61" s="2"/>
      <c r="L61" s="6">
        <f t="shared" si="30"/>
        <v>-7000</v>
      </c>
      <c r="M61" s="2"/>
      <c r="N61" s="7">
        <f t="shared" si="31"/>
        <v>-1</v>
      </c>
      <c r="O61" s="11"/>
      <c r="P61" s="6">
        <v>413.27</v>
      </c>
      <c r="Q61" s="2"/>
      <c r="R61" s="7">
        <f t="shared" si="32"/>
        <v>2.8413005066998506E-3</v>
      </c>
      <c r="S61" s="2"/>
      <c r="T61" s="6">
        <v>35100</v>
      </c>
      <c r="U61" s="2"/>
      <c r="V61" s="7">
        <f t="shared" si="33"/>
        <v>0.12618183125426896</v>
      </c>
      <c r="W61" s="2"/>
      <c r="X61" s="6">
        <f t="shared" si="34"/>
        <v>-34686.730000000003</v>
      </c>
      <c r="Y61" s="2"/>
      <c r="Z61" s="7">
        <f t="shared" si="35"/>
        <v>-0.98822592592592606</v>
      </c>
    </row>
    <row r="62" spans="1:26" s="24" customFormat="1" hidden="1" outlineLevel="2" x14ac:dyDescent="0.25">
      <c r="A62" s="25"/>
      <c r="B62" s="11" t="str">
        <f>CONCATENATE("          ", "6241", " - ", "OFFICE EXPENSE")</f>
        <v xml:space="preserve">          6241 - OFFICE EXPENSE</v>
      </c>
      <c r="C62" s="11"/>
      <c r="D62" s="6">
        <v>45.18</v>
      </c>
      <c r="E62" s="2"/>
      <c r="F62" s="7">
        <f t="shared" si="28"/>
        <v>2.0246470983643289E-3</v>
      </c>
      <c r="G62" s="2"/>
      <c r="H62" s="6"/>
      <c r="I62" s="2"/>
      <c r="J62" s="7">
        <f t="shared" si="29"/>
        <v>0</v>
      </c>
      <c r="K62" s="2"/>
      <c r="L62" s="6">
        <f t="shared" si="30"/>
        <v>45.18</v>
      </c>
      <c r="M62" s="2"/>
      <c r="N62" s="7">
        <f t="shared" si="31"/>
        <v>0</v>
      </c>
      <c r="O62" s="11"/>
      <c r="P62" s="6">
        <v>17863.73</v>
      </c>
      <c r="Q62" s="2"/>
      <c r="R62" s="7">
        <f t="shared" si="32"/>
        <v>0.12281613739334896</v>
      </c>
      <c r="S62" s="2"/>
      <c r="T62" s="6"/>
      <c r="U62" s="2"/>
      <c r="V62" s="7">
        <f t="shared" si="33"/>
        <v>0</v>
      </c>
      <c r="W62" s="2"/>
      <c r="X62" s="6">
        <f t="shared" si="34"/>
        <v>17863.73</v>
      </c>
      <c r="Y62" s="2"/>
      <c r="Z62" s="7">
        <f t="shared" si="35"/>
        <v>0</v>
      </c>
    </row>
    <row r="63" spans="1:26" s="24" customFormat="1" hidden="1" outlineLevel="2" x14ac:dyDescent="0.25">
      <c r="A63" s="25"/>
      <c r="B63" s="11" t="str">
        <f>CONCATENATE("          ", "6245", " - ", "PRINTING")</f>
        <v xml:space="preserve">          6245 - PRINTING</v>
      </c>
      <c r="C63" s="11"/>
      <c r="D63" s="6"/>
      <c r="E63" s="2"/>
      <c r="F63" s="7">
        <f t="shared" si="28"/>
        <v>0</v>
      </c>
      <c r="G63" s="2"/>
      <c r="H63" s="6"/>
      <c r="I63" s="2"/>
      <c r="J63" s="7">
        <f t="shared" si="29"/>
        <v>0</v>
      </c>
      <c r="K63" s="2"/>
      <c r="L63" s="6">
        <f t="shared" si="30"/>
        <v>0</v>
      </c>
      <c r="M63" s="2"/>
      <c r="N63" s="7">
        <f t="shared" si="31"/>
        <v>0</v>
      </c>
      <c r="O63" s="11"/>
      <c r="P63" s="6">
        <v>120.83</v>
      </c>
      <c r="Q63" s="2"/>
      <c r="R63" s="7">
        <f t="shared" si="32"/>
        <v>8.3072649895841208E-4</v>
      </c>
      <c r="S63" s="2"/>
      <c r="T63" s="6"/>
      <c r="U63" s="2"/>
      <c r="V63" s="7">
        <f t="shared" si="33"/>
        <v>0</v>
      </c>
      <c r="W63" s="2"/>
      <c r="X63" s="6">
        <f t="shared" si="34"/>
        <v>120.83</v>
      </c>
      <c r="Y63" s="2"/>
      <c r="Z63" s="7">
        <f t="shared" si="35"/>
        <v>0</v>
      </c>
    </row>
    <row r="64" spans="1:26" s="26" customFormat="1" outlineLevel="1" collapsed="1" x14ac:dyDescent="0.25">
      <c r="A64" s="27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SUM(OSRRefD22_12x_0)</f>
        <v>183.9</v>
      </c>
      <c r="E64" s="1"/>
      <c r="F64" s="5">
        <f t="shared" ref="F64:F65" si="36">IF(D$12=0,0,D64/D$12)</f>
        <v>8.2410934349092541E-3</v>
      </c>
      <c r="G64" s="1"/>
      <c r="H64" s="1">
        <f>SUM(OSRRefH22_12x_0)</f>
        <v>350</v>
      </c>
      <c r="I64" s="1"/>
      <c r="J64" s="5">
        <f t="shared" ref="J64:J65" si="37">IF(H$12=0,0,H64/H$12)</f>
        <v>1.3679890560875513E-2</v>
      </c>
      <c r="K64" s="1"/>
      <c r="L64" s="1">
        <f t="shared" ref="L64:L65" si="38">+D64-H64</f>
        <v>-166.1</v>
      </c>
      <c r="M64" s="1"/>
      <c r="N64" s="5">
        <f t="shared" ref="N64:N65" si="39">IF(H64=0,0,L64/H64)</f>
        <v>-0.47457142857142853</v>
      </c>
      <c r="O64" s="13"/>
      <c r="P64" s="1">
        <f>SUM(OSRRefP22_12x_0)</f>
        <v>948.5</v>
      </c>
      <c r="Q64" s="1"/>
      <c r="R64" s="5">
        <f t="shared" ref="R64:R65" si="40">IF(P$12=0,0,P64/P$12)</f>
        <v>6.5210964517260104E-3</v>
      </c>
      <c r="S64" s="1"/>
      <c r="T64" s="1">
        <f>SUM(OSRRefT22_12x_0)</f>
        <v>1750</v>
      </c>
      <c r="U64" s="1"/>
      <c r="V64" s="5">
        <f t="shared" ref="V64:V65" si="41">IF(T$12=0,0,T64/T$12)</f>
        <v>6.2911169428766581E-3</v>
      </c>
      <c r="W64" s="1"/>
      <c r="X64" s="1">
        <f t="shared" ref="X64:X65" si="42">+P64-T64</f>
        <v>-801.5</v>
      </c>
      <c r="Y64" s="1"/>
      <c r="Z64" s="5">
        <f t="shared" ref="Z64:Z65" si="43">IF(T64=0,0,X64/T64)</f>
        <v>-0.45800000000000002</v>
      </c>
    </row>
    <row r="65" spans="1:26" s="24" customFormat="1" hidden="1" outlineLevel="2" x14ac:dyDescent="0.25">
      <c r="A65" s="25"/>
      <c r="B65" s="11" t="str">
        <f>CONCATENATE("          ", "6309", " - ", "TELEPHONE")</f>
        <v xml:space="preserve">          6309 - TELEPHONE</v>
      </c>
      <c r="C65" s="11"/>
      <c r="D65" s="6">
        <v>183.9</v>
      </c>
      <c r="E65" s="2"/>
      <c r="F65" s="7">
        <f t="shared" si="36"/>
        <v>8.2410934349092541E-3</v>
      </c>
      <c r="G65" s="2"/>
      <c r="H65" s="6">
        <v>350</v>
      </c>
      <c r="I65" s="2"/>
      <c r="J65" s="7">
        <f t="shared" si="37"/>
        <v>1.3679890560875513E-2</v>
      </c>
      <c r="K65" s="2"/>
      <c r="L65" s="6">
        <f t="shared" si="38"/>
        <v>-166.1</v>
      </c>
      <c r="M65" s="2"/>
      <c r="N65" s="7">
        <f t="shared" si="39"/>
        <v>-0.47457142857142853</v>
      </c>
      <c r="O65" s="11"/>
      <c r="P65" s="6">
        <v>948.5</v>
      </c>
      <c r="Q65" s="2"/>
      <c r="R65" s="7">
        <f t="shared" si="40"/>
        <v>6.5210964517260104E-3</v>
      </c>
      <c r="S65" s="2"/>
      <c r="T65" s="6">
        <v>1750</v>
      </c>
      <c r="U65" s="2"/>
      <c r="V65" s="7">
        <f t="shared" si="41"/>
        <v>6.2911169428766581E-3</v>
      </c>
      <c r="W65" s="2"/>
      <c r="X65" s="6">
        <f t="shared" si="42"/>
        <v>-801.5</v>
      </c>
      <c r="Y65" s="2"/>
      <c r="Z65" s="7">
        <f t="shared" si="43"/>
        <v>-0.45800000000000002</v>
      </c>
    </row>
    <row r="66" spans="1:26" s="59" customFormat="1" x14ac:dyDescent="0.25">
      <c r="A66" s="36"/>
      <c r="B66" s="36"/>
      <c r="C66" s="36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6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collapsed="1" x14ac:dyDescent="0.25">
      <c r="A67" s="10"/>
      <c r="B67" s="29" t="s">
        <v>0</v>
      </c>
      <c r="C67" s="10"/>
      <c r="D67" s="4">
        <f>SUM(OSRRefD25x_0)</f>
        <v>1939.25</v>
      </c>
      <c r="E67" s="4"/>
      <c r="F67" s="12">
        <f t="shared" ref="F67:F68" si="44">IF(D$12=0,0,D67/D$12)</f>
        <v>8.6903428187317944E-2</v>
      </c>
      <c r="G67" s="4"/>
      <c r="H67" s="4">
        <f>SUM(OSRRefH25x_0)</f>
        <v>1650</v>
      </c>
      <c r="I67" s="4"/>
      <c r="J67" s="12">
        <f t="shared" ref="J67:J68" si="45">IF(H$12=0,0,H67/H$12)</f>
        <v>6.4490912644127416E-2</v>
      </c>
      <c r="K67" s="4"/>
      <c r="L67" s="4">
        <f t="shared" ref="L67:L68" si="46">+D67-H67</f>
        <v>289.25</v>
      </c>
      <c r="M67" s="4"/>
      <c r="N67" s="12">
        <f t="shared" ref="N67:N68" si="47">IF(H67=0,0,L67/H67)</f>
        <v>0.17530303030303029</v>
      </c>
      <c r="O67" s="10"/>
      <c r="P67" s="4">
        <f>SUM(OSRRefP25x_0)</f>
        <v>12186.74</v>
      </c>
      <c r="Q67" s="4"/>
      <c r="R67" s="12">
        <f t="shared" ref="R67:R68" si="48">IF(P$12=0,0,P67/P$12)</f>
        <v>8.3785879780819653E-2</v>
      </c>
      <c r="S67" s="4"/>
      <c r="T67" s="4">
        <f>SUM(OSRRefT25x_0)</f>
        <v>13650</v>
      </c>
      <c r="U67" s="4"/>
      <c r="V67" s="12">
        <f t="shared" ref="V67:V68" si="49">IF(T$12=0,0,T67/T$12)</f>
        <v>4.9070712154437937E-2</v>
      </c>
      <c r="W67" s="4"/>
      <c r="X67" s="4">
        <f t="shared" ref="X67:X68" si="50">+P67-T67</f>
        <v>-1463.2600000000002</v>
      </c>
      <c r="Y67" s="4"/>
      <c r="Z67" s="12">
        <f t="shared" ref="Z67:Z68" si="51">IF(T67=0,0,X67/T67)</f>
        <v>-0.10719853479853482</v>
      </c>
    </row>
    <row r="68" spans="1:26" s="24" customFormat="1" hidden="1" outlineLevel="1" x14ac:dyDescent="0.25">
      <c r="A68" s="44"/>
      <c r="B68" s="11" t="str">
        <f>CONCATENATE("          ", "9150", " - ", "MISC. INCOME")</f>
        <v xml:space="preserve">          9150 - MISC. INCOME</v>
      </c>
      <c r="C68" s="11"/>
      <c r="D68" s="2">
        <f>--1939.25</f>
        <v>1939.25</v>
      </c>
      <c r="E68" s="2"/>
      <c r="F68" s="19">
        <f t="shared" si="44"/>
        <v>8.6903428187317944E-2</v>
      </c>
      <c r="G68" s="2"/>
      <c r="H68" s="2">
        <v>1650</v>
      </c>
      <c r="I68" s="2"/>
      <c r="J68" s="19">
        <f t="shared" si="45"/>
        <v>6.4490912644127416E-2</v>
      </c>
      <c r="K68" s="2"/>
      <c r="L68" s="2">
        <f t="shared" si="46"/>
        <v>289.25</v>
      </c>
      <c r="M68" s="2"/>
      <c r="N68" s="19">
        <f t="shared" si="47"/>
        <v>0.17530303030303029</v>
      </c>
      <c r="O68" s="11"/>
      <c r="P68" s="2">
        <f>--12186.74</f>
        <v>12186.74</v>
      </c>
      <c r="Q68" s="2"/>
      <c r="R68" s="19">
        <f t="shared" si="48"/>
        <v>8.3785879780819653E-2</v>
      </c>
      <c r="S68" s="2"/>
      <c r="T68" s="2">
        <v>13650</v>
      </c>
      <c r="U68" s="2"/>
      <c r="V68" s="19">
        <f t="shared" si="49"/>
        <v>4.9070712154437937E-2</v>
      </c>
      <c r="W68" s="2"/>
      <c r="X68" s="2">
        <f t="shared" si="50"/>
        <v>-1463.2600000000002</v>
      </c>
      <c r="Y68" s="2"/>
      <c r="Z68" s="19">
        <f t="shared" si="51"/>
        <v>-0.10719853479853482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8" t="s">
        <v>3</v>
      </c>
      <c r="C70" s="28"/>
      <c r="D70" s="20">
        <f>+D17-D19+D67</f>
        <v>2073.3300000000017</v>
      </c>
      <c r="E70" s="14"/>
      <c r="F70" s="22">
        <f>IF(D$12=0,0,D70/D$12)</f>
        <v>9.2911942639480244E-2</v>
      </c>
      <c r="G70" s="14"/>
      <c r="H70" s="20">
        <f>+H17-H19+H67</f>
        <v>3356.1333791538455</v>
      </c>
      <c r="I70" s="14"/>
      <c r="J70" s="22">
        <f>IF(H$12=0,0,H70/H$12)</f>
        <v>0.13117582095578836</v>
      </c>
      <c r="K70" s="16"/>
      <c r="L70" s="20">
        <f>+D70-H70</f>
        <v>-1282.8033791538437</v>
      </c>
      <c r="M70" s="16"/>
      <c r="N70" s="22">
        <f>IF(H70=0,0,L70/H70)</f>
        <v>-0.38222657869374266</v>
      </c>
      <c r="O70" s="29"/>
      <c r="P70" s="20">
        <f>+P17-P19+P67</f>
        <v>12397.099999999986</v>
      </c>
      <c r="Q70" s="14"/>
      <c r="R70" s="22">
        <f>IF(P$12=0,0,P70/P$12)</f>
        <v>8.5232140033413215E-2</v>
      </c>
      <c r="S70" s="14"/>
      <c r="T70" s="20">
        <f>+T17-T19+T67</f>
        <v>36493.086585346144</v>
      </c>
      <c r="U70" s="14"/>
      <c r="V70" s="22">
        <f>IF(T$12=0,0,T70/T$12)</f>
        <v>0.13118987160853487</v>
      </c>
      <c r="W70" s="16"/>
      <c r="X70" s="20">
        <f>+P70-T70</f>
        <v>-24095.98658534616</v>
      </c>
      <c r="Y70" s="16"/>
      <c r="Z70" s="22">
        <f>IF(T70=0,0,X70/T70)</f>
        <v>-0.66028908048084756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14</v>
      </c>
      <c r="C72" s="10"/>
      <c r="D72" s="4">
        <v>3007.1</v>
      </c>
      <c r="E72" s="4"/>
      <c r="F72" s="12">
        <f>IF(D$12=0,0,D72/D$12)</f>
        <v>0.13475688998431548</v>
      </c>
      <c r="G72" s="4"/>
      <c r="H72" s="4">
        <v>4836</v>
      </c>
      <c r="I72" s="4"/>
      <c r="J72" s="12">
        <f>IF(H$12=0,0,H72/H$12)</f>
        <v>0.18901700214969708</v>
      </c>
      <c r="K72" s="4"/>
      <c r="L72" s="4">
        <f>+D72-H72</f>
        <v>-1828.9</v>
      </c>
      <c r="M72" s="4"/>
      <c r="N72" s="12">
        <f>IF(H72=0,0,L72/H72)</f>
        <v>-0.37818444995864353</v>
      </c>
      <c r="O72" s="10"/>
      <c r="P72" s="4">
        <v>15402.28</v>
      </c>
      <c r="Q72" s="4"/>
      <c r="R72" s="12">
        <f>IF(P$12=0,0,P72/P$12)</f>
        <v>0.10589325614811862</v>
      </c>
      <c r="S72" s="4"/>
      <c r="T72" s="4">
        <v>35253</v>
      </c>
      <c r="U72" s="4"/>
      <c r="V72" s="12">
        <f>IF(T$12=0,0,T72/T$12)</f>
        <v>0.12673185462127476</v>
      </c>
      <c r="W72" s="4"/>
      <c r="X72" s="4">
        <f>+P72-T72</f>
        <v>-19850.72</v>
      </c>
      <c r="Y72" s="4"/>
      <c r="Z72" s="12">
        <f>IF(T72=0,0,X72/T72)</f>
        <v>-0.56309307009332543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8" t="s">
        <v>4</v>
      </c>
      <c r="C74" s="28"/>
      <c r="D74" s="30">
        <f>+D70-D72</f>
        <v>-933.76999999999816</v>
      </c>
      <c r="E74" s="14"/>
      <c r="F74" s="32">
        <f>IF(D$12=0,0,D74/D$12)</f>
        <v>-4.184494734483523E-2</v>
      </c>
      <c r="G74" s="14"/>
      <c r="H74" s="30">
        <f>+H70-H72</f>
        <v>-1479.8666208461545</v>
      </c>
      <c r="I74" s="14"/>
      <c r="J74" s="32">
        <f>IF(H$12=0,0,H74/H$12)</f>
        <v>-5.7841181193908721E-2</v>
      </c>
      <c r="K74" s="16"/>
      <c r="L74" s="30">
        <f>D74-H74</f>
        <v>546.09662084615638</v>
      </c>
      <c r="M74" s="16"/>
      <c r="N74" s="32">
        <f>IF(H74=0,0,L74/H74)</f>
        <v>-0.36901745951531129</v>
      </c>
      <c r="O74" s="29"/>
      <c r="P74" s="30">
        <f>+P70-P72</f>
        <v>-3005.1800000000148</v>
      </c>
      <c r="Q74" s="14"/>
      <c r="R74" s="32">
        <f>IF(P$12=0,0,P74/P$12)</f>
        <v>-2.0661116114705398E-2</v>
      </c>
      <c r="S74" s="14"/>
      <c r="T74" s="30">
        <f>+T70-T72</f>
        <v>1240.0865853461437</v>
      </c>
      <c r="U74" s="14"/>
      <c r="V74" s="32">
        <f>IF(T$12=0,0,T74/T$12)</f>
        <v>4.4580169872601057E-3</v>
      </c>
      <c r="W74" s="16"/>
      <c r="X74" s="30">
        <f>P74-T74</f>
        <v>-4245.2665853461585</v>
      </c>
      <c r="Y74" s="16"/>
      <c r="Z74" s="32">
        <f>IF(T74=0,0,X74/T74)</f>
        <v>-3.4233630421549823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5</v>
      </c>
      <c r="C77" s="28"/>
      <c r="D77" s="31">
        <f>SUM(D74:D76)</f>
        <v>-933.76999999999816</v>
      </c>
      <c r="E77" s="14"/>
      <c r="F77" s="35">
        <f>IF(D$12=0,0,D77/D$12)</f>
        <v>-4.184494734483523E-2</v>
      </c>
      <c r="G77" s="14"/>
      <c r="H77" s="31">
        <f>SUM(H74:H76)</f>
        <v>-1479.8666208461545</v>
      </c>
      <c r="I77" s="14"/>
      <c r="J77" s="35">
        <f>IF(H$12=0,0,H77/H$12)</f>
        <v>-5.7841181193908721E-2</v>
      </c>
      <c r="K77" s="16"/>
      <c r="L77" s="31">
        <f>+D77-H77</f>
        <v>546.09662084615638</v>
      </c>
      <c r="M77" s="16"/>
      <c r="N77" s="35">
        <f>IF(H77=0,0,L77/H77)</f>
        <v>-0.36901745951531129</v>
      </c>
      <c r="O77" s="29"/>
      <c r="P77" s="31">
        <f>SUM(P74:P76)</f>
        <v>-3005.1800000000148</v>
      </c>
      <c r="Q77" s="14"/>
      <c r="R77" s="35">
        <f>IF(P$12=0,0,P77/P$12)</f>
        <v>-2.0661116114705398E-2</v>
      </c>
      <c r="S77" s="14"/>
      <c r="T77" s="31">
        <f>SUM(T74:T76)</f>
        <v>1240.0865853461437</v>
      </c>
      <c r="U77" s="14"/>
      <c r="V77" s="35">
        <f>IF(T$12=0,0,T77/T$12)</f>
        <v>4.4580169872601057E-3</v>
      </c>
      <c r="W77" s="16"/>
      <c r="X77" s="31">
        <f>+P77-T77</f>
        <v>-4245.2665853461585</v>
      </c>
      <c r="Y77" s="16"/>
      <c r="Z77" s="35">
        <f>IF(T77=0,0,X77/T77)</f>
        <v>-3.4233630421549823</v>
      </c>
    </row>
    <row r="78" spans="1:26" ht="15.75" thickTop="1" x14ac:dyDescent="0.25">
      <c r="A78" s="9"/>
      <c r="C78" s="9"/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56">
        <v>43815.483400694444</v>
      </c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62" t="s">
        <v>314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58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61" t="s">
        <v>13</v>
      </c>
    </row>
    <row r="3" spans="1:26" x14ac:dyDescent="0.25">
      <c r="D3" s="61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7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61" t="str">
        <f>CONCATENATE("Period ",RIGHT(202005,2),", ",2020)</f>
        <v>Period 05,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7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43799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7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49"/>
      <c r="C6" s="49"/>
      <c r="D6" s="23" t="str">
        <f>CONCATENATE("Department ","501", " - ", "ID Card Services")</f>
        <v>Department 501 - ID Card Services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3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40"/>
      <c r="G9" s="15"/>
      <c r="H9" s="15"/>
      <c r="I9" s="15"/>
      <c r="J9" s="46"/>
      <c r="K9" s="15"/>
      <c r="L9" s="15"/>
      <c r="M9" s="15"/>
      <c r="N9" s="40"/>
      <c r="P9" s="15" t="s">
        <v>295</v>
      </c>
      <c r="Q9" s="15"/>
      <c r="R9" s="40"/>
      <c r="S9" s="15"/>
      <c r="T9" s="15"/>
      <c r="U9" s="15"/>
      <c r="V9" s="46"/>
      <c r="W9" s="15"/>
      <c r="X9" s="15"/>
      <c r="Y9" s="15"/>
      <c r="Z9" s="40"/>
    </row>
    <row r="10" spans="1:26" x14ac:dyDescent="0.25">
      <c r="A10" s="10"/>
      <c r="B10" s="60"/>
      <c r="C10" s="10"/>
      <c r="D10" s="42" t="s">
        <v>10</v>
      </c>
      <c r="E10" s="34"/>
      <c r="F10" s="38" t="s">
        <v>15</v>
      </c>
      <c r="G10" s="34"/>
      <c r="H10" s="45" t="s">
        <v>11</v>
      </c>
      <c r="I10" s="34"/>
      <c r="J10" s="47" t="s">
        <v>16</v>
      </c>
      <c r="K10" s="10"/>
      <c r="L10" s="42" t="s">
        <v>12</v>
      </c>
      <c r="M10" s="10"/>
      <c r="N10" s="38" t="s">
        <v>17</v>
      </c>
      <c r="O10" s="10"/>
      <c r="P10" s="63" t="s">
        <v>10</v>
      </c>
      <c r="Q10" s="34"/>
      <c r="R10" s="38" t="s">
        <v>15</v>
      </c>
      <c r="S10" s="34"/>
      <c r="T10" s="45" t="s">
        <v>11</v>
      </c>
      <c r="U10" s="34"/>
      <c r="V10" s="47" t="s">
        <v>16</v>
      </c>
      <c r="W10" s="10"/>
      <c r="X10" s="42" t="s">
        <v>12</v>
      </c>
      <c r="Y10" s="10"/>
      <c r="Z10" s="38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1"/>
      <c r="K11" s="9"/>
      <c r="L11" s="9"/>
      <c r="M11" s="9"/>
      <c r="N11" s="8"/>
      <c r="P11" s="9"/>
      <c r="Q11" s="9"/>
      <c r="R11" s="8"/>
      <c r="S11" s="9"/>
      <c r="T11" s="9"/>
      <c r="U11" s="9"/>
      <c r="V11" s="51"/>
      <c r="W11" s="9"/>
      <c r="X11" s="9"/>
      <c r="Y11" s="9"/>
      <c r="Z11" s="8"/>
    </row>
    <row r="12" spans="1:26" s="23" customFormat="1" collapsed="1" x14ac:dyDescent="0.25">
      <c r="A12" s="10"/>
      <c r="B12" s="29" t="s">
        <v>7</v>
      </c>
      <c r="C12" s="10"/>
      <c r="D12" s="4">
        <f>SUM(OSRRefD13x_0)</f>
        <v>22315</v>
      </c>
      <c r="E12" s="4"/>
      <c r="F12" s="12"/>
      <c r="G12" s="4"/>
      <c r="H12" s="4">
        <f>SUM(OSRRefH13x_0)</f>
        <v>25585</v>
      </c>
      <c r="I12" s="4"/>
      <c r="J12" s="12"/>
      <c r="K12" s="4"/>
      <c r="L12" s="4">
        <f t="shared" ref="L12:L13" si="0">+D12-H12</f>
        <v>-3270</v>
      </c>
      <c r="M12" s="4"/>
      <c r="N12" s="12">
        <f t="shared" ref="N12:N13" si="1">IF(H12=0,0,L12/H12)</f>
        <v>-0.1278092632401798</v>
      </c>
      <c r="O12" s="10"/>
      <c r="P12" s="4">
        <f>SUM(OSRRefP13x_0)</f>
        <v>145451</v>
      </c>
      <c r="Q12" s="4"/>
      <c r="R12" s="12"/>
      <c r="S12" s="4"/>
      <c r="T12" s="4">
        <f>SUM(OSRRefT13x_0)</f>
        <v>278170</v>
      </c>
      <c r="U12" s="4"/>
      <c r="V12" s="12"/>
      <c r="W12" s="4"/>
      <c r="X12" s="4">
        <f t="shared" ref="X12:X13" si="2">+P12-T12</f>
        <v>-132719</v>
      </c>
      <c r="Y12" s="4"/>
      <c r="Z12" s="12">
        <f t="shared" ref="Z12:Z13" si="3">IF(T12=0,0,X12/T12)</f>
        <v>-0.4771147140237984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--22315</f>
        <v>22315</v>
      </c>
      <c r="E13" s="2"/>
      <c r="F13" s="19"/>
      <c r="G13" s="2"/>
      <c r="H13" s="2">
        <v>25585</v>
      </c>
      <c r="I13" s="2"/>
      <c r="J13" s="19"/>
      <c r="K13" s="2"/>
      <c r="L13" s="2">
        <f t="shared" si="0"/>
        <v>-3270</v>
      </c>
      <c r="M13" s="2"/>
      <c r="N13" s="19">
        <f t="shared" si="1"/>
        <v>-0.1278092632401798</v>
      </c>
      <c r="O13" s="11"/>
      <c r="P13" s="2">
        <f>--145451</f>
        <v>145451</v>
      </c>
      <c r="Q13" s="2"/>
      <c r="R13" s="19"/>
      <c r="S13" s="2"/>
      <c r="T13" s="2">
        <v>278170</v>
      </c>
      <c r="U13" s="2"/>
      <c r="V13" s="19"/>
      <c r="W13" s="2"/>
      <c r="X13" s="2">
        <f t="shared" si="2"/>
        <v>-132719</v>
      </c>
      <c r="Y13" s="2"/>
      <c r="Z13" s="19">
        <f t="shared" si="3"/>
        <v>-0.4771147140237984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9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8" t="s">
        <v>6</v>
      </c>
      <c r="C17" s="28"/>
      <c r="D17" s="20">
        <f>D12-D15</f>
        <v>22315</v>
      </c>
      <c r="E17" s="14"/>
      <c r="F17" s="22">
        <f>IF(D$12=0,0,D17/D$12)</f>
        <v>1</v>
      </c>
      <c r="G17" s="14"/>
      <c r="H17" s="20">
        <f>H12-H15</f>
        <v>25585</v>
      </c>
      <c r="I17" s="14"/>
      <c r="J17" s="22">
        <f>IF(H$12=0,0,H17/H$12)</f>
        <v>1</v>
      </c>
      <c r="K17" s="16"/>
      <c r="L17" s="20">
        <f>+D17-H17</f>
        <v>-3270</v>
      </c>
      <c r="M17" s="16"/>
      <c r="N17" s="22">
        <f>IF(H17=0,0,L17/H17)</f>
        <v>-0.1278092632401798</v>
      </c>
      <c r="O17" s="29"/>
      <c r="P17" s="20">
        <f>P12-P15</f>
        <v>145451</v>
      </c>
      <c r="Q17" s="14"/>
      <c r="R17" s="22">
        <f>IF(P$12=0,0,P17/P$12)</f>
        <v>1</v>
      </c>
      <c r="S17" s="14"/>
      <c r="T17" s="20">
        <f>T12-T15</f>
        <v>278170</v>
      </c>
      <c r="U17" s="14"/>
      <c r="V17" s="22">
        <f>IF(T$12=0,0,T17/T$12)</f>
        <v>1</v>
      </c>
      <c r="W17" s="16"/>
      <c r="X17" s="20">
        <f>+P17-T17</f>
        <v>-132719</v>
      </c>
      <c r="Y17" s="16"/>
      <c r="Z17" s="22">
        <f>IF(T17=0,0,X17/T17)</f>
        <v>-0.4771147140237984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9" t="s">
        <v>9</v>
      </c>
      <c r="C19" s="10"/>
      <c r="D19" s="21">
        <f>SUM(OSRRefD22x_0)</f>
        <v>22180.92</v>
      </c>
      <c r="E19" s="21"/>
      <c r="F19" s="33">
        <f t="shared" ref="F19:F29" si="4">IF(D$12=0,0,D19/D$12)</f>
        <v>0.99399148554783767</v>
      </c>
      <c r="G19" s="21"/>
      <c r="H19" s="21">
        <f>SUM(OSRRefH22x_0)</f>
        <v>23878.866620846155</v>
      </c>
      <c r="I19" s="21"/>
      <c r="J19" s="33">
        <f t="shared" ref="J19:J29" si="5">IF(H$12=0,0,H19/H$12)</f>
        <v>0.93331509168833904</v>
      </c>
      <c r="K19" s="4"/>
      <c r="L19" s="21">
        <f t="shared" ref="L19:L29" si="6">+D19-H19</f>
        <v>-1697.9466208461563</v>
      </c>
      <c r="M19" s="4"/>
      <c r="N19" s="33">
        <f t="shared" ref="N19:N29" si="7">IF(H19=0,0,L19/H19)</f>
        <v>-7.1106667154958503E-2</v>
      </c>
      <c r="O19" s="10"/>
      <c r="P19" s="21">
        <f>SUM(OSRRefP22x_0)</f>
        <v>145240.64000000001</v>
      </c>
      <c r="Q19" s="21"/>
      <c r="R19" s="33">
        <f t="shared" ref="R19:R29" si="8">IF(P$12=0,0,P19/P$12)</f>
        <v>0.99855373974740647</v>
      </c>
      <c r="S19" s="21"/>
      <c r="T19" s="21">
        <f>SUM(OSRRefT22x_0)</f>
        <v>255326.91341465386</v>
      </c>
      <c r="U19" s="21"/>
      <c r="V19" s="33">
        <f t="shared" ref="V19:V29" si="9">IF(T$12=0,0,T19/T$12)</f>
        <v>0.91788084054590302</v>
      </c>
      <c r="W19" s="4"/>
      <c r="X19" s="21">
        <f t="shared" ref="X19:X29" si="10">+P19-T19</f>
        <v>-110086.27341465384</v>
      </c>
      <c r="Y19" s="4"/>
      <c r="Z19" s="33">
        <f t="shared" ref="Z19:Z29" si="11">IF(T19=0,0,X19/T19)</f>
        <v>-0.43115812564526818</v>
      </c>
    </row>
    <row r="20" spans="1:26" s="26" customFormat="1" outlineLevel="1" collapsed="1" x14ac:dyDescent="0.25">
      <c r="A20" s="27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3933.82</v>
      </c>
      <c r="E20" s="1"/>
      <c r="F20" s="5">
        <f t="shared" si="4"/>
        <v>0.17628590634102623</v>
      </c>
      <c r="G20" s="1"/>
      <c r="H20" s="1">
        <f>SUM(OSRRefH22_0x_0)</f>
        <v>953.71815930769242</v>
      </c>
      <c r="I20" s="1"/>
      <c r="J20" s="5">
        <f t="shared" si="5"/>
        <v>3.7276457272139629E-2</v>
      </c>
      <c r="K20" s="1"/>
      <c r="L20" s="1">
        <f t="shared" si="6"/>
        <v>2980.1018406923076</v>
      </c>
      <c r="M20" s="1"/>
      <c r="N20" s="5">
        <f t="shared" si="7"/>
        <v>3.124719616176308</v>
      </c>
      <c r="O20" s="13"/>
      <c r="P20" s="1">
        <f>SUM(OSRRefP22_0x_0)</f>
        <v>23183.78</v>
      </c>
      <c r="Q20" s="1"/>
      <c r="R20" s="5">
        <f t="shared" si="8"/>
        <v>0.15939237268908429</v>
      </c>
      <c r="S20" s="1"/>
      <c r="T20" s="1">
        <f>SUM(OSRRefT22_0x_0)</f>
        <v>7146.3468761923041</v>
      </c>
      <c r="U20" s="1"/>
      <c r="V20" s="5">
        <f t="shared" si="9"/>
        <v>2.5690573664278335E-2</v>
      </c>
      <c r="W20" s="1"/>
      <c r="X20" s="1">
        <f t="shared" si="10"/>
        <v>16037.433123807696</v>
      </c>
      <c r="Y20" s="1"/>
      <c r="Z20" s="5">
        <f t="shared" si="11"/>
        <v>2.2441442322420144</v>
      </c>
    </row>
    <row r="21" spans="1:26" s="24" customFormat="1" hidden="1" outlineLevel="2" x14ac:dyDescent="0.25">
      <c r="A21" s="25"/>
      <c r="B21" s="11" t="str">
        <f>CONCATENATE("          ", "6111", " - ", "F.I.C.A.")</f>
        <v xml:space="preserve">          6111 - F.I.C.A.</v>
      </c>
      <c r="C21" s="11"/>
      <c r="D21" s="6">
        <v>933.75</v>
      </c>
      <c r="E21" s="2"/>
      <c r="F21" s="7">
        <f t="shared" si="4"/>
        <v>4.184405108671297E-2</v>
      </c>
      <c r="G21" s="2"/>
      <c r="H21" s="6">
        <v>261.889780846154</v>
      </c>
      <c r="I21" s="2"/>
      <c r="J21" s="7">
        <f t="shared" si="5"/>
        <v>1.0236067259963025E-2</v>
      </c>
      <c r="K21" s="2"/>
      <c r="L21" s="6">
        <f t="shared" si="6"/>
        <v>671.86021915384595</v>
      </c>
      <c r="M21" s="2"/>
      <c r="N21" s="7">
        <f t="shared" si="7"/>
        <v>2.5654312168389928</v>
      </c>
      <c r="O21" s="11"/>
      <c r="P21" s="6">
        <v>5889.58</v>
      </c>
      <c r="Q21" s="2"/>
      <c r="R21" s="7">
        <f t="shared" si="8"/>
        <v>4.0491849488831291E-2</v>
      </c>
      <c r="S21" s="2"/>
      <c r="T21" s="6">
        <v>3001.605794653844</v>
      </c>
      <c r="U21" s="2"/>
      <c r="V21" s="7">
        <f t="shared" si="9"/>
        <v>1.0790544611762031E-2</v>
      </c>
      <c r="W21" s="2"/>
      <c r="X21" s="6">
        <f t="shared" si="10"/>
        <v>2887.9742053461559</v>
      </c>
      <c r="Y21" s="2"/>
      <c r="Z21" s="7">
        <f t="shared" si="11"/>
        <v>0.96214306705095087</v>
      </c>
    </row>
    <row r="22" spans="1:26" s="24" customFormat="1" hidden="1" outlineLevel="2" x14ac:dyDescent="0.25">
      <c r="A22" s="25"/>
      <c r="B22" s="11" t="str">
        <f>CONCATENATE("          ", "6112", " - ", "COMPENSATION INSURANCE")</f>
        <v xml:space="preserve">          6112 - COMPENSATION INSURANCE</v>
      </c>
      <c r="C22" s="11"/>
      <c r="D22" s="6">
        <v>53.23</v>
      </c>
      <c r="E22" s="2"/>
      <c r="F22" s="7">
        <f t="shared" si="4"/>
        <v>2.3853909926058701E-3</v>
      </c>
      <c r="G22" s="2"/>
      <c r="H22" s="6">
        <v>198.256523076923</v>
      </c>
      <c r="I22" s="2"/>
      <c r="J22" s="7">
        <f t="shared" si="5"/>
        <v>7.7489358247771348E-3</v>
      </c>
      <c r="K22" s="2"/>
      <c r="L22" s="6">
        <f t="shared" si="6"/>
        <v>-145.02652307692301</v>
      </c>
      <c r="M22" s="2"/>
      <c r="N22" s="7">
        <f t="shared" si="7"/>
        <v>-0.73150946473853529</v>
      </c>
      <c r="O22" s="11"/>
      <c r="P22" s="6">
        <v>216.64</v>
      </c>
      <c r="Q22" s="2"/>
      <c r="R22" s="7">
        <f t="shared" si="8"/>
        <v>1.4894363050099344E-3</v>
      </c>
      <c r="S22" s="2"/>
      <c r="T22" s="6">
        <v>1157.0296269230771</v>
      </c>
      <c r="U22" s="2"/>
      <c r="V22" s="7">
        <f t="shared" si="9"/>
        <v>4.1594335367691592E-3</v>
      </c>
      <c r="W22" s="2"/>
      <c r="X22" s="6">
        <f t="shared" si="10"/>
        <v>-940.38962692307712</v>
      </c>
      <c r="Y22" s="2"/>
      <c r="Z22" s="7">
        <f t="shared" si="11"/>
        <v>-0.81276192505448874</v>
      </c>
    </row>
    <row r="23" spans="1:26" s="24" customFormat="1" hidden="1" outlineLevel="2" x14ac:dyDescent="0.25">
      <c r="A23" s="25"/>
      <c r="B23" s="11" t="str">
        <f>CONCATENATE("          ", "6113", " - ", "GROUP INSURANCE")</f>
        <v xml:space="preserve">          6113 - GROUP INSURANCE</v>
      </c>
      <c r="C23" s="11"/>
      <c r="D23" s="6">
        <v>1243.31</v>
      </c>
      <c r="E23" s="2"/>
      <c r="F23" s="7">
        <f t="shared" si="4"/>
        <v>5.5716334304279629E-2</v>
      </c>
      <c r="G23" s="2"/>
      <c r="H23" s="6">
        <v>138.1</v>
      </c>
      <c r="I23" s="2"/>
      <c r="J23" s="7">
        <f t="shared" si="5"/>
        <v>5.3976939613054522E-3</v>
      </c>
      <c r="K23" s="2"/>
      <c r="L23" s="6">
        <f t="shared" si="6"/>
        <v>1105.21</v>
      </c>
      <c r="M23" s="2"/>
      <c r="N23" s="7">
        <f t="shared" si="7"/>
        <v>8.0029688631426517</v>
      </c>
      <c r="O23" s="11"/>
      <c r="P23" s="6">
        <v>6216.55</v>
      </c>
      <c r="Q23" s="2"/>
      <c r="R23" s="7">
        <f t="shared" si="8"/>
        <v>4.2739823033186436E-2</v>
      </c>
      <c r="S23" s="2"/>
      <c r="T23" s="6">
        <v>690.5</v>
      </c>
      <c r="U23" s="2"/>
      <c r="V23" s="7">
        <f t="shared" si="9"/>
        <v>2.4822949994607615E-3</v>
      </c>
      <c r="W23" s="2"/>
      <c r="X23" s="6">
        <f t="shared" si="10"/>
        <v>5526.05</v>
      </c>
      <c r="Y23" s="2"/>
      <c r="Z23" s="7">
        <f t="shared" si="11"/>
        <v>8.0029688631426499</v>
      </c>
    </row>
    <row r="24" spans="1:26" s="24" customFormat="1" hidden="1" outlineLevel="2" x14ac:dyDescent="0.25">
      <c r="A24" s="25"/>
      <c r="B24" s="11" t="str">
        <f>CONCATENATE("          ", "6114", " - ", "STATE UNEMPLOYMENT INSURANCE")</f>
        <v xml:space="preserve">          6114 - STATE UNEMPLOYMENT INSURANCE</v>
      </c>
      <c r="C24" s="11"/>
      <c r="D24" s="6">
        <v>40.71</v>
      </c>
      <c r="E24" s="2"/>
      <c r="F24" s="7">
        <f t="shared" si="4"/>
        <v>1.8243334080215103E-3</v>
      </c>
      <c r="G24" s="2"/>
      <c r="H24" s="6">
        <v>27.129840000000002</v>
      </c>
      <c r="I24" s="2"/>
      <c r="J24" s="7">
        <f t="shared" si="5"/>
        <v>1.0603806918116085E-3</v>
      </c>
      <c r="K24" s="2"/>
      <c r="L24" s="6">
        <f t="shared" si="6"/>
        <v>13.580159999999999</v>
      </c>
      <c r="M24" s="2"/>
      <c r="N24" s="7">
        <f t="shared" si="7"/>
        <v>0.50056174308436752</v>
      </c>
      <c r="O24" s="11"/>
      <c r="P24" s="6">
        <v>234.92</v>
      </c>
      <c r="Q24" s="2"/>
      <c r="R24" s="7">
        <f t="shared" si="8"/>
        <v>1.61511436841273E-3</v>
      </c>
      <c r="S24" s="2"/>
      <c r="T24" s="6">
        <v>158.33036999999999</v>
      </c>
      <c r="U24" s="2"/>
      <c r="V24" s="7">
        <f t="shared" si="9"/>
        <v>5.6918564187367438E-4</v>
      </c>
      <c r="W24" s="2"/>
      <c r="X24" s="6">
        <f t="shared" si="10"/>
        <v>76.58963</v>
      </c>
      <c r="Y24" s="2"/>
      <c r="Z24" s="7">
        <f t="shared" si="11"/>
        <v>0.48373303239296417</v>
      </c>
    </row>
    <row r="25" spans="1:26" s="24" customFormat="1" hidden="1" outlineLevel="2" x14ac:dyDescent="0.25">
      <c r="A25" s="25"/>
      <c r="B25" s="11" t="str">
        <f>CONCATENATE("          ", "6115", " - ", "P.E.R.S.")</f>
        <v xml:space="preserve">          6115 - P.E.R.S.</v>
      </c>
      <c r="C25" s="11"/>
      <c r="D25" s="6">
        <v>639.47</v>
      </c>
      <c r="E25" s="2"/>
      <c r="F25" s="7">
        <f t="shared" si="4"/>
        <v>2.8656509074613489E-2</v>
      </c>
      <c r="G25" s="2"/>
      <c r="H25" s="6">
        <v>56.936630769230796</v>
      </c>
      <c r="I25" s="2"/>
      <c r="J25" s="7">
        <f t="shared" si="5"/>
        <v>2.2253910795087275E-3</v>
      </c>
      <c r="K25" s="2"/>
      <c r="L25" s="6">
        <f t="shared" si="6"/>
        <v>582.53336923076927</v>
      </c>
      <c r="M25" s="2"/>
      <c r="N25" s="7">
        <f t="shared" si="7"/>
        <v>10.231258178795802</v>
      </c>
      <c r="O25" s="11"/>
      <c r="P25" s="6">
        <v>3967.77</v>
      </c>
      <c r="Q25" s="2"/>
      <c r="R25" s="7">
        <f t="shared" si="8"/>
        <v>2.7279083677664642E-2</v>
      </c>
      <c r="S25" s="2"/>
      <c r="T25" s="6">
        <v>313.15146923076941</v>
      </c>
      <c r="U25" s="2"/>
      <c r="V25" s="7">
        <f t="shared" si="9"/>
        <v>1.1257557221510926E-3</v>
      </c>
      <c r="W25" s="2"/>
      <c r="X25" s="6">
        <f t="shared" si="10"/>
        <v>3654.6185307692303</v>
      </c>
      <c r="Y25" s="2"/>
      <c r="Z25" s="7">
        <f t="shared" si="11"/>
        <v>11.670449893613776</v>
      </c>
    </row>
    <row r="26" spans="1:26" s="24" customFormat="1" hidden="1" outlineLevel="2" x14ac:dyDescent="0.25">
      <c r="A26" s="25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5"/>
      <c r="B27" s="11" t="str">
        <f>CONCATENATE("          ", "6118", " - ", "VACATION")</f>
        <v xml:space="preserve">          6118 - VACATION</v>
      </c>
      <c r="C27" s="11"/>
      <c r="D27" s="6">
        <v>577.95000000000005</v>
      </c>
      <c r="E27" s="2"/>
      <c r="F27" s="7">
        <f t="shared" si="4"/>
        <v>2.5899619090298007E-2</v>
      </c>
      <c r="G27" s="2"/>
      <c r="H27" s="6">
        <v>33.102692307692301</v>
      </c>
      <c r="I27" s="2"/>
      <c r="J27" s="7">
        <f t="shared" si="5"/>
        <v>1.2938320229701895E-3</v>
      </c>
      <c r="K27" s="2"/>
      <c r="L27" s="6">
        <f t="shared" si="6"/>
        <v>544.84730769230771</v>
      </c>
      <c r="M27" s="2"/>
      <c r="N27" s="7">
        <f t="shared" si="7"/>
        <v>16.459304960089238</v>
      </c>
      <c r="O27" s="11"/>
      <c r="P27" s="6">
        <v>3914.94</v>
      </c>
      <c r="Q27" s="2"/>
      <c r="R27" s="7">
        <f t="shared" si="8"/>
        <v>2.6915868574296498E-2</v>
      </c>
      <c r="S27" s="2"/>
      <c r="T27" s="6">
        <v>182.06480769230771</v>
      </c>
      <c r="U27" s="2"/>
      <c r="V27" s="7">
        <f t="shared" si="9"/>
        <v>6.5450914078551861E-4</v>
      </c>
      <c r="W27" s="2"/>
      <c r="X27" s="6">
        <f t="shared" si="10"/>
        <v>3732.8751923076925</v>
      </c>
      <c r="Y27" s="2"/>
      <c r="Z27" s="7">
        <f t="shared" si="11"/>
        <v>20.503002417778116</v>
      </c>
    </row>
    <row r="28" spans="1:26" s="24" customFormat="1" hidden="1" outlineLevel="2" x14ac:dyDescent="0.25">
      <c r="A28" s="25"/>
      <c r="B28" s="11" t="str">
        <f>CONCATENATE("          ", "6119", " - ", "SICK LEAVE")</f>
        <v xml:space="preserve">          6119 - SICK LEAVE</v>
      </c>
      <c r="C28" s="11"/>
      <c r="D28" s="6">
        <v>288.57</v>
      </c>
      <c r="E28" s="2"/>
      <c r="F28" s="7">
        <f t="shared" si="4"/>
        <v>1.2931660318171632E-2</v>
      </c>
      <c r="G28" s="2"/>
      <c r="H28" s="6">
        <v>88.302692307692297</v>
      </c>
      <c r="I28" s="2"/>
      <c r="J28" s="7">
        <f t="shared" si="5"/>
        <v>3.4513461914282705E-3</v>
      </c>
      <c r="K28" s="2"/>
      <c r="L28" s="6">
        <f t="shared" si="6"/>
        <v>200.2673076923077</v>
      </c>
      <c r="M28" s="2"/>
      <c r="N28" s="7">
        <f t="shared" si="7"/>
        <v>2.2679637784369326</v>
      </c>
      <c r="O28" s="11"/>
      <c r="P28" s="6">
        <v>1977.13</v>
      </c>
      <c r="Q28" s="2"/>
      <c r="R28" s="7">
        <f t="shared" si="8"/>
        <v>1.3593100081814495E-2</v>
      </c>
      <c r="S28" s="2"/>
      <c r="T28" s="6">
        <v>893.66480769230668</v>
      </c>
      <c r="U28" s="2"/>
      <c r="V28" s="7">
        <f t="shared" si="9"/>
        <v>3.2126570359575319E-3</v>
      </c>
      <c r="W28" s="2"/>
      <c r="X28" s="6">
        <f t="shared" si="10"/>
        <v>1083.4651923076935</v>
      </c>
      <c r="Y28" s="2"/>
      <c r="Z28" s="7">
        <f t="shared" si="11"/>
        <v>1.2123843111887831</v>
      </c>
    </row>
    <row r="29" spans="1:26" s="24" customFormat="1" hidden="1" outlineLevel="2" x14ac:dyDescent="0.25">
      <c r="A29" s="25"/>
      <c r="B29" s="11" t="str">
        <f>CONCATENATE("          ", "6156", " - ", "EMPLOYEE MEALS")</f>
        <v xml:space="preserve">          6156 - EMPLOYEE MEALS</v>
      </c>
      <c r="C29" s="11"/>
      <c r="D29" s="6">
        <v>156.83000000000001</v>
      </c>
      <c r="E29" s="2"/>
      <c r="F29" s="7">
        <f t="shared" si="4"/>
        <v>7.028008066323102E-3</v>
      </c>
      <c r="G29" s="2"/>
      <c r="H29" s="6">
        <v>150</v>
      </c>
      <c r="I29" s="2"/>
      <c r="J29" s="7">
        <f t="shared" si="5"/>
        <v>5.8628102403752201E-3</v>
      </c>
      <c r="K29" s="2"/>
      <c r="L29" s="6">
        <f t="shared" si="6"/>
        <v>6.8300000000000125</v>
      </c>
      <c r="M29" s="2"/>
      <c r="N29" s="7">
        <f t="shared" si="7"/>
        <v>4.5533333333333419E-2</v>
      </c>
      <c r="O29" s="11"/>
      <c r="P29" s="6">
        <v>766.25</v>
      </c>
      <c r="Q29" s="2"/>
      <c r="R29" s="7">
        <f t="shared" si="8"/>
        <v>5.2680971598682716E-3</v>
      </c>
      <c r="S29" s="2"/>
      <c r="T29" s="6">
        <v>750</v>
      </c>
      <c r="U29" s="2"/>
      <c r="V29" s="7">
        <f t="shared" si="9"/>
        <v>2.6961929755185679E-3</v>
      </c>
      <c r="W29" s="2"/>
      <c r="X29" s="6">
        <f t="shared" si="10"/>
        <v>16.25</v>
      </c>
      <c r="Y29" s="2"/>
      <c r="Z29" s="7">
        <f t="shared" si="11"/>
        <v>2.1666666666666667E-2</v>
      </c>
    </row>
    <row r="30" spans="1:26" s="26" customFormat="1" outlineLevel="1" collapsed="1" x14ac:dyDescent="0.25">
      <c r="A30" s="27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14847.91</v>
      </c>
      <c r="E30" s="1"/>
      <c r="F30" s="5">
        <f t="shared" ref="F30:F40" si="12">IF(D$12=0,0,D30/D$12)</f>
        <v>0.66537799686309651</v>
      </c>
      <c r="G30" s="1"/>
      <c r="H30" s="1">
        <f>SUM(OSRRefH22_1x_0)</f>
        <v>10313.148461538462</v>
      </c>
      <c r="I30" s="1"/>
      <c r="J30" s="5">
        <f t="shared" ref="J30:J40" si="13">IF(H$12=0,0,H30/H$12)</f>
        <v>0.40309354940545089</v>
      </c>
      <c r="K30" s="1"/>
      <c r="L30" s="1">
        <f t="shared" ref="L30:L40" si="14">+D30-H30</f>
        <v>4534.7615384615383</v>
      </c>
      <c r="M30" s="1"/>
      <c r="N30" s="5">
        <f t="shared" ref="N30:N40" si="15">IF(H30=0,0,L30/H30)</f>
        <v>0.43970680295870251</v>
      </c>
      <c r="O30" s="13"/>
      <c r="P30" s="1">
        <f>SUM(OSRRefP22_1x_0)</f>
        <v>87099.37000000001</v>
      </c>
      <c r="Q30" s="1"/>
      <c r="R30" s="5">
        <f t="shared" ref="R30:R40" si="16">IF(P$12=0,0,P30/P$12)</f>
        <v>0.59882276505489829</v>
      </c>
      <c r="S30" s="1"/>
      <c r="T30" s="1">
        <f>SUM(OSRRefT22_1x_0)</f>
        <v>59820.566538461542</v>
      </c>
      <c r="U30" s="1"/>
      <c r="V30" s="5">
        <f t="shared" ref="V30:V40" si="17">IF(T$12=0,0,T30/T$12)</f>
        <v>0.2150503883900548</v>
      </c>
      <c r="W30" s="1"/>
      <c r="X30" s="1">
        <f t="shared" ref="X30:X40" si="18">+P30-T30</f>
        <v>27278.803461538468</v>
      </c>
      <c r="Y30" s="1"/>
      <c r="Z30" s="5">
        <f t="shared" ref="Z30:Z40" si="19">IF(T30=0,0,X30/T30)</f>
        <v>0.45601044991774864</v>
      </c>
    </row>
    <row r="31" spans="1:26" s="24" customFormat="1" hidden="1" outlineLevel="2" x14ac:dyDescent="0.25">
      <c r="A31" s="25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5"/>
      <c r="B32" s="11" t="str">
        <f>CONCATENATE("          ", "6002", " - ", "STAFF SALARIES")</f>
        <v xml:space="preserve">          6002 - STAFF SALARIES</v>
      </c>
      <c r="C32" s="11"/>
      <c r="D32" s="6">
        <v>5943.64</v>
      </c>
      <c r="E32" s="2"/>
      <c r="F32" s="7">
        <f t="shared" si="12"/>
        <v>0.26635178131301818</v>
      </c>
      <c r="G32" s="2"/>
      <c r="H32" s="6">
        <v>595.84846153846195</v>
      </c>
      <c r="I32" s="2"/>
      <c r="J32" s="7">
        <f t="shared" si="13"/>
        <v>2.3288976413463433E-2</v>
      </c>
      <c r="K32" s="2"/>
      <c r="L32" s="6">
        <f t="shared" si="14"/>
        <v>5347.791538461538</v>
      </c>
      <c r="M32" s="2"/>
      <c r="N32" s="7">
        <f t="shared" si="15"/>
        <v>8.9750865927449226</v>
      </c>
      <c r="O32" s="11"/>
      <c r="P32" s="6">
        <v>29181.88</v>
      </c>
      <c r="Q32" s="2"/>
      <c r="R32" s="7">
        <f t="shared" si="16"/>
        <v>0.200630315363937</v>
      </c>
      <c r="S32" s="2"/>
      <c r="T32" s="6">
        <v>3277.1665384615399</v>
      </c>
      <c r="U32" s="2"/>
      <c r="V32" s="7">
        <f t="shared" si="17"/>
        <v>1.1781164534139339E-2</v>
      </c>
      <c r="W32" s="2"/>
      <c r="X32" s="6">
        <f t="shared" si="18"/>
        <v>25904.71346153846</v>
      </c>
      <c r="Y32" s="2"/>
      <c r="Z32" s="7">
        <f t="shared" si="19"/>
        <v>7.9046069699281691</v>
      </c>
    </row>
    <row r="33" spans="1:26" s="24" customFormat="1" hidden="1" outlineLevel="2" x14ac:dyDescent="0.25">
      <c r="A33" s="25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5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2704.8</v>
      </c>
      <c r="I34" s="2"/>
      <c r="J34" s="7">
        <f t="shared" si="13"/>
        <v>0.10571819425444597</v>
      </c>
      <c r="K34" s="2"/>
      <c r="L34" s="6">
        <f t="shared" si="14"/>
        <v>-2704.8</v>
      </c>
      <c r="M34" s="2"/>
      <c r="N34" s="7">
        <f t="shared" si="15"/>
        <v>-1</v>
      </c>
      <c r="O34" s="11"/>
      <c r="P34" s="6"/>
      <c r="Q34" s="2"/>
      <c r="R34" s="7">
        <f t="shared" si="16"/>
        <v>0</v>
      </c>
      <c r="S34" s="2"/>
      <c r="T34" s="6">
        <v>14876.4</v>
      </c>
      <c r="U34" s="2"/>
      <c r="V34" s="7">
        <f t="shared" si="17"/>
        <v>5.3479526908005892E-2</v>
      </c>
      <c r="W34" s="2"/>
      <c r="X34" s="6">
        <f t="shared" si="18"/>
        <v>-14876.4</v>
      </c>
      <c r="Y34" s="2"/>
      <c r="Z34" s="7">
        <f t="shared" si="19"/>
        <v>-1</v>
      </c>
    </row>
    <row r="35" spans="1:26" s="24" customFormat="1" hidden="1" outlineLevel="2" x14ac:dyDescent="0.25">
      <c r="A35" s="25"/>
      <c r="B35" s="11" t="str">
        <f>CONCATENATE("          ", "6005", " - ", "TEMPORARY WAGES-HOURLY")</f>
        <v xml:space="preserve">          6005 - TEMPORARY WAGES-HOURLY</v>
      </c>
      <c r="C35" s="11"/>
      <c r="D35" s="6">
        <v>6413.45</v>
      </c>
      <c r="E35" s="2"/>
      <c r="F35" s="7">
        <f t="shared" si="12"/>
        <v>0.28740533273582791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6413.45</v>
      </c>
      <c r="M35" s="2"/>
      <c r="N35" s="7">
        <f t="shared" si="15"/>
        <v>0</v>
      </c>
      <c r="O35" s="11"/>
      <c r="P35" s="6">
        <v>39096.04</v>
      </c>
      <c r="Q35" s="2"/>
      <c r="R35" s="7">
        <f t="shared" si="16"/>
        <v>0.26879182680077829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39096.04</v>
      </c>
      <c r="Y35" s="2"/>
      <c r="Z35" s="7">
        <f t="shared" si="19"/>
        <v>0</v>
      </c>
    </row>
    <row r="36" spans="1:26" s="24" customFormat="1" hidden="1" outlineLevel="2" x14ac:dyDescent="0.25">
      <c r="A36" s="25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5"/>
      <c r="B37" s="11" t="str">
        <f>CONCATENATE("          ", "6007", " - ", "STUDENT HOURLY")</f>
        <v xml:space="preserve">          6007 - STUDENT HOURLY</v>
      </c>
      <c r="C37" s="11"/>
      <c r="D37" s="6">
        <v>1780</v>
      </c>
      <c r="E37" s="2"/>
      <c r="F37" s="7">
        <f t="shared" si="12"/>
        <v>7.9766972888191803E-2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1780</v>
      </c>
      <c r="M37" s="2"/>
      <c r="N37" s="7">
        <f t="shared" si="15"/>
        <v>0</v>
      </c>
      <c r="O37" s="11"/>
      <c r="P37" s="6">
        <v>15047.430000000002</v>
      </c>
      <c r="Q37" s="2"/>
      <c r="R37" s="7">
        <f t="shared" si="16"/>
        <v>0.10345360293157148</v>
      </c>
      <c r="S37" s="2"/>
      <c r="T37" s="6">
        <v>19992</v>
      </c>
      <c r="U37" s="2"/>
      <c r="V37" s="7">
        <f t="shared" si="17"/>
        <v>7.1869719955422948E-2</v>
      </c>
      <c r="W37" s="2"/>
      <c r="X37" s="6">
        <f t="shared" si="18"/>
        <v>-4944.5699999999979</v>
      </c>
      <c r="Y37" s="2"/>
      <c r="Z37" s="7">
        <f t="shared" si="19"/>
        <v>-0.24732743097238885</v>
      </c>
    </row>
    <row r="38" spans="1:26" s="24" customFormat="1" hidden="1" outlineLevel="2" x14ac:dyDescent="0.25">
      <c r="A38" s="25"/>
      <c r="B38" s="11" t="str">
        <f>CONCATENATE("          ", "6008", " - ", "STUDENT HOURLY-FICA EXEMPT")</f>
        <v xml:space="preserve">          6008 - STUDENT HOURLY-FICA EXEMPT</v>
      </c>
      <c r="C38" s="11"/>
      <c r="D38" s="6">
        <v>710.82</v>
      </c>
      <c r="E38" s="2"/>
      <c r="F38" s="7">
        <f t="shared" si="12"/>
        <v>3.1853909926058709E-2</v>
      </c>
      <c r="G38" s="2"/>
      <c r="H38" s="6">
        <v>7012.5</v>
      </c>
      <c r="I38" s="2"/>
      <c r="J38" s="7">
        <f t="shared" si="13"/>
        <v>0.27408637873754155</v>
      </c>
      <c r="K38" s="2"/>
      <c r="L38" s="6">
        <f t="shared" si="14"/>
        <v>-6301.68</v>
      </c>
      <c r="M38" s="2"/>
      <c r="N38" s="7">
        <f t="shared" si="15"/>
        <v>-0.89863529411764709</v>
      </c>
      <c r="O38" s="11"/>
      <c r="P38" s="6">
        <v>3774.02</v>
      </c>
      <c r="Q38" s="2"/>
      <c r="R38" s="7">
        <f t="shared" si="16"/>
        <v>2.5947019958611491E-2</v>
      </c>
      <c r="S38" s="2"/>
      <c r="T38" s="6">
        <v>21675</v>
      </c>
      <c r="U38" s="2"/>
      <c r="V38" s="7">
        <f t="shared" si="17"/>
        <v>7.7919976992486609E-2</v>
      </c>
      <c r="W38" s="2"/>
      <c r="X38" s="6">
        <f t="shared" si="18"/>
        <v>-17900.98</v>
      </c>
      <c r="Y38" s="2"/>
      <c r="Z38" s="7">
        <f t="shared" si="19"/>
        <v>-0.82588143021914651</v>
      </c>
    </row>
    <row r="39" spans="1:26" s="24" customFormat="1" hidden="1" outlineLevel="2" x14ac:dyDescent="0.25">
      <c r="A39" s="25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5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6" customFormat="1" outlineLevel="1" collapsed="1" x14ac:dyDescent="0.25">
      <c r="A41" s="27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59" si="20">IF(D$12=0,0,D41/D$12)</f>
        <v>0</v>
      </c>
      <c r="G41" s="1"/>
      <c r="H41" s="1">
        <f>SUM(OSRRefH22_2x_0)</f>
        <v>400</v>
      </c>
      <c r="I41" s="1"/>
      <c r="J41" s="5">
        <f t="shared" ref="J41:J59" si="21">IF(H$12=0,0,H41/H$12)</f>
        <v>1.5634160641000587E-2</v>
      </c>
      <c r="K41" s="1"/>
      <c r="L41" s="1">
        <f t="shared" ref="L41:L59" si="22">+D41-H41</f>
        <v>-400</v>
      </c>
      <c r="M41" s="1"/>
      <c r="N41" s="5">
        <f t="shared" ref="N41:N59" si="23">IF(H41=0,0,L41/H41)</f>
        <v>-1</v>
      </c>
      <c r="O41" s="13"/>
      <c r="P41" s="1">
        <f>SUM(OSRRefP22_2x_0)</f>
        <v>106.77</v>
      </c>
      <c r="Q41" s="1"/>
      <c r="R41" s="5">
        <f t="shared" ref="R41:R59" si="24">IF(P$12=0,0,P41/P$12)</f>
        <v>7.340616427525421E-4</v>
      </c>
      <c r="S41" s="1"/>
      <c r="T41" s="1">
        <f>SUM(OSRRefT22_2x_0)</f>
        <v>2000</v>
      </c>
      <c r="U41" s="1"/>
      <c r="V41" s="5">
        <f t="shared" ref="V41:V59" si="25">IF(T$12=0,0,T41/T$12)</f>
        <v>7.1898479347161804E-3</v>
      </c>
      <c r="W41" s="1"/>
      <c r="X41" s="1">
        <f t="shared" ref="X41:X59" si="26">+P41-T41</f>
        <v>-1893.23</v>
      </c>
      <c r="Y41" s="1"/>
      <c r="Z41" s="5">
        <f t="shared" ref="Z41:Z59" si="27">IF(T41=0,0,X41/T41)</f>
        <v>-0.94661499999999998</v>
      </c>
    </row>
    <row r="42" spans="1:26" s="24" customFormat="1" hidden="1" outlineLevel="2" x14ac:dyDescent="0.25">
      <c r="A42" s="25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0"/>
        <v>0</v>
      </c>
      <c r="G42" s="2"/>
      <c r="H42" s="6">
        <v>400</v>
      </c>
      <c r="I42" s="2"/>
      <c r="J42" s="7">
        <f t="shared" si="21"/>
        <v>1.5634160641000587E-2</v>
      </c>
      <c r="K42" s="2"/>
      <c r="L42" s="6">
        <f t="shared" si="22"/>
        <v>-400</v>
      </c>
      <c r="M42" s="2"/>
      <c r="N42" s="7">
        <f t="shared" si="23"/>
        <v>-1</v>
      </c>
      <c r="O42" s="11"/>
      <c r="P42" s="6">
        <v>106.77</v>
      </c>
      <c r="Q42" s="2"/>
      <c r="R42" s="7">
        <f t="shared" si="24"/>
        <v>7.340616427525421E-4</v>
      </c>
      <c r="S42" s="2"/>
      <c r="T42" s="6">
        <v>2000</v>
      </c>
      <c r="U42" s="2"/>
      <c r="V42" s="7">
        <f t="shared" si="25"/>
        <v>7.1898479347161804E-3</v>
      </c>
      <c r="W42" s="2"/>
      <c r="X42" s="6">
        <f t="shared" si="26"/>
        <v>-1893.23</v>
      </c>
      <c r="Y42" s="2"/>
      <c r="Z42" s="7">
        <f t="shared" si="27"/>
        <v>-0.94661499999999998</v>
      </c>
    </row>
    <row r="43" spans="1:26" s="26" customFormat="1" outlineLevel="1" collapsed="1" x14ac:dyDescent="0.25">
      <c r="A43" s="27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2341.1</v>
      </c>
      <c r="E43" s="1"/>
      <c r="F43" s="5">
        <f t="shared" si="20"/>
        <v>0.10491149451041899</v>
      </c>
      <c r="G43" s="1"/>
      <c r="H43" s="1">
        <f>SUM(OSRRefH22_3x_0)</f>
        <v>1500</v>
      </c>
      <c r="I43" s="1"/>
      <c r="J43" s="5">
        <f t="shared" si="21"/>
        <v>5.86281024037522E-2</v>
      </c>
      <c r="K43" s="1"/>
      <c r="L43" s="1">
        <f t="shared" si="22"/>
        <v>841.09999999999991</v>
      </c>
      <c r="M43" s="1"/>
      <c r="N43" s="5">
        <f t="shared" si="23"/>
        <v>0.56073333333333331</v>
      </c>
      <c r="O43" s="13"/>
      <c r="P43" s="1">
        <f>SUM(OSRRefP22_3x_0)</f>
        <v>10857.79</v>
      </c>
      <c r="Q43" s="1"/>
      <c r="R43" s="5">
        <f t="shared" si="24"/>
        <v>7.4649125822441931E-2</v>
      </c>
      <c r="S43" s="1"/>
      <c r="T43" s="1">
        <f>SUM(OSRRefT22_3x_0)</f>
        <v>7700</v>
      </c>
      <c r="U43" s="1"/>
      <c r="V43" s="5">
        <f t="shared" si="25"/>
        <v>2.7680914548657298E-2</v>
      </c>
      <c r="W43" s="1"/>
      <c r="X43" s="1">
        <f t="shared" si="26"/>
        <v>3157.7900000000009</v>
      </c>
      <c r="Y43" s="1"/>
      <c r="Z43" s="5">
        <f t="shared" si="27"/>
        <v>0.41010259740259752</v>
      </c>
    </row>
    <row r="44" spans="1:26" s="24" customFormat="1" hidden="1" outlineLevel="2" x14ac:dyDescent="0.25">
      <c r="A44" s="25"/>
      <c r="B44" s="11" t="str">
        <f>CONCATENATE("          ", "6381", " - ", "BANK/CREDIT CARD FEES")</f>
        <v xml:space="preserve">          6381 - BANK/CREDIT CARD FEES</v>
      </c>
      <c r="C44" s="11"/>
      <c r="D44" s="6">
        <v>2341.1</v>
      </c>
      <c r="E44" s="2"/>
      <c r="F44" s="7">
        <f t="shared" si="20"/>
        <v>0.10491149451041899</v>
      </c>
      <c r="G44" s="2"/>
      <c r="H44" s="6">
        <v>1500</v>
      </c>
      <c r="I44" s="2"/>
      <c r="J44" s="7">
        <f t="shared" si="21"/>
        <v>5.86281024037522E-2</v>
      </c>
      <c r="K44" s="2"/>
      <c r="L44" s="6">
        <f t="shared" si="22"/>
        <v>841.09999999999991</v>
      </c>
      <c r="M44" s="2"/>
      <c r="N44" s="7">
        <f t="shared" si="23"/>
        <v>0.56073333333333331</v>
      </c>
      <c r="O44" s="11"/>
      <c r="P44" s="6">
        <v>10857.79</v>
      </c>
      <c r="Q44" s="2"/>
      <c r="R44" s="7">
        <f t="shared" si="24"/>
        <v>7.4649125822441931E-2</v>
      </c>
      <c r="S44" s="2"/>
      <c r="T44" s="6">
        <v>7700</v>
      </c>
      <c r="U44" s="2"/>
      <c r="V44" s="7">
        <f t="shared" si="25"/>
        <v>2.7680914548657298E-2</v>
      </c>
      <c r="W44" s="2"/>
      <c r="X44" s="6">
        <f t="shared" si="26"/>
        <v>3157.7900000000009</v>
      </c>
      <c r="Y44" s="2"/>
      <c r="Z44" s="7">
        <f t="shared" si="27"/>
        <v>0.41010259740259752</v>
      </c>
    </row>
    <row r="45" spans="1:26" s="26" customFormat="1" outlineLevel="1" collapsed="1" x14ac:dyDescent="0.25">
      <c r="A45" s="27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75</v>
      </c>
      <c r="I45" s="1"/>
      <c r="J45" s="5">
        <f t="shared" si="21"/>
        <v>2.9314051201876101E-3</v>
      </c>
      <c r="K45" s="1"/>
      <c r="L45" s="1">
        <f t="shared" si="22"/>
        <v>-75</v>
      </c>
      <c r="M45" s="1"/>
      <c r="N45" s="5">
        <f t="shared" si="23"/>
        <v>-1</v>
      </c>
      <c r="O45" s="13"/>
      <c r="P45" s="1">
        <f>SUM(OSRRefP22_4x_0)</f>
        <v>64.239999999999995</v>
      </c>
      <c r="Q45" s="1"/>
      <c r="R45" s="5">
        <f t="shared" si="24"/>
        <v>4.4166076548115857E-4</v>
      </c>
      <c r="S45" s="1"/>
      <c r="T45" s="1">
        <f>SUM(OSRRefT22_4x_0)</f>
        <v>375</v>
      </c>
      <c r="U45" s="1"/>
      <c r="V45" s="5">
        <f t="shared" si="25"/>
        <v>1.3480964877592839E-3</v>
      </c>
      <c r="W45" s="1"/>
      <c r="X45" s="1">
        <f t="shared" si="26"/>
        <v>-310.76</v>
      </c>
      <c r="Y45" s="1"/>
      <c r="Z45" s="5">
        <f t="shared" si="27"/>
        <v>-0.82869333333333328</v>
      </c>
    </row>
    <row r="46" spans="1:26" s="24" customFormat="1" hidden="1" outlineLevel="2" x14ac:dyDescent="0.25">
      <c r="A46" s="25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20"/>
        <v>0</v>
      </c>
      <c r="G46" s="2"/>
      <c r="H46" s="6">
        <v>75</v>
      </c>
      <c r="I46" s="2"/>
      <c r="J46" s="7">
        <f t="shared" si="21"/>
        <v>2.9314051201876101E-3</v>
      </c>
      <c r="K46" s="2"/>
      <c r="L46" s="6">
        <f t="shared" si="22"/>
        <v>-75</v>
      </c>
      <c r="M46" s="2"/>
      <c r="N46" s="7">
        <f t="shared" si="23"/>
        <v>-1</v>
      </c>
      <c r="O46" s="11"/>
      <c r="P46" s="6">
        <v>64.239999999999995</v>
      </c>
      <c r="Q46" s="2"/>
      <c r="R46" s="7">
        <f t="shared" si="24"/>
        <v>4.4166076548115857E-4</v>
      </c>
      <c r="S46" s="2"/>
      <c r="T46" s="6">
        <v>375</v>
      </c>
      <c r="U46" s="2"/>
      <c r="V46" s="7">
        <f t="shared" si="25"/>
        <v>1.3480964877592839E-3</v>
      </c>
      <c r="W46" s="2"/>
      <c r="X46" s="6">
        <f t="shared" si="26"/>
        <v>-310.76</v>
      </c>
      <c r="Y46" s="2"/>
      <c r="Z46" s="7">
        <f t="shared" si="27"/>
        <v>-0.82869333333333328</v>
      </c>
    </row>
    <row r="47" spans="1:26" s="26" customFormat="1" outlineLevel="1" collapsed="1" x14ac:dyDescent="0.25">
      <c r="A47" s="27"/>
      <c r="B47" s="13" t="str">
        <f>CONCATENATE("     ","Freight out/Postage                               ")</f>
        <v xml:space="preserve">     Freight out/Postage                               </v>
      </c>
      <c r="C47" s="13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3.9085401602501464E-4</v>
      </c>
      <c r="K47" s="1"/>
      <c r="L47" s="1">
        <f t="shared" si="22"/>
        <v>-10</v>
      </c>
      <c r="M47" s="1"/>
      <c r="N47" s="5">
        <f t="shared" si="23"/>
        <v>-1</v>
      </c>
      <c r="O47" s="13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50</v>
      </c>
      <c r="U47" s="1"/>
      <c r="V47" s="5">
        <f t="shared" si="25"/>
        <v>1.7974619836790451E-4</v>
      </c>
      <c r="W47" s="1"/>
      <c r="X47" s="1">
        <f t="shared" si="26"/>
        <v>-50</v>
      </c>
      <c r="Y47" s="1"/>
      <c r="Z47" s="5">
        <f t="shared" si="27"/>
        <v>-1</v>
      </c>
    </row>
    <row r="48" spans="1:26" s="24" customFormat="1" hidden="1" outlineLevel="2" x14ac:dyDescent="0.25">
      <c r="A48" s="25"/>
      <c r="B48" s="11" t="str">
        <f>CONCATENATE("          ", "6307", " - ", "POSTAGE")</f>
        <v xml:space="preserve">          6307 - POSTAGE</v>
      </c>
      <c r="C48" s="11"/>
      <c r="D48" s="6"/>
      <c r="E48" s="2"/>
      <c r="F48" s="7">
        <f t="shared" si="20"/>
        <v>0</v>
      </c>
      <c r="G48" s="2"/>
      <c r="H48" s="6">
        <v>10</v>
      </c>
      <c r="I48" s="2"/>
      <c r="J48" s="7">
        <f t="shared" si="21"/>
        <v>3.9085401602501464E-4</v>
      </c>
      <c r="K48" s="2"/>
      <c r="L48" s="6">
        <f t="shared" si="22"/>
        <v>-10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50</v>
      </c>
      <c r="U48" s="2"/>
      <c r="V48" s="7">
        <f t="shared" si="25"/>
        <v>1.7974619836790451E-4</v>
      </c>
      <c r="W48" s="2"/>
      <c r="X48" s="6">
        <f t="shared" si="26"/>
        <v>-50</v>
      </c>
      <c r="Y48" s="2"/>
      <c r="Z48" s="7">
        <f t="shared" si="27"/>
        <v>-1</v>
      </c>
    </row>
    <row r="49" spans="1:26" s="26" customFormat="1" outlineLevel="1" collapsed="1" x14ac:dyDescent="0.25">
      <c r="A49" s="27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1.9542700801250734E-3</v>
      </c>
      <c r="K49" s="1"/>
      <c r="L49" s="1">
        <f t="shared" si="22"/>
        <v>-50</v>
      </c>
      <c r="M49" s="1"/>
      <c r="N49" s="5">
        <f t="shared" si="23"/>
        <v>-1</v>
      </c>
      <c r="O49" s="13"/>
      <c r="P49" s="1">
        <f>SUM(OSRRefP22_6x_0)</f>
        <v>0</v>
      </c>
      <c r="Q49" s="1"/>
      <c r="R49" s="5">
        <f t="shared" si="24"/>
        <v>0</v>
      </c>
      <c r="S49" s="1"/>
      <c r="T49" s="1">
        <f>SUM(OSRRefT22_6x_0)</f>
        <v>250</v>
      </c>
      <c r="U49" s="1"/>
      <c r="V49" s="5">
        <f t="shared" si="25"/>
        <v>8.9873099183952255E-4</v>
      </c>
      <c r="W49" s="1"/>
      <c r="X49" s="1">
        <f t="shared" si="26"/>
        <v>-250</v>
      </c>
      <c r="Y49" s="1"/>
      <c r="Z49" s="5">
        <f t="shared" si="27"/>
        <v>-1</v>
      </c>
    </row>
    <row r="50" spans="1:26" s="24" customFormat="1" hidden="1" outlineLevel="2" x14ac:dyDescent="0.25">
      <c r="A50" s="25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0"/>
        <v>0</v>
      </c>
      <c r="G50" s="2"/>
      <c r="H50" s="6">
        <v>50</v>
      </c>
      <c r="I50" s="2"/>
      <c r="J50" s="7">
        <f t="shared" si="21"/>
        <v>1.9542700801250734E-3</v>
      </c>
      <c r="K50" s="2"/>
      <c r="L50" s="6">
        <f t="shared" si="22"/>
        <v>-50</v>
      </c>
      <c r="M50" s="2"/>
      <c r="N50" s="7">
        <f t="shared" si="23"/>
        <v>-1</v>
      </c>
      <c r="O50" s="11"/>
      <c r="P50" s="6"/>
      <c r="Q50" s="2"/>
      <c r="R50" s="7">
        <f t="shared" si="24"/>
        <v>0</v>
      </c>
      <c r="S50" s="2"/>
      <c r="T50" s="6">
        <v>250</v>
      </c>
      <c r="U50" s="2"/>
      <c r="V50" s="7">
        <f t="shared" si="25"/>
        <v>8.9873099183952255E-4</v>
      </c>
      <c r="W50" s="2"/>
      <c r="X50" s="6">
        <f t="shared" si="26"/>
        <v>-250</v>
      </c>
      <c r="Y50" s="2"/>
      <c r="Z50" s="7">
        <f t="shared" si="27"/>
        <v>-1</v>
      </c>
    </row>
    <row r="51" spans="1:26" s="26" customFormat="1" outlineLevel="1" collapsed="1" x14ac:dyDescent="0.25">
      <c r="A51" s="27"/>
      <c r="B51" s="13" t="str">
        <f>CONCATENATE("     ","Insurance                                         ")</f>
        <v xml:space="preserve">     Insurance                                         </v>
      </c>
      <c r="C51" s="13"/>
      <c r="D51" s="1">
        <f>SUM(OSRRefD22_7x_0)</f>
        <v>29.01</v>
      </c>
      <c r="E51" s="1"/>
      <c r="F51" s="5">
        <f t="shared" si="20"/>
        <v>1.3000224064530586E-3</v>
      </c>
      <c r="G51" s="1"/>
      <c r="H51" s="1">
        <f>SUM(OSRRefH22_7x_0)</f>
        <v>27</v>
      </c>
      <c r="I51" s="1"/>
      <c r="J51" s="5">
        <f t="shared" si="21"/>
        <v>1.0553058432675397E-3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3"/>
      <c r="P51" s="1">
        <f>SUM(OSRRefP22_7x_0)</f>
        <v>145.05000000000001</v>
      </c>
      <c r="Q51" s="1"/>
      <c r="R51" s="5">
        <f t="shared" si="24"/>
        <v>9.9724305779953391E-4</v>
      </c>
      <c r="S51" s="1"/>
      <c r="T51" s="1">
        <f>SUM(OSRRefT22_7x_0)</f>
        <v>135</v>
      </c>
      <c r="U51" s="1"/>
      <c r="V51" s="5">
        <f t="shared" si="25"/>
        <v>4.8531473559334219E-4</v>
      </c>
      <c r="W51" s="1"/>
      <c r="X51" s="1">
        <f t="shared" si="26"/>
        <v>10.050000000000011</v>
      </c>
      <c r="Y51" s="1"/>
      <c r="Z51" s="5">
        <f t="shared" si="27"/>
        <v>7.4444444444444535E-2</v>
      </c>
    </row>
    <row r="52" spans="1:26" s="24" customFormat="1" hidden="1" outlineLevel="2" x14ac:dyDescent="0.25">
      <c r="A52" s="25"/>
      <c r="B52" s="11" t="str">
        <f>CONCATENATE("          ", "6314", " - ", "LIABILITY INSURANCE")</f>
        <v xml:space="preserve">          6314 - LIABILITY INSURANCE</v>
      </c>
      <c r="C52" s="11"/>
      <c r="D52" s="6">
        <v>29.01</v>
      </c>
      <c r="E52" s="2"/>
      <c r="F52" s="7">
        <f t="shared" si="20"/>
        <v>1.3000224064530586E-3</v>
      </c>
      <c r="G52" s="2"/>
      <c r="H52" s="6">
        <v>27</v>
      </c>
      <c r="I52" s="2"/>
      <c r="J52" s="7">
        <f t="shared" si="21"/>
        <v>1.0553058432675397E-3</v>
      </c>
      <c r="K52" s="2"/>
      <c r="L52" s="6">
        <f t="shared" si="22"/>
        <v>2.0100000000000016</v>
      </c>
      <c r="M52" s="2"/>
      <c r="N52" s="7">
        <f t="shared" si="23"/>
        <v>7.4444444444444507E-2</v>
      </c>
      <c r="O52" s="11"/>
      <c r="P52" s="6">
        <v>145.05000000000001</v>
      </c>
      <c r="Q52" s="2"/>
      <c r="R52" s="7">
        <f t="shared" si="24"/>
        <v>9.9724305779953391E-4</v>
      </c>
      <c r="S52" s="2"/>
      <c r="T52" s="6">
        <v>135</v>
      </c>
      <c r="U52" s="2"/>
      <c r="V52" s="7">
        <f t="shared" si="25"/>
        <v>4.8531473559334219E-4</v>
      </c>
      <c r="W52" s="2"/>
      <c r="X52" s="6">
        <f t="shared" si="26"/>
        <v>10.050000000000011</v>
      </c>
      <c r="Y52" s="2"/>
      <c r="Z52" s="7">
        <f t="shared" si="27"/>
        <v>7.4444444444444535E-2</v>
      </c>
    </row>
    <row r="53" spans="1:26" s="26" customFormat="1" outlineLevel="1" collapsed="1" x14ac:dyDescent="0.25">
      <c r="A53" s="27"/>
      <c r="B53" s="13" t="str">
        <f>CONCATENATE("     ","Professional Services                             ")</f>
        <v xml:space="preserve">     Professional Services                             </v>
      </c>
      <c r="C53" s="13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1.5634160641000587E-2</v>
      </c>
      <c r="K53" s="1"/>
      <c r="L53" s="1">
        <f t="shared" si="22"/>
        <v>-400</v>
      </c>
      <c r="M53" s="1"/>
      <c r="N53" s="5">
        <f t="shared" si="23"/>
        <v>-1</v>
      </c>
      <c r="O53" s="13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2000</v>
      </c>
      <c r="U53" s="1"/>
      <c r="V53" s="5">
        <f t="shared" si="25"/>
        <v>7.1898479347161804E-3</v>
      </c>
      <c r="W53" s="1"/>
      <c r="X53" s="1">
        <f t="shared" si="26"/>
        <v>-2000</v>
      </c>
      <c r="Y53" s="1"/>
      <c r="Z53" s="5">
        <f t="shared" si="27"/>
        <v>-1</v>
      </c>
    </row>
    <row r="54" spans="1:26" s="24" customFormat="1" hidden="1" outlineLevel="2" x14ac:dyDescent="0.25">
      <c r="A54" s="25"/>
      <c r="B54" s="11" t="str">
        <f>CONCATENATE("          ", "6336", " - ", "PROFESSIONAL SERVICES")</f>
        <v xml:space="preserve">          6336 - PROFESSIONAL SERVICES</v>
      </c>
      <c r="C54" s="11"/>
      <c r="D54" s="6"/>
      <c r="E54" s="2"/>
      <c r="F54" s="7">
        <f t="shared" si="20"/>
        <v>0</v>
      </c>
      <c r="G54" s="2"/>
      <c r="H54" s="6">
        <v>400</v>
      </c>
      <c r="I54" s="2"/>
      <c r="J54" s="7">
        <f t="shared" si="21"/>
        <v>1.5634160641000587E-2</v>
      </c>
      <c r="K54" s="2"/>
      <c r="L54" s="6">
        <f t="shared" si="22"/>
        <v>-400</v>
      </c>
      <c r="M54" s="2"/>
      <c r="N54" s="7">
        <f t="shared" si="23"/>
        <v>-1</v>
      </c>
      <c r="O54" s="11"/>
      <c r="P54" s="6"/>
      <c r="Q54" s="2"/>
      <c r="R54" s="7">
        <f t="shared" si="24"/>
        <v>0</v>
      </c>
      <c r="S54" s="2"/>
      <c r="T54" s="6">
        <v>2000</v>
      </c>
      <c r="U54" s="2"/>
      <c r="V54" s="7">
        <f t="shared" si="25"/>
        <v>7.1898479347161804E-3</v>
      </c>
      <c r="W54" s="2"/>
      <c r="X54" s="6">
        <f t="shared" si="26"/>
        <v>-2000</v>
      </c>
      <c r="Y54" s="2"/>
      <c r="Z54" s="7">
        <f t="shared" si="27"/>
        <v>-1</v>
      </c>
    </row>
    <row r="55" spans="1:26" s="26" customFormat="1" outlineLevel="1" collapsed="1" x14ac:dyDescent="0.25">
      <c r="A55" s="27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SUM(OSRRefD22_9x_0)</f>
        <v>800</v>
      </c>
      <c r="E55" s="1"/>
      <c r="F55" s="5">
        <f t="shared" si="20"/>
        <v>3.5850324893569346E-2</v>
      </c>
      <c r="G55" s="1"/>
      <c r="H55" s="1">
        <f>SUM(OSRRefH22_9x_0)</f>
        <v>800</v>
      </c>
      <c r="I55" s="1"/>
      <c r="J55" s="5">
        <f t="shared" si="21"/>
        <v>3.1268321282001174E-2</v>
      </c>
      <c r="K55" s="1"/>
      <c r="L55" s="1">
        <f t="shared" si="22"/>
        <v>0</v>
      </c>
      <c r="M55" s="1"/>
      <c r="N55" s="5">
        <f t="shared" si="23"/>
        <v>0</v>
      </c>
      <c r="O55" s="13"/>
      <c r="P55" s="1">
        <f>SUM(OSRRefP22_9x_0)</f>
        <v>4000</v>
      </c>
      <c r="Q55" s="1"/>
      <c r="R55" s="5">
        <f t="shared" si="24"/>
        <v>2.7500670328839266E-2</v>
      </c>
      <c r="S55" s="1"/>
      <c r="T55" s="1">
        <f>SUM(OSRRefT22_9x_0)</f>
        <v>4000</v>
      </c>
      <c r="U55" s="1"/>
      <c r="V55" s="5">
        <f t="shared" si="25"/>
        <v>1.4379695869432361E-2</v>
      </c>
      <c r="W55" s="1"/>
      <c r="X55" s="1">
        <f t="shared" si="26"/>
        <v>0</v>
      </c>
      <c r="Y55" s="1"/>
      <c r="Z55" s="5">
        <f t="shared" si="27"/>
        <v>0</v>
      </c>
    </row>
    <row r="56" spans="1:26" s="24" customFormat="1" hidden="1" outlineLevel="2" x14ac:dyDescent="0.25">
      <c r="A56" s="25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0"/>
        <v>3.5850324893569346E-2</v>
      </c>
      <c r="G56" s="2"/>
      <c r="H56" s="6">
        <v>800</v>
      </c>
      <c r="I56" s="2"/>
      <c r="J56" s="7">
        <f t="shared" si="21"/>
        <v>3.1268321282001174E-2</v>
      </c>
      <c r="K56" s="2"/>
      <c r="L56" s="6">
        <f t="shared" si="22"/>
        <v>0</v>
      </c>
      <c r="M56" s="2"/>
      <c r="N56" s="7">
        <f t="shared" si="23"/>
        <v>0</v>
      </c>
      <c r="O56" s="11"/>
      <c r="P56" s="6">
        <v>4000</v>
      </c>
      <c r="Q56" s="2"/>
      <c r="R56" s="7">
        <f t="shared" si="24"/>
        <v>2.7500670328839266E-2</v>
      </c>
      <c r="S56" s="2"/>
      <c r="T56" s="6">
        <v>4000</v>
      </c>
      <c r="U56" s="2"/>
      <c r="V56" s="7">
        <f t="shared" si="25"/>
        <v>1.4379695869432361E-2</v>
      </c>
      <c r="W56" s="2"/>
      <c r="X56" s="6">
        <f t="shared" si="26"/>
        <v>0</v>
      </c>
      <c r="Y56" s="2"/>
      <c r="Z56" s="7">
        <f t="shared" si="27"/>
        <v>0</v>
      </c>
    </row>
    <row r="57" spans="1:26" s="26" customFormat="1" outlineLevel="1" collapsed="1" x14ac:dyDescent="0.25">
      <c r="A57" s="27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SUM(OSRRefD22_10x_0)</f>
        <v>0</v>
      </c>
      <c r="E57" s="1"/>
      <c r="F57" s="5">
        <f t="shared" si="20"/>
        <v>0</v>
      </c>
      <c r="G57" s="1"/>
      <c r="H57" s="1">
        <f>SUM(OSRRefH22_10x_0)</f>
        <v>2000</v>
      </c>
      <c r="I57" s="1"/>
      <c r="J57" s="5">
        <f t="shared" si="21"/>
        <v>7.8170803205002928E-2</v>
      </c>
      <c r="K57" s="1"/>
      <c r="L57" s="1">
        <f t="shared" si="22"/>
        <v>-2000</v>
      </c>
      <c r="M57" s="1"/>
      <c r="N57" s="5">
        <f t="shared" si="23"/>
        <v>-1</v>
      </c>
      <c r="O57" s="13"/>
      <c r="P57" s="1">
        <f>SUM(OSRRefP22_10x_0)</f>
        <v>437.31</v>
      </c>
      <c r="Q57" s="1"/>
      <c r="R57" s="5">
        <f t="shared" si="24"/>
        <v>3.0065795353761749E-3</v>
      </c>
      <c r="S57" s="1"/>
      <c r="T57" s="1">
        <f>SUM(OSRRefT22_10x_0)</f>
        <v>135000</v>
      </c>
      <c r="U57" s="1"/>
      <c r="V57" s="5">
        <f t="shared" si="25"/>
        <v>0.48531473559334221</v>
      </c>
      <c r="W57" s="1"/>
      <c r="X57" s="1">
        <f t="shared" si="26"/>
        <v>-134562.69</v>
      </c>
      <c r="Y57" s="1"/>
      <c r="Z57" s="5">
        <f t="shared" si="27"/>
        <v>-0.99676066666666674</v>
      </c>
    </row>
    <row r="58" spans="1:26" s="24" customFormat="1" hidden="1" outlineLevel="2" x14ac:dyDescent="0.25">
      <c r="A58" s="25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0"/>
        <v>0</v>
      </c>
      <c r="G58" s="2"/>
      <c r="H58" s="6"/>
      <c r="I58" s="2"/>
      <c r="J58" s="7">
        <f t="shared" si="21"/>
        <v>0</v>
      </c>
      <c r="K58" s="2"/>
      <c r="L58" s="6">
        <f t="shared" si="22"/>
        <v>0</v>
      </c>
      <c r="M58" s="2"/>
      <c r="N58" s="7">
        <f t="shared" si="23"/>
        <v>0</v>
      </c>
      <c r="O58" s="11"/>
      <c r="P58" s="6">
        <v>437.31</v>
      </c>
      <c r="Q58" s="2"/>
      <c r="R58" s="7">
        <f t="shared" si="24"/>
        <v>3.0065795353761749E-3</v>
      </c>
      <c r="S58" s="2"/>
      <c r="T58" s="6">
        <v>125000</v>
      </c>
      <c r="U58" s="2"/>
      <c r="V58" s="7">
        <f t="shared" si="25"/>
        <v>0.44936549591976127</v>
      </c>
      <c r="W58" s="2"/>
      <c r="X58" s="6">
        <f t="shared" si="26"/>
        <v>-124562.69</v>
      </c>
      <c r="Y58" s="2"/>
      <c r="Z58" s="7">
        <f t="shared" si="27"/>
        <v>-0.99650152000000003</v>
      </c>
    </row>
    <row r="59" spans="1:26" s="24" customFormat="1" hidden="1" outlineLevel="2" x14ac:dyDescent="0.25">
      <c r="A59" s="25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0"/>
        <v>0</v>
      </c>
      <c r="G59" s="2"/>
      <c r="H59" s="6">
        <v>2000</v>
      </c>
      <c r="I59" s="2"/>
      <c r="J59" s="7">
        <f t="shared" si="21"/>
        <v>7.8170803205002928E-2</v>
      </c>
      <c r="K59" s="2"/>
      <c r="L59" s="6">
        <f t="shared" si="22"/>
        <v>-2000</v>
      </c>
      <c r="M59" s="2"/>
      <c r="N59" s="7">
        <f t="shared" si="23"/>
        <v>-1</v>
      </c>
      <c r="O59" s="11"/>
      <c r="P59" s="6"/>
      <c r="Q59" s="2"/>
      <c r="R59" s="7">
        <f t="shared" si="24"/>
        <v>0</v>
      </c>
      <c r="S59" s="2"/>
      <c r="T59" s="6">
        <v>10000</v>
      </c>
      <c r="U59" s="2"/>
      <c r="V59" s="7">
        <f t="shared" si="25"/>
        <v>3.5949239673580907E-2</v>
      </c>
      <c r="W59" s="2"/>
      <c r="X59" s="6">
        <f t="shared" si="26"/>
        <v>-10000</v>
      </c>
      <c r="Y59" s="2"/>
      <c r="Z59" s="7">
        <f t="shared" si="27"/>
        <v>-1</v>
      </c>
    </row>
    <row r="60" spans="1:26" s="26" customFormat="1" outlineLevel="1" collapsed="1" x14ac:dyDescent="0.25">
      <c r="A60" s="27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SUM(OSRRefD22_11x_0)</f>
        <v>45.18</v>
      </c>
      <c r="E60" s="1"/>
      <c r="F60" s="5">
        <f t="shared" ref="F60:F63" si="28">IF(D$12=0,0,D60/D$12)</f>
        <v>2.0246470983643289E-3</v>
      </c>
      <c r="G60" s="1"/>
      <c r="H60" s="1">
        <f>SUM(OSRRefH22_11x_0)</f>
        <v>7000</v>
      </c>
      <c r="I60" s="1"/>
      <c r="J60" s="5">
        <f t="shared" ref="J60:J63" si="29">IF(H$12=0,0,H60/H$12)</f>
        <v>0.27359781121751026</v>
      </c>
      <c r="K60" s="1"/>
      <c r="L60" s="1">
        <f t="shared" ref="L60:L63" si="30">+D60-H60</f>
        <v>-6954.82</v>
      </c>
      <c r="M60" s="1"/>
      <c r="N60" s="5">
        <f t="shared" ref="N60:N63" si="31">IF(H60=0,0,L60/H60)</f>
        <v>-0.99354571428571425</v>
      </c>
      <c r="O60" s="13"/>
      <c r="P60" s="1">
        <f>SUM(OSRRefP22_11x_0)</f>
        <v>18397.830000000002</v>
      </c>
      <c r="Q60" s="1"/>
      <c r="R60" s="5">
        <f t="shared" ref="R60:R63" si="32">IF(P$12=0,0,P60/P$12)</f>
        <v>0.12648816439900723</v>
      </c>
      <c r="S60" s="1"/>
      <c r="T60" s="1">
        <f>SUM(OSRRefT22_11x_0)</f>
        <v>35100</v>
      </c>
      <c r="U60" s="1"/>
      <c r="V60" s="5">
        <f t="shared" ref="V60:V63" si="33">IF(T$12=0,0,T60/T$12)</f>
        <v>0.12618183125426896</v>
      </c>
      <c r="W60" s="1"/>
      <c r="X60" s="1">
        <f t="shared" ref="X60:X63" si="34">+P60-T60</f>
        <v>-16702.169999999998</v>
      </c>
      <c r="Y60" s="1"/>
      <c r="Z60" s="5">
        <f t="shared" ref="Z60:Z63" si="35">IF(T60=0,0,X60/T60)</f>
        <v>-0.47584529914529911</v>
      </c>
    </row>
    <row r="61" spans="1:26" s="24" customFormat="1" hidden="1" outlineLevel="2" x14ac:dyDescent="0.25">
      <c r="A61" s="25"/>
      <c r="B61" s="11" t="str">
        <f>CONCATENATE("          ", "6234", " - ", "EXPENDABLE SUPPLIES &amp; EQUIPMEN")</f>
        <v xml:space="preserve">          6234 - EXPENDABLE SUPPLIES &amp; EQUIPMEN</v>
      </c>
      <c r="C61" s="11"/>
      <c r="D61" s="6"/>
      <c r="E61" s="2"/>
      <c r="F61" s="7">
        <f t="shared" si="28"/>
        <v>0</v>
      </c>
      <c r="G61" s="2"/>
      <c r="H61" s="6">
        <v>7000</v>
      </c>
      <c r="I61" s="2"/>
      <c r="J61" s="7">
        <f t="shared" si="29"/>
        <v>0.27359781121751026</v>
      </c>
      <c r="K61" s="2"/>
      <c r="L61" s="6">
        <f t="shared" si="30"/>
        <v>-7000</v>
      </c>
      <c r="M61" s="2"/>
      <c r="N61" s="7">
        <f t="shared" si="31"/>
        <v>-1</v>
      </c>
      <c r="O61" s="11"/>
      <c r="P61" s="6">
        <v>413.27</v>
      </c>
      <c r="Q61" s="2"/>
      <c r="R61" s="7">
        <f t="shared" si="32"/>
        <v>2.8413005066998506E-3</v>
      </c>
      <c r="S61" s="2"/>
      <c r="T61" s="6">
        <v>35100</v>
      </c>
      <c r="U61" s="2"/>
      <c r="V61" s="7">
        <f t="shared" si="33"/>
        <v>0.12618183125426896</v>
      </c>
      <c r="W61" s="2"/>
      <c r="X61" s="6">
        <f t="shared" si="34"/>
        <v>-34686.730000000003</v>
      </c>
      <c r="Y61" s="2"/>
      <c r="Z61" s="7">
        <f t="shared" si="35"/>
        <v>-0.98822592592592606</v>
      </c>
    </row>
    <row r="62" spans="1:26" s="24" customFormat="1" hidden="1" outlineLevel="2" x14ac:dyDescent="0.25">
      <c r="A62" s="25"/>
      <c r="B62" s="11" t="str">
        <f>CONCATENATE("          ", "6241", " - ", "OFFICE EXPENSE")</f>
        <v xml:space="preserve">          6241 - OFFICE EXPENSE</v>
      </c>
      <c r="C62" s="11"/>
      <c r="D62" s="6">
        <v>45.18</v>
      </c>
      <c r="E62" s="2"/>
      <c r="F62" s="7">
        <f t="shared" si="28"/>
        <v>2.0246470983643289E-3</v>
      </c>
      <c r="G62" s="2"/>
      <c r="H62" s="6"/>
      <c r="I62" s="2"/>
      <c r="J62" s="7">
        <f t="shared" si="29"/>
        <v>0</v>
      </c>
      <c r="K62" s="2"/>
      <c r="L62" s="6">
        <f t="shared" si="30"/>
        <v>45.18</v>
      </c>
      <c r="M62" s="2"/>
      <c r="N62" s="7">
        <f t="shared" si="31"/>
        <v>0</v>
      </c>
      <c r="O62" s="11"/>
      <c r="P62" s="6">
        <v>17863.73</v>
      </c>
      <c r="Q62" s="2"/>
      <c r="R62" s="7">
        <f t="shared" si="32"/>
        <v>0.12281613739334896</v>
      </c>
      <c r="S62" s="2"/>
      <c r="T62" s="6"/>
      <c r="U62" s="2"/>
      <c r="V62" s="7">
        <f t="shared" si="33"/>
        <v>0</v>
      </c>
      <c r="W62" s="2"/>
      <c r="X62" s="6">
        <f t="shared" si="34"/>
        <v>17863.73</v>
      </c>
      <c r="Y62" s="2"/>
      <c r="Z62" s="7">
        <f t="shared" si="35"/>
        <v>0</v>
      </c>
    </row>
    <row r="63" spans="1:26" s="24" customFormat="1" hidden="1" outlineLevel="2" x14ac:dyDescent="0.25">
      <c r="A63" s="25"/>
      <c r="B63" s="11" t="str">
        <f>CONCATENATE("          ", "6245", " - ", "PRINTING")</f>
        <v xml:space="preserve">          6245 - PRINTING</v>
      </c>
      <c r="C63" s="11"/>
      <c r="D63" s="6"/>
      <c r="E63" s="2"/>
      <c r="F63" s="7">
        <f t="shared" si="28"/>
        <v>0</v>
      </c>
      <c r="G63" s="2"/>
      <c r="H63" s="6"/>
      <c r="I63" s="2"/>
      <c r="J63" s="7">
        <f t="shared" si="29"/>
        <v>0</v>
      </c>
      <c r="K63" s="2"/>
      <c r="L63" s="6">
        <f t="shared" si="30"/>
        <v>0</v>
      </c>
      <c r="M63" s="2"/>
      <c r="N63" s="7">
        <f t="shared" si="31"/>
        <v>0</v>
      </c>
      <c r="O63" s="11"/>
      <c r="P63" s="6">
        <v>120.83</v>
      </c>
      <c r="Q63" s="2"/>
      <c r="R63" s="7">
        <f t="shared" si="32"/>
        <v>8.3072649895841208E-4</v>
      </c>
      <c r="S63" s="2"/>
      <c r="T63" s="6"/>
      <c r="U63" s="2"/>
      <c r="V63" s="7">
        <f t="shared" si="33"/>
        <v>0</v>
      </c>
      <c r="W63" s="2"/>
      <c r="X63" s="6">
        <f t="shared" si="34"/>
        <v>120.83</v>
      </c>
      <c r="Y63" s="2"/>
      <c r="Z63" s="7">
        <f t="shared" si="35"/>
        <v>0</v>
      </c>
    </row>
    <row r="64" spans="1:26" s="26" customFormat="1" outlineLevel="1" collapsed="1" x14ac:dyDescent="0.25">
      <c r="A64" s="27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SUM(OSRRefD22_12x_0)</f>
        <v>183.9</v>
      </c>
      <c r="E64" s="1"/>
      <c r="F64" s="5">
        <f t="shared" ref="F64:F65" si="36">IF(D$12=0,0,D64/D$12)</f>
        <v>8.2410934349092541E-3</v>
      </c>
      <c r="G64" s="1"/>
      <c r="H64" s="1">
        <f>SUM(OSRRefH22_12x_0)</f>
        <v>350</v>
      </c>
      <c r="I64" s="1"/>
      <c r="J64" s="5">
        <f t="shared" ref="J64:J65" si="37">IF(H$12=0,0,H64/H$12)</f>
        <v>1.3679890560875513E-2</v>
      </c>
      <c r="K64" s="1"/>
      <c r="L64" s="1">
        <f t="shared" ref="L64:L65" si="38">+D64-H64</f>
        <v>-166.1</v>
      </c>
      <c r="M64" s="1"/>
      <c r="N64" s="5">
        <f t="shared" ref="N64:N65" si="39">IF(H64=0,0,L64/H64)</f>
        <v>-0.47457142857142853</v>
      </c>
      <c r="O64" s="13"/>
      <c r="P64" s="1">
        <f>SUM(OSRRefP22_12x_0)</f>
        <v>948.5</v>
      </c>
      <c r="Q64" s="1"/>
      <c r="R64" s="5">
        <f t="shared" ref="R64:R65" si="40">IF(P$12=0,0,P64/P$12)</f>
        <v>6.5210964517260104E-3</v>
      </c>
      <c r="S64" s="1"/>
      <c r="T64" s="1">
        <f>SUM(OSRRefT22_12x_0)</f>
        <v>1750</v>
      </c>
      <c r="U64" s="1"/>
      <c r="V64" s="5">
        <f t="shared" ref="V64:V65" si="41">IF(T$12=0,0,T64/T$12)</f>
        <v>6.2911169428766581E-3</v>
      </c>
      <c r="W64" s="1"/>
      <c r="X64" s="1">
        <f t="shared" ref="X64:X65" si="42">+P64-T64</f>
        <v>-801.5</v>
      </c>
      <c r="Y64" s="1"/>
      <c r="Z64" s="5">
        <f t="shared" ref="Z64:Z65" si="43">IF(T64=0,0,X64/T64)</f>
        <v>-0.45800000000000002</v>
      </c>
    </row>
    <row r="65" spans="1:26" s="24" customFormat="1" hidden="1" outlineLevel="2" x14ac:dyDescent="0.25">
      <c r="A65" s="25"/>
      <c r="B65" s="11" t="str">
        <f>CONCATENATE("          ", "6309", " - ", "TELEPHONE")</f>
        <v xml:space="preserve">          6309 - TELEPHONE</v>
      </c>
      <c r="C65" s="11"/>
      <c r="D65" s="6">
        <v>183.9</v>
      </c>
      <c r="E65" s="2"/>
      <c r="F65" s="7">
        <f t="shared" si="36"/>
        <v>8.2410934349092541E-3</v>
      </c>
      <c r="G65" s="2"/>
      <c r="H65" s="6">
        <v>350</v>
      </c>
      <c r="I65" s="2"/>
      <c r="J65" s="7">
        <f t="shared" si="37"/>
        <v>1.3679890560875513E-2</v>
      </c>
      <c r="K65" s="2"/>
      <c r="L65" s="6">
        <f t="shared" si="38"/>
        <v>-166.1</v>
      </c>
      <c r="M65" s="2"/>
      <c r="N65" s="7">
        <f t="shared" si="39"/>
        <v>-0.47457142857142853</v>
      </c>
      <c r="O65" s="11"/>
      <c r="P65" s="6">
        <v>948.5</v>
      </c>
      <c r="Q65" s="2"/>
      <c r="R65" s="7">
        <f t="shared" si="40"/>
        <v>6.5210964517260104E-3</v>
      </c>
      <c r="S65" s="2"/>
      <c r="T65" s="6">
        <v>1750</v>
      </c>
      <c r="U65" s="2"/>
      <c r="V65" s="7">
        <f t="shared" si="41"/>
        <v>6.2911169428766581E-3</v>
      </c>
      <c r="W65" s="2"/>
      <c r="X65" s="6">
        <f t="shared" si="42"/>
        <v>-801.5</v>
      </c>
      <c r="Y65" s="2"/>
      <c r="Z65" s="7">
        <f t="shared" si="43"/>
        <v>-0.45800000000000002</v>
      </c>
    </row>
    <row r="66" spans="1:26" s="59" customFormat="1" x14ac:dyDescent="0.25">
      <c r="A66" s="36"/>
      <c r="B66" s="36"/>
      <c r="C66" s="36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6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collapsed="1" x14ac:dyDescent="0.25">
      <c r="A67" s="10"/>
      <c r="B67" s="29" t="s">
        <v>0</v>
      </c>
      <c r="C67" s="10"/>
      <c r="D67" s="4">
        <f>SUM(OSRRefD25x_0)</f>
        <v>1939.25</v>
      </c>
      <c r="E67" s="4"/>
      <c r="F67" s="12">
        <f t="shared" ref="F67:F68" si="44">IF(D$12=0,0,D67/D$12)</f>
        <v>8.6903428187317944E-2</v>
      </c>
      <c r="G67" s="4"/>
      <c r="H67" s="4">
        <f>SUM(OSRRefH25x_0)</f>
        <v>1650</v>
      </c>
      <c r="I67" s="4"/>
      <c r="J67" s="12">
        <f t="shared" ref="J67:J68" si="45">IF(H$12=0,0,H67/H$12)</f>
        <v>6.4490912644127416E-2</v>
      </c>
      <c r="K67" s="4"/>
      <c r="L67" s="4">
        <f t="shared" ref="L67:L68" si="46">+D67-H67</f>
        <v>289.25</v>
      </c>
      <c r="M67" s="4"/>
      <c r="N67" s="12">
        <f t="shared" ref="N67:N68" si="47">IF(H67=0,0,L67/H67)</f>
        <v>0.17530303030303029</v>
      </c>
      <c r="O67" s="10"/>
      <c r="P67" s="4">
        <f>SUM(OSRRefP25x_0)</f>
        <v>12186.74</v>
      </c>
      <c r="Q67" s="4"/>
      <c r="R67" s="12">
        <f t="shared" ref="R67:R68" si="48">IF(P$12=0,0,P67/P$12)</f>
        <v>8.3785879780819653E-2</v>
      </c>
      <c r="S67" s="4"/>
      <c r="T67" s="4">
        <f>SUM(OSRRefT25x_0)</f>
        <v>13650</v>
      </c>
      <c r="U67" s="4"/>
      <c r="V67" s="12">
        <f t="shared" ref="V67:V68" si="49">IF(T$12=0,0,T67/T$12)</f>
        <v>4.9070712154437937E-2</v>
      </c>
      <c r="W67" s="4"/>
      <c r="X67" s="4">
        <f t="shared" ref="X67:X68" si="50">+P67-T67</f>
        <v>-1463.2600000000002</v>
      </c>
      <c r="Y67" s="4"/>
      <c r="Z67" s="12">
        <f t="shared" ref="Z67:Z68" si="51">IF(T67=0,0,X67/T67)</f>
        <v>-0.10719853479853482</v>
      </c>
    </row>
    <row r="68" spans="1:26" s="24" customFormat="1" hidden="1" outlineLevel="1" x14ac:dyDescent="0.25">
      <c r="A68" s="44"/>
      <c r="B68" s="11" t="str">
        <f>CONCATENATE("          ", "9150", " - ", "MISC. INCOME")</f>
        <v xml:space="preserve">          9150 - MISC. INCOME</v>
      </c>
      <c r="C68" s="11"/>
      <c r="D68" s="2">
        <f>--1939.25</f>
        <v>1939.25</v>
      </c>
      <c r="E68" s="2"/>
      <c r="F68" s="19">
        <f t="shared" si="44"/>
        <v>8.6903428187317944E-2</v>
      </c>
      <c r="G68" s="2"/>
      <c r="H68" s="2">
        <v>1650</v>
      </c>
      <c r="I68" s="2"/>
      <c r="J68" s="19">
        <f t="shared" si="45"/>
        <v>6.4490912644127416E-2</v>
      </c>
      <c r="K68" s="2"/>
      <c r="L68" s="2">
        <f t="shared" si="46"/>
        <v>289.25</v>
      </c>
      <c r="M68" s="2"/>
      <c r="N68" s="19">
        <f t="shared" si="47"/>
        <v>0.17530303030303029</v>
      </c>
      <c r="O68" s="11"/>
      <c r="P68" s="2">
        <f>--12186.74</f>
        <v>12186.74</v>
      </c>
      <c r="Q68" s="2"/>
      <c r="R68" s="19">
        <f t="shared" si="48"/>
        <v>8.3785879780819653E-2</v>
      </c>
      <c r="S68" s="2"/>
      <c r="T68" s="2">
        <v>13650</v>
      </c>
      <c r="U68" s="2"/>
      <c r="V68" s="19">
        <f t="shared" si="49"/>
        <v>4.9070712154437937E-2</v>
      </c>
      <c r="W68" s="2"/>
      <c r="X68" s="2">
        <f t="shared" si="50"/>
        <v>-1463.2600000000002</v>
      </c>
      <c r="Y68" s="2"/>
      <c r="Z68" s="19">
        <f t="shared" si="51"/>
        <v>-0.10719853479853482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8" t="s">
        <v>3</v>
      </c>
      <c r="C70" s="28"/>
      <c r="D70" s="20">
        <f>+D17-D19+D67</f>
        <v>2073.3300000000017</v>
      </c>
      <c r="E70" s="14"/>
      <c r="F70" s="22">
        <f>IF(D$12=0,0,D70/D$12)</f>
        <v>9.2911942639480244E-2</v>
      </c>
      <c r="G70" s="14"/>
      <c r="H70" s="20">
        <f>+H17-H19+H67</f>
        <v>3356.1333791538455</v>
      </c>
      <c r="I70" s="14"/>
      <c r="J70" s="22">
        <f>IF(H$12=0,0,H70/H$12)</f>
        <v>0.13117582095578836</v>
      </c>
      <c r="K70" s="16"/>
      <c r="L70" s="20">
        <f>+D70-H70</f>
        <v>-1282.8033791538437</v>
      </c>
      <c r="M70" s="16"/>
      <c r="N70" s="22">
        <f>IF(H70=0,0,L70/H70)</f>
        <v>-0.38222657869374266</v>
      </c>
      <c r="O70" s="29"/>
      <c r="P70" s="20">
        <f>+P17-P19+P67</f>
        <v>12397.099999999986</v>
      </c>
      <c r="Q70" s="14"/>
      <c r="R70" s="22">
        <f>IF(P$12=0,0,P70/P$12)</f>
        <v>8.5232140033413215E-2</v>
      </c>
      <c r="S70" s="14"/>
      <c r="T70" s="20">
        <f>+T17-T19+T67</f>
        <v>36493.086585346144</v>
      </c>
      <c r="U70" s="14"/>
      <c r="V70" s="22">
        <f>IF(T$12=0,0,T70/T$12)</f>
        <v>0.13118987160853487</v>
      </c>
      <c r="W70" s="16"/>
      <c r="X70" s="20">
        <f>+P70-T70</f>
        <v>-24095.98658534616</v>
      </c>
      <c r="Y70" s="16"/>
      <c r="Z70" s="22">
        <f>IF(T70=0,0,X70/T70)</f>
        <v>-0.66028908048084756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14</v>
      </c>
      <c r="C72" s="10"/>
      <c r="D72" s="4">
        <v>3007.1</v>
      </c>
      <c r="E72" s="4"/>
      <c r="F72" s="12">
        <f>IF(D$12=0,0,D72/D$12)</f>
        <v>0.13475688998431548</v>
      </c>
      <c r="G72" s="4"/>
      <c r="H72" s="4">
        <v>4836</v>
      </c>
      <c r="I72" s="4"/>
      <c r="J72" s="12">
        <f>IF(H$12=0,0,H72/H$12)</f>
        <v>0.18901700214969708</v>
      </c>
      <c r="K72" s="4"/>
      <c r="L72" s="4">
        <f>+D72-H72</f>
        <v>-1828.9</v>
      </c>
      <c r="M72" s="4"/>
      <c r="N72" s="12">
        <f>IF(H72=0,0,L72/H72)</f>
        <v>-0.37818444995864353</v>
      </c>
      <c r="O72" s="10"/>
      <c r="P72" s="4">
        <v>15402.28</v>
      </c>
      <c r="Q72" s="4"/>
      <c r="R72" s="12">
        <f>IF(P$12=0,0,P72/P$12)</f>
        <v>0.10589325614811862</v>
      </c>
      <c r="S72" s="4"/>
      <c r="T72" s="4">
        <v>35253</v>
      </c>
      <c r="U72" s="4"/>
      <c r="V72" s="12">
        <f>IF(T$12=0,0,T72/T$12)</f>
        <v>0.12673185462127476</v>
      </c>
      <c r="W72" s="4"/>
      <c r="X72" s="4">
        <f>+P72-T72</f>
        <v>-19850.72</v>
      </c>
      <c r="Y72" s="4"/>
      <c r="Z72" s="12">
        <f>IF(T72=0,0,X72/T72)</f>
        <v>-0.56309307009332543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8" t="s">
        <v>4</v>
      </c>
      <c r="C74" s="28"/>
      <c r="D74" s="30">
        <f>+D70-D72</f>
        <v>-933.76999999999816</v>
      </c>
      <c r="E74" s="14"/>
      <c r="F74" s="32">
        <f>IF(D$12=0,0,D74/D$12)</f>
        <v>-4.184494734483523E-2</v>
      </c>
      <c r="G74" s="14"/>
      <c r="H74" s="30">
        <f>+H70-H72</f>
        <v>-1479.8666208461545</v>
      </c>
      <c r="I74" s="14"/>
      <c r="J74" s="32">
        <f>IF(H$12=0,0,H74/H$12)</f>
        <v>-5.7841181193908721E-2</v>
      </c>
      <c r="K74" s="16"/>
      <c r="L74" s="30">
        <f>D74-H74</f>
        <v>546.09662084615638</v>
      </c>
      <c r="M74" s="16"/>
      <c r="N74" s="32">
        <f>IF(H74=0,0,L74/H74)</f>
        <v>-0.36901745951531129</v>
      </c>
      <c r="O74" s="29"/>
      <c r="P74" s="30">
        <f>+P70-P72</f>
        <v>-3005.1800000000148</v>
      </c>
      <c r="Q74" s="14"/>
      <c r="R74" s="32">
        <f>IF(P$12=0,0,P74/P$12)</f>
        <v>-2.0661116114705398E-2</v>
      </c>
      <c r="S74" s="14"/>
      <c r="T74" s="30">
        <f>+T70-T72</f>
        <v>1240.0865853461437</v>
      </c>
      <c r="U74" s="14"/>
      <c r="V74" s="32">
        <f>IF(T$12=0,0,T74/T$12)</f>
        <v>4.4580169872601057E-3</v>
      </c>
      <c r="W74" s="16"/>
      <c r="X74" s="30">
        <f>P74-T74</f>
        <v>-4245.2665853461585</v>
      </c>
      <c r="Y74" s="16"/>
      <c r="Z74" s="32">
        <f>IF(T74=0,0,X74/T74)</f>
        <v>-3.4233630421549823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8" t="s">
        <v>5</v>
      </c>
      <c r="C77" s="28"/>
      <c r="D77" s="31">
        <f>SUM(D74:D76)</f>
        <v>-933.76999999999816</v>
      </c>
      <c r="E77" s="14"/>
      <c r="F77" s="35">
        <f>IF(D$12=0,0,D77/D$12)</f>
        <v>-4.184494734483523E-2</v>
      </c>
      <c r="G77" s="14"/>
      <c r="H77" s="31">
        <f>SUM(H74:H76)</f>
        <v>-1479.8666208461545</v>
      </c>
      <c r="I77" s="14"/>
      <c r="J77" s="35">
        <f>IF(H$12=0,0,H77/H$12)</f>
        <v>-5.7841181193908721E-2</v>
      </c>
      <c r="K77" s="16"/>
      <c r="L77" s="31">
        <f>+D77-H77</f>
        <v>546.09662084615638</v>
      </c>
      <c r="M77" s="16"/>
      <c r="N77" s="35">
        <f>IF(H77=0,0,L77/H77)</f>
        <v>-0.36901745951531129</v>
      </c>
      <c r="O77" s="29"/>
      <c r="P77" s="31">
        <f>SUM(P74:P76)</f>
        <v>-3005.1800000000148</v>
      </c>
      <c r="Q77" s="14"/>
      <c r="R77" s="35">
        <f>IF(P$12=0,0,P77/P$12)</f>
        <v>-2.0661116114705398E-2</v>
      </c>
      <c r="S77" s="14"/>
      <c r="T77" s="31">
        <f>SUM(T74:T76)</f>
        <v>1240.0865853461437</v>
      </c>
      <c r="U77" s="14"/>
      <c r="V77" s="35">
        <f>IF(T$12=0,0,T77/T$12)</f>
        <v>4.4580169872601057E-3</v>
      </c>
      <c r="W77" s="16"/>
      <c r="X77" s="31">
        <f>+P77-T77</f>
        <v>-4245.2665853461585</v>
      </c>
      <c r="Y77" s="16"/>
      <c r="Z77" s="35">
        <f>IF(T77=0,0,X77/T77)</f>
        <v>-3.4233630421549823</v>
      </c>
    </row>
    <row r="78" spans="1:26" ht="15.75" thickTop="1" x14ac:dyDescent="0.25">
      <c r="A78" s="9"/>
      <c r="C78" s="9"/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56">
        <v>43815.484262534723</v>
      </c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62" t="s">
        <v>314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58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102</vt:i4>
      </vt:variant>
      <vt:variant>
        <vt:lpstr>Named Ranges</vt:lpstr>
      </vt:variant>
      <vt:variant>
        <vt:i4>4456</vt:i4>
      </vt:variant>
    </vt:vector>
  </HeadingPairs>
  <TitlesOfParts>
    <vt:vector size="4558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318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420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445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'420'!OSRRefD13x_0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'206'!OSRRefD22_10x_0</vt:lpstr>
      <vt:lpstr>'300'!OSRRefD22_10x_0</vt:lpstr>
      <vt:lpstr>'300 &amp; 317'!OSRRefD22_10x_0</vt:lpstr>
      <vt:lpstr>'301'!OSRRefD22_10x_0</vt:lpstr>
      <vt:lpstr>'306'!OSRRefD22_10x_0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'430'!OSRRefD22_10x_0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'204'!OSRRefD22_11x_0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'204'!OSRRefD22_12x_0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'313'!OSRRefD22_13x_0</vt:lpstr>
      <vt:lpstr>'315'!OSRRefD22_13x_0</vt:lpstr>
      <vt:lpstr>'316'!OSRRefD22_13x_0</vt:lpstr>
      <vt:lpstr>'321'!OSRRefD22_13x_0</vt:lpstr>
      <vt:lpstr>'322'!OSRRefD22_13x_0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'313'!OSRRefD22_14x_0</vt:lpstr>
      <vt:lpstr>'315'!OSRRefD22_14x_0</vt:lpstr>
      <vt:lpstr>'321'!OSRRefD22_14x_0</vt:lpstr>
      <vt:lpstr>'325'!OSRRefD22_14x_0</vt:lpstr>
      <vt:lpstr>'326'!OSRRefD22_14x_0</vt:lpstr>
      <vt:lpstr>'330'!OSRRefD22_14x_0</vt:lpstr>
      <vt:lpstr>'331'!OSRRefD22_14x_0</vt:lpstr>
      <vt:lpstr>'332'!OSRRefD22_14x_0</vt:lpstr>
      <vt:lpstr>'405'!OSRRefD22_14x_0</vt:lpstr>
      <vt:lpstr>'411'!OSRRefD22_14x_0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'202'!OSRRefD22_15x_0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'418'!OSRRefD22_15x_0</vt:lpstr>
      <vt:lpstr>'425'!OSRRefD22_15x_0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'201'!OSRRefD22_16x_0</vt:lpstr>
      <vt:lpstr>'202'!OSRRefD22_16x_0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'331'!OSRRefD22_16x_0</vt:lpstr>
      <vt:lpstr>'405'!OSRRefD22_16x_0</vt:lpstr>
      <vt:lpstr>'411'!OSRRefD22_16x_0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'325'!OSRRefD22_17x_0</vt:lpstr>
      <vt:lpstr>'326'!OSRRefD22_17x_0</vt:lpstr>
      <vt:lpstr>'331'!OSRRefD22_17x_0</vt:lpstr>
      <vt:lpstr>'405'!OSRRefD22_17x_0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'325'!OSRRefD22_18x_0</vt:lpstr>
      <vt:lpstr>'326'!OSRRefD22_18x_0</vt:lpstr>
      <vt:lpstr>'331'!OSRRefD22_18x_0</vt:lpstr>
      <vt:lpstr>'415'!OSRRefD22_18x_0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'327'!OSRRefD22_1x_0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2'!OSRRefD22_20x_0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'310'!OSRRefD22_22x_0</vt:lpstr>
      <vt:lpstr>'310 &amp; 491'!OSRRefD22_22x_0</vt:lpstr>
      <vt:lpstr>'331'!OSRRefD22_22x_0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'310'!OSRRefD22_23x_0</vt:lpstr>
      <vt:lpstr>'310 &amp; 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'Div 3'!OSRRefD22_24x_0</vt:lpstr>
      <vt:lpstr>'Div 4'!OSRRefD22_24x_0</vt:lpstr>
      <vt:lpstr>Summary!OSRRefD22_24x_0</vt:lpstr>
      <vt:lpstr>'310 &amp; 491'!OSRRefD22_25x_0</vt:lpstr>
      <vt:lpstr>'Div 3'!OSRRefD22_25x_0</vt:lpstr>
      <vt:lpstr>Summary!OSRRefD22_25x_0</vt:lpstr>
      <vt:lpstr>'Div 3'!OSRRefD22_26x_0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'327'!OSRRefD22_2x_0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'420'!OSRRefD22_2x_0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'420'!OSRRefD22_3x_0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'200'!OSRRefD22_4x_0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'420'!OSRRefD22_4x_0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'314'!OSRRefD22_7x_0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'206'!OSRRefD22_8x_0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'314'!OSRRefD22_8x_0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'205'!OSRRefD22_9x_0</vt:lpstr>
      <vt:lpstr>'206'!OSRRefD22_9x_0</vt:lpstr>
      <vt:lpstr>'300'!OSRRefD22_9x_0</vt:lpstr>
      <vt:lpstr>'300 &amp; 317'!OSRRefD22_9x_0</vt:lpstr>
      <vt:lpstr>'301'!OSRRefD22_9x_0</vt:lpstr>
      <vt:lpstr>'306'!OSRRefD22_9x_0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'430'!OSRRefD22_9x_0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'331'!OSRRefD25x_0</vt:lpstr>
      <vt:lpstr>'332'!OSRRefD25x_0</vt:lpstr>
      <vt:lpstr>'411'!OSRRefD25x_0</vt:lpstr>
      <vt:lpstr>'413'!OSRRefD25x_0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'420'!OSRRefH13x_0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'206'!OSRRefH22_10x_0</vt:lpstr>
      <vt:lpstr>'300'!OSRRefH22_10x_0</vt:lpstr>
      <vt:lpstr>'300 &amp; 317'!OSRRefH22_10x_0</vt:lpstr>
      <vt:lpstr>'301'!OSRRefH22_10x_0</vt:lpstr>
      <vt:lpstr>'306'!OSRRefH22_10x_0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'430'!OSRRefH22_10x_0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'204'!OSRRefH22_11x_0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'204'!OSRRefH22_12x_0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'313'!OSRRefH22_13x_0</vt:lpstr>
      <vt:lpstr>'315'!OSRRefH22_13x_0</vt:lpstr>
      <vt:lpstr>'316'!OSRRefH22_13x_0</vt:lpstr>
      <vt:lpstr>'321'!OSRRefH22_13x_0</vt:lpstr>
      <vt:lpstr>'322'!OSRRefH22_13x_0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'313'!OSRRefH22_14x_0</vt:lpstr>
      <vt:lpstr>'315'!OSRRefH22_14x_0</vt:lpstr>
      <vt:lpstr>'321'!OSRRefH22_14x_0</vt:lpstr>
      <vt:lpstr>'325'!OSRRefH22_14x_0</vt:lpstr>
      <vt:lpstr>'326'!OSRRefH22_14x_0</vt:lpstr>
      <vt:lpstr>'330'!OSRRefH22_14x_0</vt:lpstr>
      <vt:lpstr>'331'!OSRRefH22_14x_0</vt:lpstr>
      <vt:lpstr>'332'!OSRRefH22_14x_0</vt:lpstr>
      <vt:lpstr>'405'!OSRRefH22_14x_0</vt:lpstr>
      <vt:lpstr>'411'!OSRRefH22_14x_0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'202'!OSRRefH22_15x_0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'418'!OSRRefH22_15x_0</vt:lpstr>
      <vt:lpstr>'425'!OSRRefH22_15x_0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'201'!OSRRefH22_16x_0</vt:lpstr>
      <vt:lpstr>'202'!OSRRefH22_16x_0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'331'!OSRRefH22_16x_0</vt:lpstr>
      <vt:lpstr>'405'!OSRRefH22_16x_0</vt:lpstr>
      <vt:lpstr>'411'!OSRRefH22_16x_0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'325'!OSRRefH22_17x_0</vt:lpstr>
      <vt:lpstr>'326'!OSRRefH22_17x_0</vt:lpstr>
      <vt:lpstr>'331'!OSRRefH22_17x_0</vt:lpstr>
      <vt:lpstr>'405'!OSRRefH22_17x_0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'325'!OSRRefH22_18x_0</vt:lpstr>
      <vt:lpstr>'326'!OSRRefH22_18x_0</vt:lpstr>
      <vt:lpstr>'331'!OSRRefH22_18x_0</vt:lpstr>
      <vt:lpstr>'415'!OSRRefH22_18x_0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'327'!OSRRefH22_1x_0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2'!OSRRefH22_20x_0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'310'!OSRRefH22_22x_0</vt:lpstr>
      <vt:lpstr>'310 &amp; 491'!OSRRefH22_22x_0</vt:lpstr>
      <vt:lpstr>'331'!OSRRefH22_22x_0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'310'!OSRRefH22_23x_0</vt:lpstr>
      <vt:lpstr>'310 &amp; 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'Div 3'!OSRRefH22_24x_0</vt:lpstr>
      <vt:lpstr>'Div 4'!OSRRefH22_24x_0</vt:lpstr>
      <vt:lpstr>Summary!OSRRefH22_24x_0</vt:lpstr>
      <vt:lpstr>'310 &amp; 491'!OSRRefH22_25x_0</vt:lpstr>
      <vt:lpstr>'Div 3'!OSRRefH22_25x_0</vt:lpstr>
      <vt:lpstr>Summary!OSRRefH22_25x_0</vt:lpstr>
      <vt:lpstr>'Div 3'!OSRRefH22_26x_0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'327'!OSRRefH22_2x_0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'420'!OSRRefH22_2x_0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'420'!OSRRefH22_3x_0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'200'!OSRRefH22_4x_0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'420'!OSRRefH22_4x_0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'314'!OSRRefH22_7x_0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'206'!OSRRefH22_8x_0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'314'!OSRRefH22_8x_0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'205'!OSRRefH22_9x_0</vt:lpstr>
      <vt:lpstr>'206'!OSRRefH22_9x_0</vt:lpstr>
      <vt:lpstr>'300'!OSRRefH22_9x_0</vt:lpstr>
      <vt:lpstr>'300 &amp; 317'!OSRRefH22_9x_0</vt:lpstr>
      <vt:lpstr>'301'!OSRRefH22_9x_0</vt:lpstr>
      <vt:lpstr>'306'!OSRRefH22_9x_0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'430'!OSRRefH22_9x_0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'331'!OSRRefH25x_0</vt:lpstr>
      <vt:lpstr>'332'!OSRRefH25x_0</vt:lpstr>
      <vt:lpstr>'411'!OSRRefH25x_0</vt:lpstr>
      <vt:lpstr>'413'!OSRRefH25x_0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'420'!OSRRefP13x_0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'206'!OSRRefP22_10x_0</vt:lpstr>
      <vt:lpstr>'300'!OSRRefP22_10x_0</vt:lpstr>
      <vt:lpstr>'300 &amp; 317'!OSRRefP22_10x_0</vt:lpstr>
      <vt:lpstr>'301'!OSRRefP22_10x_0</vt:lpstr>
      <vt:lpstr>'306'!OSRRefP22_10x_0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'430'!OSRRefP22_10x_0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'204'!OSRRefP22_11x_0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'204'!OSRRefP22_12x_0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'313'!OSRRefP22_13x_0</vt:lpstr>
      <vt:lpstr>'315'!OSRRefP22_13x_0</vt:lpstr>
      <vt:lpstr>'316'!OSRRefP22_13x_0</vt:lpstr>
      <vt:lpstr>'321'!OSRRefP22_13x_0</vt:lpstr>
      <vt:lpstr>'322'!OSRRefP22_13x_0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'313'!OSRRefP22_14x_0</vt:lpstr>
      <vt:lpstr>'315'!OSRRefP22_14x_0</vt:lpstr>
      <vt:lpstr>'321'!OSRRefP22_14x_0</vt:lpstr>
      <vt:lpstr>'325'!OSRRefP22_14x_0</vt:lpstr>
      <vt:lpstr>'326'!OSRRefP22_14x_0</vt:lpstr>
      <vt:lpstr>'330'!OSRRefP22_14x_0</vt:lpstr>
      <vt:lpstr>'331'!OSRRefP22_14x_0</vt:lpstr>
      <vt:lpstr>'332'!OSRRefP22_14x_0</vt:lpstr>
      <vt:lpstr>'405'!OSRRefP22_14x_0</vt:lpstr>
      <vt:lpstr>'411'!OSRRefP22_14x_0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'202'!OSRRefP22_15x_0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'418'!OSRRefP22_15x_0</vt:lpstr>
      <vt:lpstr>'425'!OSRRefP22_15x_0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'201'!OSRRefP22_16x_0</vt:lpstr>
      <vt:lpstr>'202'!OSRRefP22_16x_0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'331'!OSRRefP22_16x_0</vt:lpstr>
      <vt:lpstr>'405'!OSRRefP22_16x_0</vt:lpstr>
      <vt:lpstr>'411'!OSRRefP22_16x_0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'325'!OSRRefP22_17x_0</vt:lpstr>
      <vt:lpstr>'326'!OSRRefP22_17x_0</vt:lpstr>
      <vt:lpstr>'331'!OSRRefP22_17x_0</vt:lpstr>
      <vt:lpstr>'405'!OSRRefP22_17x_0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'325'!OSRRefP22_18x_0</vt:lpstr>
      <vt:lpstr>'326'!OSRRefP22_18x_0</vt:lpstr>
      <vt:lpstr>'331'!OSRRefP22_18x_0</vt:lpstr>
      <vt:lpstr>'415'!OSRRefP22_18x_0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'327'!OSRRefP22_1x_0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2'!OSRRefP22_20x_0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'310'!OSRRefP22_22x_0</vt:lpstr>
      <vt:lpstr>'310 &amp; 491'!OSRRefP22_22x_0</vt:lpstr>
      <vt:lpstr>'331'!OSRRefP22_22x_0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'310'!OSRRefP22_23x_0</vt:lpstr>
      <vt:lpstr>'310 &amp; 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'Div 3'!OSRRefP22_24x_0</vt:lpstr>
      <vt:lpstr>'Div 4'!OSRRefP22_24x_0</vt:lpstr>
      <vt:lpstr>Summary!OSRRefP22_24x_0</vt:lpstr>
      <vt:lpstr>'310 &amp; 491'!OSRRefP22_25x_0</vt:lpstr>
      <vt:lpstr>'Div 3'!OSRRefP22_25x_0</vt:lpstr>
      <vt:lpstr>Summary!OSRRefP22_25x_0</vt:lpstr>
      <vt:lpstr>'Div 3'!OSRRefP22_26x_0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'327'!OSRRefP22_2x_0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'420'!OSRRefP22_2x_0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'420'!OSRRefP22_3x_0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'200'!OSRRefP22_4x_0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'420'!OSRRefP22_4x_0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'314'!OSRRefP22_7x_0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'206'!OSRRefP22_8x_0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'314'!OSRRefP22_8x_0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'205'!OSRRefP22_9x_0</vt:lpstr>
      <vt:lpstr>'206'!OSRRefP22_9x_0</vt:lpstr>
      <vt:lpstr>'300'!OSRRefP22_9x_0</vt:lpstr>
      <vt:lpstr>'300 &amp; 317'!OSRRefP22_9x_0</vt:lpstr>
      <vt:lpstr>'301'!OSRRefP22_9x_0</vt:lpstr>
      <vt:lpstr>'306'!OSRRefP22_9x_0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'430'!OSRRefP22_9x_0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'331'!OSRRefP25x_0</vt:lpstr>
      <vt:lpstr>'332'!OSRRefP25x_0</vt:lpstr>
      <vt:lpstr>'411'!OSRRefP25x_0</vt:lpstr>
      <vt:lpstr>'413'!OSRRefP25x_0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'420'!OSRRefT13x_0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'206'!OSRRefT22_10x_0</vt:lpstr>
      <vt:lpstr>'300'!OSRRefT22_10x_0</vt:lpstr>
      <vt:lpstr>'300 &amp; 317'!OSRRefT22_10x_0</vt:lpstr>
      <vt:lpstr>'301'!OSRRefT22_10x_0</vt:lpstr>
      <vt:lpstr>'306'!OSRRefT22_10x_0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'430'!OSRRefT22_10x_0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'204'!OSRRefT22_11x_0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'204'!OSRRefT22_12x_0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'313'!OSRRefT22_13x_0</vt:lpstr>
      <vt:lpstr>'315'!OSRRefT22_13x_0</vt:lpstr>
      <vt:lpstr>'316'!OSRRefT22_13x_0</vt:lpstr>
      <vt:lpstr>'321'!OSRRefT22_13x_0</vt:lpstr>
      <vt:lpstr>'322'!OSRRefT22_13x_0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'313'!OSRRefT22_14x_0</vt:lpstr>
      <vt:lpstr>'315'!OSRRefT22_14x_0</vt:lpstr>
      <vt:lpstr>'321'!OSRRefT22_14x_0</vt:lpstr>
      <vt:lpstr>'325'!OSRRefT22_14x_0</vt:lpstr>
      <vt:lpstr>'326'!OSRRefT22_14x_0</vt:lpstr>
      <vt:lpstr>'330'!OSRRefT22_14x_0</vt:lpstr>
      <vt:lpstr>'331'!OSRRefT22_14x_0</vt:lpstr>
      <vt:lpstr>'332'!OSRRefT22_14x_0</vt:lpstr>
      <vt:lpstr>'405'!OSRRefT22_14x_0</vt:lpstr>
      <vt:lpstr>'411'!OSRRefT22_14x_0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'202'!OSRRefT22_15x_0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'418'!OSRRefT22_15x_0</vt:lpstr>
      <vt:lpstr>'425'!OSRRefT22_15x_0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'201'!OSRRefT22_16x_0</vt:lpstr>
      <vt:lpstr>'202'!OSRRefT22_16x_0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'331'!OSRRefT22_16x_0</vt:lpstr>
      <vt:lpstr>'405'!OSRRefT22_16x_0</vt:lpstr>
      <vt:lpstr>'411'!OSRRefT22_16x_0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'325'!OSRRefT22_17x_0</vt:lpstr>
      <vt:lpstr>'326'!OSRRefT22_17x_0</vt:lpstr>
      <vt:lpstr>'331'!OSRRefT22_17x_0</vt:lpstr>
      <vt:lpstr>'405'!OSRRefT22_17x_0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'325'!OSRRefT22_18x_0</vt:lpstr>
      <vt:lpstr>'326'!OSRRefT22_18x_0</vt:lpstr>
      <vt:lpstr>'331'!OSRRefT22_18x_0</vt:lpstr>
      <vt:lpstr>'415'!OSRRefT22_18x_0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'327'!OSRRefT22_1x_0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2'!OSRRefT22_20x_0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'310'!OSRRefT22_22x_0</vt:lpstr>
      <vt:lpstr>'310 &amp; 491'!OSRRefT22_22x_0</vt:lpstr>
      <vt:lpstr>'331'!OSRRefT22_22x_0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'310'!OSRRefT22_23x_0</vt:lpstr>
      <vt:lpstr>'310 &amp; 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'Div 3'!OSRRefT22_24x_0</vt:lpstr>
      <vt:lpstr>'Div 4'!OSRRefT22_24x_0</vt:lpstr>
      <vt:lpstr>Summary!OSRRefT22_24x_0</vt:lpstr>
      <vt:lpstr>'310 &amp; 491'!OSRRefT22_25x_0</vt:lpstr>
      <vt:lpstr>'Div 3'!OSRRefT22_25x_0</vt:lpstr>
      <vt:lpstr>Summary!OSRRefT22_25x_0</vt:lpstr>
      <vt:lpstr>'Div 3'!OSRRefT22_26x_0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'327'!OSRRefT22_2x_0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'420'!OSRRefT22_2x_0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'420'!OSRRefT22_3x_0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'200'!OSRRefT22_4x_0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'420'!OSRRefT22_4x_0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'314'!OSRRefT22_7x_0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'206'!OSRRefT22_8x_0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'314'!OSRRefT22_8x_0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'205'!OSRRefT22_9x_0</vt:lpstr>
      <vt:lpstr>'206'!OSRRefT22_9x_0</vt:lpstr>
      <vt:lpstr>'300'!OSRRefT22_9x_0</vt:lpstr>
      <vt:lpstr>'300 &amp; 317'!OSRRefT22_9x_0</vt:lpstr>
      <vt:lpstr>'301'!OSRRefT22_9x_0</vt:lpstr>
      <vt:lpstr>'306'!OSRRefT22_9x_0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'430'!OSRRefT22_9x_0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'331'!OSRRefT25x_0</vt:lpstr>
      <vt:lpstr>'332'!OSRRefT25x_0</vt:lpstr>
      <vt:lpstr>'411'!OSRRefT25x_0</vt:lpstr>
      <vt:lpstr>'413'!OSRRefT25x_0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'318'!Print_Area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'445'!Print_Area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'318'!Print_Titles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'445'!Print_Titles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cp:lastPrinted>2019-12-16T19:55:23Z</cp:lastPrinted>
  <dcterms:modified xsi:type="dcterms:W3CDTF">2019-12-16T19:55:41Z</dcterms:modified>
</cp:coreProperties>
</file>